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P:\Finance Department\FINANCE\11 DOF\00 SYSTEMS\ERP NEXT\"/>
    </mc:Choice>
  </mc:AlternateContent>
  <xr:revisionPtr revIDLastSave="0" documentId="13_ncr:1_{64F0CFFB-AE77-4B6E-8A64-A35CB43E1A65}" xr6:coauthVersionLast="47" xr6:coauthVersionMax="47" xr10:uidLastSave="{00000000-0000-0000-0000-000000000000}"/>
  <bookViews>
    <workbookView xWindow="-120" yWindow="-120" windowWidth="38640" windowHeight="21240" tabRatio="682" activeTab="4" xr2:uid="{00000000-000D-0000-FFFF-FFFF00000000}"/>
  </bookViews>
  <sheets>
    <sheet name="Categorie" sheetId="11" r:id="rId1"/>
    <sheet name="DECOMPTES Finaux" sheetId="2" r:id="rId2"/>
    <sheet name="Tableau Detaillé" sheetId="8" r:id="rId3"/>
    <sheet name="JV" sheetId="9" r:id="rId4"/>
    <sheet name="SDT-B" sheetId="15" r:id="rId5"/>
    <sheet name="Sydney (3)" sheetId="6" state="hidden" r:id="rId6"/>
  </sheets>
  <externalReferences>
    <externalReference r:id="rId7"/>
  </externalReferences>
  <definedNames>
    <definedName name="_xlnm._FilterDatabase" localSheetId="1" hidden="1">'DECOMPTES Finaux'!$A$2:$BM$11</definedName>
    <definedName name="_xlnm._FilterDatabase" localSheetId="3" hidden="1">JV!$A$2:$N$26</definedName>
    <definedName name="BG" localSheetId="0">#REF!</definedName>
    <definedName name="BG" localSheetId="1">#REF!</definedName>
    <definedName name="BG" localSheetId="4">#REF!</definedName>
    <definedName name="BG" localSheetId="2">#REF!</definedName>
    <definedName name="BG">#REF!</definedName>
    <definedName name="csDesignMode">1</definedName>
    <definedName name="DATA" localSheetId="0">#REF!</definedName>
    <definedName name="DATA" localSheetId="1">#REF!</definedName>
    <definedName name="DATA" localSheetId="4">#REF!</definedName>
    <definedName name="DATA" localSheetId="2">#REF!</definedName>
    <definedName name="DATA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'DECOMPTES Finaux'!$A$1:$BM$2</definedName>
    <definedName name="_xlnm.Print_Area" localSheetId="3">JV!$A$1:$L$23</definedName>
    <definedName name="_xlnm.Print_Area" localSheetId="4">'SDT-B'!$A$1:$L$54</definedName>
    <definedName name="_xlnm.Print_Area" localSheetId="5">'Sydney (3)'!$A$1:$S$45</definedName>
    <definedName name="_xlnm.Print_Area" localSheetId="2">'Tableau Detaillé'!$A$1:$V$47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5" l="1"/>
  <c r="AP41" i="2" l="1"/>
  <c r="AC41" i="2"/>
  <c r="V40" i="2"/>
  <c r="AR37" i="2" l="1"/>
  <c r="AQ37" i="2"/>
  <c r="AH38" i="2"/>
  <c r="AI38" i="2"/>
  <c r="AJ38" i="2"/>
  <c r="AK38" i="2"/>
  <c r="AL38" i="2"/>
  <c r="AM38" i="2"/>
  <c r="AN38" i="2"/>
  <c r="AQ38" i="2" s="1"/>
  <c r="AH37" i="2"/>
  <c r="AB38" i="2"/>
  <c r="AS37" i="2"/>
  <c r="AQ36" i="2" l="1"/>
  <c r="AB35" i="2" l="1"/>
  <c r="Z35" i="2"/>
  <c r="AA35" i="2"/>
  <c r="BL35" i="2"/>
  <c r="AS35" i="2"/>
  <c r="AH35" i="2"/>
  <c r="AG35" i="2"/>
  <c r="AE35" i="2"/>
  <c r="AR35" i="2" s="1"/>
  <c r="U35" i="2"/>
  <c r="P35" i="2"/>
  <c r="AL35" i="2" s="1"/>
  <c r="O35" i="2"/>
  <c r="A35" i="2"/>
  <c r="AQ33" i="2"/>
  <c r="AQ27" i="2"/>
  <c r="AY27" i="2" s="1"/>
  <c r="AY31" i="2"/>
  <c r="AQ31" i="2"/>
  <c r="AQ30" i="2"/>
  <c r="AR25" i="2"/>
  <c r="AY25" i="2"/>
  <c r="AQ25" i="2"/>
  <c r="R35" i="2" l="1"/>
  <c r="AM35" i="2"/>
  <c r="S35" i="2"/>
  <c r="AN35" i="2"/>
  <c r="AV35" i="2"/>
  <c r="AI35" i="2"/>
  <c r="AQ35" i="2" s="1"/>
  <c r="AJ35" i="2"/>
  <c r="AK35" i="2"/>
  <c r="Q35" i="2"/>
  <c r="T35" i="2" s="1"/>
  <c r="AS27" i="2"/>
  <c r="AZ35" i="2" l="1"/>
  <c r="BA35" i="2" s="1"/>
  <c r="AY35" i="2"/>
  <c r="AQ24" i="2"/>
  <c r="AP24" i="2"/>
  <c r="AQ23" i="2"/>
  <c r="BB35" i="2" l="1"/>
  <c r="BM35" i="2" s="1"/>
  <c r="BQ35" i="2"/>
  <c r="BP35" i="2"/>
  <c r="BO35" i="2"/>
  <c r="AY24" i="2"/>
  <c r="AC10" i="2"/>
  <c r="AO23" i="2"/>
  <c r="AC25" i="2"/>
  <c r="BR35" i="2" l="1"/>
  <c r="V21" i="2"/>
  <c r="AA20" i="2"/>
  <c r="AC19" i="2"/>
  <c r="AB19" i="2"/>
  <c r="AQ39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3" i="2"/>
  <c r="AQ14" i="2"/>
  <c r="AQ15" i="2"/>
  <c r="AQ12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5" i="2"/>
  <c r="AP26" i="2"/>
  <c r="AP27" i="2"/>
  <c r="AP28" i="2"/>
  <c r="AP29" i="2"/>
  <c r="AP30" i="2"/>
  <c r="AP31" i="2"/>
  <c r="AP32" i="2"/>
  <c r="AP33" i="2"/>
  <c r="AP34" i="2"/>
  <c r="AP36" i="2"/>
  <c r="AP37" i="2"/>
  <c r="AP38" i="2"/>
  <c r="AP39" i="2"/>
  <c r="AP40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3" i="2"/>
  <c r="AO12" i="2"/>
  <c r="AO13" i="2"/>
  <c r="AO14" i="2"/>
  <c r="AO15" i="2"/>
  <c r="AO16" i="2"/>
  <c r="AO17" i="2"/>
  <c r="AO18" i="2"/>
  <c r="AO19" i="2"/>
  <c r="AO20" i="2"/>
  <c r="AO21" i="2"/>
  <c r="AO22" i="2"/>
  <c r="AO25" i="2"/>
  <c r="AO26" i="2"/>
  <c r="AO27" i="2"/>
  <c r="AC12" i="2" l="1"/>
  <c r="Z11" i="2" l="1"/>
  <c r="AB9" i="2"/>
  <c r="AC8" i="2"/>
  <c r="AB8" i="2"/>
  <c r="R28" i="11" l="1"/>
  <c r="R27" i="11"/>
  <c r="R26" i="11"/>
  <c r="K26" i="11"/>
  <c r="R25" i="11"/>
  <c r="Q24" i="11"/>
  <c r="R24" i="11" s="1"/>
  <c r="P24" i="11"/>
  <c r="M24" i="11"/>
  <c r="O24" i="11" s="1"/>
  <c r="K24" i="11"/>
  <c r="F24" i="11"/>
  <c r="Q23" i="11"/>
  <c r="R23" i="11" s="1"/>
  <c r="P23" i="11"/>
  <c r="M23" i="11"/>
  <c r="O23" i="11" s="1"/>
  <c r="N24" i="11" s="1"/>
  <c r="K23" i="11"/>
  <c r="F23" i="11"/>
  <c r="Q22" i="11"/>
  <c r="R22" i="11" s="1"/>
  <c r="P22" i="11"/>
  <c r="M22" i="11"/>
  <c r="O22" i="11" s="1"/>
  <c r="N23" i="11" s="1"/>
  <c r="K22" i="11"/>
  <c r="F22" i="11"/>
  <c r="E22" i="11"/>
  <c r="Q21" i="11"/>
  <c r="R21" i="11" s="1"/>
  <c r="P21" i="11"/>
  <c r="M21" i="11"/>
  <c r="O21" i="11" s="1"/>
  <c r="N22" i="11" s="1"/>
  <c r="K21" i="11"/>
  <c r="F21" i="11"/>
  <c r="Q20" i="11"/>
  <c r="R20" i="11" s="1"/>
  <c r="P20" i="11"/>
  <c r="M20" i="11"/>
  <c r="O20" i="11" s="1"/>
  <c r="N21" i="11" s="1"/>
  <c r="K20" i="11"/>
  <c r="F20" i="11"/>
  <c r="Q19" i="11"/>
  <c r="R19" i="11" s="1"/>
  <c r="P19" i="11"/>
  <c r="M19" i="11"/>
  <c r="O19" i="11" s="1"/>
  <c r="N20" i="11" s="1"/>
  <c r="K19" i="11"/>
  <c r="F19" i="11"/>
  <c r="Q18" i="11"/>
  <c r="R18" i="11" s="1"/>
  <c r="P18" i="11"/>
  <c r="M18" i="11"/>
  <c r="O18" i="11" s="1"/>
  <c r="N19" i="11" s="1"/>
  <c r="K18" i="11"/>
  <c r="F18" i="11"/>
  <c r="Q17" i="11"/>
  <c r="R17" i="11" s="1"/>
  <c r="P17" i="11"/>
  <c r="M17" i="11"/>
  <c r="O17" i="11" s="1"/>
  <c r="N18" i="11" s="1"/>
  <c r="K17" i="11"/>
  <c r="F17" i="11"/>
  <c r="Q16" i="11"/>
  <c r="R16" i="11" s="1"/>
  <c r="P16" i="11"/>
  <c r="M16" i="11"/>
  <c r="O16" i="11" s="1"/>
  <c r="N17" i="11" s="1"/>
  <c r="K16" i="11"/>
  <c r="F16" i="11"/>
  <c r="Q15" i="11"/>
  <c r="R15" i="11" s="1"/>
  <c r="P15" i="11"/>
  <c r="M15" i="11"/>
  <c r="O15" i="11" s="1"/>
  <c r="N16" i="11" s="1"/>
  <c r="K15" i="11"/>
  <c r="F15" i="11"/>
  <c r="Q14" i="11"/>
  <c r="R14" i="11" s="1"/>
  <c r="P14" i="11"/>
  <c r="M14" i="11"/>
  <c r="O14" i="11" s="1"/>
  <c r="N15" i="11" s="1"/>
  <c r="K14" i="11"/>
  <c r="F14" i="11"/>
  <c r="Q13" i="11"/>
  <c r="R13" i="11" s="1"/>
  <c r="P13" i="11"/>
  <c r="M13" i="11"/>
  <c r="O13" i="11" s="1"/>
  <c r="N14" i="11" s="1"/>
  <c r="K13" i="11"/>
  <c r="F13" i="11"/>
  <c r="Q12" i="11"/>
  <c r="R12" i="11" s="1"/>
  <c r="P12" i="11"/>
  <c r="M12" i="11"/>
  <c r="O12" i="11" s="1"/>
  <c r="N13" i="11" s="1"/>
  <c r="F12" i="11"/>
  <c r="R11" i="11"/>
  <c r="Q11" i="11"/>
  <c r="P11" i="11"/>
  <c r="M11" i="11"/>
  <c r="O11" i="11" s="1"/>
  <c r="N12" i="11" s="1"/>
  <c r="F11" i="11"/>
  <c r="E11" i="11"/>
  <c r="K11" i="11" s="1"/>
  <c r="P10" i="11"/>
  <c r="O10" i="11"/>
  <c r="N11" i="11" s="1"/>
  <c r="N10" i="11"/>
  <c r="M10" i="11"/>
  <c r="K10" i="11"/>
  <c r="F10" i="11"/>
  <c r="Q10" i="11" s="1"/>
  <c r="R10" i="11" s="1"/>
  <c r="P9" i="11"/>
  <c r="O9" i="11"/>
  <c r="N9" i="11"/>
  <c r="M9" i="11"/>
  <c r="K9" i="11"/>
  <c r="F9" i="11"/>
  <c r="Q9" i="11" s="1"/>
  <c r="R9" i="11" s="1"/>
  <c r="E9" i="11"/>
  <c r="P8" i="11"/>
  <c r="R8" i="11" s="1"/>
  <c r="M8" i="11"/>
  <c r="K8" i="11"/>
  <c r="T3" i="11"/>
  <c r="T2" i="11"/>
  <c r="T1" i="11"/>
  <c r="U6" i="2"/>
  <c r="AB4" i="2"/>
  <c r="AB3" i="2"/>
  <c r="E12" i="11" l="1"/>
  <c r="K12" i="11" s="1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C3" i="2"/>
  <c r="AC4" i="2"/>
  <c r="AC5" i="2"/>
  <c r="AC6" i="2"/>
  <c r="AC7" i="2"/>
  <c r="AC9" i="2"/>
  <c r="AC11" i="2"/>
  <c r="AC13" i="2"/>
  <c r="AC14" i="2"/>
  <c r="AC15" i="2"/>
  <c r="AC16" i="2"/>
  <c r="AC18" i="2"/>
  <c r="AC20" i="2"/>
  <c r="AC21" i="2"/>
  <c r="AC22" i="2"/>
  <c r="AC23" i="2"/>
  <c r="AC24" i="2"/>
  <c r="AC26" i="2"/>
  <c r="AC30" i="2"/>
  <c r="AC31" i="2"/>
  <c r="AC32" i="2"/>
  <c r="AC33" i="2"/>
  <c r="AC34" i="2"/>
  <c r="AC36" i="2"/>
  <c r="AC37" i="2"/>
  <c r="AC39" i="2"/>
  <c r="AC40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BD1" i="2"/>
  <c r="BE1" i="2" s="1"/>
  <c r="BF1" i="2" s="1"/>
  <c r="BG1" i="2" s="1"/>
  <c r="BH1" i="2" s="1"/>
  <c r="BI1" i="2" s="1"/>
  <c r="BJ1" i="2" s="1"/>
  <c r="BK1" i="2" s="1"/>
  <c r="BL1" i="2" s="1"/>
  <c r="R29" i="8" l="1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6" i="2"/>
  <c r="AH39" i="2"/>
  <c r="A4" i="9" l="1"/>
  <c r="B5" i="9"/>
  <c r="B4" i="9"/>
  <c r="AH3" i="2" l="1"/>
  <c r="AH4" i="2"/>
  <c r="AH5" i="2"/>
  <c r="AH6" i="2"/>
  <c r="AH7" i="2"/>
  <c r="AB5" i="2" l="1"/>
  <c r="AB6" i="2"/>
  <c r="AB7" i="2"/>
  <c r="AB10" i="2"/>
  <c r="AB16" i="2"/>
  <c r="AB17" i="2"/>
  <c r="AB18" i="2"/>
  <c r="AB20" i="2"/>
  <c r="AB21" i="2"/>
  <c r="AB22" i="2"/>
  <c r="AB24" i="2"/>
  <c r="AB25" i="2"/>
  <c r="AB26" i="2"/>
  <c r="AB28" i="2"/>
  <c r="AB30" i="2"/>
  <c r="AB37" i="2"/>
  <c r="AB39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I18" i="9" l="1"/>
  <c r="J12" i="9"/>
  <c r="Z3" i="2" l="1"/>
  <c r="Z4" i="2"/>
  <c r="Z5" i="2"/>
  <c r="Z7" i="2"/>
  <c r="Z8" i="2"/>
  <c r="Z12" i="2"/>
  <c r="Z13" i="2"/>
  <c r="Z14" i="2"/>
  <c r="Z15" i="2"/>
  <c r="Z16" i="2"/>
  <c r="Z17" i="2"/>
  <c r="Z19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AO3" i="2" l="1"/>
  <c r="AO4" i="2"/>
  <c r="AO5" i="2"/>
  <c r="AO6" i="2"/>
  <c r="AO7" i="2"/>
  <c r="AO8" i="2"/>
  <c r="AO9" i="2"/>
  <c r="AO10" i="2"/>
  <c r="AO11" i="2"/>
  <c r="AO28" i="2"/>
  <c r="AO29" i="2"/>
  <c r="AO30" i="2"/>
  <c r="AO31" i="2"/>
  <c r="AO32" i="2"/>
  <c r="AO33" i="2"/>
  <c r="AO34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A103" i="2" l="1"/>
  <c r="AA93" i="2"/>
  <c r="AA83" i="2"/>
  <c r="AA73" i="2"/>
  <c r="AA63" i="2"/>
  <c r="AA53" i="2"/>
  <c r="AA43" i="2"/>
  <c r="AA33" i="2"/>
  <c r="AA23" i="2"/>
  <c r="AA13" i="2"/>
  <c r="AA3" i="2"/>
  <c r="AE3" i="2" s="1"/>
  <c r="L12" i="9" l="1"/>
  <c r="K5" i="9"/>
  <c r="B8" i="9"/>
  <c r="B10" i="9" s="1"/>
  <c r="B11" i="9" s="1"/>
  <c r="B12" i="9" s="1"/>
  <c r="B13" i="9" s="1"/>
  <c r="B14" i="9" s="1"/>
  <c r="B15" i="9" s="1"/>
  <c r="A5" i="9"/>
  <c r="A8" i="9" s="1"/>
  <c r="A10" i="9" s="1"/>
  <c r="A11" i="9" s="1"/>
  <c r="A12" i="9" s="1"/>
  <c r="A13" i="9" s="1"/>
  <c r="A14" i="9" s="1"/>
  <c r="A15" i="9" s="1"/>
  <c r="J18" i="9" l="1"/>
  <c r="L18" i="9" s="1"/>
  <c r="A6" i="9"/>
  <c r="B6" i="9"/>
  <c r="B17" i="9"/>
  <c r="B18" i="9" s="1"/>
  <c r="B19" i="9" s="1"/>
  <c r="B16" i="9"/>
  <c r="A17" i="9"/>
  <c r="A18" i="9" s="1"/>
  <c r="A19" i="9" s="1"/>
  <c r="A16" i="9"/>
  <c r="K6" i="9"/>
  <c r="K7" i="9" s="1"/>
  <c r="K8" i="9" s="1"/>
  <c r="B7" i="9" l="1"/>
  <c r="B9" i="9"/>
  <c r="A7" i="9"/>
  <c r="A9" i="9"/>
  <c r="K10" i="9"/>
  <c r="K11" i="9" s="1"/>
  <c r="K12" i="9" s="1"/>
  <c r="K13" i="9" s="1"/>
  <c r="K14" i="9" s="1"/>
  <c r="K15" i="9" s="1"/>
  <c r="K19" i="9" s="1"/>
  <c r="K23" i="9" s="1"/>
  <c r="K9" i="9"/>
  <c r="B21" i="9"/>
  <c r="B22" i="9" s="1"/>
  <c r="B23" i="9" s="1"/>
  <c r="B24" i="9" s="1"/>
  <c r="B20" i="9"/>
  <c r="A21" i="9"/>
  <c r="A22" i="9" s="1"/>
  <c r="A23" i="9" s="1"/>
  <c r="A24" i="9" s="1"/>
  <c r="A20" i="9"/>
  <c r="K18" i="9" l="1"/>
  <c r="K22" i="9" s="1"/>
  <c r="K26" i="9" s="1"/>
  <c r="K17" i="9"/>
  <c r="K21" i="9" s="1"/>
  <c r="K25" i="9" s="1"/>
  <c r="K16" i="9"/>
  <c r="K20" i="9" s="1"/>
  <c r="K24" i="9" s="1"/>
  <c r="A25" i="9"/>
  <c r="A26" i="9" s="1"/>
  <c r="B25" i="9"/>
  <c r="B26" i="9" s="1"/>
  <c r="R34" i="6"/>
  <c r="R31" i="6"/>
  <c r="R30" i="6"/>
  <c r="N28" i="6"/>
  <c r="O27" i="6"/>
  <c r="G23" i="6"/>
  <c r="G28" i="6" s="1"/>
  <c r="I21" i="6"/>
  <c r="I28" i="6" s="1"/>
  <c r="H20" i="6"/>
  <c r="H28" i="6" s="1"/>
  <c r="B18" i="6"/>
  <c r="F18" i="6" s="1"/>
  <c r="E17" i="6"/>
  <c r="F17" i="6" s="1"/>
  <c r="F28" i="6" s="1"/>
  <c r="C17" i="6"/>
  <c r="J26" i="6" s="1"/>
  <c r="J28" i="6" s="1"/>
  <c r="F8" i="6"/>
  <c r="F7" i="6"/>
  <c r="F6" i="6"/>
  <c r="F5" i="6"/>
  <c r="F9" i="6" s="1"/>
  <c r="D4" i="6"/>
  <c r="R39" i="6" s="1"/>
  <c r="B19" i="6" l="1"/>
  <c r="F19" i="6" s="1"/>
  <c r="R33" i="6"/>
  <c r="F1" i="6"/>
  <c r="D17" i="6"/>
  <c r="D28" i="6" s="1"/>
  <c r="K28" i="6" s="1"/>
  <c r="M25" i="6"/>
  <c r="M28" i="6" s="1"/>
  <c r="B22" i="6" l="1"/>
  <c r="L24" i="6" s="1"/>
  <c r="L28" i="6" s="1"/>
  <c r="O28" i="6"/>
  <c r="U28" i="6"/>
  <c r="T28" i="6"/>
  <c r="P28" i="6"/>
  <c r="Q28" i="6"/>
  <c r="R28" i="6" l="1"/>
  <c r="R35" i="6" s="1"/>
  <c r="O3" i="2"/>
  <c r="P3" i="2"/>
  <c r="U3" i="2"/>
  <c r="AS3" i="2"/>
  <c r="BL3" i="2"/>
  <c r="O4" i="2"/>
  <c r="P4" i="2"/>
  <c r="U4" i="2"/>
  <c r="AS4" i="2"/>
  <c r="BL4" i="2"/>
  <c r="O5" i="2"/>
  <c r="P5" i="2"/>
  <c r="U5" i="2"/>
  <c r="AS5" i="2"/>
  <c r="BL5" i="2"/>
  <c r="O6" i="2"/>
  <c r="P6" i="2"/>
  <c r="AS6" i="2"/>
  <c r="BL6" i="2"/>
  <c r="O7" i="2"/>
  <c r="P7" i="2"/>
  <c r="AL7" i="2" s="1"/>
  <c r="U7" i="2"/>
  <c r="AS7" i="2"/>
  <c r="BL7" i="2"/>
  <c r="O8" i="2"/>
  <c r="P8" i="2"/>
  <c r="U8" i="2"/>
  <c r="AS8" i="2"/>
  <c r="BL8" i="2"/>
  <c r="O9" i="2"/>
  <c r="P9" i="2"/>
  <c r="U9" i="2"/>
  <c r="AS9" i="2"/>
  <c r="BL9" i="2"/>
  <c r="O10" i="2"/>
  <c r="P10" i="2"/>
  <c r="U10" i="2"/>
  <c r="AS10" i="2"/>
  <c r="BL10" i="2"/>
  <c r="O11" i="2"/>
  <c r="P11" i="2"/>
  <c r="U11" i="2"/>
  <c r="AS11" i="2"/>
  <c r="BL11" i="2"/>
  <c r="O12" i="2"/>
  <c r="P12" i="2"/>
  <c r="U12" i="2"/>
  <c r="AS12" i="2"/>
  <c r="BL12" i="2"/>
  <c r="O13" i="2"/>
  <c r="P13" i="2"/>
  <c r="U13" i="2"/>
  <c r="AS13" i="2"/>
  <c r="BL13" i="2"/>
  <c r="O14" i="2"/>
  <c r="P14" i="2"/>
  <c r="U14" i="2"/>
  <c r="AS14" i="2"/>
  <c r="BL14" i="2"/>
  <c r="O15" i="2"/>
  <c r="P15" i="2"/>
  <c r="U15" i="2"/>
  <c r="AS15" i="2"/>
  <c r="BL15" i="2"/>
  <c r="O16" i="2"/>
  <c r="P16" i="2"/>
  <c r="U16" i="2"/>
  <c r="AS16" i="2"/>
  <c r="BL16" i="2"/>
  <c r="O17" i="2"/>
  <c r="P17" i="2"/>
  <c r="U17" i="2"/>
  <c r="AS17" i="2"/>
  <c r="BL17" i="2"/>
  <c r="O18" i="2"/>
  <c r="P18" i="2"/>
  <c r="U18" i="2"/>
  <c r="AS18" i="2"/>
  <c r="BL18" i="2"/>
  <c r="O19" i="2"/>
  <c r="P19" i="2"/>
  <c r="U19" i="2"/>
  <c r="AS19" i="2"/>
  <c r="BL19" i="2"/>
  <c r="O20" i="2"/>
  <c r="P20" i="2"/>
  <c r="U20" i="2"/>
  <c r="AS20" i="2"/>
  <c r="BL20" i="2"/>
  <c r="O21" i="2"/>
  <c r="P21" i="2"/>
  <c r="U21" i="2"/>
  <c r="AS21" i="2"/>
  <c r="BL21" i="2"/>
  <c r="O22" i="2"/>
  <c r="P22" i="2"/>
  <c r="U22" i="2"/>
  <c r="AS22" i="2"/>
  <c r="BL22" i="2"/>
  <c r="O23" i="2"/>
  <c r="P23" i="2"/>
  <c r="U23" i="2"/>
  <c r="AS23" i="2"/>
  <c r="BL23" i="2"/>
  <c r="O24" i="2"/>
  <c r="P24" i="2"/>
  <c r="U24" i="2"/>
  <c r="AS24" i="2"/>
  <c r="BL24" i="2"/>
  <c r="O25" i="2"/>
  <c r="P25" i="2"/>
  <c r="U25" i="2"/>
  <c r="AS25" i="2"/>
  <c r="BL25" i="2"/>
  <c r="O26" i="2"/>
  <c r="P26" i="2"/>
  <c r="U26" i="2"/>
  <c r="AS26" i="2"/>
  <c r="BL26" i="2"/>
  <c r="O27" i="2"/>
  <c r="P27" i="2"/>
  <c r="U27" i="2"/>
  <c r="BL27" i="2"/>
  <c r="O28" i="2"/>
  <c r="P28" i="2"/>
  <c r="U28" i="2"/>
  <c r="AS28" i="2"/>
  <c r="BL28" i="2"/>
  <c r="O29" i="2"/>
  <c r="P29" i="2"/>
  <c r="U29" i="2"/>
  <c r="AS29" i="2"/>
  <c r="BL29" i="2"/>
  <c r="O30" i="2"/>
  <c r="P30" i="2"/>
  <c r="U30" i="2"/>
  <c r="AS30" i="2"/>
  <c r="BL30" i="2"/>
  <c r="O31" i="2"/>
  <c r="P31" i="2"/>
  <c r="U31" i="2"/>
  <c r="AS31" i="2"/>
  <c r="BL31" i="2"/>
  <c r="O32" i="2"/>
  <c r="P32" i="2"/>
  <c r="U32" i="2"/>
  <c r="AS32" i="2"/>
  <c r="BL32" i="2"/>
  <c r="O33" i="2"/>
  <c r="P33" i="2"/>
  <c r="U33" i="2"/>
  <c r="AS33" i="2"/>
  <c r="BL33" i="2"/>
  <c r="O34" i="2"/>
  <c r="P34" i="2"/>
  <c r="U34" i="2"/>
  <c r="AS34" i="2"/>
  <c r="BL34" i="2"/>
  <c r="O36" i="2"/>
  <c r="P36" i="2"/>
  <c r="U36" i="2"/>
  <c r="AS36" i="2"/>
  <c r="BL36" i="2"/>
  <c r="O37" i="2"/>
  <c r="P37" i="2"/>
  <c r="U37" i="2"/>
  <c r="BL37" i="2"/>
  <c r="O38" i="2"/>
  <c r="P38" i="2"/>
  <c r="U38" i="2"/>
  <c r="AS38" i="2"/>
  <c r="BL38" i="2"/>
  <c r="O39" i="2"/>
  <c r="P39" i="2"/>
  <c r="U39" i="2"/>
  <c r="AS39" i="2"/>
  <c r="BL39" i="2"/>
  <c r="O40" i="2"/>
  <c r="P40" i="2"/>
  <c r="U40" i="2"/>
  <c r="AS40" i="2"/>
  <c r="BL40" i="2"/>
  <c r="O41" i="2"/>
  <c r="P41" i="2"/>
  <c r="U41" i="2"/>
  <c r="AS41" i="2"/>
  <c r="BL41" i="2"/>
  <c r="O42" i="2"/>
  <c r="P42" i="2"/>
  <c r="U42" i="2"/>
  <c r="AS42" i="2"/>
  <c r="BL42" i="2"/>
  <c r="O43" i="2"/>
  <c r="P43" i="2"/>
  <c r="U43" i="2"/>
  <c r="AS43" i="2"/>
  <c r="BL43" i="2"/>
  <c r="O44" i="2"/>
  <c r="P44" i="2"/>
  <c r="U44" i="2"/>
  <c r="AS44" i="2"/>
  <c r="BL44" i="2"/>
  <c r="O45" i="2"/>
  <c r="P45" i="2"/>
  <c r="U45" i="2"/>
  <c r="AS45" i="2"/>
  <c r="BL45" i="2"/>
  <c r="O46" i="2"/>
  <c r="P46" i="2"/>
  <c r="U46" i="2"/>
  <c r="AS46" i="2"/>
  <c r="BL46" i="2"/>
  <c r="O47" i="2"/>
  <c r="P47" i="2"/>
  <c r="U47" i="2"/>
  <c r="AS47" i="2"/>
  <c r="BL47" i="2"/>
  <c r="O48" i="2"/>
  <c r="P48" i="2"/>
  <c r="U48" i="2"/>
  <c r="AS48" i="2"/>
  <c r="BL48" i="2"/>
  <c r="O49" i="2"/>
  <c r="P49" i="2"/>
  <c r="U49" i="2"/>
  <c r="AS49" i="2"/>
  <c r="BL49" i="2"/>
  <c r="O50" i="2"/>
  <c r="P50" i="2"/>
  <c r="U50" i="2"/>
  <c r="AS50" i="2"/>
  <c r="BL50" i="2"/>
  <c r="O51" i="2"/>
  <c r="P51" i="2"/>
  <c r="U51" i="2"/>
  <c r="AS51" i="2"/>
  <c r="BL51" i="2"/>
  <c r="O52" i="2"/>
  <c r="P52" i="2"/>
  <c r="U52" i="2"/>
  <c r="AS52" i="2"/>
  <c r="BL52" i="2"/>
  <c r="O53" i="2"/>
  <c r="P53" i="2"/>
  <c r="U53" i="2"/>
  <c r="AS53" i="2"/>
  <c r="BL53" i="2"/>
  <c r="O54" i="2"/>
  <c r="P54" i="2"/>
  <c r="U54" i="2"/>
  <c r="AS54" i="2"/>
  <c r="BL54" i="2"/>
  <c r="O55" i="2"/>
  <c r="P55" i="2"/>
  <c r="U55" i="2"/>
  <c r="AS55" i="2"/>
  <c r="BL55" i="2"/>
  <c r="O56" i="2"/>
  <c r="P56" i="2"/>
  <c r="U56" i="2"/>
  <c r="AS56" i="2"/>
  <c r="BL56" i="2"/>
  <c r="O57" i="2"/>
  <c r="P57" i="2"/>
  <c r="U57" i="2"/>
  <c r="AS57" i="2"/>
  <c r="BL57" i="2"/>
  <c r="O58" i="2"/>
  <c r="P58" i="2"/>
  <c r="U58" i="2"/>
  <c r="AS58" i="2"/>
  <c r="BL58" i="2"/>
  <c r="O59" i="2"/>
  <c r="P59" i="2"/>
  <c r="U59" i="2"/>
  <c r="AS59" i="2"/>
  <c r="BL59" i="2"/>
  <c r="O60" i="2"/>
  <c r="P60" i="2"/>
  <c r="U60" i="2"/>
  <c r="AS60" i="2"/>
  <c r="BL60" i="2"/>
  <c r="O61" i="2"/>
  <c r="P61" i="2"/>
  <c r="U61" i="2"/>
  <c r="AS61" i="2"/>
  <c r="BL61" i="2"/>
  <c r="O62" i="2"/>
  <c r="P62" i="2"/>
  <c r="U62" i="2"/>
  <c r="AS62" i="2"/>
  <c r="BL62" i="2"/>
  <c r="O63" i="2"/>
  <c r="P63" i="2"/>
  <c r="U63" i="2"/>
  <c r="AS63" i="2"/>
  <c r="BL63" i="2"/>
  <c r="O64" i="2"/>
  <c r="P64" i="2"/>
  <c r="U64" i="2"/>
  <c r="AS64" i="2"/>
  <c r="BL64" i="2"/>
  <c r="O65" i="2"/>
  <c r="P65" i="2"/>
  <c r="U65" i="2"/>
  <c r="AS65" i="2"/>
  <c r="BL65" i="2"/>
  <c r="O66" i="2"/>
  <c r="P66" i="2"/>
  <c r="U66" i="2"/>
  <c r="AS66" i="2"/>
  <c r="BL66" i="2"/>
  <c r="O67" i="2"/>
  <c r="P67" i="2"/>
  <c r="U67" i="2"/>
  <c r="AS67" i="2"/>
  <c r="BL67" i="2"/>
  <c r="O68" i="2"/>
  <c r="P68" i="2"/>
  <c r="U68" i="2"/>
  <c r="AS68" i="2"/>
  <c r="BL68" i="2"/>
  <c r="O69" i="2"/>
  <c r="P69" i="2"/>
  <c r="U69" i="2"/>
  <c r="AS69" i="2"/>
  <c r="BL69" i="2"/>
  <c r="O70" i="2"/>
  <c r="P70" i="2"/>
  <c r="U70" i="2"/>
  <c r="AS70" i="2"/>
  <c r="BL70" i="2"/>
  <c r="O71" i="2"/>
  <c r="P71" i="2"/>
  <c r="U71" i="2"/>
  <c r="AS71" i="2"/>
  <c r="BL71" i="2"/>
  <c r="O72" i="2"/>
  <c r="P72" i="2"/>
  <c r="U72" i="2"/>
  <c r="AS72" i="2"/>
  <c r="BL72" i="2"/>
  <c r="O73" i="2"/>
  <c r="P73" i="2"/>
  <c r="U73" i="2"/>
  <c r="AS73" i="2"/>
  <c r="BL73" i="2"/>
  <c r="O74" i="2"/>
  <c r="P74" i="2"/>
  <c r="U74" i="2"/>
  <c r="AS74" i="2"/>
  <c r="BL74" i="2"/>
  <c r="O75" i="2"/>
  <c r="P75" i="2"/>
  <c r="U75" i="2"/>
  <c r="AS75" i="2"/>
  <c r="BL75" i="2"/>
  <c r="O76" i="2"/>
  <c r="P76" i="2"/>
  <c r="U76" i="2"/>
  <c r="AS76" i="2"/>
  <c r="BL76" i="2"/>
  <c r="O77" i="2"/>
  <c r="P77" i="2"/>
  <c r="U77" i="2"/>
  <c r="AS77" i="2"/>
  <c r="BL77" i="2"/>
  <c r="O78" i="2"/>
  <c r="P78" i="2"/>
  <c r="U78" i="2"/>
  <c r="AS78" i="2"/>
  <c r="BL78" i="2"/>
  <c r="O79" i="2"/>
  <c r="P79" i="2"/>
  <c r="U79" i="2"/>
  <c r="AS79" i="2"/>
  <c r="BL79" i="2"/>
  <c r="O80" i="2"/>
  <c r="P80" i="2"/>
  <c r="U80" i="2"/>
  <c r="AS80" i="2"/>
  <c r="BL80" i="2"/>
  <c r="O81" i="2"/>
  <c r="P81" i="2"/>
  <c r="U81" i="2"/>
  <c r="AS81" i="2"/>
  <c r="BL81" i="2"/>
  <c r="O82" i="2"/>
  <c r="P82" i="2"/>
  <c r="U82" i="2"/>
  <c r="AS82" i="2"/>
  <c r="BL82" i="2"/>
  <c r="O83" i="2"/>
  <c r="P83" i="2"/>
  <c r="U83" i="2"/>
  <c r="AS83" i="2"/>
  <c r="BL83" i="2"/>
  <c r="O84" i="2"/>
  <c r="P84" i="2"/>
  <c r="U84" i="2"/>
  <c r="AS84" i="2"/>
  <c r="BL84" i="2"/>
  <c r="O85" i="2"/>
  <c r="P85" i="2"/>
  <c r="U85" i="2"/>
  <c r="AS85" i="2"/>
  <c r="BL85" i="2"/>
  <c r="O86" i="2"/>
  <c r="P86" i="2"/>
  <c r="U86" i="2"/>
  <c r="AS86" i="2"/>
  <c r="BL86" i="2"/>
  <c r="O87" i="2"/>
  <c r="P87" i="2"/>
  <c r="U87" i="2"/>
  <c r="AS87" i="2"/>
  <c r="BL87" i="2"/>
  <c r="O88" i="2"/>
  <c r="P88" i="2"/>
  <c r="U88" i="2"/>
  <c r="AS88" i="2"/>
  <c r="BL88" i="2"/>
  <c r="O89" i="2"/>
  <c r="P89" i="2"/>
  <c r="U89" i="2"/>
  <c r="AS89" i="2"/>
  <c r="BL89" i="2"/>
  <c r="O90" i="2"/>
  <c r="P90" i="2"/>
  <c r="U90" i="2"/>
  <c r="AS90" i="2"/>
  <c r="BL90" i="2"/>
  <c r="O91" i="2"/>
  <c r="P91" i="2"/>
  <c r="U91" i="2"/>
  <c r="AS91" i="2"/>
  <c r="BL91" i="2"/>
  <c r="O92" i="2"/>
  <c r="P92" i="2"/>
  <c r="U92" i="2"/>
  <c r="AS92" i="2"/>
  <c r="BL92" i="2"/>
  <c r="O93" i="2"/>
  <c r="P93" i="2"/>
  <c r="U93" i="2"/>
  <c r="AS93" i="2"/>
  <c r="BL93" i="2"/>
  <c r="O94" i="2"/>
  <c r="P94" i="2"/>
  <c r="U94" i="2"/>
  <c r="AS94" i="2"/>
  <c r="BL94" i="2"/>
  <c r="O95" i="2"/>
  <c r="P95" i="2"/>
  <c r="U95" i="2"/>
  <c r="AS95" i="2"/>
  <c r="BL95" i="2"/>
  <c r="O96" i="2"/>
  <c r="P96" i="2"/>
  <c r="U96" i="2"/>
  <c r="AS96" i="2"/>
  <c r="BL96" i="2"/>
  <c r="O97" i="2"/>
  <c r="P97" i="2"/>
  <c r="U97" i="2"/>
  <c r="AS97" i="2"/>
  <c r="BL97" i="2"/>
  <c r="O98" i="2"/>
  <c r="P98" i="2"/>
  <c r="U98" i="2"/>
  <c r="AS98" i="2"/>
  <c r="BL98" i="2"/>
  <c r="O99" i="2"/>
  <c r="P99" i="2"/>
  <c r="U99" i="2"/>
  <c r="AS99" i="2"/>
  <c r="BL99" i="2"/>
  <c r="O100" i="2"/>
  <c r="P100" i="2"/>
  <c r="U100" i="2"/>
  <c r="AS100" i="2"/>
  <c r="BL100" i="2"/>
  <c r="O101" i="2"/>
  <c r="P101" i="2"/>
  <c r="U101" i="2"/>
  <c r="AS101" i="2"/>
  <c r="BL101" i="2"/>
  <c r="O102" i="2"/>
  <c r="P102" i="2"/>
  <c r="U102" i="2"/>
  <c r="AS102" i="2"/>
  <c r="BL102" i="2"/>
  <c r="O103" i="2"/>
  <c r="P103" i="2"/>
  <c r="U103" i="2"/>
  <c r="AS103" i="2"/>
  <c r="BL103" i="2"/>
  <c r="O104" i="2"/>
  <c r="P104" i="2"/>
  <c r="U104" i="2"/>
  <c r="AS104" i="2"/>
  <c r="BL104" i="2"/>
  <c r="O105" i="2"/>
  <c r="P105" i="2"/>
  <c r="U105" i="2"/>
  <c r="AS105" i="2"/>
  <c r="BL105" i="2"/>
  <c r="O106" i="2"/>
  <c r="P106" i="2"/>
  <c r="U106" i="2"/>
  <c r="AS106" i="2"/>
  <c r="BL106" i="2"/>
  <c r="O107" i="2"/>
  <c r="P107" i="2"/>
  <c r="U107" i="2"/>
  <c r="AS107" i="2"/>
  <c r="BL107" i="2"/>
  <c r="O108" i="2"/>
  <c r="P108" i="2"/>
  <c r="U108" i="2"/>
  <c r="AS108" i="2"/>
  <c r="BL108" i="2"/>
  <c r="O109" i="2"/>
  <c r="P109" i="2"/>
  <c r="U109" i="2"/>
  <c r="AS109" i="2"/>
  <c r="BL109" i="2"/>
  <c r="AJ101" i="2" l="1"/>
  <c r="R101" i="2"/>
  <c r="Q101" i="2"/>
  <c r="T101" i="2" s="1"/>
  <c r="R95" i="2"/>
  <c r="Q95" i="2"/>
  <c r="T95" i="2" s="1"/>
  <c r="R89" i="2"/>
  <c r="Q89" i="2"/>
  <c r="T89" i="2" s="1"/>
  <c r="AJ83" i="2"/>
  <c r="R83" i="2"/>
  <c r="Q83" i="2"/>
  <c r="T83" i="2" s="1"/>
  <c r="R77" i="2"/>
  <c r="Q77" i="2"/>
  <c r="T77" i="2" s="1"/>
  <c r="R71" i="2"/>
  <c r="Q71" i="2"/>
  <c r="T71" i="2" s="1"/>
  <c r="R65" i="2"/>
  <c r="Q65" i="2"/>
  <c r="T65" i="2" s="1"/>
  <c r="AJ59" i="2"/>
  <c r="R59" i="2"/>
  <c r="Q59" i="2"/>
  <c r="T59" i="2" s="1"/>
  <c r="R53" i="2"/>
  <c r="Q53" i="2"/>
  <c r="T53" i="2" s="1"/>
  <c r="R47" i="2"/>
  <c r="Q47" i="2"/>
  <c r="T47" i="2" s="1"/>
  <c r="R17" i="2"/>
  <c r="Q17" i="2"/>
  <c r="T17" i="2" s="1"/>
  <c r="AJ6" i="2"/>
  <c r="Q6" i="2"/>
  <c r="T6" i="2" s="1"/>
  <c r="R6" i="2"/>
  <c r="AJ102" i="2"/>
  <c r="R102" i="2"/>
  <c r="Q102" i="2"/>
  <c r="T102" i="2" s="1"/>
  <c r="R96" i="2"/>
  <c r="Q96" i="2"/>
  <c r="T96" i="2" s="1"/>
  <c r="R90" i="2"/>
  <c r="Q90" i="2"/>
  <c r="T90" i="2" s="1"/>
  <c r="R84" i="2"/>
  <c r="Q84" i="2"/>
  <c r="T84" i="2" s="1"/>
  <c r="R78" i="2"/>
  <c r="Q78" i="2"/>
  <c r="T78" i="2" s="1"/>
  <c r="R72" i="2"/>
  <c r="Q72" i="2"/>
  <c r="T72" i="2" s="1"/>
  <c r="R66" i="2"/>
  <c r="Q66" i="2"/>
  <c r="T66" i="2" s="1"/>
  <c r="R60" i="2"/>
  <c r="Q60" i="2"/>
  <c r="T60" i="2" s="1"/>
  <c r="R54" i="2"/>
  <c r="Q54" i="2"/>
  <c r="T54" i="2" s="1"/>
  <c r="R48" i="2"/>
  <c r="Q48" i="2"/>
  <c r="T48" i="2" s="1"/>
  <c r="AJ18" i="2"/>
  <c r="R18" i="2"/>
  <c r="Q18" i="2"/>
  <c r="T18" i="2" s="1"/>
  <c r="R108" i="2"/>
  <c r="Q108" i="2"/>
  <c r="T108" i="2" s="1"/>
  <c r="R109" i="2"/>
  <c r="Q109" i="2"/>
  <c r="T109" i="2" s="1"/>
  <c r="R103" i="2"/>
  <c r="Q103" i="2"/>
  <c r="T103" i="2" s="1"/>
  <c r="AJ97" i="2"/>
  <c r="R97" i="2"/>
  <c r="Q97" i="2"/>
  <c r="T97" i="2" s="1"/>
  <c r="R91" i="2"/>
  <c r="Q91" i="2"/>
  <c r="T91" i="2" s="1"/>
  <c r="R85" i="2"/>
  <c r="Q85" i="2"/>
  <c r="T85" i="2" s="1"/>
  <c r="R79" i="2"/>
  <c r="Q79" i="2"/>
  <c r="T79" i="2" s="1"/>
  <c r="R73" i="2"/>
  <c r="Q73" i="2"/>
  <c r="T73" i="2" s="1"/>
  <c r="R67" i="2"/>
  <c r="Q67" i="2"/>
  <c r="T67" i="2" s="1"/>
  <c r="AJ61" i="2"/>
  <c r="R61" i="2"/>
  <c r="Q61" i="2"/>
  <c r="T61" i="2" s="1"/>
  <c r="AJ55" i="2"/>
  <c r="R55" i="2"/>
  <c r="Q55" i="2"/>
  <c r="T55" i="2" s="1"/>
  <c r="R49" i="2"/>
  <c r="Q49" i="2"/>
  <c r="T49" i="2" s="1"/>
  <c r="R19" i="2"/>
  <c r="Q19" i="2"/>
  <c r="T19" i="2" s="1"/>
  <c r="Q104" i="2"/>
  <c r="T104" i="2" s="1"/>
  <c r="R104" i="2"/>
  <c r="Q98" i="2"/>
  <c r="T98" i="2" s="1"/>
  <c r="R98" i="2"/>
  <c r="Q92" i="2"/>
  <c r="T92" i="2" s="1"/>
  <c r="R92" i="2"/>
  <c r="AJ86" i="2"/>
  <c r="Q86" i="2"/>
  <c r="T86" i="2" s="1"/>
  <c r="R86" i="2"/>
  <c r="Q80" i="2"/>
  <c r="T80" i="2" s="1"/>
  <c r="R80" i="2"/>
  <c r="AJ74" i="2"/>
  <c r="Q74" i="2"/>
  <c r="T74" i="2" s="1"/>
  <c r="R74" i="2"/>
  <c r="Q68" i="2"/>
  <c r="T68" i="2" s="1"/>
  <c r="R68" i="2"/>
  <c r="Q62" i="2"/>
  <c r="T62" i="2" s="1"/>
  <c r="R62" i="2"/>
  <c r="Q56" i="2"/>
  <c r="T56" i="2" s="1"/>
  <c r="R56" i="2"/>
  <c r="AJ50" i="2"/>
  <c r="Q50" i="2"/>
  <c r="T50" i="2" s="1"/>
  <c r="R50" i="2"/>
  <c r="AJ20" i="2"/>
  <c r="Q20" i="2"/>
  <c r="T20" i="2" s="1"/>
  <c r="R20" i="2"/>
  <c r="Q3" i="2"/>
  <c r="T3" i="2" s="1"/>
  <c r="R3" i="2"/>
  <c r="S3" i="2" s="1"/>
  <c r="Q99" i="2"/>
  <c r="T99" i="2" s="1"/>
  <c r="R99" i="2"/>
  <c r="Q93" i="2"/>
  <c r="T93" i="2" s="1"/>
  <c r="R93" i="2"/>
  <c r="Q87" i="2"/>
  <c r="T87" i="2" s="1"/>
  <c r="R87" i="2"/>
  <c r="Q81" i="2"/>
  <c r="T81" i="2" s="1"/>
  <c r="R81" i="2"/>
  <c r="Q75" i="2"/>
  <c r="T75" i="2" s="1"/>
  <c r="R75" i="2"/>
  <c r="AJ69" i="2"/>
  <c r="Q69" i="2"/>
  <c r="T69" i="2" s="1"/>
  <c r="R69" i="2"/>
  <c r="Q63" i="2"/>
  <c r="T63" i="2" s="1"/>
  <c r="R63" i="2"/>
  <c r="Q57" i="2"/>
  <c r="T57" i="2" s="1"/>
  <c r="R57" i="2"/>
  <c r="Q51" i="2"/>
  <c r="T51" i="2" s="1"/>
  <c r="R51" i="2"/>
  <c r="Q21" i="2"/>
  <c r="T21" i="2" s="1"/>
  <c r="R21" i="2"/>
  <c r="R4" i="2"/>
  <c r="Q4" i="2"/>
  <c r="T4" i="2" s="1"/>
  <c r="R107" i="2"/>
  <c r="Q107" i="2"/>
  <c r="T107" i="2" s="1"/>
  <c r="Q105" i="2"/>
  <c r="T105" i="2" s="1"/>
  <c r="R105" i="2"/>
  <c r="R106" i="2"/>
  <c r="Q106" i="2"/>
  <c r="T106" i="2" s="1"/>
  <c r="R100" i="2"/>
  <c r="Q100" i="2"/>
  <c r="T100" i="2" s="1"/>
  <c r="AJ94" i="2"/>
  <c r="R94" i="2"/>
  <c r="Q94" i="2"/>
  <c r="T94" i="2" s="1"/>
  <c r="R88" i="2"/>
  <c r="Q88" i="2"/>
  <c r="T88" i="2" s="1"/>
  <c r="R82" i="2"/>
  <c r="Q82" i="2"/>
  <c r="T82" i="2" s="1"/>
  <c r="R76" i="2"/>
  <c r="Q76" i="2"/>
  <c r="T76" i="2" s="1"/>
  <c r="R70" i="2"/>
  <c r="Q70" i="2"/>
  <c r="T70" i="2" s="1"/>
  <c r="AJ64" i="2"/>
  <c r="R64" i="2"/>
  <c r="Q64" i="2"/>
  <c r="T64" i="2" s="1"/>
  <c r="R58" i="2"/>
  <c r="Q58" i="2"/>
  <c r="T58" i="2" s="1"/>
  <c r="R52" i="2"/>
  <c r="Q52" i="2"/>
  <c r="T52" i="2" s="1"/>
  <c r="AJ22" i="2"/>
  <c r="R22" i="2"/>
  <c r="Q22" i="2"/>
  <c r="T22" i="2" s="1"/>
  <c r="R16" i="2"/>
  <c r="Q16" i="2"/>
  <c r="T16" i="2" s="1"/>
  <c r="Q5" i="2"/>
  <c r="T5" i="2" s="1"/>
  <c r="R5" i="2"/>
  <c r="AJ15" i="2"/>
  <c r="R15" i="2"/>
  <c r="Q15" i="2"/>
  <c r="T15" i="2" s="1"/>
  <c r="Q14" i="2"/>
  <c r="T14" i="2" s="1"/>
  <c r="R14" i="2"/>
  <c r="Q13" i="2"/>
  <c r="T13" i="2" s="1"/>
  <c r="R13" i="2"/>
  <c r="R12" i="2"/>
  <c r="Q12" i="2"/>
  <c r="T12" i="2" s="1"/>
  <c r="Q11" i="2"/>
  <c r="T11" i="2" s="1"/>
  <c r="R11" i="2"/>
  <c r="R10" i="2"/>
  <c r="Q10" i="2"/>
  <c r="T10" i="2" s="1"/>
  <c r="Q9" i="2"/>
  <c r="T9" i="2" s="1"/>
  <c r="R9" i="2"/>
  <c r="Q8" i="2"/>
  <c r="T8" i="2" s="1"/>
  <c r="R8" i="2"/>
  <c r="Q7" i="2"/>
  <c r="T7" i="2" s="1"/>
  <c r="R7" i="2"/>
  <c r="AJ41" i="2"/>
  <c r="R41" i="2"/>
  <c r="Q41" i="2"/>
  <c r="T41" i="2" s="1"/>
  <c r="R29" i="2"/>
  <c r="Q29" i="2"/>
  <c r="T29" i="2" s="1"/>
  <c r="R23" i="2"/>
  <c r="Q23" i="2"/>
  <c r="T23" i="2" s="1"/>
  <c r="R42" i="2"/>
  <c r="Q42" i="2"/>
  <c r="T42" i="2" s="1"/>
  <c r="R36" i="2"/>
  <c r="Q36" i="2"/>
  <c r="T36" i="2" s="1"/>
  <c r="AJ30" i="2"/>
  <c r="R30" i="2"/>
  <c r="Q30" i="2"/>
  <c r="T30" i="2" s="1"/>
  <c r="AJ24" i="2"/>
  <c r="R24" i="2"/>
  <c r="Q24" i="2"/>
  <c r="T24" i="2" s="1"/>
  <c r="Q43" i="2"/>
  <c r="T43" i="2" s="1"/>
  <c r="R43" i="2"/>
  <c r="Q37" i="2"/>
  <c r="T37" i="2" s="1"/>
  <c r="R37" i="2"/>
  <c r="Q31" i="2"/>
  <c r="T31" i="2" s="1"/>
  <c r="R31" i="2"/>
  <c r="Q25" i="2"/>
  <c r="T25" i="2" s="1"/>
  <c r="R25" i="2"/>
  <c r="Q44" i="2"/>
  <c r="T44" i="2" s="1"/>
  <c r="R44" i="2"/>
  <c r="Q38" i="2"/>
  <c r="T38" i="2" s="1"/>
  <c r="R38" i="2"/>
  <c r="Q32" i="2"/>
  <c r="T32" i="2" s="1"/>
  <c r="R32" i="2"/>
  <c r="Q26" i="2"/>
  <c r="T26" i="2" s="1"/>
  <c r="R26" i="2"/>
  <c r="Q39" i="2"/>
  <c r="T39" i="2" s="1"/>
  <c r="R39" i="2"/>
  <c r="AJ33" i="2"/>
  <c r="Q33" i="2"/>
  <c r="T33" i="2" s="1"/>
  <c r="R33" i="2"/>
  <c r="Q27" i="2"/>
  <c r="T27" i="2" s="1"/>
  <c r="R27" i="2"/>
  <c r="Q45" i="2"/>
  <c r="T45" i="2" s="1"/>
  <c r="R45" i="2"/>
  <c r="Q46" i="2"/>
  <c r="T46" i="2" s="1"/>
  <c r="R46" i="2"/>
  <c r="Q40" i="2"/>
  <c r="T40" i="2" s="1"/>
  <c r="R40" i="2"/>
  <c r="Q34" i="2"/>
  <c r="T34" i="2" s="1"/>
  <c r="R34" i="2"/>
  <c r="Q28" i="2"/>
  <c r="T28" i="2" s="1"/>
  <c r="R28" i="2"/>
  <c r="AV90" i="2"/>
  <c r="AJ90" i="2"/>
  <c r="AI12" i="2"/>
  <c r="AJ12" i="2"/>
  <c r="S103" i="2"/>
  <c r="AJ103" i="2"/>
  <c r="AI91" i="2"/>
  <c r="AJ91" i="2"/>
  <c r="S85" i="2"/>
  <c r="AJ85" i="2"/>
  <c r="S79" i="2"/>
  <c r="AJ79" i="2"/>
  <c r="AI73" i="2"/>
  <c r="AJ73" i="2"/>
  <c r="S67" i="2"/>
  <c r="AJ67" i="2"/>
  <c r="AI49" i="2"/>
  <c r="AJ49" i="2"/>
  <c r="S43" i="2"/>
  <c r="AJ43" i="2"/>
  <c r="S37" i="2"/>
  <c r="AJ37" i="2"/>
  <c r="AI31" i="2"/>
  <c r="AJ31" i="2"/>
  <c r="AI25" i="2"/>
  <c r="AJ25" i="2"/>
  <c r="AL19" i="2"/>
  <c r="AJ19" i="2"/>
  <c r="AG13" i="2"/>
  <c r="AJ13" i="2"/>
  <c r="AG7" i="2"/>
  <c r="AJ7" i="2"/>
  <c r="AV72" i="2"/>
  <c r="AJ72" i="2"/>
  <c r="AI66" i="2"/>
  <c r="AJ66" i="2"/>
  <c r="AL98" i="2"/>
  <c r="AJ98" i="2"/>
  <c r="AG92" i="2"/>
  <c r="AJ92" i="2"/>
  <c r="AG80" i="2"/>
  <c r="AJ80" i="2"/>
  <c r="AL68" i="2"/>
  <c r="AJ68" i="2"/>
  <c r="AG62" i="2"/>
  <c r="AJ62" i="2"/>
  <c r="AG56" i="2"/>
  <c r="AJ56" i="2"/>
  <c r="AL44" i="2"/>
  <c r="AJ44" i="2"/>
  <c r="S38" i="2"/>
  <c r="AL32" i="2"/>
  <c r="AJ32" i="2"/>
  <c r="AL26" i="2"/>
  <c r="AJ26" i="2"/>
  <c r="AL14" i="2"/>
  <c r="AJ14" i="2"/>
  <c r="S8" i="2"/>
  <c r="AJ8" i="2"/>
  <c r="AI96" i="2"/>
  <c r="AJ96" i="2"/>
  <c r="AI78" i="2"/>
  <c r="AJ78" i="2"/>
  <c r="AV60" i="2"/>
  <c r="AJ60" i="2"/>
  <c r="S109" i="2"/>
  <c r="AJ109" i="2"/>
  <c r="AL104" i="2"/>
  <c r="AJ104" i="2"/>
  <c r="AI105" i="2"/>
  <c r="AJ105" i="2"/>
  <c r="AV99" i="2"/>
  <c r="AJ99" i="2"/>
  <c r="AV93" i="2"/>
  <c r="AJ93" i="2"/>
  <c r="AI87" i="2"/>
  <c r="AJ87" i="2"/>
  <c r="S81" i="2"/>
  <c r="AJ81" i="2"/>
  <c r="S75" i="2"/>
  <c r="AJ75" i="2"/>
  <c r="S63" i="2"/>
  <c r="AJ63" i="2"/>
  <c r="S57" i="2"/>
  <c r="AJ57" i="2"/>
  <c r="S51" i="2"/>
  <c r="AJ51" i="2"/>
  <c r="AG45" i="2"/>
  <c r="AJ45" i="2"/>
  <c r="S39" i="2"/>
  <c r="AJ39" i="2"/>
  <c r="AV27" i="2"/>
  <c r="AJ27" i="2"/>
  <c r="AI21" i="2"/>
  <c r="AJ21" i="2"/>
  <c r="AI9" i="2"/>
  <c r="AJ9" i="2"/>
  <c r="AG84" i="2"/>
  <c r="AJ84" i="2"/>
  <c r="S54" i="2"/>
  <c r="AJ54" i="2"/>
  <c r="AI36" i="2"/>
  <c r="AJ36" i="2"/>
  <c r="S106" i="2"/>
  <c r="AJ106" i="2"/>
  <c r="AI100" i="2"/>
  <c r="AJ100" i="2"/>
  <c r="AG88" i="2"/>
  <c r="AJ88" i="2"/>
  <c r="AI82" i="2"/>
  <c r="AJ82" i="2"/>
  <c r="AG76" i="2"/>
  <c r="AJ76" i="2"/>
  <c r="AG70" i="2"/>
  <c r="AJ70" i="2"/>
  <c r="S58" i="2"/>
  <c r="AJ58" i="2"/>
  <c r="S52" i="2"/>
  <c r="AJ52" i="2"/>
  <c r="S46" i="2"/>
  <c r="AJ46" i="2"/>
  <c r="S40" i="2"/>
  <c r="AJ40" i="2"/>
  <c r="AG34" i="2"/>
  <c r="AJ34" i="2"/>
  <c r="AI28" i="2"/>
  <c r="AJ28" i="2"/>
  <c r="AL16" i="2"/>
  <c r="AJ16" i="2"/>
  <c r="S10" i="2"/>
  <c r="Z10" i="2" s="1"/>
  <c r="AA10" i="2" s="1"/>
  <c r="AJ10" i="2"/>
  <c r="AI108" i="2"/>
  <c r="AJ108" i="2"/>
  <c r="AG48" i="2"/>
  <c r="AJ48" i="2"/>
  <c r="S42" i="2"/>
  <c r="AJ42" i="2"/>
  <c r="AV107" i="2"/>
  <c r="AJ107" i="2"/>
  <c r="AG95" i="2"/>
  <c r="AJ95" i="2"/>
  <c r="AG89" i="2"/>
  <c r="AJ89" i="2"/>
  <c r="AG77" i="2"/>
  <c r="AJ77" i="2"/>
  <c r="S71" i="2"/>
  <c r="AJ71" i="2"/>
  <c r="AG65" i="2"/>
  <c r="AJ65" i="2"/>
  <c r="AG53" i="2"/>
  <c r="AJ53" i="2"/>
  <c r="AG47" i="2"/>
  <c r="AJ47" i="2"/>
  <c r="AV29" i="2"/>
  <c r="AJ29" i="2"/>
  <c r="AG23" i="2"/>
  <c r="AJ23" i="2"/>
  <c r="AI17" i="2"/>
  <c r="AJ17" i="2"/>
  <c r="S11" i="2"/>
  <c r="AJ11" i="2"/>
  <c r="AJ3" i="2"/>
  <c r="AK3" i="2"/>
  <c r="S4" i="2"/>
  <c r="AJ4" i="2"/>
  <c r="AG5" i="2"/>
  <c r="AJ5" i="2"/>
  <c r="AI89" i="2"/>
  <c r="AV71" i="2"/>
  <c r="AL71" i="2"/>
  <c r="AI45" i="2"/>
  <c r="AV34" i="2"/>
  <c r="AL9" i="2"/>
  <c r="AV62" i="2"/>
  <c r="AG32" i="2"/>
  <c r="S9" i="2"/>
  <c r="AV51" i="2"/>
  <c r="AL13" i="2"/>
  <c r="AI99" i="2"/>
  <c r="AV43" i="2"/>
  <c r="S72" i="2"/>
  <c r="AL45" i="2"/>
  <c r="AG85" i="2"/>
  <c r="AL62" i="2"/>
  <c r="S34" i="2"/>
  <c r="AL29" i="2"/>
  <c r="AV89" i="2"/>
  <c r="S89" i="2"/>
  <c r="AL72" i="2"/>
  <c r="AG28" i="2"/>
  <c r="AI7" i="2"/>
  <c r="AL53" i="2"/>
  <c r="AL89" i="2"/>
  <c r="S62" i="2"/>
  <c r="AI13" i="2"/>
  <c r="AL106" i="2"/>
  <c r="AL95" i="2"/>
  <c r="AI85" i="2"/>
  <c r="AL57" i="2"/>
  <c r="AL63" i="2"/>
  <c r="AI106" i="2"/>
  <c r="AI63" i="2"/>
  <c r="AL39" i="2"/>
  <c r="AV38" i="2"/>
  <c r="AL34" i="2"/>
  <c r="AL25" i="2"/>
  <c r="AV10" i="2"/>
  <c r="AL51" i="2"/>
  <c r="AV32" i="2"/>
  <c r="AG25" i="2"/>
  <c r="S13" i="2"/>
  <c r="AL47" i="2"/>
  <c r="AG79" i="2"/>
  <c r="AV77" i="2"/>
  <c r="S73" i="2"/>
  <c r="AG63" i="2"/>
  <c r="S60" i="2"/>
  <c r="AI57" i="2"/>
  <c r="AG46" i="2"/>
  <c r="S45" i="2"/>
  <c r="AV37" i="2"/>
  <c r="AI34" i="2"/>
  <c r="AL28" i="2"/>
  <c r="AL4" i="2"/>
  <c r="AL42" i="2"/>
  <c r="AI4" i="2"/>
  <c r="AL75" i="2"/>
  <c r="AI42" i="2"/>
  <c r="AG4" i="2"/>
  <c r="AV92" i="2"/>
  <c r="AI103" i="2"/>
  <c r="AL92" i="2"/>
  <c r="AG73" i="2"/>
  <c r="AV47" i="2"/>
  <c r="AV31" i="2"/>
  <c r="AV103" i="2"/>
  <c r="AL107" i="2"/>
  <c r="AV44" i="2"/>
  <c r="AG19" i="2"/>
  <c r="AV11" i="2"/>
  <c r="AV4" i="2"/>
  <c r="AG106" i="2"/>
  <c r="AV105" i="2"/>
  <c r="AG103" i="2"/>
  <c r="AL88" i="2"/>
  <c r="AL77" i="2"/>
  <c r="AV76" i="2"/>
  <c r="AG75" i="2"/>
  <c r="AI72" i="2"/>
  <c r="AI60" i="2"/>
  <c r="AG57" i="2"/>
  <c r="AV54" i="2"/>
  <c r="AI51" i="2"/>
  <c r="S47" i="2"/>
  <c r="AG42" i="2"/>
  <c r="AG39" i="2"/>
  <c r="AL37" i="2"/>
  <c r="AI93" i="2"/>
  <c r="AI90" i="2"/>
  <c r="AL81" i="2"/>
  <c r="AG72" i="2"/>
  <c r="AL65" i="2"/>
  <c r="AV63" i="2"/>
  <c r="AG60" i="2"/>
  <c r="AL48" i="2"/>
  <c r="S44" i="2"/>
  <c r="AI43" i="2"/>
  <c r="AI40" i="2"/>
  <c r="AI37" i="2"/>
  <c r="AL31" i="2"/>
  <c r="AI27" i="2"/>
  <c r="AG21" i="2"/>
  <c r="AL10" i="2"/>
  <c r="AI5" i="2"/>
  <c r="AI75" i="2"/>
  <c r="AL60" i="2"/>
  <c r="AI109" i="2"/>
  <c r="AV85" i="2"/>
  <c r="AG81" i="2"/>
  <c r="AI76" i="2"/>
  <c r="AV75" i="2"/>
  <c r="AV57" i="2"/>
  <c r="AL54" i="2"/>
  <c r="AG43" i="2"/>
  <c r="AV42" i="2"/>
  <c r="AG40" i="2"/>
  <c r="AV39" i="2"/>
  <c r="AG37" i="2"/>
  <c r="AG31" i="2"/>
  <c r="AV25" i="2"/>
  <c r="S25" i="2"/>
  <c r="AI19" i="2"/>
  <c r="AI10" i="2"/>
  <c r="AI39" i="2"/>
  <c r="S88" i="2"/>
  <c r="AA57" i="2"/>
  <c r="AK57" i="2" s="1"/>
  <c r="AA109" i="2"/>
  <c r="AK109" i="2" s="1"/>
  <c r="AL97" i="2"/>
  <c r="AG97" i="2"/>
  <c r="S97" i="2"/>
  <c r="AV109" i="2"/>
  <c r="AI97" i="2"/>
  <c r="AL94" i="2"/>
  <c r="S94" i="2"/>
  <c r="AV94" i="2"/>
  <c r="AI94" i="2"/>
  <c r="AG59" i="2"/>
  <c r="S59" i="2"/>
  <c r="AL59" i="2"/>
  <c r="AG109" i="2"/>
  <c r="AG101" i="2"/>
  <c r="AL101" i="2"/>
  <c r="S69" i="2"/>
  <c r="AI69" i="2"/>
  <c r="AL69" i="2"/>
  <c r="AV22" i="2"/>
  <c r="AG22" i="2"/>
  <c r="AL22" i="2"/>
  <c r="AV106" i="2"/>
  <c r="AM73" i="2"/>
  <c r="AA72" i="2"/>
  <c r="AK72" i="2" s="1"/>
  <c r="AG68" i="2"/>
  <c r="S68" i="2"/>
  <c r="S14" i="2"/>
  <c r="AA14" i="2" s="1"/>
  <c r="AK14" i="2" s="1"/>
  <c r="AG14" i="2"/>
  <c r="AV14" i="2"/>
  <c r="AI14" i="2"/>
  <c r="AG107" i="2"/>
  <c r="AL91" i="2"/>
  <c r="AV91" i="2"/>
  <c r="AG91" i="2"/>
  <c r="S91" i="2"/>
  <c r="AG94" i="2"/>
  <c r="AG87" i="2"/>
  <c r="S87" i="2"/>
  <c r="AL87" i="2"/>
  <c r="AL103" i="2"/>
  <c r="AG100" i="2"/>
  <c r="AV100" i="2"/>
  <c r="S100" i="2"/>
  <c r="AL100" i="2"/>
  <c r="AV95" i="2"/>
  <c r="AG69" i="2"/>
  <c r="S61" i="2"/>
  <c r="AV61" i="2"/>
  <c r="AI61" i="2"/>
  <c r="S84" i="2"/>
  <c r="AI84" i="2"/>
  <c r="AL84" i="2"/>
  <c r="S78" i="2"/>
  <c r="AL78" i="2"/>
  <c r="AG78" i="2"/>
  <c r="S66" i="2"/>
  <c r="AL66" i="2"/>
  <c r="AG66" i="2"/>
  <c r="AL109" i="2"/>
  <c r="AV97" i="2"/>
  <c r="AM81" i="2"/>
  <c r="AM43" i="2"/>
  <c r="S41" i="2"/>
  <c r="AL20" i="2"/>
  <c r="AI20" i="2"/>
  <c r="AG6" i="2"/>
  <c r="AV6" i="2"/>
  <c r="AL6" i="2"/>
  <c r="AV98" i="2"/>
  <c r="AV84" i="2"/>
  <c r="S82" i="2"/>
  <c r="AV80" i="2"/>
  <c r="S80" i="2"/>
  <c r="AV69" i="2"/>
  <c r="AI67" i="2"/>
  <c r="AI58" i="2"/>
  <c r="AV56" i="2"/>
  <c r="S56" i="2"/>
  <c r="S53" i="2"/>
  <c r="AG51" i="2"/>
  <c r="S49" i="2"/>
  <c r="S48" i="2"/>
  <c r="AV45" i="2"/>
  <c r="AG29" i="2"/>
  <c r="AV28" i="2"/>
  <c r="AV23" i="2"/>
  <c r="S7" i="2"/>
  <c r="AL5" i="2"/>
  <c r="S5" i="2"/>
  <c r="AV78" i="2"/>
  <c r="AV66" i="2"/>
  <c r="AA54" i="2"/>
  <c r="AK54" i="2" s="1"/>
  <c r="AM25" i="2"/>
  <c r="AM4" i="2"/>
  <c r="AL85" i="2"/>
  <c r="AG82" i="2"/>
  <c r="AI81" i="2"/>
  <c r="AL80" i="2"/>
  <c r="AL76" i="2"/>
  <c r="S76" i="2"/>
  <c r="AV73" i="2"/>
  <c r="AV68" i="2"/>
  <c r="AV67" i="2"/>
  <c r="AA66" i="2"/>
  <c r="AK66" i="2" s="1"/>
  <c r="AV65" i="2"/>
  <c r="S65" i="2"/>
  <c r="AV58" i="2"/>
  <c r="AI54" i="2"/>
  <c r="AG49" i="2"/>
  <c r="AI48" i="2"/>
  <c r="AI47" i="2"/>
  <c r="S28" i="2"/>
  <c r="AV19" i="2"/>
  <c r="AV13" i="2"/>
  <c r="AG10" i="2"/>
  <c r="AL8" i="2"/>
  <c r="AV5" i="2"/>
  <c r="AV87" i="2"/>
  <c r="AV82" i="2"/>
  <c r="AI80" i="2"/>
  <c r="AK63" i="2"/>
  <c r="AM60" i="2"/>
  <c r="AV59" i="2"/>
  <c r="AL56" i="2"/>
  <c r="AG54" i="2"/>
  <c r="AV49" i="2"/>
  <c r="S31" i="2"/>
  <c r="AL23" i="2"/>
  <c r="AG11" i="2"/>
  <c r="AG8" i="2"/>
  <c r="AV7" i="2"/>
  <c r="AV81" i="2"/>
  <c r="AV53" i="2"/>
  <c r="AV48" i="2"/>
  <c r="AV101" i="2"/>
  <c r="AL99" i="2"/>
  <c r="S99" i="2"/>
  <c r="AG99" i="2"/>
  <c r="AV96" i="2"/>
  <c r="S92" i="2"/>
  <c r="AI92" i="2"/>
  <c r="AL90" i="2"/>
  <c r="S90" i="2"/>
  <c r="AG90" i="2"/>
  <c r="AL96" i="2"/>
  <c r="S96" i="2"/>
  <c r="AG96" i="2"/>
  <c r="AG83" i="2"/>
  <c r="S83" i="2"/>
  <c r="AI83" i="2"/>
  <c r="AL83" i="2"/>
  <c r="AV83" i="2"/>
  <c r="AA71" i="2"/>
  <c r="AG98" i="2"/>
  <c r="S104" i="2"/>
  <c r="AI104" i="2"/>
  <c r="AL102" i="2"/>
  <c r="S102" i="2"/>
  <c r="AG102" i="2"/>
  <c r="AG74" i="2"/>
  <c r="S74" i="2"/>
  <c r="AI74" i="2"/>
  <c r="AL74" i="2"/>
  <c r="AV74" i="2"/>
  <c r="AM71" i="2"/>
  <c r="AL108" i="2"/>
  <c r="S108" i="2"/>
  <c r="AG108" i="2"/>
  <c r="S101" i="2"/>
  <c r="AI101" i="2"/>
  <c r="AG86" i="2"/>
  <c r="S86" i="2"/>
  <c r="AI86" i="2"/>
  <c r="AV86" i="2"/>
  <c r="AL86" i="2"/>
  <c r="AV108" i="2"/>
  <c r="AV104" i="2"/>
  <c r="AG104" i="2"/>
  <c r="S95" i="2"/>
  <c r="AI95" i="2"/>
  <c r="AL93" i="2"/>
  <c r="S93" i="2"/>
  <c r="AG93" i="2"/>
  <c r="AM75" i="2"/>
  <c r="AA75" i="2"/>
  <c r="AK75" i="2" s="1"/>
  <c r="S98" i="2"/>
  <c r="AI98" i="2"/>
  <c r="AG64" i="2"/>
  <c r="AL64" i="2"/>
  <c r="S64" i="2"/>
  <c r="AI64" i="2"/>
  <c r="AV64" i="2"/>
  <c r="AM88" i="2"/>
  <c r="S107" i="2"/>
  <c r="AI107" i="2"/>
  <c r="AL105" i="2"/>
  <c r="S105" i="2"/>
  <c r="AG105" i="2"/>
  <c r="AV102" i="2"/>
  <c r="AI102" i="2"/>
  <c r="AL70" i="2"/>
  <c r="S70" i="2"/>
  <c r="AI70" i="2"/>
  <c r="AV70" i="2"/>
  <c r="AM45" i="2"/>
  <c r="AA45" i="2"/>
  <c r="AK45" i="2" s="1"/>
  <c r="AG55" i="2"/>
  <c r="AL55" i="2"/>
  <c r="AM51" i="2"/>
  <c r="AA51" i="2"/>
  <c r="AK51" i="2" s="1"/>
  <c r="AL82" i="2"/>
  <c r="AL73" i="2"/>
  <c r="AV55" i="2"/>
  <c r="AI55" i="2"/>
  <c r="AG52" i="2"/>
  <c r="AL52" i="2"/>
  <c r="AG50" i="2"/>
  <c r="S50" i="2"/>
  <c r="AI50" i="2"/>
  <c r="AL50" i="2"/>
  <c r="AV50" i="2"/>
  <c r="AM42" i="2"/>
  <c r="AA42" i="2"/>
  <c r="AK42" i="2" s="1"/>
  <c r="AV88" i="2"/>
  <c r="AV79" i="2"/>
  <c r="AM79" i="2"/>
  <c r="AI77" i="2"/>
  <c r="S77" i="2"/>
  <c r="AG71" i="2"/>
  <c r="AI71" i="2"/>
  <c r="AG67" i="2"/>
  <c r="AL67" i="2"/>
  <c r="AG61" i="2"/>
  <c r="AL61" i="2"/>
  <c r="AV52" i="2"/>
  <c r="AI52" i="2"/>
  <c r="AI46" i="2"/>
  <c r="AL46" i="2"/>
  <c r="AV46" i="2"/>
  <c r="AL79" i="2"/>
  <c r="AM57" i="2"/>
  <c r="AI88" i="2"/>
  <c r="AI79" i="2"/>
  <c r="AK73" i="2"/>
  <c r="AM40" i="2"/>
  <c r="AM39" i="2"/>
  <c r="AA39" i="2"/>
  <c r="AK39" i="2" s="1"/>
  <c r="AI18" i="2"/>
  <c r="S18" i="2"/>
  <c r="AL18" i="2"/>
  <c r="AV18" i="2"/>
  <c r="AG18" i="2"/>
  <c r="AG58" i="2"/>
  <c r="AL58" i="2"/>
  <c r="S55" i="2"/>
  <c r="AL40" i="2"/>
  <c r="AL33" i="2"/>
  <c r="AG33" i="2"/>
  <c r="S33" i="2"/>
  <c r="AV33" i="2"/>
  <c r="AL24" i="2"/>
  <c r="S24" i="2"/>
  <c r="AG24" i="2"/>
  <c r="AI24" i="2"/>
  <c r="AV24" i="2"/>
  <c r="AI68" i="2"/>
  <c r="AI65" i="2"/>
  <c r="AI62" i="2"/>
  <c r="AI59" i="2"/>
  <c r="AI56" i="2"/>
  <c r="AI53" i="2"/>
  <c r="AL49" i="2"/>
  <c r="AM44" i="2"/>
  <c r="AL43" i="2"/>
  <c r="AL41" i="2"/>
  <c r="AG36" i="2"/>
  <c r="S36" i="2"/>
  <c r="AL36" i="2"/>
  <c r="AV36" i="2"/>
  <c r="S32" i="2"/>
  <c r="AA25" i="2"/>
  <c r="AK25" i="2" s="1"/>
  <c r="S16" i="2"/>
  <c r="AI16" i="2"/>
  <c r="AG16" i="2"/>
  <c r="AV16" i="2"/>
  <c r="AM8" i="2"/>
  <c r="AV41" i="2"/>
  <c r="AI33" i="2"/>
  <c r="AI32" i="2"/>
  <c r="AL30" i="2"/>
  <c r="S30" i="2"/>
  <c r="AG30" i="2"/>
  <c r="AI30" i="2"/>
  <c r="AV30" i="2"/>
  <c r="AG41" i="2"/>
  <c r="AI41" i="2"/>
  <c r="AM13" i="2"/>
  <c r="AG44" i="2"/>
  <c r="AI44" i="2"/>
  <c r="AV40" i="2"/>
  <c r="S26" i="2"/>
  <c r="AI26" i="2"/>
  <c r="AG15" i="2"/>
  <c r="S15" i="2"/>
  <c r="AI15" i="2"/>
  <c r="AL15" i="2"/>
  <c r="AV15" i="2"/>
  <c r="AG38" i="2"/>
  <c r="AV26" i="2"/>
  <c r="AG26" i="2"/>
  <c r="S22" i="2"/>
  <c r="AI22" i="2"/>
  <c r="AL17" i="2"/>
  <c r="S17" i="2"/>
  <c r="AG17" i="2"/>
  <c r="AV17" i="2"/>
  <c r="AG9" i="2"/>
  <c r="AV9" i="2"/>
  <c r="AL27" i="2"/>
  <c r="S27" i="2"/>
  <c r="AG27" i="2"/>
  <c r="S19" i="2"/>
  <c r="AG12" i="2"/>
  <c r="AL12" i="2"/>
  <c r="AV12" i="2"/>
  <c r="S12" i="2"/>
  <c r="S29" i="2"/>
  <c r="AI29" i="2"/>
  <c r="S23" i="2"/>
  <c r="AI23" i="2"/>
  <c r="AM14" i="2"/>
  <c r="AG3" i="2"/>
  <c r="AI3" i="2"/>
  <c r="AL3" i="2"/>
  <c r="AV3" i="2"/>
  <c r="S21" i="2"/>
  <c r="AG20" i="2"/>
  <c r="S20" i="2"/>
  <c r="AL11" i="2"/>
  <c r="AI8" i="2"/>
  <c r="AI11" i="2"/>
  <c r="AV8" i="2"/>
  <c r="AV21" i="2"/>
  <c r="AL21" i="2"/>
  <c r="AV20" i="2"/>
  <c r="AI6" i="2"/>
  <c r="S6" i="2"/>
  <c r="Z6" i="2" s="1"/>
  <c r="AT1" i="2"/>
  <c r="AA6" i="2" l="1"/>
  <c r="AE6" i="2"/>
  <c r="Z9" i="2"/>
  <c r="AA9" i="2" s="1"/>
  <c r="AK9" i="2" s="1"/>
  <c r="AK10" i="2"/>
  <c r="AE10" i="2"/>
  <c r="AK34" i="2"/>
  <c r="AA81" i="2"/>
  <c r="AK81" i="2" s="1"/>
  <c r="AM109" i="2"/>
  <c r="AM34" i="2"/>
  <c r="AM63" i="2"/>
  <c r="AK13" i="2"/>
  <c r="AM66" i="2"/>
  <c r="AA4" i="2"/>
  <c r="AK71" i="2"/>
  <c r="AM54" i="2"/>
  <c r="AM72" i="2"/>
  <c r="AK103" i="2"/>
  <c r="AM103" i="2"/>
  <c r="AA60" i="2"/>
  <c r="AK60" i="2" s="1"/>
  <c r="AA49" i="2"/>
  <c r="AM49" i="2"/>
  <c r="AA76" i="2"/>
  <c r="AK76" i="2" s="1"/>
  <c r="AM10" i="2"/>
  <c r="AA38" i="2"/>
  <c r="AA82" i="2"/>
  <c r="AK82" i="2" s="1"/>
  <c r="AM82" i="2"/>
  <c r="AM62" i="2"/>
  <c r="AA62" i="2"/>
  <c r="AK62" i="2" s="1"/>
  <c r="AA52" i="2"/>
  <c r="AK52" i="2" s="1"/>
  <c r="AM52" i="2"/>
  <c r="AM5" i="2"/>
  <c r="AA5" i="2"/>
  <c r="AA46" i="2"/>
  <c r="AK46" i="2" s="1"/>
  <c r="AA85" i="2"/>
  <c r="AK85" i="2" s="1"/>
  <c r="AM85" i="2"/>
  <c r="AA79" i="2"/>
  <c r="AK79" i="2" s="1"/>
  <c r="AM37" i="2"/>
  <c r="AA37" i="2"/>
  <c r="AK37" i="2" s="1"/>
  <c r="AA8" i="2"/>
  <c r="AM56" i="2"/>
  <c r="AA56" i="2"/>
  <c r="AK56" i="2" s="1"/>
  <c r="AA80" i="2"/>
  <c r="AK80" i="2" s="1"/>
  <c r="AM80" i="2"/>
  <c r="AM89" i="2"/>
  <c r="AA89" i="2"/>
  <c r="AK89" i="2" s="1"/>
  <c r="AA47" i="2"/>
  <c r="AK47" i="2" s="1"/>
  <c r="AM47" i="2"/>
  <c r="AA44" i="2"/>
  <c r="AK44" i="2" s="1"/>
  <c r="AA58" i="2"/>
  <c r="AK58" i="2" s="1"/>
  <c r="AM58" i="2"/>
  <c r="AM46" i="2"/>
  <c r="AA61" i="2"/>
  <c r="AK61" i="2" s="1"/>
  <c r="AM61" i="2"/>
  <c r="AA94" i="2"/>
  <c r="AK94" i="2" s="1"/>
  <c r="AM94" i="2"/>
  <c r="AM11" i="2"/>
  <c r="AA11" i="2"/>
  <c r="AK11" i="2" s="1"/>
  <c r="AA40" i="2"/>
  <c r="AK40" i="2" s="1"/>
  <c r="AM41" i="2"/>
  <c r="AA41" i="2"/>
  <c r="AK41" i="2" s="1"/>
  <c r="AM65" i="2"/>
  <c r="AA65" i="2"/>
  <c r="AK65" i="2" s="1"/>
  <c r="AA67" i="2"/>
  <c r="AK67" i="2" s="1"/>
  <c r="AM67" i="2"/>
  <c r="AA88" i="2"/>
  <c r="AK88" i="2" s="1"/>
  <c r="AA106" i="2"/>
  <c r="AK106" i="2" s="1"/>
  <c r="AM106" i="2"/>
  <c r="AM9" i="2" l="1"/>
  <c r="AE9" i="2"/>
  <c r="AK4" i="2"/>
  <c r="AE4" i="2"/>
  <c r="AK8" i="2"/>
  <c r="AE8" i="2"/>
  <c r="AK5" i="2"/>
  <c r="AE5" i="2"/>
  <c r="AK43" i="2"/>
  <c r="AM84" i="2"/>
  <c r="AA84" i="2"/>
  <c r="AK84" i="2" s="1"/>
  <c r="AM7" i="2"/>
  <c r="AA7" i="2"/>
  <c r="AE7" i="2" s="1"/>
  <c r="AM48" i="2"/>
  <c r="AA48" i="2"/>
  <c r="AK48" i="2" s="1"/>
  <c r="AM59" i="2"/>
  <c r="AA59" i="2"/>
  <c r="AM53" i="2"/>
  <c r="AK53" i="2"/>
  <c r="AA78" i="2"/>
  <c r="AM78" i="2"/>
  <c r="AA69" i="2"/>
  <c r="AK69" i="2" s="1"/>
  <c r="AM69" i="2"/>
  <c r="AM76" i="2"/>
  <c r="AM97" i="2"/>
  <c r="AA97" i="2"/>
  <c r="AA91" i="2"/>
  <c r="AM91" i="2"/>
  <c r="AM31" i="2"/>
  <c r="AA31" i="2"/>
  <c r="AM68" i="2"/>
  <c r="AA68" i="2"/>
  <c r="AK68" i="2" s="1"/>
  <c r="AA28" i="2"/>
  <c r="AK28" i="2" s="1"/>
  <c r="AM28" i="2"/>
  <c r="AM87" i="2"/>
  <c r="AA87" i="2"/>
  <c r="AK87" i="2" s="1"/>
  <c r="AA100" i="2"/>
  <c r="AK100" i="2" s="1"/>
  <c r="AM100" i="2"/>
  <c r="AK49" i="2"/>
  <c r="AA24" i="2"/>
  <c r="AK24" i="2" s="1"/>
  <c r="AM24" i="2"/>
  <c r="AA90" i="2"/>
  <c r="AK90" i="2" s="1"/>
  <c r="AM90" i="2"/>
  <c r="AK18" i="2"/>
  <c r="AM18" i="2"/>
  <c r="AA70" i="2"/>
  <c r="AK70" i="2" s="1"/>
  <c r="AM70" i="2"/>
  <c r="AA19" i="2"/>
  <c r="AK19" i="2" s="1"/>
  <c r="AM19" i="2"/>
  <c r="AA108" i="2"/>
  <c r="AK108" i="2" s="1"/>
  <c r="AM108" i="2"/>
  <c r="AA50" i="2"/>
  <c r="AK50" i="2" s="1"/>
  <c r="AM50" i="2"/>
  <c r="AK33" i="2"/>
  <c r="AM33" i="2"/>
  <c r="AA101" i="2"/>
  <c r="AK101" i="2" s="1"/>
  <c r="AM101" i="2"/>
  <c r="AA12" i="2"/>
  <c r="AK12" i="2" s="1"/>
  <c r="AM12" i="2"/>
  <c r="AA36" i="2"/>
  <c r="AK36" i="2" s="1"/>
  <c r="AM36" i="2"/>
  <c r="AK83" i="2"/>
  <c r="AM83" i="2"/>
  <c r="AA86" i="2"/>
  <c r="AK86" i="2" s="1"/>
  <c r="AM86" i="2"/>
  <c r="AA105" i="2"/>
  <c r="AK105" i="2" s="1"/>
  <c r="AM105" i="2"/>
  <c r="AM21" i="2"/>
  <c r="AA21" i="2"/>
  <c r="AA96" i="2"/>
  <c r="AK96" i="2" s="1"/>
  <c r="AM96" i="2"/>
  <c r="AA17" i="2"/>
  <c r="AK17" i="2" s="1"/>
  <c r="AM17" i="2"/>
  <c r="AA64" i="2"/>
  <c r="AK64" i="2" s="1"/>
  <c r="AM64" i="2"/>
  <c r="AM22" i="2"/>
  <c r="AA22" i="2"/>
  <c r="AK22" i="2" s="1"/>
  <c r="AK93" i="2"/>
  <c r="AM93" i="2"/>
  <c r="AM77" i="2"/>
  <c r="AA77" i="2"/>
  <c r="AK77" i="2" s="1"/>
  <c r="AA92" i="2"/>
  <c r="AK92" i="2" s="1"/>
  <c r="AM92" i="2"/>
  <c r="AA16" i="2"/>
  <c r="AK16" i="2" s="1"/>
  <c r="AM16" i="2"/>
  <c r="AA27" i="2"/>
  <c r="AK27" i="2" s="1"/>
  <c r="AM27" i="2"/>
  <c r="AM6" i="2"/>
  <c r="AA104" i="2"/>
  <c r="AK104" i="2" s="1"/>
  <c r="AM104" i="2"/>
  <c r="AA55" i="2"/>
  <c r="AK55" i="2" s="1"/>
  <c r="AM55" i="2"/>
  <c r="AK20" i="2"/>
  <c r="AM20" i="2"/>
  <c r="AA15" i="2"/>
  <c r="AK15" i="2" s="1"/>
  <c r="AM15" i="2"/>
  <c r="AA29" i="2"/>
  <c r="AK29" i="2" s="1"/>
  <c r="AM29" i="2"/>
  <c r="AA74" i="2"/>
  <c r="AK74" i="2" s="1"/>
  <c r="AM74" i="2"/>
  <c r="AM3" i="2"/>
  <c r="AA102" i="2"/>
  <c r="AK102" i="2" s="1"/>
  <c r="AM102" i="2"/>
  <c r="AM95" i="2"/>
  <c r="AA95" i="2"/>
  <c r="AK95" i="2" s="1"/>
  <c r="AA32" i="2"/>
  <c r="AK32" i="2" s="1"/>
  <c r="AM32" i="2"/>
  <c r="AA30" i="2"/>
  <c r="AK30" i="2" s="1"/>
  <c r="AM30" i="2"/>
  <c r="AA98" i="2"/>
  <c r="AK98" i="2" s="1"/>
  <c r="AM98" i="2"/>
  <c r="AK23" i="2"/>
  <c r="AM23" i="2"/>
  <c r="AA107" i="2"/>
  <c r="AK107" i="2" s="1"/>
  <c r="AM107" i="2"/>
  <c r="AA26" i="2"/>
  <c r="AK26" i="2" s="1"/>
  <c r="AM26" i="2"/>
  <c r="AA99" i="2"/>
  <c r="AK99" i="2" s="1"/>
  <c r="AM99" i="2"/>
  <c r="AK21" i="2" l="1"/>
  <c r="AK6" i="2"/>
  <c r="AK97" i="2"/>
  <c r="AK7" i="2"/>
  <c r="AK91" i="2"/>
  <c r="AK31" i="2"/>
  <c r="AK78" i="2"/>
  <c r="AK59" i="2"/>
  <c r="A4" i="2" l="1"/>
  <c r="A5" i="2" l="1"/>
  <c r="A6" i="2" l="1"/>
  <c r="AN3" i="2"/>
  <c r="AQ3" i="2" s="1"/>
  <c r="AZ3" i="2" s="1"/>
  <c r="BA3" i="2" s="1"/>
  <c r="A7" i="2" l="1"/>
  <c r="AR3" i="2"/>
  <c r="AY3" i="2" s="1"/>
  <c r="AN4" i="2"/>
  <c r="AQ4" i="2" s="1"/>
  <c r="AR4" i="2"/>
  <c r="A8" i="2" l="1"/>
  <c r="BB3" i="2"/>
  <c r="BM3" i="2" s="1"/>
  <c r="BO3" i="2"/>
  <c r="BP3" i="2"/>
  <c r="BQ3" i="2"/>
  <c r="AN5" i="2"/>
  <c r="AQ5" i="2" s="1"/>
  <c r="AR5" i="2"/>
  <c r="AZ4" i="2"/>
  <c r="BA4" i="2" s="1"/>
  <c r="AY4" i="2"/>
  <c r="A9" i="2" l="1"/>
  <c r="BO4" i="2"/>
  <c r="BP4" i="2"/>
  <c r="BQ4" i="2"/>
  <c r="BR3" i="2"/>
  <c r="BB4" i="2"/>
  <c r="BM4" i="2" s="1"/>
  <c r="AZ5" i="2"/>
  <c r="BA5" i="2" s="1"/>
  <c r="AY5" i="2"/>
  <c r="AN6" i="2"/>
  <c r="AQ6" i="2" s="1"/>
  <c r="AR6" i="2"/>
  <c r="A10" i="2" l="1"/>
  <c r="BQ5" i="2"/>
  <c r="BP5" i="2"/>
  <c r="BO5" i="2"/>
  <c r="BR4" i="2"/>
  <c r="BB5" i="2"/>
  <c r="BM5" i="2" s="1"/>
  <c r="AN7" i="2"/>
  <c r="AQ7" i="2" s="1"/>
  <c r="AR7" i="2"/>
  <c r="AZ6" i="2"/>
  <c r="BA6" i="2" s="1"/>
  <c r="AY6" i="2"/>
  <c r="A11" i="2" l="1"/>
  <c r="BR5" i="2"/>
  <c r="BO6" i="2"/>
  <c r="BP6" i="2"/>
  <c r="BQ6" i="2"/>
  <c r="BB6" i="2"/>
  <c r="BM6" i="2" s="1"/>
  <c r="AZ7" i="2"/>
  <c r="BA7" i="2" s="1"/>
  <c r="AY7" i="2"/>
  <c r="AN8" i="2"/>
  <c r="AQ8" i="2" s="1"/>
  <c r="A12" i="2" l="1"/>
  <c r="BP7" i="2"/>
  <c r="BQ7" i="2"/>
  <c r="BO7" i="2"/>
  <c r="BR6" i="2"/>
  <c r="AR8" i="2"/>
  <c r="AY8" i="2" s="1"/>
  <c r="AN9" i="2"/>
  <c r="AQ9" i="2" s="1"/>
  <c r="AR9" i="2"/>
  <c r="AZ8" i="2"/>
  <c r="BA8" i="2" s="1"/>
  <c r="BB7" i="2"/>
  <c r="BM7" i="2" s="1"/>
  <c r="BR7" i="2" l="1"/>
  <c r="A13" i="2"/>
  <c r="BO8" i="2"/>
  <c r="BP8" i="2"/>
  <c r="BQ8" i="2"/>
  <c r="BB8" i="2"/>
  <c r="BM8" i="2" s="1"/>
  <c r="AZ9" i="2"/>
  <c r="BA9" i="2" s="1"/>
  <c r="AY9" i="2"/>
  <c r="AN10" i="2"/>
  <c r="AQ10" i="2" s="1"/>
  <c r="AR10" i="2"/>
  <c r="A14" i="2" l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6" i="2" s="1"/>
  <c r="BP9" i="2"/>
  <c r="BQ9" i="2"/>
  <c r="BO9" i="2"/>
  <c r="BR8" i="2"/>
  <c r="BB9" i="2"/>
  <c r="BM9" i="2" s="1"/>
  <c r="AY10" i="2"/>
  <c r="AZ10" i="2"/>
  <c r="BA10" i="2" s="1"/>
  <c r="AN11" i="2"/>
  <c r="AQ11" i="2" s="1"/>
  <c r="AE11" i="2"/>
  <c r="AR11" i="2" s="1"/>
  <c r="A37" i="2" l="1"/>
  <c r="BR9" i="2"/>
  <c r="BQ10" i="2"/>
  <c r="BO10" i="2"/>
  <c r="BP10" i="2"/>
  <c r="BB10" i="2"/>
  <c r="BM10" i="2" s="1"/>
  <c r="AZ11" i="2"/>
  <c r="BA11" i="2" s="1"/>
  <c r="AY11" i="2"/>
  <c r="AN12" i="2"/>
  <c r="AE12" i="2"/>
  <c r="AR12" i="2" s="1"/>
  <c r="A38" i="2" l="1"/>
  <c r="BR10" i="2"/>
  <c r="BO11" i="2"/>
  <c r="BP11" i="2"/>
  <c r="BQ11" i="2"/>
  <c r="AZ12" i="2"/>
  <c r="BA12" i="2" s="1"/>
  <c r="AY12" i="2"/>
  <c r="AN13" i="2"/>
  <c r="AE13" i="2"/>
  <c r="AR13" i="2" s="1"/>
  <c r="BB11" i="2"/>
  <c r="BM11" i="2" s="1"/>
  <c r="A39" i="2" l="1"/>
  <c r="BR11" i="2"/>
  <c r="BQ12" i="2"/>
  <c r="BO12" i="2"/>
  <c r="BP12" i="2"/>
  <c r="AY13" i="2"/>
  <c r="AZ13" i="2"/>
  <c r="BA13" i="2" s="1"/>
  <c r="AN14" i="2"/>
  <c r="AZ14" i="2" s="1"/>
  <c r="BA14" i="2" s="1"/>
  <c r="AE14" i="2"/>
  <c r="BB12" i="2"/>
  <c r="BM12" i="2" s="1"/>
  <c r="A40" i="2" l="1"/>
  <c r="BR12" i="2"/>
  <c r="BO13" i="2"/>
  <c r="BP13" i="2"/>
  <c r="BQ13" i="2"/>
  <c r="AR14" i="2"/>
  <c r="AY14" i="2" s="1"/>
  <c r="AN15" i="2"/>
  <c r="AE15" i="2"/>
  <c r="AR15" i="2" s="1"/>
  <c r="BB13" i="2"/>
  <c r="BM13" i="2" s="1"/>
  <c r="A41" i="2" l="1"/>
  <c r="D3" i="8"/>
  <c r="B28" i="8"/>
  <c r="M28" i="8" s="1"/>
  <c r="H9" i="9" s="1"/>
  <c r="G17" i="8"/>
  <c r="H16" i="15" s="1"/>
  <c r="Q29" i="8"/>
  <c r="C17" i="8"/>
  <c r="H13" i="15" s="1"/>
  <c r="U33" i="8"/>
  <c r="E17" i="8"/>
  <c r="H14" i="15" s="1"/>
  <c r="B21" i="8"/>
  <c r="H19" i="15" s="1"/>
  <c r="E11" i="8"/>
  <c r="U32" i="8"/>
  <c r="B24" i="8"/>
  <c r="E9" i="8"/>
  <c r="H10" i="15" s="1"/>
  <c r="E6" i="8"/>
  <c r="H7" i="15" s="1" a="1"/>
  <c r="H7" i="15" s="1"/>
  <c r="B20" i="8"/>
  <c r="H15" i="15" s="1"/>
  <c r="B18" i="8"/>
  <c r="U35" i="8"/>
  <c r="B22" i="8"/>
  <c r="B19" i="8"/>
  <c r="H17" i="15" s="1"/>
  <c r="U34" i="8"/>
  <c r="E10" i="8"/>
  <c r="BB14" i="2"/>
  <c r="BM14" i="2" s="1"/>
  <c r="BQ14" i="2"/>
  <c r="BP14" i="2"/>
  <c r="BO14" i="2"/>
  <c r="BR13" i="2"/>
  <c r="AZ15" i="2"/>
  <c r="BA15" i="2" s="1"/>
  <c r="AY15" i="2"/>
  <c r="AN16" i="2"/>
  <c r="AQ16" i="2" s="1"/>
  <c r="AE16" i="2"/>
  <c r="AR16" i="2" s="1"/>
  <c r="B23" i="8" l="1"/>
  <c r="H18" i="15"/>
  <c r="H22" i="15" s="1"/>
  <c r="H35" i="15"/>
  <c r="G8" i="9"/>
  <c r="G3" i="9"/>
  <c r="G24" i="9" s="1"/>
  <c r="G15" i="9"/>
  <c r="G9" i="9"/>
  <c r="G10" i="9"/>
  <c r="G4" i="9"/>
  <c r="G13" i="9"/>
  <c r="G7" i="9"/>
  <c r="G12" i="9"/>
  <c r="G14" i="9"/>
  <c r="G6" i="9"/>
  <c r="G11" i="9"/>
  <c r="G5" i="9"/>
  <c r="F26" i="9"/>
  <c r="N26" i="9" s="1"/>
  <c r="F15" i="9"/>
  <c r="F16" i="9"/>
  <c r="F19" i="9"/>
  <c r="F25" i="9"/>
  <c r="N25" i="9" s="1"/>
  <c r="F22" i="9"/>
  <c r="F9" i="9"/>
  <c r="N9" i="9" s="1"/>
  <c r="F12" i="9"/>
  <c r="F6" i="9"/>
  <c r="F18" i="9"/>
  <c r="F4" i="9"/>
  <c r="N4" i="9" s="1"/>
  <c r="F11" i="9"/>
  <c r="F5" i="9"/>
  <c r="F3" i="9"/>
  <c r="F8" i="9"/>
  <c r="F10" i="9"/>
  <c r="F23" i="9"/>
  <c r="F20" i="9"/>
  <c r="F24" i="9"/>
  <c r="N24" i="9" s="1"/>
  <c r="F7" i="9"/>
  <c r="F14" i="9"/>
  <c r="F21" i="9"/>
  <c r="F13" i="9"/>
  <c r="F17" i="9"/>
  <c r="A42" i="2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B29" i="8"/>
  <c r="BR14" i="2"/>
  <c r="BO15" i="2"/>
  <c r="BP15" i="2"/>
  <c r="BQ15" i="2"/>
  <c r="BB15" i="2"/>
  <c r="BM15" i="2" s="1"/>
  <c r="AZ16" i="2"/>
  <c r="BA16" i="2" s="1"/>
  <c r="AY16" i="2"/>
  <c r="AN17" i="2"/>
  <c r="AE17" i="2"/>
  <c r="AR17" i="2" s="1"/>
  <c r="AQ17" i="2" l="1"/>
  <c r="AZ17" i="2" s="1"/>
  <c r="BA17" i="2" s="1"/>
  <c r="BR15" i="2"/>
  <c r="BP16" i="2"/>
  <c r="BQ16" i="2"/>
  <c r="BO16" i="2"/>
  <c r="BB16" i="2"/>
  <c r="BM16" i="2" s="1"/>
  <c r="AY17" i="2"/>
  <c r="AN18" i="2"/>
  <c r="AQ18" i="2" s="1"/>
  <c r="AE18" i="2"/>
  <c r="AR18" i="2" s="1"/>
  <c r="BB17" i="2" l="1"/>
  <c r="BM17" i="2" s="1"/>
  <c r="BO17" i="2"/>
  <c r="BP17" i="2"/>
  <c r="BQ17" i="2"/>
  <c r="BR16" i="2"/>
  <c r="AZ18" i="2"/>
  <c r="BA18" i="2" s="1"/>
  <c r="AY18" i="2"/>
  <c r="AN19" i="2"/>
  <c r="AQ19" i="2" s="1"/>
  <c r="AE19" i="2"/>
  <c r="AR19" i="2" s="1"/>
  <c r="BO18" i="2" l="1"/>
  <c r="BP18" i="2"/>
  <c r="BQ18" i="2"/>
  <c r="BR17" i="2"/>
  <c r="BB18" i="2"/>
  <c r="BM18" i="2" s="1"/>
  <c r="AZ19" i="2"/>
  <c r="BA19" i="2" s="1"/>
  <c r="AY19" i="2"/>
  <c r="AN20" i="2"/>
  <c r="AQ20" i="2" s="1"/>
  <c r="AE20" i="2"/>
  <c r="AR20" i="2" s="1"/>
  <c r="BQ19" i="2" l="1"/>
  <c r="BO19" i="2"/>
  <c r="BP19" i="2"/>
  <c r="BR18" i="2"/>
  <c r="BB19" i="2"/>
  <c r="BM19" i="2" s="1"/>
  <c r="AZ20" i="2"/>
  <c r="BA20" i="2" s="1"/>
  <c r="AY20" i="2"/>
  <c r="AN21" i="2"/>
  <c r="AE21" i="2"/>
  <c r="AQ21" i="2" l="1"/>
  <c r="AZ21" i="2" s="1"/>
  <c r="BA21" i="2" s="1"/>
  <c r="BR19" i="2"/>
  <c r="BO20" i="2"/>
  <c r="BP20" i="2"/>
  <c r="BQ20" i="2"/>
  <c r="AR21" i="2"/>
  <c r="BB20" i="2"/>
  <c r="BM20" i="2" s="1"/>
  <c r="AN22" i="2"/>
  <c r="AE22" i="2"/>
  <c r="AR22" i="2" s="1"/>
  <c r="AQ22" i="2" l="1"/>
  <c r="AZ22" i="2" s="1"/>
  <c r="BA22" i="2" s="1"/>
  <c r="AY21" i="2"/>
  <c r="BQ21" i="2" s="1"/>
  <c r="BR20" i="2"/>
  <c r="AN23" i="2"/>
  <c r="AE23" i="2"/>
  <c r="AR23" i="2" s="1"/>
  <c r="AY22" i="2" l="1"/>
  <c r="BB21" i="2"/>
  <c r="BM21" i="2" s="1"/>
  <c r="BP21" i="2"/>
  <c r="BO21" i="2"/>
  <c r="BR21" i="2"/>
  <c r="BB22" i="2"/>
  <c r="BM22" i="2" s="1"/>
  <c r="BO22" i="2"/>
  <c r="BP22" i="2"/>
  <c r="BQ22" i="2"/>
  <c r="AY23" i="2"/>
  <c r="AZ23" i="2"/>
  <c r="BA23" i="2" s="1"/>
  <c r="AN24" i="2"/>
  <c r="AE24" i="2"/>
  <c r="AR24" i="2" s="1"/>
  <c r="BP23" i="2" l="1"/>
  <c r="BQ23" i="2"/>
  <c r="BO23" i="2"/>
  <c r="BR22" i="2"/>
  <c r="AZ24" i="2"/>
  <c r="BA24" i="2" s="1"/>
  <c r="AN25" i="2"/>
  <c r="AE25" i="2"/>
  <c r="BB23" i="2"/>
  <c r="BM23" i="2" s="1"/>
  <c r="BB24" i="2" l="1"/>
  <c r="BM24" i="2" s="1"/>
  <c r="AZ25" i="2"/>
  <c r="BA25" i="2" s="1"/>
  <c r="BO24" i="2"/>
  <c r="BP24" i="2"/>
  <c r="BQ24" i="2"/>
  <c r="BR23" i="2"/>
  <c r="AN26" i="2"/>
  <c r="AQ26" i="2" s="1"/>
  <c r="AE26" i="2"/>
  <c r="AR26" i="2" s="1"/>
  <c r="BO25" i="2" l="1"/>
  <c r="BR24" i="2"/>
  <c r="AZ26" i="2"/>
  <c r="BA26" i="2" s="1"/>
  <c r="AY26" i="2"/>
  <c r="AN27" i="2"/>
  <c r="AE27" i="2"/>
  <c r="AR27" i="2" s="1"/>
  <c r="BB25" i="2" l="1"/>
  <c r="BM25" i="2" s="1"/>
  <c r="BQ25" i="2"/>
  <c r="BP25" i="2"/>
  <c r="BO26" i="2"/>
  <c r="BP26" i="2"/>
  <c r="BQ26" i="2"/>
  <c r="BB26" i="2"/>
  <c r="BM26" i="2" s="1"/>
  <c r="AZ27" i="2"/>
  <c r="AN28" i="2"/>
  <c r="AQ28" i="2" s="1"/>
  <c r="AE28" i="2"/>
  <c r="AR28" i="2" s="1"/>
  <c r="BA27" i="2" l="1"/>
  <c r="BB27" i="2" s="1"/>
  <c r="BR25" i="2"/>
  <c r="BO27" i="2"/>
  <c r="BP27" i="2"/>
  <c r="BQ27" i="2"/>
  <c r="BR26" i="2"/>
  <c r="AY28" i="2"/>
  <c r="AZ28" i="2"/>
  <c r="BA28" i="2" s="1"/>
  <c r="AN29" i="2"/>
  <c r="AQ29" i="2" s="1"/>
  <c r="AE29" i="2"/>
  <c r="AR29" i="2" s="1"/>
  <c r="BM27" i="2" l="1"/>
  <c r="BQ28" i="2"/>
  <c r="BO28" i="2"/>
  <c r="BP28" i="2"/>
  <c r="BR27" i="2"/>
  <c r="AY29" i="2"/>
  <c r="AZ29" i="2"/>
  <c r="BA29" i="2" s="1"/>
  <c r="AN30" i="2"/>
  <c r="AE30" i="2"/>
  <c r="AR30" i="2" s="1"/>
  <c r="BB28" i="2"/>
  <c r="BM28" i="2" s="1"/>
  <c r="BR28" i="2" l="1"/>
  <c r="BO29" i="2"/>
  <c r="BP29" i="2"/>
  <c r="BQ29" i="2"/>
  <c r="AZ30" i="2"/>
  <c r="BA30" i="2" s="1"/>
  <c r="AY30" i="2"/>
  <c r="AN31" i="2"/>
  <c r="AE31" i="2"/>
  <c r="AR31" i="2" s="1"/>
  <c r="BB29" i="2"/>
  <c r="BM29" i="2" s="1"/>
  <c r="BQ30" i="2" l="1"/>
  <c r="BO30" i="2"/>
  <c r="BP30" i="2"/>
  <c r="BR29" i="2"/>
  <c r="BB30" i="2"/>
  <c r="BM30" i="2" s="1"/>
  <c r="AZ31" i="2"/>
  <c r="AN32" i="2"/>
  <c r="AQ32" i="2" s="1"/>
  <c r="AE32" i="2"/>
  <c r="AR32" i="2" s="1"/>
  <c r="BA31" i="2" l="1"/>
  <c r="BB31" i="2"/>
  <c r="BM31" i="2" s="1"/>
  <c r="BR30" i="2"/>
  <c r="BO31" i="2"/>
  <c r="BP31" i="2"/>
  <c r="BQ31" i="2"/>
  <c r="AZ32" i="2"/>
  <c r="BA32" i="2" s="1"/>
  <c r="AY32" i="2"/>
  <c r="AN33" i="2"/>
  <c r="AE33" i="2"/>
  <c r="AR33" i="2" s="1"/>
  <c r="BR31" i="2" l="1"/>
  <c r="BP32" i="2"/>
  <c r="BQ32" i="2"/>
  <c r="BO32" i="2"/>
  <c r="BB32" i="2"/>
  <c r="BM32" i="2" s="1"/>
  <c r="AZ33" i="2"/>
  <c r="BA33" i="2" s="1"/>
  <c r="AY33" i="2"/>
  <c r="AN34" i="2"/>
  <c r="AE34" i="2"/>
  <c r="AQ34" i="2" l="1"/>
  <c r="AZ34" i="2" s="1"/>
  <c r="BA34" i="2" s="1"/>
  <c r="BR32" i="2"/>
  <c r="BO33" i="2"/>
  <c r="BP33" i="2"/>
  <c r="BQ33" i="2"/>
  <c r="AR34" i="2"/>
  <c r="AY34" i="2" s="1"/>
  <c r="BB33" i="2"/>
  <c r="BM33" i="2" s="1"/>
  <c r="BB34" i="2" l="1"/>
  <c r="BM34" i="2" s="1"/>
  <c r="BO34" i="2"/>
  <c r="BP34" i="2"/>
  <c r="BQ34" i="2"/>
  <c r="BR33" i="2"/>
  <c r="AN36" i="2"/>
  <c r="AE36" i="2"/>
  <c r="AR36" i="2" s="1"/>
  <c r="BR34" i="2" l="1"/>
  <c r="AY36" i="2"/>
  <c r="AZ36" i="2"/>
  <c r="BA36" i="2" s="1"/>
  <c r="AN37" i="2"/>
  <c r="AE37" i="2"/>
  <c r="BO36" i="2" l="1"/>
  <c r="BP36" i="2"/>
  <c r="BQ36" i="2"/>
  <c r="AY37" i="2"/>
  <c r="AZ37" i="2"/>
  <c r="BA37" i="2" s="1"/>
  <c r="AE38" i="2"/>
  <c r="AR38" i="2" s="1"/>
  <c r="BB36" i="2"/>
  <c r="BM36" i="2" s="1"/>
  <c r="BQ37" i="2" l="1"/>
  <c r="BO37" i="2"/>
  <c r="BP37" i="2"/>
  <c r="BR36" i="2"/>
  <c r="AY38" i="2"/>
  <c r="AZ38" i="2"/>
  <c r="BA38" i="2" s="1"/>
  <c r="AN39" i="2"/>
  <c r="AZ39" i="2" s="1"/>
  <c r="BA39" i="2" s="1"/>
  <c r="AE39" i="2"/>
  <c r="BB37" i="2"/>
  <c r="BM37" i="2" s="1"/>
  <c r="BR37" i="2" l="1"/>
  <c r="BO38" i="2"/>
  <c r="BP38" i="2"/>
  <c r="BQ38" i="2"/>
  <c r="AR39" i="2"/>
  <c r="AY39" i="2" s="1"/>
  <c r="AN40" i="2"/>
  <c r="AE40" i="2"/>
  <c r="BB38" i="2"/>
  <c r="BM38" i="2" s="1"/>
  <c r="AQ40" i="2" l="1"/>
  <c r="AZ40" i="2" s="1"/>
  <c r="BA40" i="2" s="1"/>
  <c r="BR38" i="2"/>
  <c r="BB39" i="2"/>
  <c r="BM39" i="2" s="1"/>
  <c r="BQ39" i="2"/>
  <c r="BO39" i="2"/>
  <c r="BP39" i="2"/>
  <c r="AR40" i="2"/>
  <c r="AY40" i="2" s="1"/>
  <c r="AN41" i="2"/>
  <c r="AE41" i="2"/>
  <c r="AQ41" i="2" l="1"/>
  <c r="AZ41" i="2" s="1"/>
  <c r="BA41" i="2" s="1"/>
  <c r="BB40" i="2"/>
  <c r="BM40" i="2" s="1"/>
  <c r="BO40" i="2"/>
  <c r="BP40" i="2"/>
  <c r="BQ40" i="2"/>
  <c r="BR39" i="2"/>
  <c r="AR41" i="2"/>
  <c r="AY41" i="2" s="1"/>
  <c r="AN42" i="2"/>
  <c r="AE42" i="2"/>
  <c r="AR42" i="2" s="1"/>
  <c r="BR40" i="2" l="1"/>
  <c r="BB41" i="2"/>
  <c r="BM41" i="2" s="1"/>
  <c r="BP41" i="2"/>
  <c r="BQ41" i="2"/>
  <c r="BO41" i="2"/>
  <c r="AY42" i="2"/>
  <c r="AZ42" i="2"/>
  <c r="BA42" i="2" s="1"/>
  <c r="AN43" i="2"/>
  <c r="AE43" i="2"/>
  <c r="AR43" i="2" s="1"/>
  <c r="BO42" i="2" l="1"/>
  <c r="BP42" i="2"/>
  <c r="BQ42" i="2"/>
  <c r="BR41" i="2"/>
  <c r="AZ43" i="2"/>
  <c r="BA43" i="2" s="1"/>
  <c r="AY43" i="2"/>
  <c r="AN44" i="2"/>
  <c r="AZ44" i="2" s="1"/>
  <c r="BA44" i="2" s="1"/>
  <c r="AE44" i="2"/>
  <c r="AR44" i="2" s="1"/>
  <c r="BB42" i="2"/>
  <c r="BM42" i="2" s="1"/>
  <c r="BR42" i="2" l="1"/>
  <c r="BO43" i="2"/>
  <c r="BP43" i="2"/>
  <c r="BQ43" i="2"/>
  <c r="AY44" i="2"/>
  <c r="BB43" i="2"/>
  <c r="BM43" i="2" s="1"/>
  <c r="AN45" i="2"/>
  <c r="AE45" i="2"/>
  <c r="AR45" i="2" s="1"/>
  <c r="BB44" i="2" l="1"/>
  <c r="BM44" i="2" s="1"/>
  <c r="BO44" i="2"/>
  <c r="BP44" i="2"/>
  <c r="BQ44" i="2"/>
  <c r="BR43" i="2"/>
  <c r="AZ45" i="2"/>
  <c r="BA45" i="2" s="1"/>
  <c r="AY45" i="2"/>
  <c r="AN46" i="2"/>
  <c r="AE46" i="2"/>
  <c r="AR46" i="2" s="1"/>
  <c r="BR44" i="2" l="1"/>
  <c r="BO45" i="2"/>
  <c r="BP45" i="2"/>
  <c r="BQ45" i="2"/>
  <c r="BB45" i="2"/>
  <c r="BM45" i="2" s="1"/>
  <c r="AZ46" i="2"/>
  <c r="BA46" i="2" s="1"/>
  <c r="AY46" i="2"/>
  <c r="AN47" i="2"/>
  <c r="AE47" i="2"/>
  <c r="AR47" i="2" s="1"/>
  <c r="BR45" i="2" l="1"/>
  <c r="BQ46" i="2"/>
  <c r="BO46" i="2"/>
  <c r="BP46" i="2"/>
  <c r="BB46" i="2"/>
  <c r="BM46" i="2" s="1"/>
  <c r="AN48" i="2"/>
  <c r="AE48" i="2"/>
  <c r="AR48" i="2" s="1"/>
  <c r="AZ47" i="2"/>
  <c r="BA47" i="2" s="1"/>
  <c r="AY47" i="2"/>
  <c r="BR46" i="2" l="1"/>
  <c r="BO47" i="2"/>
  <c r="BP47" i="2"/>
  <c r="BQ47" i="2"/>
  <c r="BB47" i="2"/>
  <c r="BM47" i="2" s="1"/>
  <c r="AZ48" i="2"/>
  <c r="BA48" i="2" s="1"/>
  <c r="AY48" i="2"/>
  <c r="AN49" i="2"/>
  <c r="AE49" i="2"/>
  <c r="AR49" i="2" s="1"/>
  <c r="BR47" i="2" l="1"/>
  <c r="BQ48" i="2"/>
  <c r="BO48" i="2"/>
  <c r="BP48" i="2"/>
  <c r="BB48" i="2"/>
  <c r="BM48" i="2" s="1"/>
  <c r="AY49" i="2"/>
  <c r="AZ49" i="2"/>
  <c r="BA49" i="2" s="1"/>
  <c r="AN50" i="2"/>
  <c r="AE50" i="2"/>
  <c r="AR50" i="2" s="1"/>
  <c r="BO49" i="2" l="1"/>
  <c r="BP49" i="2"/>
  <c r="BQ49" i="2"/>
  <c r="BR48" i="2"/>
  <c r="AZ50" i="2"/>
  <c r="BA50" i="2" s="1"/>
  <c r="AY50" i="2"/>
  <c r="AN51" i="2"/>
  <c r="AE51" i="2"/>
  <c r="AR51" i="2" s="1"/>
  <c r="BB49" i="2"/>
  <c r="BM49" i="2" s="1"/>
  <c r="BP50" i="2" l="1"/>
  <c r="BQ50" i="2"/>
  <c r="BO50" i="2"/>
  <c r="BR49" i="2"/>
  <c r="BB50" i="2"/>
  <c r="BM50" i="2" s="1"/>
  <c r="AZ51" i="2"/>
  <c r="BA51" i="2" s="1"/>
  <c r="AY51" i="2"/>
  <c r="AN52" i="2"/>
  <c r="AZ52" i="2" s="1"/>
  <c r="BA52" i="2" s="1"/>
  <c r="AE52" i="2"/>
  <c r="BO51" i="2" l="1"/>
  <c r="BP51" i="2"/>
  <c r="BQ51" i="2"/>
  <c r="BR50" i="2"/>
  <c r="BB51" i="2"/>
  <c r="BM51" i="2" s="1"/>
  <c r="AR52" i="2"/>
  <c r="AY52" i="2" s="1"/>
  <c r="AN53" i="2"/>
  <c r="AZ53" i="2" s="1"/>
  <c r="BA53" i="2" s="1"/>
  <c r="AE53" i="2"/>
  <c r="BB52" i="2" l="1"/>
  <c r="BM52" i="2" s="1"/>
  <c r="BO52" i="2"/>
  <c r="BP52" i="2"/>
  <c r="BQ52" i="2"/>
  <c r="BR51" i="2"/>
  <c r="AR53" i="2"/>
  <c r="AY53" i="2" s="1"/>
  <c r="AN54" i="2"/>
  <c r="AE54" i="2"/>
  <c r="AR54" i="2" s="1"/>
  <c r="BB53" i="2" l="1"/>
  <c r="BM53" i="2" s="1"/>
  <c r="BO53" i="2"/>
  <c r="BP53" i="2"/>
  <c r="BQ53" i="2"/>
  <c r="BR52" i="2"/>
  <c r="AZ54" i="2"/>
  <c r="BA54" i="2" s="1"/>
  <c r="AY54" i="2"/>
  <c r="AN55" i="2"/>
  <c r="AE55" i="2"/>
  <c r="AR55" i="2" s="1"/>
  <c r="BR53" i="2" l="1"/>
  <c r="BO54" i="2"/>
  <c r="BP54" i="2"/>
  <c r="BQ54" i="2"/>
  <c r="BB54" i="2"/>
  <c r="BM54" i="2" s="1"/>
  <c r="AZ55" i="2"/>
  <c r="BA55" i="2" s="1"/>
  <c r="AY55" i="2"/>
  <c r="AN56" i="2"/>
  <c r="AE56" i="2"/>
  <c r="AR56" i="2" s="1"/>
  <c r="BR54" i="2" l="1"/>
  <c r="BQ55" i="2"/>
  <c r="BO55" i="2"/>
  <c r="BP55" i="2"/>
  <c r="BB55" i="2"/>
  <c r="BM55" i="2" s="1"/>
  <c r="AZ56" i="2"/>
  <c r="BA56" i="2" s="1"/>
  <c r="AY56" i="2"/>
  <c r="AE57" i="2"/>
  <c r="AR57" i="2" s="1"/>
  <c r="AN57" i="2"/>
  <c r="BR55" i="2" l="1"/>
  <c r="BO56" i="2"/>
  <c r="BP56" i="2"/>
  <c r="BQ56" i="2"/>
  <c r="BB56" i="2"/>
  <c r="BM56" i="2" s="1"/>
  <c r="AZ57" i="2"/>
  <c r="BA57" i="2" s="1"/>
  <c r="AY57" i="2"/>
  <c r="AN58" i="2"/>
  <c r="AE58" i="2"/>
  <c r="AR58" i="2" s="1"/>
  <c r="BR56" i="2" l="1"/>
  <c r="BQ57" i="2"/>
  <c r="BO57" i="2"/>
  <c r="BP57" i="2"/>
  <c r="BB57" i="2"/>
  <c r="BM57" i="2" s="1"/>
  <c r="AY58" i="2"/>
  <c r="AZ58" i="2"/>
  <c r="BA58" i="2" s="1"/>
  <c r="AN59" i="2"/>
  <c r="AE59" i="2"/>
  <c r="AR59" i="2" s="1"/>
  <c r="BO58" i="2" l="1"/>
  <c r="BP58" i="2"/>
  <c r="BQ58" i="2"/>
  <c r="BR57" i="2"/>
  <c r="AN60" i="2"/>
  <c r="AZ60" i="2" s="1"/>
  <c r="BA60" i="2" s="1"/>
  <c r="AE60" i="2"/>
  <c r="AY59" i="2"/>
  <c r="AZ59" i="2"/>
  <c r="BA59" i="2" s="1"/>
  <c r="BB58" i="2"/>
  <c r="BM58" i="2" s="1"/>
  <c r="BP59" i="2" l="1"/>
  <c r="BQ59" i="2"/>
  <c r="BO59" i="2"/>
  <c r="BR58" i="2"/>
  <c r="AR60" i="2"/>
  <c r="AY60" i="2" s="1"/>
  <c r="BB59" i="2"/>
  <c r="BM59" i="2" s="1"/>
  <c r="AN61" i="2"/>
  <c r="AE61" i="2"/>
  <c r="AR61" i="2" s="1"/>
  <c r="BR59" i="2" l="1"/>
  <c r="BB60" i="2"/>
  <c r="BM60" i="2" s="1"/>
  <c r="BO60" i="2"/>
  <c r="BP60" i="2"/>
  <c r="BQ60" i="2"/>
  <c r="AZ61" i="2"/>
  <c r="BA61" i="2" s="1"/>
  <c r="AY61" i="2"/>
  <c r="AN62" i="2"/>
  <c r="AE62" i="2"/>
  <c r="BO61" i="2" l="1"/>
  <c r="BP61" i="2"/>
  <c r="BQ61" i="2"/>
  <c r="BR60" i="2"/>
  <c r="BB61" i="2"/>
  <c r="BM61" i="2" s="1"/>
  <c r="AR62" i="2"/>
  <c r="AY62" i="2" s="1"/>
  <c r="AN63" i="2"/>
  <c r="AE63" i="2"/>
  <c r="AR63" i="2" s="1"/>
  <c r="AZ62" i="2"/>
  <c r="BA62" i="2" s="1"/>
  <c r="BO62" i="2" l="1"/>
  <c r="BP62" i="2"/>
  <c r="BQ62" i="2"/>
  <c r="BR61" i="2"/>
  <c r="BB62" i="2"/>
  <c r="BM62" i="2" s="1"/>
  <c r="AN64" i="2"/>
  <c r="AE64" i="2"/>
  <c r="AR64" i="2" s="1"/>
  <c r="AZ63" i="2"/>
  <c r="BA63" i="2" s="1"/>
  <c r="AY63" i="2"/>
  <c r="BR62" i="2" l="1"/>
  <c r="BO63" i="2"/>
  <c r="BP63" i="2"/>
  <c r="BQ63" i="2"/>
  <c r="BB63" i="2"/>
  <c r="BM63" i="2" s="1"/>
  <c r="AY64" i="2"/>
  <c r="AZ64" i="2"/>
  <c r="BA64" i="2" s="1"/>
  <c r="AN65" i="2"/>
  <c r="AE65" i="2"/>
  <c r="AR65" i="2" s="1"/>
  <c r="BQ64" i="2" l="1"/>
  <c r="BO64" i="2"/>
  <c r="BP64" i="2"/>
  <c r="BR63" i="2"/>
  <c r="AZ65" i="2"/>
  <c r="BA65" i="2" s="1"/>
  <c r="AY65" i="2"/>
  <c r="AN66" i="2"/>
  <c r="AE66" i="2"/>
  <c r="AR66" i="2" s="1"/>
  <c r="BB64" i="2"/>
  <c r="BM64" i="2" s="1"/>
  <c r="BR64" i="2" l="1"/>
  <c r="BO65" i="2"/>
  <c r="BP65" i="2"/>
  <c r="BQ65" i="2"/>
  <c r="AZ66" i="2"/>
  <c r="BA66" i="2" s="1"/>
  <c r="AY66" i="2"/>
  <c r="AN67" i="2"/>
  <c r="AE67" i="2"/>
  <c r="AR67" i="2" s="1"/>
  <c r="BB65" i="2"/>
  <c r="BM65" i="2" s="1"/>
  <c r="BR65" i="2" l="1"/>
  <c r="BQ66" i="2"/>
  <c r="BO66" i="2"/>
  <c r="BP66" i="2"/>
  <c r="BB66" i="2"/>
  <c r="BM66" i="2" s="1"/>
  <c r="AZ67" i="2"/>
  <c r="BA67" i="2" s="1"/>
  <c r="AY67" i="2"/>
  <c r="AN68" i="2"/>
  <c r="AE68" i="2"/>
  <c r="AR68" i="2" s="1"/>
  <c r="BR66" i="2" l="1"/>
  <c r="BO67" i="2"/>
  <c r="BP67" i="2"/>
  <c r="BQ67" i="2"/>
  <c r="BB67" i="2"/>
  <c r="BM67" i="2" s="1"/>
  <c r="AZ68" i="2"/>
  <c r="BA68" i="2" s="1"/>
  <c r="AY68" i="2"/>
  <c r="AN69" i="2"/>
  <c r="AZ69" i="2" s="1"/>
  <c r="BA69" i="2" s="1"/>
  <c r="AE69" i="2"/>
  <c r="AR69" i="2" s="1"/>
  <c r="BR67" i="2" l="1"/>
  <c r="BP68" i="2"/>
  <c r="BQ68" i="2"/>
  <c r="BO68" i="2"/>
  <c r="BB68" i="2"/>
  <c r="BM68" i="2" s="1"/>
  <c r="AY69" i="2"/>
  <c r="AN70" i="2"/>
  <c r="AE70" i="2"/>
  <c r="AR70" i="2" s="1"/>
  <c r="BR68" i="2" l="1"/>
  <c r="BB69" i="2"/>
  <c r="BM69" i="2" s="1"/>
  <c r="BO69" i="2"/>
  <c r="BP69" i="2"/>
  <c r="BQ69" i="2"/>
  <c r="AZ70" i="2"/>
  <c r="BA70" i="2" s="1"/>
  <c r="AY70" i="2"/>
  <c r="AN71" i="2"/>
  <c r="AE71" i="2"/>
  <c r="AR71" i="2" s="1"/>
  <c r="BR69" i="2" l="1"/>
  <c r="BO70" i="2"/>
  <c r="BP70" i="2"/>
  <c r="BQ70" i="2"/>
  <c r="BB70" i="2"/>
  <c r="BM70" i="2" s="1"/>
  <c r="AN72" i="2"/>
  <c r="AE72" i="2"/>
  <c r="AR72" i="2" s="1"/>
  <c r="AZ71" i="2"/>
  <c r="BA71" i="2" s="1"/>
  <c r="AY71" i="2"/>
  <c r="BR70" i="2" l="1"/>
  <c r="BO71" i="2"/>
  <c r="BP71" i="2"/>
  <c r="BQ71" i="2"/>
  <c r="BB71" i="2"/>
  <c r="BM71" i="2" s="1"/>
  <c r="AN73" i="2"/>
  <c r="AE73" i="2"/>
  <c r="AR73" i="2" s="1"/>
  <c r="AY72" i="2"/>
  <c r="AZ72" i="2"/>
  <c r="BA72" i="2" s="1"/>
  <c r="BO72" i="2" l="1"/>
  <c r="BP72" i="2"/>
  <c r="BQ72" i="2"/>
  <c r="BR71" i="2"/>
  <c r="BB72" i="2"/>
  <c r="BM72" i="2" s="1"/>
  <c r="AY73" i="2"/>
  <c r="AZ73" i="2"/>
  <c r="BA73" i="2" s="1"/>
  <c r="AN74" i="2"/>
  <c r="AE74" i="2"/>
  <c r="AR74" i="2" s="1"/>
  <c r="BQ73" i="2" l="1"/>
  <c r="BO73" i="2"/>
  <c r="BP73" i="2"/>
  <c r="BR72" i="2"/>
  <c r="AZ74" i="2"/>
  <c r="BA74" i="2" s="1"/>
  <c r="AY74" i="2"/>
  <c r="AN75" i="2"/>
  <c r="AZ75" i="2" s="1"/>
  <c r="BA75" i="2" s="1"/>
  <c r="AE75" i="2"/>
  <c r="BB73" i="2"/>
  <c r="BM73" i="2" s="1"/>
  <c r="BO74" i="2" l="1"/>
  <c r="BP74" i="2"/>
  <c r="BQ74" i="2"/>
  <c r="BR73" i="2"/>
  <c r="BB74" i="2"/>
  <c r="BM74" i="2" s="1"/>
  <c r="AR75" i="2"/>
  <c r="AY75" i="2" s="1"/>
  <c r="AN76" i="2"/>
  <c r="AE76" i="2"/>
  <c r="AR76" i="2" s="1"/>
  <c r="BB75" i="2" l="1"/>
  <c r="BM75" i="2" s="1"/>
  <c r="BQ75" i="2"/>
  <c r="BO75" i="2"/>
  <c r="BP75" i="2"/>
  <c r="BR74" i="2"/>
  <c r="AY76" i="2"/>
  <c r="AZ76" i="2"/>
  <c r="BA76" i="2" s="1"/>
  <c r="AN77" i="2"/>
  <c r="AE77" i="2"/>
  <c r="AR77" i="2" s="1"/>
  <c r="BO76" i="2" l="1"/>
  <c r="BP76" i="2"/>
  <c r="BQ76" i="2"/>
  <c r="BR75" i="2"/>
  <c r="AZ77" i="2"/>
  <c r="BA77" i="2" s="1"/>
  <c r="AY77" i="2"/>
  <c r="AN78" i="2"/>
  <c r="AE78" i="2"/>
  <c r="AR78" i="2" s="1"/>
  <c r="BB76" i="2"/>
  <c r="BM76" i="2" s="1"/>
  <c r="BP77" i="2" l="1"/>
  <c r="BQ77" i="2"/>
  <c r="BO77" i="2"/>
  <c r="BR76" i="2"/>
  <c r="BB77" i="2"/>
  <c r="BM77" i="2" s="1"/>
  <c r="AZ78" i="2"/>
  <c r="BA78" i="2" s="1"/>
  <c r="AY78" i="2"/>
  <c r="AN79" i="2"/>
  <c r="AE79" i="2"/>
  <c r="BO78" i="2" l="1"/>
  <c r="BP78" i="2"/>
  <c r="BQ78" i="2"/>
  <c r="BR77" i="2"/>
  <c r="BB78" i="2"/>
  <c r="BM78" i="2" s="1"/>
  <c r="AR79" i="2"/>
  <c r="AY79" i="2" s="1"/>
  <c r="AZ79" i="2"/>
  <c r="AN80" i="2"/>
  <c r="AZ80" i="2" s="1"/>
  <c r="BA80" i="2" s="1"/>
  <c r="AE80" i="2"/>
  <c r="AR80" i="2" s="1"/>
  <c r="BO79" i="2" l="1"/>
  <c r="BP79" i="2"/>
  <c r="BQ79" i="2"/>
  <c r="BR78" i="2"/>
  <c r="AY80" i="2"/>
  <c r="AN81" i="2"/>
  <c r="AZ81" i="2" s="1"/>
  <c r="BA81" i="2" s="1"/>
  <c r="AE81" i="2"/>
  <c r="AR81" i="2" s="1"/>
  <c r="BA79" i="2"/>
  <c r="BB79" i="2" s="1"/>
  <c r="BM79" i="2" s="1"/>
  <c r="BB80" i="2" l="1"/>
  <c r="BM80" i="2" s="1"/>
  <c r="BO80" i="2"/>
  <c r="BP80" i="2"/>
  <c r="BQ80" i="2"/>
  <c r="BR79" i="2"/>
  <c r="AY81" i="2"/>
  <c r="AN82" i="2"/>
  <c r="AZ82" i="2" s="1"/>
  <c r="BA82" i="2" s="1"/>
  <c r="AE82" i="2"/>
  <c r="BB81" i="2" l="1"/>
  <c r="BM81" i="2" s="1"/>
  <c r="BO81" i="2"/>
  <c r="BP81" i="2"/>
  <c r="BQ81" i="2"/>
  <c r="BR80" i="2"/>
  <c r="AR82" i="2"/>
  <c r="AY82" i="2" s="1"/>
  <c r="AN83" i="2"/>
  <c r="AE83" i="2"/>
  <c r="AR83" i="2" s="1"/>
  <c r="BB82" i="2" l="1"/>
  <c r="BM82" i="2" s="1"/>
  <c r="BQ82" i="2"/>
  <c r="BO82" i="2"/>
  <c r="BP82" i="2"/>
  <c r="BR81" i="2"/>
  <c r="AZ83" i="2"/>
  <c r="BA83" i="2" s="1"/>
  <c r="AY83" i="2"/>
  <c r="AN84" i="2"/>
  <c r="AE84" i="2"/>
  <c r="AR84" i="2" s="1"/>
  <c r="BR82" i="2" l="1"/>
  <c r="BO83" i="2"/>
  <c r="BP83" i="2"/>
  <c r="BQ83" i="2"/>
  <c r="BB83" i="2"/>
  <c r="BM83" i="2" s="1"/>
  <c r="AY84" i="2"/>
  <c r="AZ84" i="2"/>
  <c r="BA84" i="2" s="1"/>
  <c r="AN85" i="2"/>
  <c r="AE85" i="2"/>
  <c r="AR85" i="2" s="1"/>
  <c r="BQ84" i="2" l="1"/>
  <c r="BO84" i="2"/>
  <c r="BP84" i="2"/>
  <c r="BR83" i="2"/>
  <c r="AN86" i="2"/>
  <c r="AE86" i="2"/>
  <c r="AR86" i="2" s="1"/>
  <c r="AY85" i="2"/>
  <c r="AZ85" i="2"/>
  <c r="BA85" i="2" s="1"/>
  <c r="BB84" i="2"/>
  <c r="BM84" i="2" s="1"/>
  <c r="BR84" i="2" l="1"/>
  <c r="BO85" i="2"/>
  <c r="BP85" i="2"/>
  <c r="BQ85" i="2"/>
  <c r="BB85" i="2"/>
  <c r="BM85" i="2" s="1"/>
  <c r="AZ86" i="2"/>
  <c r="BA86" i="2" s="1"/>
  <c r="AY86" i="2"/>
  <c r="AN87" i="2"/>
  <c r="AE87" i="2"/>
  <c r="AR87" i="2" s="1"/>
  <c r="BP86" i="2" l="1"/>
  <c r="BQ86" i="2"/>
  <c r="BO86" i="2"/>
  <c r="BR85" i="2"/>
  <c r="BB86" i="2"/>
  <c r="BM86" i="2" s="1"/>
  <c r="AN88" i="2"/>
  <c r="AE88" i="2"/>
  <c r="AR88" i="2" s="1"/>
  <c r="AY87" i="2"/>
  <c r="AZ87" i="2"/>
  <c r="BA87" i="2" s="1"/>
  <c r="BO87" i="2" l="1"/>
  <c r="BP87" i="2"/>
  <c r="BQ87" i="2"/>
  <c r="BR86" i="2"/>
  <c r="BB87" i="2"/>
  <c r="BM87" i="2" s="1"/>
  <c r="AZ88" i="2"/>
  <c r="BA88" i="2" s="1"/>
  <c r="AY88" i="2"/>
  <c r="AN89" i="2"/>
  <c r="AZ89" i="2" s="1"/>
  <c r="BA89" i="2" s="1"/>
  <c r="AE89" i="2"/>
  <c r="BO88" i="2" l="1"/>
  <c r="BP88" i="2"/>
  <c r="BQ88" i="2"/>
  <c r="BR87" i="2"/>
  <c r="BB88" i="2"/>
  <c r="BM88" i="2" s="1"/>
  <c r="AR89" i="2"/>
  <c r="AY89" i="2" s="1"/>
  <c r="AN90" i="2"/>
  <c r="AZ90" i="2" s="1"/>
  <c r="BA90" i="2" s="1"/>
  <c r="AE90" i="2"/>
  <c r="BB89" i="2" l="1"/>
  <c r="BM89" i="2" s="1"/>
  <c r="BO89" i="2"/>
  <c r="BP89" i="2"/>
  <c r="BQ89" i="2"/>
  <c r="BR88" i="2"/>
  <c r="AR90" i="2"/>
  <c r="AY90" i="2" s="1"/>
  <c r="AN91" i="2"/>
  <c r="AE91" i="2"/>
  <c r="AR91" i="2" s="1"/>
  <c r="BR89" i="2" l="1"/>
  <c r="BB90" i="2"/>
  <c r="BM90" i="2" s="1"/>
  <c r="BO90" i="2"/>
  <c r="BP90" i="2"/>
  <c r="BQ90" i="2"/>
  <c r="AZ91" i="2"/>
  <c r="BA91" i="2" s="1"/>
  <c r="AY91" i="2"/>
  <c r="AN92" i="2"/>
  <c r="AE92" i="2"/>
  <c r="AR92" i="2" s="1"/>
  <c r="BR90" i="2" l="1"/>
  <c r="BQ91" i="2"/>
  <c r="BO91" i="2"/>
  <c r="BP91" i="2"/>
  <c r="BB91" i="2"/>
  <c r="BM91" i="2" s="1"/>
  <c r="AZ92" i="2"/>
  <c r="BA92" i="2" s="1"/>
  <c r="AY92" i="2"/>
  <c r="AN93" i="2"/>
  <c r="AE93" i="2"/>
  <c r="AR93" i="2" s="1"/>
  <c r="BR91" i="2" l="1"/>
  <c r="BO92" i="2"/>
  <c r="BP92" i="2"/>
  <c r="BQ92" i="2"/>
  <c r="BB92" i="2"/>
  <c r="BM92" i="2" s="1"/>
  <c r="AY93" i="2"/>
  <c r="AZ93" i="2"/>
  <c r="BA93" i="2" s="1"/>
  <c r="AN94" i="2"/>
  <c r="AE94" i="2"/>
  <c r="AR94" i="2" s="1"/>
  <c r="BQ93" i="2" l="1"/>
  <c r="BO93" i="2"/>
  <c r="BP93" i="2"/>
  <c r="BR92" i="2"/>
  <c r="AY94" i="2"/>
  <c r="AZ94" i="2"/>
  <c r="BA94" i="2" s="1"/>
  <c r="AN95" i="2"/>
  <c r="AE95" i="2"/>
  <c r="AR95" i="2" s="1"/>
  <c r="BB93" i="2"/>
  <c r="BM93" i="2" s="1"/>
  <c r="BO94" i="2" l="1"/>
  <c r="BP94" i="2"/>
  <c r="BQ94" i="2"/>
  <c r="BR93" i="2"/>
  <c r="AY95" i="2"/>
  <c r="AZ95" i="2"/>
  <c r="BA95" i="2" s="1"/>
  <c r="AN96" i="2"/>
  <c r="AE96" i="2"/>
  <c r="BB94" i="2"/>
  <c r="BM94" i="2" s="1"/>
  <c r="BP95" i="2" l="1"/>
  <c r="BQ95" i="2"/>
  <c r="BO95" i="2"/>
  <c r="BR94" i="2"/>
  <c r="AR96" i="2"/>
  <c r="AY96" i="2" s="1"/>
  <c r="AZ96" i="2"/>
  <c r="AN97" i="2"/>
  <c r="AE97" i="2"/>
  <c r="AR97" i="2" s="1"/>
  <c r="BB95" i="2"/>
  <c r="BM95" i="2" s="1"/>
  <c r="BO96" i="2" l="1"/>
  <c r="BP96" i="2"/>
  <c r="BQ96" i="2"/>
  <c r="BR95" i="2"/>
  <c r="AZ97" i="2"/>
  <c r="BA97" i="2" s="1"/>
  <c r="AY97" i="2"/>
  <c r="AN98" i="2"/>
  <c r="AE98" i="2"/>
  <c r="AR98" i="2" s="1"/>
  <c r="BA96" i="2"/>
  <c r="BB96" i="2" s="1"/>
  <c r="BM96" i="2" s="1"/>
  <c r="BO97" i="2" l="1"/>
  <c r="BP97" i="2"/>
  <c r="BQ97" i="2"/>
  <c r="BR96" i="2"/>
  <c r="AZ98" i="2"/>
  <c r="BA98" i="2" s="1"/>
  <c r="AY98" i="2"/>
  <c r="AN99" i="2"/>
  <c r="AE99" i="2"/>
  <c r="AR99" i="2" s="1"/>
  <c r="BB97" i="2"/>
  <c r="BM97" i="2" s="1"/>
  <c r="BO98" i="2" l="1"/>
  <c r="BP98" i="2"/>
  <c r="BQ98" i="2"/>
  <c r="BR97" i="2"/>
  <c r="BB98" i="2"/>
  <c r="BM98" i="2" s="1"/>
  <c r="AZ99" i="2"/>
  <c r="BA99" i="2" s="1"/>
  <c r="AY99" i="2"/>
  <c r="AN100" i="2"/>
  <c r="AE100" i="2"/>
  <c r="AR100" i="2" s="1"/>
  <c r="BR98" i="2" l="1"/>
  <c r="BO99" i="2"/>
  <c r="BP99" i="2"/>
  <c r="BQ99" i="2"/>
  <c r="BB99" i="2"/>
  <c r="BM99" i="2" s="1"/>
  <c r="AZ100" i="2"/>
  <c r="BA100" i="2" s="1"/>
  <c r="AY100" i="2"/>
  <c r="AN101" i="2"/>
  <c r="AE101" i="2"/>
  <c r="AR101" i="2" s="1"/>
  <c r="BQ100" i="2" l="1"/>
  <c r="BO100" i="2"/>
  <c r="BP100" i="2"/>
  <c r="BR99" i="2"/>
  <c r="BB100" i="2"/>
  <c r="BM100" i="2" s="1"/>
  <c r="AZ101" i="2"/>
  <c r="BA101" i="2" s="1"/>
  <c r="AY101" i="2"/>
  <c r="AN102" i="2"/>
  <c r="AE102" i="2"/>
  <c r="AR102" i="2" s="1"/>
  <c r="BR100" i="2" l="1"/>
  <c r="BO101" i="2"/>
  <c r="BP101" i="2"/>
  <c r="BQ101" i="2"/>
  <c r="BB101" i="2"/>
  <c r="BM101" i="2" s="1"/>
  <c r="AY102" i="2"/>
  <c r="AZ102" i="2"/>
  <c r="BA102" i="2" s="1"/>
  <c r="AN103" i="2"/>
  <c r="AE103" i="2"/>
  <c r="AR103" i="2" s="1"/>
  <c r="BQ102" i="2" l="1"/>
  <c r="BO102" i="2"/>
  <c r="BP102" i="2"/>
  <c r="BR101" i="2"/>
  <c r="BB102" i="2"/>
  <c r="BM102" i="2" s="1"/>
  <c r="AN104" i="2"/>
  <c r="AE104" i="2"/>
  <c r="AR104" i="2" s="1"/>
  <c r="AZ103" i="2"/>
  <c r="BA103" i="2" s="1"/>
  <c r="AY103" i="2"/>
  <c r="BR102" i="2" l="1"/>
  <c r="BO103" i="2"/>
  <c r="BP103" i="2"/>
  <c r="BQ103" i="2"/>
  <c r="BB103" i="2"/>
  <c r="BM103" i="2" s="1"/>
  <c r="AY104" i="2"/>
  <c r="AZ104" i="2"/>
  <c r="BA104" i="2" s="1"/>
  <c r="AN105" i="2"/>
  <c r="AE105" i="2"/>
  <c r="AR105" i="2" s="1"/>
  <c r="BP104" i="2" l="1"/>
  <c r="BQ104" i="2"/>
  <c r="BO104" i="2"/>
  <c r="BR103" i="2"/>
  <c r="AY105" i="2"/>
  <c r="AZ105" i="2"/>
  <c r="BA105" i="2" s="1"/>
  <c r="AN106" i="2"/>
  <c r="AE106" i="2"/>
  <c r="AR106" i="2" s="1"/>
  <c r="BB104" i="2"/>
  <c r="BM104" i="2" s="1"/>
  <c r="BO105" i="2" l="1"/>
  <c r="BP105" i="2"/>
  <c r="BQ105" i="2"/>
  <c r="BR104" i="2"/>
  <c r="AN107" i="2"/>
  <c r="AE107" i="2"/>
  <c r="AR107" i="2" s="1"/>
  <c r="AZ106" i="2"/>
  <c r="BA106" i="2" s="1"/>
  <c r="AY106" i="2"/>
  <c r="BB105" i="2"/>
  <c r="BM105" i="2" s="1"/>
  <c r="BO106" i="2" l="1"/>
  <c r="BP106" i="2"/>
  <c r="BQ106" i="2"/>
  <c r="BR105" i="2"/>
  <c r="BB106" i="2"/>
  <c r="BM106" i="2" s="1"/>
  <c r="AY107" i="2"/>
  <c r="AZ107" i="2"/>
  <c r="BA107" i="2" s="1"/>
  <c r="AN108" i="2"/>
  <c r="AE108" i="2"/>
  <c r="AR108" i="2" s="1"/>
  <c r="BO107" i="2" l="1"/>
  <c r="BP107" i="2"/>
  <c r="BQ107" i="2"/>
  <c r="BR106" i="2"/>
  <c r="AZ108" i="2"/>
  <c r="BA108" i="2" s="1"/>
  <c r="AY108" i="2"/>
  <c r="AN109" i="2"/>
  <c r="AE109" i="2"/>
  <c r="AR109" i="2" s="1"/>
  <c r="BB107" i="2"/>
  <c r="BM107" i="2" s="1"/>
  <c r="BO108" i="2" l="1"/>
  <c r="BP108" i="2"/>
  <c r="BQ108" i="2"/>
  <c r="BR107" i="2"/>
  <c r="BB108" i="2"/>
  <c r="BM108" i="2" s="1"/>
  <c r="AY109" i="2"/>
  <c r="AZ109" i="2"/>
  <c r="BA109" i="2" s="1"/>
  <c r="BQ109" i="2" l="1"/>
  <c r="BO109" i="2"/>
  <c r="BP109" i="2"/>
  <c r="BR108" i="2"/>
  <c r="BB109" i="2"/>
  <c r="BM109" i="2" s="1"/>
  <c r="I17" i="9" l="1"/>
  <c r="J17" i="9" s="1"/>
  <c r="L17" i="9" s="1"/>
  <c r="I16" i="9"/>
  <c r="I19" i="9"/>
  <c r="BR109" i="2"/>
  <c r="Q30" i="8"/>
  <c r="D4" i="8"/>
  <c r="H5" i="15" s="1"/>
  <c r="E7" i="8"/>
  <c r="E5" i="8"/>
  <c r="H6" i="15" s="1" a="1"/>
  <c r="H6" i="15" s="1"/>
  <c r="B19" i="15" s="1"/>
  <c r="B17" i="8"/>
  <c r="H9" i="15" s="1"/>
  <c r="B26" i="8"/>
  <c r="I20" i="9"/>
  <c r="J20" i="9" s="1"/>
  <c r="L20" i="9" s="1"/>
  <c r="B27" i="8"/>
  <c r="M27" i="8" s="1"/>
  <c r="N20" i="9"/>
  <c r="E8" i="8"/>
  <c r="H8" i="15" s="1"/>
  <c r="B25" i="8"/>
  <c r="B24" i="15" l="1"/>
  <c r="H24" i="15"/>
  <c r="P26" i="8"/>
  <c r="P30" i="8" s="1"/>
  <c r="I22" i="8"/>
  <c r="F17" i="8"/>
  <c r="F30" i="8" s="1"/>
  <c r="M30" i="8"/>
  <c r="H8" i="9"/>
  <c r="J8" i="9" s="1"/>
  <c r="L8" i="9" s="1"/>
  <c r="K20" i="8"/>
  <c r="K30" i="8" s="1"/>
  <c r="H19" i="8"/>
  <c r="H18" i="8"/>
  <c r="I30" i="8"/>
  <c r="H5" i="9" s="1"/>
  <c r="D17" i="8"/>
  <c r="D30" i="8" s="1"/>
  <c r="H17" i="8"/>
  <c r="J24" i="8"/>
  <c r="J30" i="8" s="1"/>
  <c r="H11" i="9" s="1"/>
  <c r="L21" i="8"/>
  <c r="L30" i="8" s="1"/>
  <c r="H15" i="9"/>
  <c r="J15" i="9" s="1"/>
  <c r="L15" i="9" s="1"/>
  <c r="N7" i="9"/>
  <c r="N14" i="9"/>
  <c r="N21" i="9"/>
  <c r="N8" i="9"/>
  <c r="N15" i="9"/>
  <c r="N22" i="9"/>
  <c r="N10" i="9"/>
  <c r="N16" i="9"/>
  <c r="N23" i="9"/>
  <c r="N11" i="9"/>
  <c r="N17" i="9"/>
  <c r="N5" i="9"/>
  <c r="N12" i="9"/>
  <c r="N18" i="9"/>
  <c r="N6" i="9"/>
  <c r="N13" i="9"/>
  <c r="N19" i="9"/>
  <c r="J19" i="9"/>
  <c r="L19" i="9" s="1"/>
  <c r="J16" i="9"/>
  <c r="L16" i="9" s="1"/>
  <c r="N3" i="9"/>
  <c r="J9" i="9" l="1"/>
  <c r="L9" i="9" s="1"/>
  <c r="H26" i="15"/>
  <c r="H7" i="9"/>
  <c r="J7" i="9" s="1"/>
  <c r="L7" i="9" s="1"/>
  <c r="H25" i="15"/>
  <c r="H28" i="15" s="1"/>
  <c r="H4" i="9"/>
  <c r="J4" i="9" s="1"/>
  <c r="L4" i="9" s="1"/>
  <c r="O25" i="8"/>
  <c r="O30" i="8" s="1"/>
  <c r="H3" i="9"/>
  <c r="J3" i="9" s="1"/>
  <c r="L3" i="9" s="1"/>
  <c r="H13" i="9"/>
  <c r="J13" i="9" s="1"/>
  <c r="L13" i="9" s="1"/>
  <c r="J11" i="9"/>
  <c r="L11" i="9" s="1"/>
  <c r="H6" i="9"/>
  <c r="J6" i="9" s="1"/>
  <c r="L6" i="9" s="1"/>
  <c r="H30" i="8"/>
  <c r="N30" i="8" l="1"/>
  <c r="R30" i="8" s="1"/>
  <c r="J5" i="9"/>
  <c r="L5" i="9" s="1"/>
  <c r="H10" i="9"/>
  <c r="J10" i="9" s="1"/>
  <c r="W30" i="8" l="1"/>
  <c r="H24" i="9" s="1"/>
  <c r="Y30" i="8"/>
  <c r="X30" i="8"/>
  <c r="S30" i="8"/>
  <c r="H14" i="9"/>
  <c r="J14" i="9" s="1"/>
  <c r="L14" i="9" s="1"/>
  <c r="T30" i="8" l="1"/>
  <c r="H34" i="15" s="1"/>
  <c r="H33" i="15"/>
  <c r="H36" i="15" s="1"/>
  <c r="U30" i="8"/>
  <c r="J24" i="9"/>
  <c r="L24" i="9" s="1"/>
  <c r="I22" i="9"/>
  <c r="J22" i="9" s="1"/>
  <c r="L22" i="9" s="1"/>
  <c r="I21" i="9"/>
  <c r="J21" i="9" s="1"/>
  <c r="L21" i="9" s="1"/>
  <c r="L10" i="9"/>
  <c r="U37" i="8" l="1"/>
  <c r="I23" i="9" s="1"/>
  <c r="H25" i="9" l="1"/>
  <c r="I26" i="9" s="1"/>
  <c r="J26" i="9" s="1"/>
  <c r="L26" i="9" s="1"/>
  <c r="J23" i="9"/>
  <c r="L23" i="9" s="1"/>
  <c r="J25" i="9" l="1"/>
  <c r="L2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Sylvie Kambau</author>
    <author>Charles Verleyen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Change Year</t>
        </r>
      </text>
    </comment>
    <comment ref="AC2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porportionnel au Nbre de jrs prestés sur l'année en cours
Hotel clsoed in April, so we consider only 13th month prorrata</t>
        </r>
      </text>
    </comment>
    <comment ref="AR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Droitau logemet pendant les jours de suspension de contrat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Sylvie Kambau</author>
    <author>Charles Verleyen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Change Number</t>
        </r>
      </text>
    </comment>
    <comment ref="A16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FILL ONLY CELLS IN BLUE</t>
        </r>
      </text>
    </comment>
    <comment ref="B20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A modifier manuellement par le HR pour tenir en compte le nombre de jours complets d'un mois entamé dans le cas AVEC PREAVIS</t>
        </r>
      </text>
    </comment>
    <comment ref="A21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porportionnel au Nbre de jrs prestés sur l'année en cours</t>
        </r>
      </text>
    </comment>
    <comment ref="B2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A modifier manuellement par le HR pour tenir en compte le nombre de jours complets d'un mois entamé dans le cas AVEC PREAVIS</t>
        </r>
      </text>
    </comment>
    <comment ref="A25" authorId="1" shapeId="0" xr:uid="{00000000-0006-0000-0200-000006000000}">
      <text>
        <r>
          <rPr>
            <sz val="9"/>
            <color indexed="81"/>
            <rFont val="Tahoma"/>
            <family val="2"/>
          </rPr>
          <t xml:space="preserve">Sur Total Nombre de Jrs 
</t>
        </r>
      </text>
    </comment>
    <comment ref="A26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Seulement s/Jours prestés</t>
        </r>
      </text>
    </comment>
    <comment ref="A27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Cashier: 30$/Mois
Laundry: 10$/Mois</t>
        </r>
        <r>
          <rPr>
            <sz val="9"/>
            <color indexed="81"/>
            <rFont val="Tahoma"/>
            <family val="2"/>
          </rPr>
          <t xml:space="preserve">
Sur Total Nombre de Jrs prestés</t>
        </r>
      </text>
    </comment>
    <comment ref="A29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Sur Total Nombre de Jrs </t>
        </r>
      </text>
    </comment>
    <comment ref="B29" authorId="1" shapeId="0" xr:uid="{00000000-0006-0000-0200-00000A000000}">
      <text>
        <r>
          <rPr>
            <sz val="9"/>
            <color indexed="81"/>
            <rFont val="Tahoma"/>
            <family val="2"/>
          </rPr>
          <t>Add n° OF kids</t>
        </r>
      </text>
    </comment>
    <comment ref="Q29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8$/enfant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Verleyen</author>
    <author>Sylvie Kambau</author>
  </authors>
  <commentList>
    <comment ref="J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Filtrer par &lt;&gt;0</t>
        </r>
      </text>
    </comment>
    <comment ref="D17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Change GL based on the nature of the deduction</t>
        </r>
      </text>
    </comment>
    <comment ref="D26" authorId="1" shapeId="0" xr:uid="{2674B96C-2631-4B54-9977-06059CBC264B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Put bank account number where the payment was done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Sylvie Kambau</author>
    <author>Charles Verleyen</author>
  </authors>
  <commentList>
    <comment ref="B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Change the current year 01/01/2018</t>
        </r>
      </text>
    </comment>
    <comment ref="F11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>Select the category</t>
        </r>
      </text>
    </comment>
    <comment ref="G1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Select the category</t>
        </r>
      </text>
    </comment>
    <comment ref="A16" authorId="1" shapeId="0" xr:uid="{00000000-0006-0000-0600-000004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FILL ONLY CELLS IN BLUE</t>
        </r>
      </text>
    </comment>
    <comment ref="A21" authorId="1" shapeId="0" xr:uid="{00000000-0006-0000-0600-000005000000}">
      <text>
        <r>
          <rPr>
            <b/>
            <sz val="14"/>
            <color indexed="81"/>
            <rFont val="Tahoma"/>
            <family val="2"/>
          </rPr>
          <t>Charles Verleyen:</t>
        </r>
        <r>
          <rPr>
            <sz val="14"/>
            <color indexed="81"/>
            <rFont val="Tahoma"/>
            <family val="2"/>
          </rPr>
          <t xml:space="preserve">
porportionnel au Nbre de jrs prestés sur l'année en cours</t>
        </r>
      </text>
    </comment>
    <comment ref="A24" authorId="1" shapeId="0" xr:uid="{00000000-0006-0000-0600-000006000000}">
      <text>
        <r>
          <rPr>
            <sz val="9"/>
            <color indexed="81"/>
            <rFont val="Tahoma"/>
            <family val="2"/>
          </rPr>
          <t xml:space="preserve">Sur Total Nombre de Jrs 
</t>
        </r>
      </text>
    </comment>
    <comment ref="A25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Seulement s/Jours prestés</t>
        </r>
      </text>
    </comment>
    <comment ref="A26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Cashier: 30$/Mois
Laundry: 10$/Mois</t>
        </r>
        <r>
          <rPr>
            <sz val="9"/>
            <color indexed="81"/>
            <rFont val="Tahoma"/>
            <family val="2"/>
          </rPr>
          <t xml:space="preserve">
Sur Total Nombre de Jrs prestés</t>
        </r>
      </text>
    </comment>
    <comment ref="A2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Sur Total Nombre de Jrs </t>
        </r>
      </text>
    </comment>
    <comment ref="B27" authorId="1" shapeId="0" xr:uid="{00000000-0006-0000-0600-00000A000000}">
      <text>
        <r>
          <rPr>
            <sz val="9"/>
            <color indexed="81"/>
            <rFont val="Tahoma"/>
            <family val="2"/>
          </rPr>
          <t>Add n° OF kids</t>
        </r>
      </text>
    </comment>
    <comment ref="N27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Charles Verleyen:</t>
        </r>
        <r>
          <rPr>
            <sz val="9"/>
            <color indexed="81"/>
            <rFont val="Tahoma"/>
            <family val="2"/>
          </rPr>
          <t xml:space="preserve">
8$/enfant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<sst xmlns="http://schemas.openxmlformats.org/spreadsheetml/2006/main" count="731" uniqueCount="332">
  <si>
    <t>ID</t>
  </si>
  <si>
    <t>Nom</t>
  </si>
  <si>
    <t xml:space="preserve">Département </t>
  </si>
  <si>
    <t>POSITION</t>
  </si>
  <si>
    <t>STARTING DATE</t>
  </si>
  <si>
    <t xml:space="preserve">Salaire de base </t>
  </si>
  <si>
    <t>Transport</t>
  </si>
  <si>
    <t xml:space="preserve"> Logement</t>
  </si>
  <si>
    <t>PRIME</t>
  </si>
  <si>
    <t>DATE FIN CONTRAT</t>
  </si>
  <si>
    <t>ANCIENNETE</t>
  </si>
  <si>
    <t>Tx Journalier</t>
  </si>
  <si>
    <t>PREAVIS</t>
  </si>
  <si>
    <t>Années Ancienneté</t>
  </si>
  <si>
    <t>Congé Payés non pris</t>
  </si>
  <si>
    <t>PREAVIS (Days)</t>
  </si>
  <si>
    <t>CONGE s/Préavis</t>
  </si>
  <si>
    <t>CONGE COMPENSATOIRE</t>
  </si>
  <si>
    <t>GRATIFICATION-13è Mois</t>
  </si>
  <si>
    <t>TOTAL Nbre de Jrs</t>
  </si>
  <si>
    <t>Jrs de Congé Maladie</t>
  </si>
  <si>
    <t>SALAIRE PRESTATION</t>
  </si>
  <si>
    <t>CONGE PAYES (Non pris)</t>
  </si>
  <si>
    <t>CONGE s/Préavis+ Congé Compensatoire</t>
  </si>
  <si>
    <t>CONGE MALADIE</t>
  </si>
  <si>
    <t>GRATIFICATION 13th</t>
  </si>
  <si>
    <t>PRIMES</t>
  </si>
  <si>
    <t>Brut imposable</t>
  </si>
  <si>
    <t>LOGEMENT-Préavis</t>
  </si>
  <si>
    <t>TRANSPORT Préavis</t>
  </si>
  <si>
    <t>% Allocation SC</t>
  </si>
  <si>
    <t>Jrs Susp.Contrat</t>
  </si>
  <si>
    <t>Allocation Suspension de Contrat</t>
  </si>
  <si>
    <t>Nbre Enfants</t>
  </si>
  <si>
    <t>ALLOCATIONS Fam.</t>
  </si>
  <si>
    <t>BRUT A PAYER</t>
  </si>
  <si>
    <t>INSS-5%</t>
  </si>
  <si>
    <t>IPR-10%</t>
  </si>
  <si>
    <t>Avance sur Salaire</t>
  </si>
  <si>
    <t>Facture Consommation Restaurant</t>
  </si>
  <si>
    <t>HR Deduction</t>
  </si>
  <si>
    <t>Autres</t>
  </si>
  <si>
    <t>Food Allowance</t>
  </si>
  <si>
    <t>Tel.Allowance</t>
  </si>
  <si>
    <t>Recruitment Fees</t>
  </si>
  <si>
    <t xml:space="preserve">Air ticket </t>
  </si>
  <si>
    <t>Steward sales</t>
  </si>
  <si>
    <t>TOTAL DEDUCTIONS</t>
  </si>
  <si>
    <t>NET A PAYER</t>
  </si>
  <si>
    <t>AVEC PREAVIS</t>
  </si>
  <si>
    <t>CADRE DE COLLABORATION</t>
  </si>
  <si>
    <t>TEMPLATE DECOMPTES FINAUX FCH</t>
  </si>
  <si>
    <t>SANS PREAVIS</t>
  </si>
  <si>
    <t>jours</t>
  </si>
  <si>
    <t>Montant</t>
  </si>
  <si>
    <t>USD</t>
  </si>
  <si>
    <t>DOIT A LA SOCIETE</t>
  </si>
  <si>
    <t>SOLDE DE TOUT COMPTE</t>
  </si>
  <si>
    <t>Director of Finance</t>
  </si>
  <si>
    <t>General Manager</t>
  </si>
  <si>
    <t>Received by</t>
  </si>
  <si>
    <t>SOLDE DE TOUT COMPTE DETAILLE</t>
  </si>
  <si>
    <t>CHANGE CELLS IN BLUE!!!!!!!!</t>
  </si>
  <si>
    <t xml:space="preserve">NOMS : </t>
  </si>
  <si>
    <t>DATE D'ENGAGEMENT :</t>
  </si>
  <si>
    <t>DATE FIN PRESTATION:</t>
  </si>
  <si>
    <t xml:space="preserve">DEPARTMENT: </t>
  </si>
  <si>
    <t xml:space="preserve">POSITION: </t>
  </si>
  <si>
    <t>ANCIENNETE:</t>
  </si>
  <si>
    <t>CC</t>
  </si>
  <si>
    <t>CATEGORIE</t>
  </si>
  <si>
    <t>CADRE DE DIRECTION</t>
  </si>
  <si>
    <t>A CHARGE DE FCH</t>
  </si>
  <si>
    <t>PRESTATION</t>
  </si>
  <si>
    <t>ALLOCATIONS DIVERSES</t>
  </si>
  <si>
    <t>INPP-1%</t>
  </si>
  <si>
    <t>ONEM-0.02%</t>
  </si>
  <si>
    <t>ELEMENTS DE LA RENUMERATION</t>
  </si>
  <si>
    <t>Jrs</t>
  </si>
  <si>
    <t>BASE</t>
  </si>
  <si>
    <t>LOGEMENT</t>
  </si>
  <si>
    <t>TRANSPORT PRESTE</t>
  </si>
  <si>
    <t>Jrs ALLOCATIONS DIVERSES</t>
  </si>
  <si>
    <t>TOTAL</t>
  </si>
  <si>
    <t>EMP008</t>
  </si>
  <si>
    <t>Uniforms</t>
  </si>
  <si>
    <t>HR Manager</t>
  </si>
  <si>
    <t>Posting Date</t>
  </si>
  <si>
    <t>Document No.</t>
  </si>
  <si>
    <t>Account Type</t>
  </si>
  <si>
    <t>Account No.</t>
  </si>
  <si>
    <t>Bal. Account No.</t>
  </si>
  <si>
    <t>Description</t>
  </si>
  <si>
    <t>Cost Centre Code</t>
  </si>
  <si>
    <t>Debit Amount</t>
  </si>
  <si>
    <t>Credit Amount</t>
  </si>
  <si>
    <t>Amount</t>
  </si>
  <si>
    <t>Currency Code</t>
  </si>
  <si>
    <t>Amount (LCY)</t>
  </si>
  <si>
    <t>Bal. Account Type</t>
  </si>
  <si>
    <t>LEN</t>
  </si>
  <si>
    <t>G/L Account</t>
  </si>
  <si>
    <t>USD/CDF</t>
  </si>
  <si>
    <t>Severance Pay</t>
  </si>
  <si>
    <t>13th Month</t>
  </si>
  <si>
    <t>Prime</t>
  </si>
  <si>
    <t>Vacation pay</t>
  </si>
  <si>
    <t>Sick pay</t>
  </si>
  <si>
    <t>Matern.Leave</t>
  </si>
  <si>
    <t>Trspt Allowance</t>
  </si>
  <si>
    <t>Housing Allow</t>
  </si>
  <si>
    <t>Miscellean Allow</t>
  </si>
  <si>
    <t>CUSTOMER</t>
  </si>
  <si>
    <t>AR Invoices</t>
  </si>
  <si>
    <t>Sal.&amp;Wages</t>
  </si>
  <si>
    <t>ID:</t>
  </si>
  <si>
    <t>Local Salar.</t>
  </si>
  <si>
    <t>Salary Advanc</t>
  </si>
  <si>
    <t>HR Ded Badges</t>
  </si>
  <si>
    <t>Uniform Deduc</t>
  </si>
  <si>
    <t>IPR</t>
  </si>
  <si>
    <t>COST CENTRE</t>
  </si>
  <si>
    <t>ALLOCATIONS DIVERSES (Days)</t>
  </si>
  <si>
    <t>&lt;=Min</t>
  </si>
  <si>
    <t>&gt;=Max</t>
  </si>
  <si>
    <t>M01</t>
  </si>
  <si>
    <t>SQ1</t>
  </si>
  <si>
    <t>SQ2</t>
  </si>
  <si>
    <t>SQ3</t>
  </si>
  <si>
    <t>HQ</t>
  </si>
  <si>
    <t>M1</t>
  </si>
  <si>
    <t>M2</t>
  </si>
  <si>
    <t>M3</t>
  </si>
  <si>
    <t>M4</t>
  </si>
  <si>
    <t>CC1</t>
  </si>
  <si>
    <t>CC2</t>
  </si>
  <si>
    <t>CC3</t>
  </si>
  <si>
    <t>CC4</t>
  </si>
  <si>
    <t>CD1</t>
  </si>
  <si>
    <t>CD2</t>
  </si>
  <si>
    <t>CD3</t>
  </si>
  <si>
    <t>CD4</t>
  </si>
  <si>
    <t>Jrs Prestés+Recup</t>
  </si>
  <si>
    <t>REMPLIR LES COLONNES EN BLEU</t>
  </si>
  <si>
    <t>Cellphone missing</t>
  </si>
  <si>
    <t>UNPAID Days</t>
  </si>
  <si>
    <t>INSS-13%</t>
  </si>
  <si>
    <t>INSS 5%</t>
  </si>
  <si>
    <t>INSS QPEmployeur%</t>
  </si>
  <si>
    <t>Nuits Prestées</t>
  </si>
  <si>
    <t>SALAIRE DE NUIT</t>
  </si>
  <si>
    <t>PRESTATION DE NUIT</t>
  </si>
  <si>
    <t>Shift Diff.Pay</t>
  </si>
  <si>
    <t>Jours Fériés</t>
  </si>
  <si>
    <t>JOURS FERIES</t>
  </si>
  <si>
    <t>Jrs Feries</t>
  </si>
  <si>
    <t>Public holidays</t>
  </si>
  <si>
    <t>INPP-2%</t>
  </si>
  <si>
    <t>ONEM-0.2%</t>
  </si>
  <si>
    <t>TOTAL Taxes Decompte Finaux  FCH</t>
  </si>
  <si>
    <t>Payment</t>
  </si>
  <si>
    <t>FINANCES</t>
  </si>
  <si>
    <t>ASS.CHIEF ACCOUNTANT</t>
  </si>
  <si>
    <t>FRONT OFFICE</t>
  </si>
  <si>
    <t>Doorman</t>
  </si>
  <si>
    <t>HOUSEKEEPING</t>
  </si>
  <si>
    <t>RIVIERA</t>
  </si>
  <si>
    <t>CODE</t>
  </si>
  <si>
    <t>NOUVELLE CATEGORIE</t>
  </si>
  <si>
    <t>CATEGORIE PREAVIS DECOMPTE</t>
  </si>
  <si>
    <t>DESCRIPTION-CLASSE-ECHELLON</t>
  </si>
  <si>
    <t>CLASSIFICATION GENERALE DES EMPLOIS (Cfr Decret du 22/05/2018)</t>
  </si>
  <si>
    <t>CATEGORIES</t>
  </si>
  <si>
    <t>ECHELLON</t>
  </si>
  <si>
    <t>CLASSES</t>
  </si>
  <si>
    <t>TENSIONS SALARIALES</t>
  </si>
  <si>
    <t>Salaire  minimum de base</t>
  </si>
  <si>
    <t>Jours de préavis</t>
  </si>
  <si>
    <t>CODES</t>
  </si>
  <si>
    <t>DESCRIPTION CATEGORIE</t>
  </si>
  <si>
    <t>Ancien</t>
  </si>
  <si>
    <t>Dif</t>
  </si>
  <si>
    <t>I</t>
  </si>
  <si>
    <t>MANŒUVRE ORDINAIRE (MO)</t>
  </si>
  <si>
    <t>14 jours + (7 x Anciennété)</t>
  </si>
  <si>
    <t>MAO1-1.I</t>
  </si>
  <si>
    <t>MANŒUVRE LOURD (ML)</t>
  </si>
  <si>
    <t>MAL1-2.I</t>
  </si>
  <si>
    <t>II</t>
  </si>
  <si>
    <t>TRAVAILLEUR SPECIALISE (TS)</t>
  </si>
  <si>
    <t>TSP0-3.II</t>
  </si>
  <si>
    <t>III</t>
  </si>
  <si>
    <t>TRAVAILLEUR SEMI QUALIFIE (TSQ)</t>
  </si>
  <si>
    <t>TSQ1-4.III</t>
  </si>
  <si>
    <t>TSQ2-5.III</t>
  </si>
  <si>
    <t>TSQ3-6.III</t>
  </si>
  <si>
    <t>IV</t>
  </si>
  <si>
    <t>TRAVAILLEUR QUALIFIE (TQ)</t>
  </si>
  <si>
    <t>TRQ1-7.IV</t>
  </si>
  <si>
    <t>TRQ2-8.IV</t>
  </si>
  <si>
    <t>V</t>
  </si>
  <si>
    <t>TRAVAILLEUR HAUTEMENT QUALIFIE (THQ)</t>
  </si>
  <si>
    <t>THQ0-9.V</t>
  </si>
  <si>
    <t>M</t>
  </si>
  <si>
    <t>MAITRISES</t>
  </si>
  <si>
    <t>26 jours + (9 x Anciennété)</t>
  </si>
  <si>
    <t>MAT1-10.M</t>
  </si>
  <si>
    <t>MAT2-11.M</t>
  </si>
  <si>
    <t>MAT3-12.M</t>
  </si>
  <si>
    <t>MAT4-13.M</t>
  </si>
  <si>
    <t>78 jours + (16 x Anciennété)</t>
  </si>
  <si>
    <t>CAC1-14.CC</t>
  </si>
  <si>
    <t>CAC2-15.CC</t>
  </si>
  <si>
    <t>CAC3-16.CC</t>
  </si>
  <si>
    <t>CAC4-17.CC</t>
  </si>
  <si>
    <t>HORS CADRE</t>
  </si>
  <si>
    <t>LES DIRECTEURS HOD</t>
  </si>
  <si>
    <t>Ne sont pas concernés par cette classification</t>
  </si>
  <si>
    <t>CAD</t>
  </si>
  <si>
    <t>CD</t>
  </si>
  <si>
    <t>LES DIRECTEURS CHEF D'AGENCE</t>
  </si>
  <si>
    <t>LE DIRECTEUR GENERAL</t>
  </si>
  <si>
    <t>Fait à Kinshasa, le 23/02/2023</t>
  </si>
  <si>
    <t>HRM</t>
  </si>
  <si>
    <t>Waiter</t>
  </si>
  <si>
    <t>Room Attendant</t>
  </si>
  <si>
    <t>Operateur</t>
  </si>
  <si>
    <t>Floor Supervisor</t>
  </si>
  <si>
    <t>Superviseur</t>
  </si>
  <si>
    <t>STEWARDING</t>
  </si>
  <si>
    <t>KITCHEN</t>
  </si>
  <si>
    <t>COMMIS</t>
  </si>
  <si>
    <t>STEWARD</t>
  </si>
  <si>
    <t>Nouv Rappel 2</t>
  </si>
  <si>
    <t>Nouv.Rappel 2</t>
  </si>
  <si>
    <t>FO Supervisor</t>
  </si>
  <si>
    <t>HK Order taker</t>
  </si>
  <si>
    <t>SECURITE</t>
  </si>
  <si>
    <t>A&amp;G</t>
  </si>
  <si>
    <t>Assistante Execut</t>
  </si>
  <si>
    <t>PURCHASING</t>
  </si>
  <si>
    <t>Assistant cost control</t>
  </si>
  <si>
    <t>Store Clerk</t>
  </si>
  <si>
    <t>LAUNDRY</t>
  </si>
  <si>
    <t>Laundry Attendant</t>
  </si>
  <si>
    <t>RESERVATIONS</t>
  </si>
  <si>
    <t>Reservation agent</t>
  </si>
  <si>
    <t>Receptionniste</t>
  </si>
  <si>
    <t>HOUSE LAUNDRY</t>
  </si>
  <si>
    <t>Cost Control</t>
  </si>
  <si>
    <t>First Lady</t>
  </si>
  <si>
    <t>ENGINEERING</t>
  </si>
  <si>
    <t>Maintenance Supervisor</t>
  </si>
  <si>
    <t>LOBBY BAR</t>
  </si>
  <si>
    <t>ROOM SERVICE</t>
  </si>
  <si>
    <t>Room Service Sen Superv</t>
  </si>
  <si>
    <t>Commis</t>
  </si>
  <si>
    <t>HK Coordonator</t>
  </si>
  <si>
    <t>HEVEA</t>
  </si>
  <si>
    <t>WAITER</t>
  </si>
  <si>
    <t>SAL00606</t>
  </si>
  <si>
    <t>IDENTIFICATION DE L’EMPLOYE(E) :</t>
  </si>
  <si>
    <r>
      <t xml:space="preserve">-      </t>
    </r>
    <r>
      <rPr>
        <b/>
        <sz val="11"/>
        <color theme="1"/>
        <rFont val="Century Gothic"/>
        <family val="2"/>
      </rPr>
      <t xml:space="preserve">Nom : </t>
    </r>
  </si>
  <si>
    <r>
      <t xml:space="preserve">-      </t>
    </r>
    <r>
      <rPr>
        <b/>
        <sz val="11"/>
        <color theme="1"/>
        <rFont val="Century Gothic"/>
        <family val="2"/>
      </rPr>
      <t xml:space="preserve">Date d’engagement : </t>
    </r>
  </si>
  <si>
    <r>
      <t xml:space="preserve">-      </t>
    </r>
    <r>
      <rPr>
        <b/>
        <sz val="11"/>
        <color theme="1"/>
        <rFont val="Century Gothic"/>
        <family val="2"/>
      </rPr>
      <t xml:space="preserve">Date de fin service : </t>
    </r>
  </si>
  <si>
    <r>
      <t xml:space="preserve">-      </t>
    </r>
    <r>
      <rPr>
        <b/>
        <sz val="11"/>
        <color theme="1"/>
        <rFont val="Century Gothic"/>
        <family val="2"/>
      </rPr>
      <t xml:space="preserve">Fonction                  : </t>
    </r>
  </si>
  <si>
    <r>
      <t xml:space="preserve">-      </t>
    </r>
    <r>
      <rPr>
        <b/>
        <sz val="11"/>
        <color theme="1"/>
        <rFont val="Century Gothic"/>
        <family val="2"/>
      </rPr>
      <t xml:space="preserve">Salaire                     : </t>
    </r>
  </si>
  <si>
    <r>
      <t xml:space="preserve">-      </t>
    </r>
    <r>
      <rPr>
        <b/>
        <sz val="11"/>
        <color theme="1"/>
        <rFont val="Century Gothic"/>
        <family val="2"/>
      </rPr>
      <t xml:space="preserve">Ancienneté              : </t>
    </r>
  </si>
  <si>
    <r>
      <t xml:space="preserve">I.             </t>
    </r>
    <r>
      <rPr>
        <u/>
        <sz val="11"/>
        <color theme="1"/>
        <rFont val="Century Gothic"/>
        <family val="2"/>
      </rPr>
      <t>ELEMENTS DE CALCUL</t>
    </r>
  </si>
  <si>
    <t xml:space="preserve">1)   Jours prestés                                = </t>
  </si>
  <si>
    <t>CHANGER</t>
  </si>
  <si>
    <t xml:space="preserve">4)   Congé non pris                             = </t>
  </si>
  <si>
    <r>
      <t xml:space="preserve">       </t>
    </r>
    <r>
      <rPr>
        <b/>
        <sz val="11"/>
        <color theme="1"/>
        <rFont val="Century Gothic"/>
        <family val="2"/>
      </rPr>
      <t xml:space="preserve">Total Nombre de jours = </t>
    </r>
  </si>
  <si>
    <t>A retenir</t>
  </si>
  <si>
    <t xml:space="preserve">1. Acompte sur préavis : </t>
  </si>
  <si>
    <t xml:space="preserve">                    </t>
  </si>
  <si>
    <t>2.  CNSS 5%</t>
  </si>
  <si>
    <t>3. IPR 10%</t>
  </si>
  <si>
    <t>4.  Autres retentions</t>
  </si>
  <si>
    <t xml:space="preserve">NET A PAYER : </t>
  </si>
  <si>
    <t xml:space="preserve"> </t>
  </si>
  <si>
    <r>
      <t xml:space="preserve">Versée le : </t>
    </r>
    <r>
      <rPr>
        <b/>
        <u/>
        <sz val="11"/>
        <color theme="1"/>
        <rFont val="Century Gothic"/>
        <family val="2"/>
      </rPr>
      <t>par virement bancaire</t>
    </r>
    <r>
      <rPr>
        <sz val="11"/>
        <color theme="1"/>
        <rFont val="Century Gothic"/>
        <family val="2"/>
      </rPr>
      <t xml:space="preserve">, par chèque, par cash </t>
    </r>
    <r>
      <rPr>
        <i/>
        <sz val="11"/>
        <color theme="1"/>
        <rFont val="Century Gothic"/>
        <family val="2"/>
      </rPr>
      <t>(barrer la mention inutile)</t>
    </r>
    <r>
      <rPr>
        <sz val="11"/>
        <color theme="1"/>
        <rFont val="Century Gothic"/>
        <family val="2"/>
      </rPr>
      <t>.</t>
    </r>
  </si>
  <si>
    <t>Le présent reçu est établi en deux exemplaires, dont un m’est remis.</t>
  </si>
  <si>
    <t xml:space="preserve">Fait à Kinshasa - Gombe, le </t>
  </si>
  <si>
    <t>La mention « reçu pour solde de tout compte » doit être écrite de la main du salarié précédée de sa signature.</t>
  </si>
  <si>
    <t xml:space="preserve">2)   Prestation de nuit                                = </t>
  </si>
  <si>
    <r>
      <t xml:space="preserve">5)   Congé compensatoire </t>
    </r>
    <r>
      <rPr>
        <sz val="11"/>
        <color rgb="FFFF0000"/>
        <rFont val="Century Gothic"/>
        <family val="2"/>
      </rPr>
      <t xml:space="preserve">1.6x4 </t>
    </r>
    <r>
      <rPr>
        <sz val="11"/>
        <color theme="1"/>
        <rFont val="Century Gothic"/>
        <family val="2"/>
      </rPr>
      <t xml:space="preserve">         = </t>
    </r>
  </si>
  <si>
    <r>
      <t xml:space="preserve">3)   Préavis </t>
    </r>
    <r>
      <rPr>
        <sz val="11"/>
        <color rgb="FFFF0000"/>
        <rFont val="Century Gothic"/>
        <family val="2"/>
      </rPr>
      <t>78+ (16x0) :2</t>
    </r>
    <r>
      <rPr>
        <sz val="11"/>
        <rFont val="Century Gothic"/>
        <family val="2"/>
      </rPr>
      <t xml:space="preserve">                   = </t>
    </r>
  </si>
  <si>
    <r>
      <t>6)   Congé sur préavis :</t>
    </r>
    <r>
      <rPr>
        <sz val="11"/>
        <color rgb="FFFF0000"/>
        <rFont val="Century Gothic"/>
        <family val="2"/>
      </rPr>
      <t xml:space="preserve"> 0x0:312</t>
    </r>
    <r>
      <rPr>
        <sz val="11"/>
        <color theme="1"/>
        <rFont val="Century Gothic"/>
        <family val="2"/>
      </rPr>
      <t xml:space="preserve">     = </t>
    </r>
  </si>
  <si>
    <t xml:space="preserve">-      Gratification :                  = </t>
  </si>
  <si>
    <t xml:space="preserve">-      Prime :                  = </t>
  </si>
  <si>
    <r>
      <t>Total :</t>
    </r>
    <r>
      <rPr>
        <sz val="11"/>
        <color rgb="FFFF0000"/>
        <rFont val="Century Gothic"/>
        <family val="2"/>
      </rPr>
      <t xml:space="preserve"> 55,42$+28.82$ +2.89$  </t>
    </r>
    <r>
      <rPr>
        <sz val="11"/>
        <color theme="1"/>
        <rFont val="Century Gothic"/>
        <family val="2"/>
      </rPr>
      <t xml:space="preserve">        = </t>
    </r>
    <r>
      <rPr>
        <sz val="11"/>
        <color rgb="FFFF0000"/>
        <rFont val="Century Gothic"/>
        <family val="2"/>
      </rPr>
      <t>87.12</t>
    </r>
  </si>
  <si>
    <r>
      <t xml:space="preserve">(En toutes lettres) : </t>
    </r>
    <r>
      <rPr>
        <b/>
        <sz val="11"/>
        <color rgb="FFFF0000"/>
        <rFont val="Century Gothic"/>
        <family val="2"/>
      </rPr>
      <t>Cinq cent septante quatre dollars nonante centimes</t>
    </r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</si>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</sst>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"/>
    <numFmt numFmtId="165" formatCode="_([$€-2]\ * #,##0.00_);_([$€-2]\ * \(#,##0.00\);_([$€-2]\ * &quot;-&quot;??_);_(@_)"/>
    <numFmt numFmtId="166" formatCode="[$$-409]#,##0"/>
    <numFmt numFmtId="167" formatCode="#,##0.0"/>
    <numFmt numFmtId="168" formatCode="#,##0.00\ _€"/>
    <numFmt numFmtId="169" formatCode="#,##0.0\ _€"/>
    <numFmt numFmtId="170" formatCode="#,##0\ _€"/>
    <numFmt numFmtId="173" formatCode="_-* #,##0.00\ &quot;€&quot;_-;\-* #,##0.00\ &quot;€&quot;_-;_-* &quot;-&quot;??\ &quot;€&quot;_-;_-@_-"/>
    <numFmt numFmtId="174" formatCode="_-* #,##0.00_-;\-* #,##0.00_-;_-* &quot;-&quot;??_-;_-@_-"/>
  </numFmts>
  <fonts count="6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3"/>
      <name val="Arial"/>
      <family val="2"/>
    </font>
    <font>
      <b/>
      <u/>
      <sz val="13"/>
      <name val="Arial"/>
      <family val="2"/>
    </font>
    <font>
      <b/>
      <sz val="13"/>
      <color theme="0" tint="-0.14999847407452621"/>
      <name val="Arial"/>
      <family val="2"/>
    </font>
    <font>
      <sz val="13"/>
      <name val="Arial"/>
      <family val="2"/>
    </font>
    <font>
      <b/>
      <sz val="13"/>
      <color rgb="FFFF0000"/>
      <name val="Arial"/>
      <family val="2"/>
    </font>
    <font>
      <sz val="13"/>
      <color theme="0" tint="-0.499984740745262"/>
      <name val="Arial"/>
      <family val="2"/>
    </font>
    <font>
      <b/>
      <sz val="13"/>
      <color rgb="FF0000CC"/>
      <name val="Arial"/>
      <family val="2"/>
    </font>
    <font>
      <b/>
      <sz val="13"/>
      <name val="Garamond"/>
      <family val="1"/>
    </font>
    <font>
      <b/>
      <sz val="16"/>
      <name val="Garamond"/>
      <family val="1"/>
    </font>
    <font>
      <b/>
      <sz val="16"/>
      <color rgb="FFFF0000"/>
      <name val="Garamond"/>
      <family val="1"/>
    </font>
    <font>
      <b/>
      <sz val="13"/>
      <color rgb="FF0000FF"/>
      <name val="Garamond"/>
      <family val="1"/>
    </font>
    <font>
      <sz val="13"/>
      <name val="Garamond"/>
      <family val="1"/>
    </font>
    <font>
      <b/>
      <sz val="13"/>
      <name val="Calibri"/>
      <family val="2"/>
      <scheme val="minor"/>
    </font>
    <font>
      <b/>
      <sz val="13"/>
      <color theme="1"/>
      <name val="Arial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color rgb="FFFF0000"/>
      <name val="Century Gothic"/>
      <family val="2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sz val="12"/>
      <name val="Century Gothic"/>
      <family val="2"/>
    </font>
    <font>
      <b/>
      <sz val="12"/>
      <name val="Century Gothic"/>
      <family val="2"/>
    </font>
    <font>
      <b/>
      <sz val="12"/>
      <color theme="1"/>
      <name val="Century Gothic"/>
      <family val="2"/>
    </font>
    <font>
      <sz val="12"/>
      <color rgb="FFFF0000"/>
      <name val="Century Gothic"/>
      <family val="2"/>
    </font>
    <font>
      <sz val="11"/>
      <color rgb="FF0000FF"/>
      <name val="Century Gothic"/>
      <family val="2"/>
    </font>
    <font>
      <sz val="11"/>
      <name val="Century Gothic"/>
      <family val="2"/>
    </font>
    <font>
      <sz val="11"/>
      <color rgb="FF420AF4"/>
      <name val="Century Gothic"/>
      <family val="2"/>
    </font>
    <font>
      <b/>
      <sz val="11"/>
      <color rgb="FF0000FF"/>
      <name val="Century Gothic"/>
      <family val="2"/>
    </font>
    <font>
      <b/>
      <sz val="11"/>
      <color rgb="FFC00000"/>
      <name val="Century Gothic"/>
      <family val="2"/>
    </font>
    <font>
      <b/>
      <sz val="11"/>
      <name val="Century Gothic"/>
      <family val="2"/>
    </font>
    <font>
      <b/>
      <sz val="11"/>
      <color rgb="FF420AF4"/>
      <name val="Century Gothic"/>
      <family val="2"/>
    </font>
    <font>
      <b/>
      <u/>
      <sz val="12"/>
      <name val="Century Gothic"/>
      <family val="2"/>
    </font>
    <font>
      <sz val="12"/>
      <color theme="0" tint="-0.499984740745262"/>
      <name val="Century Gothic"/>
      <family val="2"/>
    </font>
    <font>
      <u/>
      <sz val="12"/>
      <name val="Century Gothic"/>
      <family val="2"/>
    </font>
    <font>
      <sz val="12"/>
      <color rgb="FFC00000"/>
      <name val="Century Gothic"/>
      <family val="2"/>
    </font>
    <font>
      <sz val="12"/>
      <color rgb="FF0000CC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1"/>
      <color rgb="FF000000"/>
      <name val="Century Gothic"/>
      <family val="2"/>
    </font>
    <font>
      <u/>
      <sz val="11"/>
      <color theme="1"/>
      <name val="Century Gothic"/>
      <family val="2"/>
    </font>
    <font>
      <b/>
      <u/>
      <sz val="11"/>
      <color theme="1"/>
      <name val="Century Gothic"/>
      <family val="2"/>
    </font>
    <font>
      <i/>
      <sz val="11"/>
      <color theme="1"/>
      <name val="Century Gothic"/>
      <family val="2"/>
    </font>
    <font>
      <sz val="8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</borders>
  <cellStyleXfs count="302">
    <xf numFmtId="0" fontId="0" fillId="0" borderId="0">
      <alignment vertical="center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44" fontId="4" fillId="0" borderId="0" applyFont="0" applyFill="0" applyBorder="0" applyAlignment="0" applyProtection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9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0" fillId="0" borderId="0" applyBorder="0"/>
    <xf numFmtId="17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1" fillId="0" borderId="0" applyNumberFormat="0" applyFont="0" applyFill="0" applyBorder="0" applyAlignment="0" applyProtection="0">
      <alignment horizontal="left"/>
    </xf>
    <xf numFmtId="44" fontId="4" fillId="0" borderId="0" applyFont="0" applyFill="0" applyBorder="0" applyAlignment="0" applyProtection="0"/>
  </cellStyleXfs>
  <cellXfs count="476">
    <xf numFmtId="0" fontId="0" fillId="0" borderId="0" xfId="0">
      <alignment vertical="center"/>
    </xf>
    <xf numFmtId="3" fontId="11" fillId="0" borderId="0" xfId="6" applyNumberFormat="1" applyFont="1" applyProtection="1">
      <protection locked="0"/>
    </xf>
    <xf numFmtId="4" fontId="12" fillId="5" borderId="0" xfId="6" applyNumberFormat="1" applyFont="1" applyFill="1" applyAlignment="1" applyProtection="1">
      <alignment horizontal="left"/>
      <protection locked="0"/>
    </xf>
    <xf numFmtId="3" fontId="13" fillId="0" borderId="0" xfId="6" applyNumberFormat="1" applyFont="1" applyProtection="1">
      <protection locked="0"/>
    </xf>
    <xf numFmtId="0" fontId="13" fillId="0" borderId="0" xfId="6" applyFont="1" applyProtection="1">
      <protection locked="0"/>
    </xf>
    <xf numFmtId="0" fontId="14" fillId="6" borderId="0" xfId="6" applyFont="1" applyFill="1" applyProtection="1">
      <protection locked="0"/>
    </xf>
    <xf numFmtId="14" fontId="10" fillId="6" borderId="0" xfId="6" applyNumberFormat="1" applyFont="1" applyFill="1" applyAlignment="1" applyProtection="1">
      <alignment horizontal="left"/>
      <protection locked="0"/>
    </xf>
    <xf numFmtId="164" fontId="13" fillId="0" borderId="0" xfId="6" applyNumberFormat="1" applyFont="1" applyProtection="1">
      <protection locked="0"/>
    </xf>
    <xf numFmtId="0" fontId="10" fillId="0" borderId="0" xfId="6" applyFont="1" applyProtection="1">
      <protection locked="0"/>
    </xf>
    <xf numFmtId="14" fontId="15" fillId="0" borderId="0" xfId="6" applyNumberFormat="1" applyFont="1" applyProtection="1">
      <protection locked="0"/>
    </xf>
    <xf numFmtId="3" fontId="10" fillId="0" borderId="0" xfId="6" applyNumberFormat="1" applyFont="1" applyProtection="1">
      <protection locked="0"/>
    </xf>
    <xf numFmtId="14" fontId="10" fillId="0" borderId="0" xfId="6" applyNumberFormat="1" applyFont="1" applyAlignment="1" applyProtection="1">
      <alignment horizontal="left"/>
      <protection locked="0"/>
    </xf>
    <xf numFmtId="0" fontId="10" fillId="6" borderId="0" xfId="6" applyFont="1" applyFill="1" applyProtection="1">
      <protection locked="0"/>
    </xf>
    <xf numFmtId="0" fontId="10" fillId="0" borderId="0" xfId="6" quotePrefix="1" applyFont="1" applyProtection="1">
      <protection locked="0"/>
    </xf>
    <xf numFmtId="3" fontId="14" fillId="6" borderId="0" xfId="6" applyNumberFormat="1" applyFont="1" applyFill="1" applyAlignment="1" applyProtection="1">
      <alignment horizontal="left"/>
      <protection locked="0"/>
    </xf>
    <xf numFmtId="4" fontId="13" fillId="0" borderId="0" xfId="6" applyNumberFormat="1" applyFont="1" applyProtection="1">
      <protection locked="0"/>
    </xf>
    <xf numFmtId="3" fontId="14" fillId="6" borderId="0" xfId="6" applyNumberFormat="1" applyFont="1" applyFill="1" applyAlignment="1" applyProtection="1">
      <alignment horizontal="left" wrapText="1"/>
      <protection locked="0"/>
    </xf>
    <xf numFmtId="0" fontId="16" fillId="0" borderId="0" xfId="6" applyFont="1" applyAlignment="1" applyProtection="1">
      <alignment horizontal="center" wrapText="1"/>
      <protection locked="0"/>
    </xf>
    <xf numFmtId="0" fontId="16" fillId="0" borderId="0" xfId="6" applyFont="1" applyAlignment="1" applyProtection="1">
      <alignment horizontal="center"/>
      <protection locked="0"/>
    </xf>
    <xf numFmtId="0" fontId="16" fillId="0" borderId="0" xfId="6" applyFont="1" applyAlignment="1" applyProtection="1">
      <alignment horizontal="center" vertical="center"/>
      <protection locked="0"/>
    </xf>
    <xf numFmtId="0" fontId="14" fillId="0" borderId="0" xfId="6" applyFont="1" applyProtection="1">
      <protection locked="0"/>
    </xf>
    <xf numFmtId="0" fontId="13" fillId="0" borderId="0" xfId="6" applyFont="1" applyAlignment="1" applyProtection="1">
      <alignment vertical="center"/>
      <protection locked="0"/>
    </xf>
    <xf numFmtId="0" fontId="10" fillId="0" borderId="12" xfId="6" applyFont="1" applyBorder="1" applyAlignment="1" applyProtection="1">
      <alignment horizontal="center" vertical="center" wrapText="1"/>
      <protection locked="0"/>
    </xf>
    <xf numFmtId="0" fontId="10" fillId="7" borderId="12" xfId="6" applyFont="1" applyFill="1" applyBorder="1" applyAlignment="1" applyProtection="1">
      <alignment vertical="center" wrapText="1"/>
      <protection locked="0"/>
    </xf>
    <xf numFmtId="0" fontId="10" fillId="0" borderId="13" xfId="6" applyFont="1" applyBorder="1" applyAlignment="1" applyProtection="1">
      <alignment horizontal="center" vertical="center" wrapText="1"/>
      <protection locked="0"/>
    </xf>
    <xf numFmtId="0" fontId="10" fillId="0" borderId="14" xfId="6" applyFont="1" applyBorder="1" applyAlignment="1" applyProtection="1">
      <alignment horizontal="center" vertical="center" wrapText="1"/>
      <protection locked="0"/>
    </xf>
    <xf numFmtId="0" fontId="10" fillId="8" borderId="13" xfId="6" applyFont="1" applyFill="1" applyBorder="1" applyAlignment="1" applyProtection="1">
      <alignment horizontal="center" vertical="center" wrapText="1"/>
      <protection locked="0"/>
    </xf>
    <xf numFmtId="0" fontId="10" fillId="0" borderId="12" xfId="6" applyFont="1" applyBorder="1" applyAlignment="1" applyProtection="1">
      <alignment vertical="center" wrapText="1"/>
      <protection locked="0"/>
    </xf>
    <xf numFmtId="0" fontId="10" fillId="8" borderId="12" xfId="6" applyFont="1" applyFill="1" applyBorder="1" applyAlignment="1" applyProtection="1">
      <alignment vertical="center" wrapText="1"/>
      <protection locked="0"/>
    </xf>
    <xf numFmtId="0" fontId="10" fillId="0" borderId="13" xfId="6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 applyProtection="1">
      <alignment horizontal="center"/>
      <protection locked="0"/>
    </xf>
    <xf numFmtId="3" fontId="10" fillId="0" borderId="8" xfId="6" applyNumberFormat="1" applyFont="1" applyBorder="1" applyAlignment="1" applyProtection="1">
      <alignment horizontal="center"/>
      <protection locked="0"/>
    </xf>
    <xf numFmtId="3" fontId="10" fillId="0" borderId="16" xfId="6" applyNumberFormat="1" applyFont="1" applyBorder="1" applyAlignment="1" applyProtection="1">
      <alignment horizontal="center"/>
      <protection locked="0"/>
    </xf>
    <xf numFmtId="3" fontId="10" fillId="7" borderId="16" xfId="6" applyNumberFormat="1" applyFont="1" applyFill="1" applyBorder="1" applyAlignment="1" applyProtection="1">
      <alignment horizontal="center"/>
      <protection locked="0"/>
    </xf>
    <xf numFmtId="3" fontId="10" fillId="0" borderId="17" xfId="6" applyNumberFormat="1" applyFont="1" applyBorder="1" applyAlignment="1" applyProtection="1">
      <alignment horizontal="center"/>
      <protection locked="0"/>
    </xf>
    <xf numFmtId="3" fontId="10" fillId="0" borderId="15" xfId="6" applyNumberFormat="1" applyFont="1" applyBorder="1" applyAlignment="1" applyProtection="1">
      <alignment horizontal="center"/>
      <protection locked="0"/>
    </xf>
    <xf numFmtId="3" fontId="10" fillId="8" borderId="17" xfId="6" applyNumberFormat="1" applyFont="1" applyFill="1" applyBorder="1" applyAlignment="1" applyProtection="1">
      <alignment horizontal="center"/>
      <protection locked="0"/>
    </xf>
    <xf numFmtId="3" fontId="10" fillId="8" borderId="16" xfId="6" applyNumberFormat="1" applyFont="1" applyFill="1" applyBorder="1" applyAlignment="1" applyProtection="1">
      <alignment horizontal="center"/>
      <protection locked="0"/>
    </xf>
    <xf numFmtId="0" fontId="10" fillId="0" borderId="14" xfId="6" applyFont="1" applyBorder="1" applyAlignment="1" applyProtection="1">
      <alignment horizontal="center" vertical="center"/>
      <protection locked="0"/>
    </xf>
    <xf numFmtId="3" fontId="10" fillId="0" borderId="7" xfId="6" applyNumberFormat="1" applyFont="1" applyBorder="1" applyAlignment="1" applyProtection="1">
      <alignment horizontal="center" vertical="center"/>
      <protection locked="0"/>
    </xf>
    <xf numFmtId="3" fontId="10" fillId="0" borderId="14" xfId="6" applyNumberFormat="1" applyFont="1" applyBorder="1" applyAlignment="1" applyProtection="1">
      <alignment horizontal="center" vertical="center"/>
      <protection locked="0"/>
    </xf>
    <xf numFmtId="3" fontId="10" fillId="0" borderId="12" xfId="6" applyNumberFormat="1" applyFont="1" applyBorder="1" applyAlignment="1" applyProtection="1">
      <alignment horizontal="center" vertical="center"/>
      <protection locked="0"/>
    </xf>
    <xf numFmtId="3" fontId="10" fillId="7" borderId="12" xfId="6" applyNumberFormat="1" applyFont="1" applyFill="1" applyBorder="1" applyAlignment="1" applyProtection="1">
      <alignment horizontal="center" vertical="center"/>
      <protection locked="0"/>
    </xf>
    <xf numFmtId="3" fontId="10" fillId="0" borderId="13" xfId="6" applyNumberFormat="1" applyFont="1" applyBorder="1" applyAlignment="1" applyProtection="1">
      <alignment horizontal="center" vertical="center"/>
      <protection locked="0"/>
    </xf>
    <xf numFmtId="3" fontId="10" fillId="8" borderId="18" xfId="6" applyNumberFormat="1" applyFont="1" applyFill="1" applyBorder="1" applyAlignment="1" applyProtection="1">
      <alignment horizontal="center" vertical="center"/>
      <protection locked="0"/>
    </xf>
    <xf numFmtId="3" fontId="10" fillId="7" borderId="19" xfId="6" applyNumberFormat="1" applyFont="1" applyFill="1" applyBorder="1" applyAlignment="1" applyProtection="1">
      <alignment horizontal="center" vertical="center"/>
      <protection locked="0"/>
    </xf>
    <xf numFmtId="3" fontId="10" fillId="8" borderId="13" xfId="6" applyNumberFormat="1" applyFont="1" applyFill="1" applyBorder="1" applyAlignment="1" applyProtection="1">
      <alignment horizontal="center" vertical="center"/>
      <protection locked="0"/>
    </xf>
    <xf numFmtId="0" fontId="17" fillId="0" borderId="20" xfId="6" applyFont="1" applyBorder="1" applyProtection="1">
      <protection locked="0"/>
    </xf>
    <xf numFmtId="44" fontId="17" fillId="9" borderId="21" xfId="8" applyFont="1" applyFill="1" applyBorder="1" applyProtection="1">
      <protection locked="0"/>
    </xf>
    <xf numFmtId="37" fontId="10" fillId="6" borderId="22" xfId="6" applyNumberFormat="1" applyFont="1" applyFill="1" applyBorder="1" applyAlignment="1" applyProtection="1">
      <alignment horizontal="center"/>
      <protection locked="0"/>
    </xf>
    <xf numFmtId="4" fontId="10" fillId="0" borderId="7" xfId="6" applyNumberFormat="1" applyFont="1" applyBorder="1" applyProtection="1">
      <protection locked="0"/>
    </xf>
    <xf numFmtId="167" fontId="10" fillId="6" borderId="22" xfId="6" applyNumberFormat="1" applyFont="1" applyFill="1" applyBorder="1" applyAlignment="1" applyProtection="1">
      <alignment horizontal="center"/>
      <protection locked="0"/>
    </xf>
    <xf numFmtId="4" fontId="10" fillId="0" borderId="12" xfId="6" applyNumberFormat="1" applyFont="1" applyBorder="1" applyProtection="1">
      <protection locked="0"/>
    </xf>
    <xf numFmtId="4" fontId="10" fillId="0" borderId="13" xfId="6" applyNumberFormat="1" applyFont="1" applyBorder="1" applyProtection="1">
      <protection locked="0"/>
    </xf>
    <xf numFmtId="4" fontId="10" fillId="0" borderId="14" xfId="6" applyNumberFormat="1" applyFont="1" applyBorder="1" applyProtection="1">
      <protection locked="0"/>
    </xf>
    <xf numFmtId="44" fontId="10" fillId="8" borderId="23" xfId="8" applyFont="1" applyFill="1" applyBorder="1" applyProtection="1">
      <protection locked="0"/>
    </xf>
    <xf numFmtId="4" fontId="10" fillId="7" borderId="24" xfId="6" applyNumberFormat="1" applyFont="1" applyFill="1" applyBorder="1" applyProtection="1">
      <protection locked="0"/>
    </xf>
    <xf numFmtId="3" fontId="10" fillId="0" borderId="13" xfId="6" applyNumberFormat="1" applyFont="1" applyBorder="1" applyProtection="1">
      <protection locked="0"/>
    </xf>
    <xf numFmtId="3" fontId="10" fillId="8" borderId="13" xfId="6" applyNumberFormat="1" applyFont="1" applyFill="1" applyBorder="1" applyProtection="1">
      <protection locked="0"/>
    </xf>
    <xf numFmtId="44" fontId="10" fillId="0" borderId="13" xfId="8" applyFont="1" applyBorder="1" applyProtection="1">
      <protection locked="0"/>
    </xf>
    <xf numFmtId="0" fontId="17" fillId="0" borderId="25" xfId="6" applyFont="1" applyBorder="1" applyProtection="1">
      <protection locked="0"/>
    </xf>
    <xf numFmtId="168" fontId="18" fillId="3" borderId="26" xfId="6" applyNumberFormat="1" applyFont="1" applyFill="1" applyBorder="1" applyProtection="1">
      <protection locked="0"/>
    </xf>
    <xf numFmtId="0" fontId="13" fillId="0" borderId="27" xfId="6" applyFont="1" applyBorder="1" applyAlignment="1" applyProtection="1">
      <alignment horizontal="center"/>
      <protection locked="0"/>
    </xf>
    <xf numFmtId="4" fontId="10" fillId="0" borderId="24" xfId="6" applyNumberFormat="1" applyFont="1" applyBorder="1" applyProtection="1">
      <protection locked="0"/>
    </xf>
    <xf numFmtId="3" fontId="13" fillId="0" borderId="27" xfId="6" applyNumberFormat="1" applyFont="1" applyBorder="1" applyAlignment="1" applyProtection="1">
      <alignment horizontal="center"/>
      <protection locked="0"/>
    </xf>
    <xf numFmtId="4" fontId="10" fillId="0" borderId="23" xfId="6" applyNumberFormat="1" applyFont="1" applyBorder="1" applyProtection="1">
      <protection locked="0"/>
    </xf>
    <xf numFmtId="4" fontId="10" fillId="0" borderId="28" xfId="6" applyNumberFormat="1" applyFont="1" applyBorder="1" applyProtection="1">
      <protection locked="0"/>
    </xf>
    <xf numFmtId="3" fontId="10" fillId="0" borderId="23" xfId="6" applyNumberFormat="1" applyFont="1" applyBorder="1" applyProtection="1">
      <protection locked="0"/>
    </xf>
    <xf numFmtId="3" fontId="10" fillId="8" borderId="23" xfId="6" applyNumberFormat="1" applyFont="1" applyFill="1" applyBorder="1" applyProtection="1">
      <protection locked="0"/>
    </xf>
    <xf numFmtId="44" fontId="10" fillId="0" borderId="23" xfId="8" applyFont="1" applyBorder="1" applyProtection="1">
      <protection locked="0"/>
    </xf>
    <xf numFmtId="169" fontId="19" fillId="10" borderId="26" xfId="6" applyNumberFormat="1" applyFont="1" applyFill="1" applyBorder="1"/>
    <xf numFmtId="0" fontId="17" fillId="10" borderId="25" xfId="6" applyFont="1" applyFill="1" applyBorder="1" applyProtection="1">
      <protection locked="0"/>
    </xf>
    <xf numFmtId="168" fontId="19" fillId="10" borderId="26" xfId="6" applyNumberFormat="1" applyFont="1" applyFill="1" applyBorder="1"/>
    <xf numFmtId="169" fontId="18" fillId="9" borderId="26" xfId="6" applyNumberFormat="1" applyFont="1" applyFill="1" applyBorder="1" applyProtection="1">
      <protection locked="0"/>
    </xf>
    <xf numFmtId="44" fontId="18" fillId="9" borderId="26" xfId="8" applyFont="1" applyFill="1" applyBorder="1" applyProtection="1">
      <protection locked="0"/>
    </xf>
    <xf numFmtId="0" fontId="17" fillId="0" borderId="29" xfId="6" applyFont="1" applyBorder="1" applyProtection="1">
      <protection locked="0"/>
    </xf>
    <xf numFmtId="169" fontId="18" fillId="9" borderId="30" xfId="6" applyNumberFormat="1" applyFont="1" applyFill="1" applyBorder="1" applyProtection="1">
      <protection locked="0"/>
    </xf>
    <xf numFmtId="0" fontId="13" fillId="0" borderId="31" xfId="6" applyFont="1" applyBorder="1" applyAlignment="1" applyProtection="1">
      <alignment horizontal="center"/>
      <protection locked="0"/>
    </xf>
    <xf numFmtId="3" fontId="13" fillId="0" borderId="31" xfId="6" applyNumberFormat="1" applyFont="1" applyBorder="1" applyAlignment="1" applyProtection="1">
      <alignment horizontal="center"/>
      <protection locked="0"/>
    </xf>
    <xf numFmtId="4" fontId="10" fillId="0" borderId="17" xfId="6" applyNumberFormat="1" applyFont="1" applyBorder="1" applyProtection="1">
      <protection locked="0"/>
    </xf>
    <xf numFmtId="4" fontId="10" fillId="8" borderId="17" xfId="6" applyNumberFormat="1" applyFont="1" applyFill="1" applyBorder="1" applyProtection="1">
      <protection locked="0"/>
    </xf>
    <xf numFmtId="44" fontId="10" fillId="0" borderId="17" xfId="8" applyFont="1" applyBorder="1" applyProtection="1">
      <protection locked="0"/>
    </xf>
    <xf numFmtId="0" fontId="20" fillId="0" borderId="32" xfId="6" applyFont="1" applyBorder="1" applyProtection="1">
      <protection locked="0"/>
    </xf>
    <xf numFmtId="44" fontId="17" fillId="0" borderId="18" xfId="8" applyFont="1" applyBorder="1" applyProtection="1">
      <protection locked="0"/>
    </xf>
    <xf numFmtId="0" fontId="13" fillId="0" borderId="9" xfId="6" applyFont="1" applyBorder="1" applyProtection="1">
      <protection locked="0"/>
    </xf>
    <xf numFmtId="44" fontId="16" fillId="8" borderId="18" xfId="8" applyFont="1" applyFill="1" applyBorder="1" applyProtection="1">
      <protection locked="0"/>
    </xf>
    <xf numFmtId="4" fontId="10" fillId="0" borderId="9" xfId="6" applyNumberFormat="1" applyFont="1" applyBorder="1" applyProtection="1">
      <protection locked="0"/>
    </xf>
    <xf numFmtId="44" fontId="10" fillId="8" borderId="18" xfId="8" applyFont="1" applyFill="1" applyBorder="1" applyProtection="1">
      <protection locked="0"/>
    </xf>
    <xf numFmtId="44" fontId="10" fillId="8" borderId="19" xfId="8" applyFont="1" applyFill="1" applyBorder="1" applyProtection="1">
      <protection locked="0"/>
    </xf>
    <xf numFmtId="44" fontId="10" fillId="0" borderId="19" xfId="8" applyFont="1" applyFill="1" applyBorder="1" applyProtection="1">
      <protection locked="0"/>
    </xf>
    <xf numFmtId="44" fontId="10" fillId="0" borderId="9" xfId="8" applyFont="1" applyFill="1" applyBorder="1" applyProtection="1">
      <protection locked="0"/>
    </xf>
    <xf numFmtId="44" fontId="10" fillId="0" borderId="18" xfId="8" applyFont="1" applyBorder="1" applyProtection="1">
      <protection locked="0"/>
    </xf>
    <xf numFmtId="44" fontId="10" fillId="11" borderId="17" xfId="8" applyFont="1" applyFill="1" applyBorder="1" applyProtection="1">
      <protection locked="0"/>
    </xf>
    <xf numFmtId="44" fontId="10" fillId="2" borderId="17" xfId="8" applyFont="1" applyFill="1" applyBorder="1" applyProtection="1">
      <protection locked="0"/>
    </xf>
    <xf numFmtId="44" fontId="10" fillId="0" borderId="17" xfId="8" applyFont="1" applyFill="1" applyBorder="1" applyProtection="1">
      <protection locked="0"/>
    </xf>
    <xf numFmtId="0" fontId="17" fillId="0" borderId="0" xfId="6" applyFont="1" applyProtection="1">
      <protection locked="0"/>
    </xf>
    <xf numFmtId="165" fontId="17" fillId="0" borderId="0" xfId="6" applyNumberFormat="1" applyFont="1" applyProtection="1">
      <protection locked="0"/>
    </xf>
    <xf numFmtId="4" fontId="10" fillId="0" borderId="0" xfId="6" applyNumberFormat="1" applyFont="1" applyProtection="1">
      <protection locked="0"/>
    </xf>
    <xf numFmtId="0" fontId="21" fillId="0" borderId="0" xfId="6" applyFont="1" applyProtection="1">
      <protection locked="0"/>
    </xf>
    <xf numFmtId="170" fontId="21" fillId="0" borderId="0" xfId="6" applyNumberFormat="1" applyFont="1" applyProtection="1">
      <protection locked="0"/>
    </xf>
    <xf numFmtId="0" fontId="16" fillId="0" borderId="0" xfId="6" applyFont="1" applyProtection="1">
      <protection locked="0"/>
    </xf>
    <xf numFmtId="4" fontId="22" fillId="0" borderId="14" xfId="6" applyNumberFormat="1" applyFont="1" applyBorder="1" applyAlignment="1" applyProtection="1">
      <alignment horizontal="center" vertical="center" wrapText="1"/>
      <protection locked="0"/>
    </xf>
    <xf numFmtId="4" fontId="22" fillId="0" borderId="12" xfId="6" applyNumberFormat="1" applyFont="1" applyBorder="1" applyAlignment="1" applyProtection="1">
      <alignment horizontal="center" vertical="center" wrapText="1"/>
      <protection locked="0"/>
    </xf>
    <xf numFmtId="4" fontId="22" fillId="0" borderId="18" xfId="6" applyNumberFormat="1" applyFont="1" applyBorder="1" applyAlignment="1" applyProtection="1">
      <alignment vertical="center" wrapText="1"/>
      <protection locked="0"/>
    </xf>
    <xf numFmtId="44" fontId="23" fillId="0" borderId="21" xfId="8" applyFont="1" applyFill="1" applyBorder="1" applyAlignment="1" applyProtection="1">
      <alignment horizontal="center" vertical="center"/>
      <protection locked="0"/>
    </xf>
    <xf numFmtId="0" fontId="5" fillId="0" borderId="0" xfId="6" applyFont="1" applyProtection="1">
      <protection locked="0"/>
    </xf>
    <xf numFmtId="4" fontId="5" fillId="0" borderId="0" xfId="6" applyNumberFormat="1" applyFont="1" applyAlignment="1" applyProtection="1">
      <alignment horizontal="right"/>
      <protection locked="0"/>
    </xf>
    <xf numFmtId="4" fontId="22" fillId="0" borderId="28" xfId="6" applyNumberFormat="1" applyFont="1" applyBorder="1" applyAlignment="1" applyProtection="1">
      <alignment horizontal="center" vertical="center" wrapText="1"/>
      <protection locked="0"/>
    </xf>
    <xf numFmtId="4" fontId="22" fillId="0" borderId="24" xfId="6" applyNumberFormat="1" applyFont="1" applyBorder="1" applyAlignment="1" applyProtection="1">
      <alignment horizontal="center" vertical="center" wrapText="1"/>
      <protection locked="0"/>
    </xf>
    <xf numFmtId="43" fontId="13" fillId="0" borderId="0" xfId="7" applyFont="1" applyFill="1" applyBorder="1" applyProtection="1">
      <protection locked="0"/>
    </xf>
    <xf numFmtId="0" fontId="13" fillId="0" borderId="28" xfId="6" applyFont="1" applyBorder="1" applyProtection="1">
      <protection locked="0"/>
    </xf>
    <xf numFmtId="0" fontId="13" fillId="0" borderId="24" xfId="6" applyFont="1" applyBorder="1" applyProtection="1">
      <protection locked="0"/>
    </xf>
    <xf numFmtId="4" fontId="22" fillId="0" borderId="15" xfId="6" applyNumberFormat="1" applyFont="1" applyBorder="1" applyAlignment="1" applyProtection="1">
      <alignment horizontal="center" vertical="center" wrapText="1"/>
      <protection locked="0"/>
    </xf>
    <xf numFmtId="4" fontId="22" fillId="0" borderId="16" xfId="6" applyNumberFormat="1" applyFont="1" applyBorder="1" applyAlignment="1" applyProtection="1">
      <alignment horizontal="center" vertical="center" wrapText="1"/>
      <protection locked="0"/>
    </xf>
    <xf numFmtId="3" fontId="13" fillId="0" borderId="0" xfId="6" applyNumberFormat="1" applyFont="1" applyAlignment="1" applyProtection="1">
      <alignment horizontal="center"/>
      <protection locked="0"/>
    </xf>
    <xf numFmtId="4" fontId="22" fillId="0" borderId="32" xfId="6" applyNumberFormat="1" applyFont="1" applyBorder="1" applyAlignment="1" applyProtection="1">
      <alignment horizontal="center" wrapText="1"/>
      <protection locked="0"/>
    </xf>
    <xf numFmtId="4" fontId="22" fillId="0" borderId="19" xfId="6" applyNumberFormat="1" applyFont="1" applyBorder="1" applyAlignment="1" applyProtection="1">
      <alignment horizontal="center" wrapText="1"/>
      <protection locked="0"/>
    </xf>
    <xf numFmtId="44" fontId="10" fillId="2" borderId="18" xfId="8" applyFont="1" applyFill="1" applyBorder="1" applyAlignment="1" applyProtection="1">
      <alignment horizontal="right"/>
      <protection locked="0"/>
    </xf>
    <xf numFmtId="166" fontId="10" fillId="0" borderId="0" xfId="6" applyNumberFormat="1" applyFont="1" applyProtection="1">
      <protection locked="0"/>
    </xf>
    <xf numFmtId="0" fontId="13" fillId="0" borderId="0" xfId="6" applyFont="1" applyAlignment="1" applyProtection="1">
      <alignment horizontal="center"/>
      <protection locked="0"/>
    </xf>
    <xf numFmtId="0" fontId="11" fillId="0" borderId="0" xfId="6" applyFont="1" applyProtection="1">
      <protection locked="0"/>
    </xf>
    <xf numFmtId="3" fontId="11" fillId="0" borderId="0" xfId="6" applyNumberFormat="1" applyFont="1" applyAlignment="1" applyProtection="1">
      <alignment horizontal="center"/>
      <protection locked="0"/>
    </xf>
    <xf numFmtId="0" fontId="11" fillId="0" borderId="0" xfId="6" applyFont="1" applyAlignment="1" applyProtection="1">
      <alignment horizontal="center"/>
      <protection locked="0"/>
    </xf>
    <xf numFmtId="0" fontId="11" fillId="0" borderId="0" xfId="6" applyFont="1" applyAlignment="1">
      <alignment horizontal="right"/>
    </xf>
    <xf numFmtId="0" fontId="9" fillId="0" borderId="0" xfId="6" applyFont="1"/>
    <xf numFmtId="0" fontId="13" fillId="0" borderId="0" xfId="6" applyFont="1" applyAlignment="1" applyProtection="1">
      <alignment horizontal="left"/>
      <protection locked="0"/>
    </xf>
    <xf numFmtId="3" fontId="13" fillId="0" borderId="0" xfId="6" applyNumberFormat="1" applyFont="1" applyAlignment="1" applyProtection="1">
      <alignment horizontal="left"/>
      <protection locked="0"/>
    </xf>
    <xf numFmtId="4" fontId="5" fillId="13" borderId="0" xfId="6" applyNumberFormat="1" applyFont="1" applyFill="1" applyAlignment="1" applyProtection="1">
      <alignment horizontal="right"/>
      <protection locked="0"/>
    </xf>
    <xf numFmtId="0" fontId="16" fillId="13" borderId="0" xfId="6" applyFont="1" applyFill="1" applyAlignment="1" applyProtection="1">
      <alignment horizontal="right"/>
      <protection locked="0"/>
    </xf>
    <xf numFmtId="4" fontId="22" fillId="13" borderId="28" xfId="6" applyNumberFormat="1" applyFont="1" applyFill="1" applyBorder="1" applyAlignment="1" applyProtection="1">
      <alignment horizontal="center" vertical="center" wrapText="1"/>
      <protection locked="0"/>
    </xf>
    <xf numFmtId="4" fontId="22" fillId="13" borderId="24" xfId="6" applyNumberFormat="1" applyFont="1" applyFill="1" applyBorder="1" applyAlignment="1" applyProtection="1">
      <alignment horizontal="center" vertical="center" wrapText="1"/>
      <protection locked="0"/>
    </xf>
    <xf numFmtId="0" fontId="10" fillId="0" borderId="14" xfId="6" applyFont="1" applyBorder="1" applyAlignment="1" applyProtection="1">
      <alignment horizontal="center" vertical="center" wrapText="1"/>
      <protection locked="0"/>
    </xf>
    <xf numFmtId="0" fontId="10" fillId="0" borderId="12" xfId="6" applyFont="1" applyBorder="1" applyAlignment="1" applyProtection="1">
      <alignment horizontal="center" vertical="center" wrapText="1"/>
      <protection locked="0"/>
    </xf>
    <xf numFmtId="0" fontId="10" fillId="6" borderId="0" xfId="6" applyFont="1" applyFill="1" applyAlignment="1" applyProtection="1">
      <alignment horizontal="left"/>
      <protection locked="0"/>
    </xf>
    <xf numFmtId="0" fontId="16" fillId="0" borderId="8" xfId="6" applyFont="1" applyBorder="1" applyAlignment="1" applyProtection="1">
      <alignment horizontal="center"/>
      <protection locked="0"/>
    </xf>
    <xf numFmtId="0" fontId="16" fillId="0" borderId="8" xfId="6" applyFont="1" applyBorder="1" applyAlignment="1" applyProtection="1">
      <alignment horizontal="center" wrapText="1"/>
      <protection locked="0"/>
    </xf>
    <xf numFmtId="0" fontId="10" fillId="0" borderId="10" xfId="6" applyFont="1" applyBorder="1" applyAlignment="1" applyProtection="1">
      <alignment horizontal="center" vertical="center" wrapText="1"/>
      <protection locked="0"/>
    </xf>
    <xf numFmtId="0" fontId="10" fillId="0" borderId="11" xfId="6" applyFont="1" applyBorder="1" applyAlignment="1" applyProtection="1">
      <alignment horizontal="center" vertical="center" wrapText="1"/>
      <protection locked="0"/>
    </xf>
    <xf numFmtId="0" fontId="36" fillId="0" borderId="0" xfId="0" applyFont="1" applyAlignment="1"/>
    <xf numFmtId="43" fontId="36" fillId="0" borderId="0" xfId="1" applyFont="1"/>
    <xf numFmtId="0" fontId="36" fillId="0" borderId="0" xfId="0" applyFont="1" applyAlignment="1">
      <alignment horizontal="center"/>
    </xf>
    <xf numFmtId="0" fontId="37" fillId="14" borderId="0" xfId="0" applyFont="1" applyFill="1" applyAlignment="1">
      <alignment horizontal="center"/>
    </xf>
    <xf numFmtId="0" fontId="37" fillId="14" borderId="24" xfId="0" applyFont="1" applyFill="1" applyBorder="1" applyAlignment="1">
      <alignment horizontal="center"/>
    </xf>
    <xf numFmtId="0" fontId="38" fillId="0" borderId="0" xfId="0" applyFont="1" applyAlignment="1"/>
    <xf numFmtId="0" fontId="38" fillId="0" borderId="0" xfId="0" applyFont="1" applyAlignment="1">
      <alignment horizontal="center"/>
    </xf>
    <xf numFmtId="0" fontId="39" fillId="0" borderId="20" xfId="0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39" fillId="0" borderId="40" xfId="0" applyFont="1" applyBorder="1" applyAlignment="1">
      <alignment vertical="center" wrapText="1"/>
    </xf>
    <xf numFmtId="0" fontId="39" fillId="0" borderId="41" xfId="0" applyFont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38" fillId="0" borderId="42" xfId="0" applyFont="1" applyBorder="1" applyAlignment="1">
      <alignment horizontal="center" vertical="center"/>
    </xf>
    <xf numFmtId="0" fontId="38" fillId="0" borderId="38" xfId="0" applyFont="1" applyBorder="1" applyAlignment="1">
      <alignment horizontal="left" vertical="center"/>
    </xf>
    <xf numFmtId="0" fontId="38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/>
    </xf>
    <xf numFmtId="44" fontId="40" fillId="0" borderId="43" xfId="301" applyFont="1" applyBorder="1" applyAlignment="1">
      <alignment vertical="center"/>
    </xf>
    <xf numFmtId="0" fontId="40" fillId="0" borderId="7" xfId="0" applyFont="1" applyBorder="1" applyAlignment="1">
      <alignment horizontal="center" vertical="center"/>
    </xf>
    <xf numFmtId="2" fontId="36" fillId="0" borderId="0" xfId="0" applyNumberFormat="1" applyFont="1" applyAlignment="1"/>
    <xf numFmtId="0" fontId="38" fillId="0" borderId="44" xfId="0" applyFont="1" applyBorder="1" applyAlignment="1">
      <alignment horizontal="center" vertical="center"/>
    </xf>
    <xf numFmtId="0" fontId="38" fillId="0" borderId="45" xfId="0" applyFont="1" applyBorder="1" applyAlignment="1">
      <alignment horizontal="left" vertical="center"/>
    </xf>
    <xf numFmtId="0" fontId="38" fillId="0" borderId="46" xfId="0" applyFont="1" applyBorder="1" applyAlignment="1">
      <alignment horizontal="center" vertical="center"/>
    </xf>
    <xf numFmtId="0" fontId="36" fillId="0" borderId="46" xfId="0" applyFont="1" applyBorder="1" applyAlignment="1">
      <alignment horizontal="center" vertical="center"/>
    </xf>
    <xf numFmtId="44" fontId="40" fillId="0" borderId="47" xfId="301" applyFont="1" applyBorder="1" applyAlignment="1">
      <alignment vertical="center"/>
    </xf>
    <xf numFmtId="0" fontId="40" fillId="0" borderId="0" xfId="0" applyFont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8" fillId="0" borderId="13" xfId="0" applyFont="1" applyBorder="1" applyAlignment="1">
      <alignment horizontal="left" vertical="center"/>
    </xf>
    <xf numFmtId="0" fontId="38" fillId="0" borderId="33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44" fontId="40" fillId="0" borderId="34" xfId="301" applyFont="1" applyBorder="1" applyAlignment="1">
      <alignment horizontal="center" vertical="center"/>
    </xf>
    <xf numFmtId="0" fontId="40" fillId="0" borderId="28" xfId="0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8" fillId="0" borderId="13" xfId="0" applyFont="1" applyBorder="1" applyAlignment="1">
      <alignment horizontal="left" vertical="center"/>
    </xf>
    <xf numFmtId="0" fontId="38" fillId="0" borderId="37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/>
    </xf>
    <xf numFmtId="44" fontId="40" fillId="0" borderId="48" xfId="301" applyFont="1" applyBorder="1" applyAlignment="1">
      <alignment vertical="center"/>
    </xf>
    <xf numFmtId="0" fontId="38" fillId="0" borderId="23" xfId="0" applyFont="1" applyBorder="1" applyAlignment="1">
      <alignment horizontal="center" vertical="center"/>
    </xf>
    <xf numFmtId="0" fontId="38" fillId="0" borderId="23" xfId="0" applyFont="1" applyBorder="1" applyAlignment="1">
      <alignment horizontal="left" vertical="center"/>
    </xf>
    <xf numFmtId="0" fontId="38" fillId="0" borderId="4" xfId="0" applyFont="1" applyBorder="1" applyAlignment="1">
      <alignment horizontal="center" vertical="center"/>
    </xf>
    <xf numFmtId="44" fontId="40" fillId="0" borderId="1" xfId="301" applyFont="1" applyBorder="1" applyAlignment="1">
      <alignment vertical="center"/>
    </xf>
    <xf numFmtId="0" fontId="38" fillId="0" borderId="17" xfId="0" applyFont="1" applyBorder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49" xfId="0" applyFont="1" applyBorder="1" applyAlignment="1">
      <alignment horizontal="center" vertical="center"/>
    </xf>
    <xf numFmtId="0" fontId="36" fillId="0" borderId="38" xfId="0" applyFont="1" applyBorder="1" applyAlignment="1">
      <alignment horizontal="center" vertical="center"/>
    </xf>
    <xf numFmtId="0" fontId="36" fillId="0" borderId="38" xfId="0" applyFont="1" applyBorder="1" applyAlignment="1">
      <alignment horizontal="center"/>
    </xf>
    <xf numFmtId="44" fontId="40" fillId="0" borderId="50" xfId="301" applyFont="1" applyBorder="1" applyAlignment="1">
      <alignment vertical="center"/>
    </xf>
    <xf numFmtId="0" fontId="38" fillId="0" borderId="51" xfId="0" applyFont="1" applyBorder="1" applyAlignment="1">
      <alignment horizontal="center" vertical="center"/>
    </xf>
    <xf numFmtId="0" fontId="36" fillId="0" borderId="40" xfId="0" applyFont="1" applyBorder="1" applyAlignment="1">
      <alignment horizontal="center" vertical="center"/>
    </xf>
    <xf numFmtId="0" fontId="36" fillId="0" borderId="40" xfId="0" applyFont="1" applyBorder="1" applyAlignment="1">
      <alignment horizontal="center"/>
    </xf>
    <xf numFmtId="44" fontId="40" fillId="0" borderId="41" xfId="301" applyFont="1" applyBorder="1" applyAlignment="1">
      <alignment vertical="center"/>
    </xf>
    <xf numFmtId="0" fontId="38" fillId="0" borderId="52" xfId="0" applyFont="1" applyBorder="1" applyAlignment="1">
      <alignment horizontal="center" vertical="center"/>
    </xf>
    <xf numFmtId="0" fontId="36" fillId="0" borderId="46" xfId="0" applyFont="1" applyBorder="1" applyAlignment="1">
      <alignment horizontal="center"/>
    </xf>
    <xf numFmtId="0" fontId="38" fillId="0" borderId="18" xfId="0" applyFont="1" applyBorder="1" applyAlignment="1">
      <alignment horizontal="center" vertical="center"/>
    </xf>
    <xf numFmtId="0" fontId="38" fillId="0" borderId="18" xfId="0" applyFont="1" applyBorder="1" applyAlignment="1">
      <alignment horizontal="left" vertical="center" wrapText="1"/>
    </xf>
    <xf numFmtId="44" fontId="40" fillId="0" borderId="34" xfId="301" applyFont="1" applyBorder="1" applyAlignment="1">
      <alignment vertical="center"/>
    </xf>
    <xf numFmtId="0" fontId="40" fillId="0" borderId="15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38" fillId="0" borderId="5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/>
    </xf>
    <xf numFmtId="0" fontId="38" fillId="0" borderId="46" xfId="0" applyFont="1" applyBorder="1" applyAlignment="1">
      <alignment horizontal="center"/>
    </xf>
    <xf numFmtId="0" fontId="39" fillId="0" borderId="13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54" xfId="0" applyFont="1" applyBorder="1" applyAlignment="1">
      <alignment horizontal="center" vertical="center"/>
    </xf>
    <xf numFmtId="0" fontId="39" fillId="0" borderId="39" xfId="0" applyFont="1" applyBorder="1" applyAlignment="1">
      <alignment horizontal="center" vertical="center"/>
    </xf>
    <xf numFmtId="44" fontId="40" fillId="0" borderId="55" xfId="301" applyFont="1" applyBorder="1" applyAlignment="1">
      <alignment horizontal="center" vertical="center" wrapText="1"/>
    </xf>
    <xf numFmtId="0" fontId="39" fillId="0" borderId="23" xfId="0" applyFont="1" applyBorder="1" applyAlignment="1">
      <alignment horizontal="center" vertical="center"/>
    </xf>
    <xf numFmtId="0" fontId="39" fillId="0" borderId="25" xfId="0" applyFont="1" applyBorder="1" applyAlignment="1">
      <alignment horizontal="center" vertical="center"/>
    </xf>
    <xf numFmtId="0" fontId="39" fillId="0" borderId="56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44" fontId="40" fillId="0" borderId="57" xfId="301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58" xfId="0" applyFont="1" applyBorder="1" applyAlignment="1">
      <alignment horizontal="center" vertical="center"/>
    </xf>
    <xf numFmtId="0" fontId="39" fillId="0" borderId="59" xfId="0" applyFont="1" applyBorder="1" applyAlignment="1">
      <alignment horizontal="center" vertical="center"/>
    </xf>
    <xf numFmtId="44" fontId="40" fillId="0" borderId="60" xfId="301" applyFont="1" applyBorder="1" applyAlignment="1">
      <alignment horizontal="center" vertical="center" wrapText="1"/>
    </xf>
    <xf numFmtId="0" fontId="33" fillId="0" borderId="2" xfId="3" applyFont="1" applyBorder="1" applyAlignment="1">
      <alignment vertical="center" wrapText="1"/>
    </xf>
    <xf numFmtId="0" fontId="32" fillId="0" borderId="2" xfId="3" applyFont="1" applyBorder="1" applyAlignment="1">
      <alignment vertical="center"/>
    </xf>
    <xf numFmtId="0" fontId="34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5" fillId="2" borderId="0" xfId="0" applyFont="1" applyFill="1" applyAlignment="1">
      <alignment horizontal="left" vertical="center"/>
    </xf>
    <xf numFmtId="0" fontId="42" fillId="0" borderId="0" xfId="0" applyFont="1">
      <alignment vertical="center"/>
    </xf>
    <xf numFmtId="14" fontId="42" fillId="0" borderId="0" xfId="0" applyNumberFormat="1" applyFont="1">
      <alignment vertical="center"/>
    </xf>
    <xf numFmtId="14" fontId="32" fillId="0" borderId="5" xfId="0" applyNumberFormat="1" applyFont="1" applyBorder="1">
      <alignment vertical="center"/>
    </xf>
    <xf numFmtId="14" fontId="32" fillId="0" borderId="0" xfId="0" applyNumberFormat="1" applyFont="1">
      <alignment vertical="center"/>
    </xf>
    <xf numFmtId="9" fontId="43" fillId="0" borderId="1" xfId="2" applyFont="1" applyFill="1" applyBorder="1" applyAlignment="1">
      <alignment vertical="center"/>
    </xf>
    <xf numFmtId="9" fontId="44" fillId="0" borderId="0" xfId="2" applyFont="1" applyFill="1" applyBorder="1" applyAlignme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5" fillId="0" borderId="2" xfId="3" applyFont="1" applyBorder="1" applyAlignment="1">
      <alignment vertical="center"/>
    </xf>
    <xf numFmtId="0" fontId="45" fillId="0" borderId="2" xfId="3" applyFont="1" applyBorder="1" applyAlignment="1">
      <alignment vertical="center" wrapText="1"/>
    </xf>
    <xf numFmtId="14" fontId="45" fillId="0" borderId="2" xfId="3" applyNumberFormat="1" applyFont="1" applyBorder="1" applyAlignment="1">
      <alignment vertical="center" wrapText="1"/>
    </xf>
    <xf numFmtId="4" fontId="45" fillId="0" borderId="2" xfId="3" applyNumberFormat="1" applyFont="1" applyBorder="1" applyAlignment="1">
      <alignment vertical="center" wrapText="1"/>
    </xf>
    <xf numFmtId="4" fontId="45" fillId="3" borderId="2" xfId="3" applyNumberFormat="1" applyFont="1" applyFill="1" applyBorder="1" applyAlignment="1">
      <alignment vertical="center" wrapText="1"/>
    </xf>
    <xf numFmtId="14" fontId="45" fillId="0" borderId="6" xfId="0" applyNumberFormat="1" applyFont="1" applyBorder="1" applyAlignment="1">
      <alignment vertical="center" wrapText="1"/>
    </xf>
    <xf numFmtId="14" fontId="33" fillId="0" borderId="4" xfId="3" applyNumberFormat="1" applyFont="1" applyBorder="1" applyAlignment="1">
      <alignment vertical="center" wrapText="1"/>
    </xf>
    <xf numFmtId="4" fontId="47" fillId="3" borderId="2" xfId="3" applyNumberFormat="1" applyFont="1" applyFill="1" applyBorder="1" applyAlignment="1">
      <alignment vertical="center" wrapText="1"/>
    </xf>
    <xf numFmtId="4" fontId="47" fillId="4" borderId="2" xfId="3" applyNumberFormat="1" applyFont="1" applyFill="1" applyBorder="1" applyAlignment="1">
      <alignment vertical="center" wrapText="1"/>
    </xf>
    <xf numFmtId="9" fontId="47" fillId="3" borderId="2" xfId="2" applyFont="1" applyFill="1" applyBorder="1" applyAlignment="1">
      <alignment vertical="center" wrapText="1"/>
    </xf>
    <xf numFmtId="9" fontId="48" fillId="3" borderId="2" xfId="2" applyFont="1" applyFill="1" applyBorder="1" applyAlignment="1">
      <alignment vertical="center" wrapText="1"/>
    </xf>
    <xf numFmtId="0" fontId="33" fillId="0" borderId="2" xfId="0" applyFont="1" applyBorder="1">
      <alignment vertical="center"/>
    </xf>
    <xf numFmtId="0" fontId="33" fillId="0" borderId="2" xfId="0" applyFont="1" applyBorder="1" applyAlignment="1">
      <alignment vertical="center" wrapText="1"/>
    </xf>
    <xf numFmtId="0" fontId="32" fillId="3" borderId="0" xfId="0" applyFont="1" applyFill="1">
      <alignment vertical="center"/>
    </xf>
    <xf numFmtId="0" fontId="43" fillId="3" borderId="35" xfId="3" quotePrefix="1" applyFont="1" applyFill="1" applyBorder="1" applyAlignment="1">
      <alignment vertical="center"/>
    </xf>
    <xf numFmtId="0" fontId="43" fillId="3" borderId="35" xfId="3" applyFont="1" applyFill="1" applyBorder="1" applyAlignment="1">
      <alignment vertical="center"/>
    </xf>
    <xf numFmtId="14" fontId="32" fillId="3" borderId="35" xfId="0" applyNumberFormat="1" applyFont="1" applyFill="1" applyBorder="1">
      <alignment vertical="center"/>
    </xf>
    <xf numFmtId="4" fontId="43" fillId="3" borderId="35" xfId="3" applyNumberFormat="1" applyFont="1" applyFill="1" applyBorder="1" applyAlignment="1">
      <alignment vertical="center"/>
    </xf>
    <xf numFmtId="14" fontId="42" fillId="3" borderId="35" xfId="0" applyNumberFormat="1" applyFont="1" applyFill="1" applyBorder="1">
      <alignment vertical="center"/>
    </xf>
    <xf numFmtId="14" fontId="32" fillId="0" borderId="36" xfId="0" applyNumberFormat="1" applyFont="1" applyBorder="1">
      <alignment vertical="center"/>
    </xf>
    <xf numFmtId="14" fontId="32" fillId="3" borderId="37" xfId="0" applyNumberFormat="1" applyFont="1" applyFill="1" applyBorder="1">
      <alignment vertical="center"/>
    </xf>
    <xf numFmtId="4" fontId="42" fillId="3" borderId="35" xfId="3" applyNumberFormat="1" applyFont="1" applyFill="1" applyBorder="1" applyAlignment="1">
      <alignment vertical="center"/>
    </xf>
    <xf numFmtId="4" fontId="43" fillId="4" borderId="35" xfId="3" applyNumberFormat="1" applyFont="1" applyFill="1" applyBorder="1" applyAlignment="1">
      <alignment vertical="center"/>
    </xf>
    <xf numFmtId="4" fontId="47" fillId="3" borderId="35" xfId="3" applyNumberFormat="1" applyFont="1" applyFill="1" applyBorder="1" applyAlignment="1">
      <alignment vertical="center"/>
    </xf>
    <xf numFmtId="9" fontId="43" fillId="3" borderId="35" xfId="2" applyFont="1" applyFill="1" applyBorder="1" applyAlignment="1">
      <alignment vertical="center"/>
    </xf>
    <xf numFmtId="4" fontId="44" fillId="3" borderId="35" xfId="3" applyNumberFormat="1" applyFont="1" applyFill="1" applyBorder="1" applyAlignment="1">
      <alignment vertical="center"/>
    </xf>
    <xf numFmtId="4" fontId="45" fillId="3" borderId="35" xfId="3" applyNumberFormat="1" applyFont="1" applyFill="1" applyBorder="1" applyAlignment="1">
      <alignment vertical="center"/>
    </xf>
    <xf numFmtId="0" fontId="43" fillId="3" borderId="2" xfId="3" applyFont="1" applyFill="1" applyBorder="1" applyAlignment="1">
      <alignment vertical="center"/>
    </xf>
    <xf numFmtId="14" fontId="32" fillId="3" borderId="2" xfId="0" applyNumberFormat="1" applyFont="1" applyFill="1" applyBorder="1">
      <alignment vertical="center"/>
    </xf>
    <xf numFmtId="4" fontId="43" fillId="3" borderId="2" xfId="3" applyNumberFormat="1" applyFont="1" applyFill="1" applyBorder="1" applyAlignment="1">
      <alignment vertical="center"/>
    </xf>
    <xf numFmtId="14" fontId="42" fillId="3" borderId="2" xfId="0" applyNumberFormat="1" applyFont="1" applyFill="1" applyBorder="1">
      <alignment vertical="center"/>
    </xf>
    <xf numFmtId="14" fontId="32" fillId="0" borderId="6" xfId="0" applyNumberFormat="1" applyFont="1" applyBorder="1">
      <alignment vertical="center"/>
    </xf>
    <xf numFmtId="14" fontId="32" fillId="3" borderId="4" xfId="0" applyNumberFormat="1" applyFont="1" applyFill="1" applyBorder="1">
      <alignment vertical="center"/>
    </xf>
    <xf numFmtId="4" fontId="42" fillId="3" borderId="2" xfId="3" applyNumberFormat="1" applyFont="1" applyFill="1" applyBorder="1" applyAlignment="1">
      <alignment vertical="center"/>
    </xf>
    <xf numFmtId="4" fontId="43" fillId="4" borderId="2" xfId="3" applyNumberFormat="1" applyFont="1" applyFill="1" applyBorder="1" applyAlignment="1">
      <alignment vertical="center"/>
    </xf>
    <xf numFmtId="4" fontId="47" fillId="3" borderId="2" xfId="3" applyNumberFormat="1" applyFont="1" applyFill="1" applyBorder="1" applyAlignment="1">
      <alignment vertical="center"/>
    </xf>
    <xf numFmtId="9" fontId="43" fillId="3" borderId="2" xfId="2" applyFont="1" applyFill="1" applyBorder="1" applyAlignment="1">
      <alignment vertical="center"/>
    </xf>
    <xf numFmtId="4" fontId="44" fillId="3" borderId="2" xfId="3" applyNumberFormat="1" applyFont="1" applyFill="1" applyBorder="1" applyAlignment="1">
      <alignment vertical="center"/>
    </xf>
    <xf numFmtId="4" fontId="45" fillId="3" borderId="2" xfId="3" applyNumberFormat="1" applyFont="1" applyFill="1" applyBorder="1" applyAlignment="1">
      <alignment vertical="center"/>
    </xf>
    <xf numFmtId="0" fontId="43" fillId="3" borderId="2" xfId="3" quotePrefix="1" applyFont="1" applyFill="1" applyBorder="1" applyAlignment="1">
      <alignment vertical="center"/>
    </xf>
    <xf numFmtId="0" fontId="32" fillId="4" borderId="0" xfId="0" applyFont="1" applyFill="1">
      <alignment vertical="center"/>
    </xf>
    <xf numFmtId="9" fontId="32" fillId="0" borderId="0" xfId="2" applyFont="1" applyAlignment="1">
      <alignment vertical="center"/>
    </xf>
    <xf numFmtId="9" fontId="44" fillId="0" borderId="0" xfId="2" applyFont="1" applyAlignment="1">
      <alignment vertical="center"/>
    </xf>
    <xf numFmtId="3" fontId="49" fillId="0" borderId="0" xfId="6" applyNumberFormat="1" applyFont="1" applyProtection="1">
      <protection locked="0"/>
    </xf>
    <xf numFmtId="0" fontId="38" fillId="0" borderId="0" xfId="6" applyFont="1" applyProtection="1">
      <protection locked="0"/>
    </xf>
    <xf numFmtId="3" fontId="38" fillId="0" borderId="0" xfId="6" applyNumberFormat="1" applyFont="1" applyProtection="1">
      <protection locked="0"/>
    </xf>
    <xf numFmtId="0" fontId="39" fillId="0" borderId="0" xfId="6" applyFont="1" applyProtection="1">
      <protection locked="0"/>
    </xf>
    <xf numFmtId="164" fontId="38" fillId="0" borderId="0" xfId="6" applyNumberFormat="1" applyFont="1" applyProtection="1">
      <protection locked="0"/>
    </xf>
    <xf numFmtId="14" fontId="50" fillId="0" borderId="0" xfId="6" applyNumberFormat="1" applyFont="1" applyProtection="1">
      <protection locked="0"/>
    </xf>
    <xf numFmtId="4" fontId="38" fillId="0" borderId="0" xfId="6" applyNumberFormat="1" applyFont="1" applyProtection="1">
      <protection locked="0"/>
    </xf>
    <xf numFmtId="0" fontId="39" fillId="0" borderId="10" xfId="6" applyFont="1" applyBorder="1" applyAlignment="1" applyProtection="1">
      <alignment horizontal="center" vertical="center" wrapText="1"/>
      <protection locked="0"/>
    </xf>
    <xf numFmtId="0" fontId="39" fillId="0" borderId="11" xfId="6" applyFont="1" applyBorder="1" applyAlignment="1" applyProtection="1">
      <alignment horizontal="center" vertical="center" wrapText="1"/>
      <protection locked="0"/>
    </xf>
    <xf numFmtId="0" fontId="39" fillId="0" borderId="11" xfId="6" applyFont="1" applyBorder="1" applyAlignment="1" applyProtection="1">
      <alignment horizontal="center" vertical="center" wrapText="1"/>
      <protection locked="0"/>
    </xf>
    <xf numFmtId="0" fontId="39" fillId="0" borderId="12" xfId="6" applyFont="1" applyBorder="1" applyAlignment="1" applyProtection="1">
      <alignment horizontal="center" vertical="center" wrapText="1"/>
      <protection locked="0"/>
    </xf>
    <xf numFmtId="0" fontId="39" fillId="7" borderId="12" xfId="6" applyFont="1" applyFill="1" applyBorder="1" applyAlignment="1" applyProtection="1">
      <alignment vertical="center" wrapText="1"/>
      <protection locked="0"/>
    </xf>
    <xf numFmtId="0" fontId="39" fillId="0" borderId="13" xfId="6" applyFont="1" applyBorder="1" applyAlignment="1" applyProtection="1">
      <alignment horizontal="center" vertical="center" wrapText="1"/>
      <protection locked="0"/>
    </xf>
    <xf numFmtId="0" fontId="39" fillId="0" borderId="14" xfId="6" applyFont="1" applyBorder="1" applyAlignment="1" applyProtection="1">
      <alignment horizontal="center" vertical="center" wrapText="1"/>
      <protection locked="0"/>
    </xf>
    <xf numFmtId="0" fontId="39" fillId="0" borderId="12" xfId="6" applyFont="1" applyBorder="1" applyAlignment="1" applyProtection="1">
      <alignment vertical="center" wrapText="1"/>
      <protection locked="0"/>
    </xf>
    <xf numFmtId="0" fontId="39" fillId="0" borderId="13" xfId="6" applyFont="1" applyBorder="1" applyAlignment="1" applyProtection="1">
      <alignment horizontal="center" vertical="center"/>
      <protection locked="0"/>
    </xf>
    <xf numFmtId="0" fontId="39" fillId="0" borderId="15" xfId="6" applyFont="1" applyBorder="1" applyAlignment="1" applyProtection="1">
      <alignment horizontal="center"/>
      <protection locked="0"/>
    </xf>
    <xf numFmtId="3" fontId="39" fillId="0" borderId="8" xfId="6" applyNumberFormat="1" applyFont="1" applyBorder="1" applyAlignment="1" applyProtection="1">
      <alignment horizontal="center"/>
      <protection locked="0"/>
    </xf>
    <xf numFmtId="3" fontId="39" fillId="0" borderId="16" xfId="6" applyNumberFormat="1" applyFont="1" applyBorder="1" applyAlignment="1" applyProtection="1">
      <alignment horizontal="center"/>
      <protection locked="0"/>
    </xf>
    <xf numFmtId="3" fontId="39" fillId="7" borderId="16" xfId="6" applyNumberFormat="1" applyFont="1" applyFill="1" applyBorder="1" applyAlignment="1" applyProtection="1">
      <alignment horizontal="center"/>
      <protection locked="0"/>
    </xf>
    <xf numFmtId="3" fontId="39" fillId="0" borderId="17" xfId="6" applyNumberFormat="1" applyFont="1" applyBorder="1" applyAlignment="1" applyProtection="1">
      <alignment horizontal="center"/>
      <protection locked="0"/>
    </xf>
    <xf numFmtId="3" fontId="39" fillId="0" borderId="15" xfId="6" applyNumberFormat="1" applyFont="1" applyBorder="1" applyAlignment="1" applyProtection="1">
      <alignment horizontal="center"/>
      <protection locked="0"/>
    </xf>
    <xf numFmtId="0" fontId="39" fillId="0" borderId="14" xfId="6" applyFont="1" applyBorder="1" applyAlignment="1" applyProtection="1">
      <alignment horizontal="center" vertical="center" wrapText="1"/>
      <protection locked="0"/>
    </xf>
    <xf numFmtId="0" fontId="39" fillId="0" borderId="12" xfId="6" applyFont="1" applyBorder="1" applyAlignment="1" applyProtection="1">
      <alignment horizontal="center" vertical="center" wrapText="1"/>
      <protection locked="0"/>
    </xf>
    <xf numFmtId="0" fontId="39" fillId="0" borderId="32" xfId="6" applyFont="1" applyBorder="1" applyAlignment="1" applyProtection="1">
      <alignment horizontal="center" vertical="center"/>
      <protection locked="0"/>
    </xf>
    <xf numFmtId="3" fontId="39" fillId="0" borderId="19" xfId="6" applyNumberFormat="1" applyFont="1" applyBorder="1" applyAlignment="1" applyProtection="1">
      <alignment horizontal="center" vertical="center"/>
      <protection locked="0"/>
    </xf>
    <xf numFmtId="3" fontId="39" fillId="0" borderId="12" xfId="6" applyNumberFormat="1" applyFont="1" applyBorder="1" applyAlignment="1" applyProtection="1">
      <alignment horizontal="center" vertical="center"/>
      <protection locked="0"/>
    </xf>
    <xf numFmtId="3" fontId="39" fillId="7" borderId="12" xfId="6" applyNumberFormat="1" applyFont="1" applyFill="1" applyBorder="1" applyAlignment="1" applyProtection="1">
      <alignment horizontal="center" vertical="center"/>
      <protection locked="0"/>
    </xf>
    <xf numFmtId="3" fontId="39" fillId="0" borderId="13" xfId="6" applyNumberFormat="1" applyFont="1" applyBorder="1" applyAlignment="1" applyProtection="1">
      <alignment horizontal="center" vertical="center"/>
      <protection locked="0"/>
    </xf>
    <xf numFmtId="3" fontId="39" fillId="0" borderId="14" xfId="6" applyNumberFormat="1" applyFont="1" applyBorder="1" applyAlignment="1" applyProtection="1">
      <alignment horizontal="center" vertical="center"/>
      <protection locked="0"/>
    </xf>
    <xf numFmtId="3" fontId="39" fillId="7" borderId="19" xfId="6" applyNumberFormat="1" applyFont="1" applyFill="1" applyBorder="1" applyAlignment="1" applyProtection="1">
      <alignment horizontal="center" vertical="center"/>
      <protection locked="0"/>
    </xf>
    <xf numFmtId="0" fontId="38" fillId="0" borderId="27" xfId="6" applyFont="1" applyBorder="1" applyAlignment="1" applyProtection="1">
      <alignment horizontal="center"/>
      <protection locked="0"/>
    </xf>
    <xf numFmtId="0" fontId="38" fillId="0" borderId="31" xfId="6" applyFont="1" applyBorder="1" applyAlignment="1" applyProtection="1">
      <alignment horizontal="center"/>
      <protection locked="0"/>
    </xf>
    <xf numFmtId="0" fontId="38" fillId="0" borderId="9" xfId="6" applyFont="1" applyBorder="1" applyProtection="1">
      <protection locked="0"/>
    </xf>
    <xf numFmtId="170" fontId="38" fillId="0" borderId="0" xfId="6" applyNumberFormat="1" applyFont="1" applyProtection="1">
      <protection locked="0"/>
    </xf>
    <xf numFmtId="43" fontId="36" fillId="0" borderId="0" xfId="7" applyFont="1" applyFill="1" applyBorder="1" applyProtection="1">
      <protection locked="0"/>
    </xf>
    <xf numFmtId="0" fontId="38" fillId="0" borderId="28" xfId="6" applyFont="1" applyBorder="1" applyProtection="1">
      <protection locked="0"/>
    </xf>
    <xf numFmtId="0" fontId="38" fillId="0" borderId="24" xfId="6" applyFont="1" applyBorder="1" applyProtection="1">
      <protection locked="0"/>
    </xf>
    <xf numFmtId="3" fontId="38" fillId="0" borderId="0" xfId="6" applyNumberFormat="1" applyFont="1" applyAlignment="1" applyProtection="1">
      <alignment horizontal="center"/>
      <protection locked="0"/>
    </xf>
    <xf numFmtId="0" fontId="38" fillId="0" borderId="0" xfId="6" applyFont="1" applyAlignment="1" applyProtection="1">
      <alignment horizontal="center"/>
      <protection locked="0"/>
    </xf>
    <xf numFmtId="0" fontId="38" fillId="0" borderId="0" xfId="6" applyFont="1" applyAlignment="1" applyProtection="1">
      <alignment horizontal="left"/>
      <protection locked="0"/>
    </xf>
    <xf numFmtId="3" fontId="38" fillId="0" borderId="0" xfId="6" applyNumberFormat="1" applyFont="1" applyAlignment="1" applyProtection="1">
      <alignment horizontal="left"/>
      <protection locked="0"/>
    </xf>
    <xf numFmtId="3" fontId="51" fillId="0" borderId="0" xfId="6" applyNumberFormat="1" applyFont="1" applyProtection="1">
      <protection locked="0"/>
    </xf>
    <xf numFmtId="3" fontId="41" fillId="13" borderId="0" xfId="6" applyNumberFormat="1" applyFont="1" applyFill="1" applyAlignment="1" applyProtection="1">
      <alignment horizontal="center"/>
      <protection locked="0"/>
    </xf>
    <xf numFmtId="14" fontId="38" fillId="0" borderId="0" xfId="6" applyNumberFormat="1" applyFont="1" applyAlignment="1" applyProtection="1">
      <alignment horizontal="left"/>
      <protection locked="0"/>
    </xf>
    <xf numFmtId="14" fontId="38" fillId="0" borderId="0" xfId="6" applyNumberFormat="1" applyFont="1" applyAlignment="1" applyProtection="1">
      <alignment horizontal="center"/>
      <protection locked="0"/>
    </xf>
    <xf numFmtId="0" fontId="38" fillId="0" borderId="0" xfId="6" quotePrefix="1" applyFont="1" applyProtection="1">
      <protection locked="0"/>
    </xf>
    <xf numFmtId="0" fontId="52" fillId="0" borderId="0" xfId="6" applyFont="1" applyProtection="1">
      <protection locked="0"/>
    </xf>
    <xf numFmtId="0" fontId="53" fillId="0" borderId="8" xfId="6" applyFont="1" applyBorder="1" applyAlignment="1" applyProtection="1">
      <alignment horizontal="center"/>
      <protection locked="0"/>
    </xf>
    <xf numFmtId="0" fontId="53" fillId="0" borderId="8" xfId="6" applyFont="1" applyBorder="1" applyAlignment="1" applyProtection="1">
      <alignment horizontal="center"/>
      <protection locked="0"/>
    </xf>
    <xf numFmtId="0" fontId="53" fillId="0" borderId="8" xfId="6" applyFont="1" applyBorder="1" applyAlignment="1" applyProtection="1">
      <alignment horizontal="center" wrapText="1"/>
      <protection locked="0"/>
    </xf>
    <xf numFmtId="0" fontId="53" fillId="0" borderId="0" xfId="6" applyFont="1" applyAlignment="1" applyProtection="1">
      <alignment horizontal="center" wrapText="1"/>
      <protection locked="0"/>
    </xf>
    <xf numFmtId="0" fontId="53" fillId="0" borderId="0" xfId="6" applyFont="1" applyAlignment="1" applyProtection="1">
      <alignment horizontal="center"/>
      <protection locked="0"/>
    </xf>
    <xf numFmtId="0" fontId="53" fillId="0" borderId="0" xfId="6" applyFont="1" applyAlignment="1" applyProtection="1">
      <alignment horizontal="center" vertical="center"/>
      <protection locked="0"/>
    </xf>
    <xf numFmtId="0" fontId="41" fillId="0" borderId="0" xfId="6" applyFont="1" applyProtection="1">
      <protection locked="0"/>
    </xf>
    <xf numFmtId="0" fontId="38" fillId="0" borderId="20" xfId="6" applyFont="1" applyBorder="1" applyProtection="1">
      <protection locked="0"/>
    </xf>
    <xf numFmtId="44" fontId="38" fillId="0" borderId="21" xfId="5" applyFont="1" applyFill="1" applyBorder="1" applyProtection="1">
      <protection locked="0"/>
    </xf>
    <xf numFmtId="43" fontId="38" fillId="0" borderId="0" xfId="1" applyFont="1" applyFill="1" applyAlignment="1" applyProtection="1">
      <alignment horizontal="left"/>
      <protection locked="0"/>
    </xf>
    <xf numFmtId="4" fontId="38" fillId="0" borderId="24" xfId="6" applyNumberFormat="1" applyFont="1" applyBorder="1" applyProtection="1">
      <protection locked="0"/>
    </xf>
    <xf numFmtId="4" fontId="38" fillId="0" borderId="12" xfId="6" applyNumberFormat="1" applyFont="1" applyBorder="1" applyProtection="1">
      <protection locked="0"/>
    </xf>
    <xf numFmtId="4" fontId="38" fillId="0" borderId="13" xfId="6" applyNumberFormat="1" applyFont="1" applyBorder="1" applyProtection="1">
      <protection locked="0"/>
    </xf>
    <xf numFmtId="4" fontId="38" fillId="0" borderId="14" xfId="6" applyNumberFormat="1" applyFont="1" applyBorder="1" applyProtection="1">
      <protection locked="0"/>
    </xf>
    <xf numFmtId="4" fontId="38" fillId="7" borderId="24" xfId="6" applyNumberFormat="1" applyFont="1" applyFill="1" applyBorder="1" applyProtection="1">
      <protection locked="0"/>
    </xf>
    <xf numFmtId="3" fontId="38" fillId="0" borderId="13" xfId="6" applyNumberFormat="1" applyFont="1" applyBorder="1" applyProtection="1">
      <protection locked="0"/>
    </xf>
    <xf numFmtId="44" fontId="38" fillId="0" borderId="13" xfId="5" applyFont="1" applyBorder="1" applyProtection="1">
      <protection locked="0"/>
    </xf>
    <xf numFmtId="0" fontId="38" fillId="0" borderId="25" xfId="6" applyFont="1" applyBorder="1" applyProtection="1">
      <protection locked="0"/>
    </xf>
    <xf numFmtId="168" fontId="38" fillId="3" borderId="26" xfId="6" applyNumberFormat="1" applyFont="1" applyFill="1" applyBorder="1" applyProtection="1">
      <protection locked="0"/>
    </xf>
    <xf numFmtId="4" fontId="38" fillId="0" borderId="23" xfId="6" applyNumberFormat="1" applyFont="1" applyBorder="1" applyProtection="1">
      <protection locked="0"/>
    </xf>
    <xf numFmtId="4" fontId="38" fillId="0" borderId="28" xfId="6" applyNumberFormat="1" applyFont="1" applyBorder="1" applyProtection="1">
      <protection locked="0"/>
    </xf>
    <xf numFmtId="3" fontId="38" fillId="0" borderId="23" xfId="6" applyNumberFormat="1" applyFont="1" applyBorder="1" applyProtection="1">
      <protection locked="0"/>
    </xf>
    <xf numFmtId="44" fontId="38" fillId="0" borderId="23" xfId="5" applyFont="1" applyBorder="1" applyProtection="1">
      <protection locked="0"/>
    </xf>
    <xf numFmtId="0" fontId="38" fillId="0" borderId="61" xfId="6" applyFont="1" applyBorder="1" applyProtection="1">
      <protection locked="0"/>
    </xf>
    <xf numFmtId="0" fontId="38" fillId="0" borderId="29" xfId="6" applyFont="1" applyBorder="1" applyProtection="1">
      <protection locked="0"/>
    </xf>
    <xf numFmtId="44" fontId="38" fillId="0" borderId="17" xfId="5" applyFont="1" applyBorder="1" applyProtection="1">
      <protection locked="0"/>
    </xf>
    <xf numFmtId="0" fontId="38" fillId="0" borderId="32" xfId="6" applyFont="1" applyBorder="1" applyProtection="1">
      <protection locked="0"/>
    </xf>
    <xf numFmtId="44" fontId="38" fillId="0" borderId="18" xfId="5" applyFont="1" applyBorder="1" applyProtection="1">
      <protection locked="0"/>
    </xf>
    <xf numFmtId="4" fontId="38" fillId="0" borderId="9" xfId="6" applyNumberFormat="1" applyFont="1" applyBorder="1" applyProtection="1">
      <protection locked="0"/>
    </xf>
    <xf numFmtId="44" fontId="38" fillId="0" borderId="17" xfId="5" applyFont="1" applyFill="1" applyBorder="1" applyProtection="1">
      <protection locked="0"/>
    </xf>
    <xf numFmtId="44" fontId="38" fillId="13" borderId="17" xfId="5" applyFont="1" applyFill="1" applyBorder="1" applyProtection="1">
      <protection locked="0"/>
    </xf>
    <xf numFmtId="44" fontId="38" fillId="0" borderId="18" xfId="5" applyFont="1" applyFill="1" applyBorder="1" applyProtection="1">
      <protection locked="0"/>
    </xf>
    <xf numFmtId="165" fontId="38" fillId="0" borderId="0" xfId="6" applyNumberFormat="1" applyFont="1" applyProtection="1">
      <protection locked="0"/>
    </xf>
    <xf numFmtId="4" fontId="38" fillId="0" borderId="14" xfId="6" applyNumberFormat="1" applyFont="1" applyBorder="1" applyAlignment="1" applyProtection="1">
      <alignment horizontal="center" vertical="center" wrapText="1"/>
      <protection locked="0"/>
    </xf>
    <xf numFmtId="4" fontId="38" fillId="0" borderId="12" xfId="6" applyNumberFormat="1" applyFont="1" applyBorder="1" applyAlignment="1" applyProtection="1">
      <alignment horizontal="center" vertical="center" wrapText="1"/>
      <protection locked="0"/>
    </xf>
    <xf numFmtId="4" fontId="38" fillId="0" borderId="18" xfId="6" applyNumberFormat="1" applyFont="1" applyBorder="1" applyAlignment="1" applyProtection="1">
      <alignment vertical="center" wrapText="1"/>
      <protection locked="0"/>
    </xf>
    <xf numFmtId="44" fontId="36" fillId="0" borderId="21" xfId="5" applyFont="1" applyFill="1" applyBorder="1" applyAlignment="1" applyProtection="1">
      <alignment horizontal="center" vertical="center"/>
      <protection locked="0"/>
    </xf>
    <xf numFmtId="0" fontId="50" fillId="0" borderId="0" xfId="6" applyFont="1" applyProtection="1">
      <protection locked="0"/>
    </xf>
    <xf numFmtId="0" fontId="36" fillId="0" borderId="0" xfId="6" applyFont="1" applyProtection="1">
      <protection locked="0"/>
    </xf>
    <xf numFmtId="4" fontId="36" fillId="0" borderId="0" xfId="6" applyNumberFormat="1" applyFont="1" applyAlignment="1" applyProtection="1">
      <alignment horizontal="right"/>
      <protection locked="0"/>
    </xf>
    <xf numFmtId="4" fontId="38" fillId="0" borderId="28" xfId="6" applyNumberFormat="1" applyFont="1" applyBorder="1" applyAlignment="1" applyProtection="1">
      <alignment horizontal="center" vertical="center" wrapText="1"/>
      <protection locked="0"/>
    </xf>
    <xf numFmtId="4" fontId="38" fillId="0" borderId="24" xfId="6" applyNumberFormat="1" applyFont="1" applyBorder="1" applyAlignment="1" applyProtection="1">
      <alignment horizontal="center" vertical="center" wrapText="1"/>
      <protection locked="0"/>
    </xf>
    <xf numFmtId="0" fontId="50" fillId="0" borderId="0" xfId="6" applyFont="1" applyAlignment="1" applyProtection="1">
      <alignment horizontal="right"/>
      <protection locked="0"/>
    </xf>
    <xf numFmtId="4" fontId="38" fillId="0" borderId="15" xfId="6" applyNumberFormat="1" applyFont="1" applyBorder="1" applyAlignment="1" applyProtection="1">
      <alignment horizontal="center" vertical="center" wrapText="1"/>
      <protection locked="0"/>
    </xf>
    <xf numFmtId="4" fontId="38" fillId="0" borderId="16" xfId="6" applyNumberFormat="1" applyFont="1" applyBorder="1" applyAlignment="1" applyProtection="1">
      <alignment horizontal="center" vertical="center" wrapText="1"/>
      <protection locked="0"/>
    </xf>
    <xf numFmtId="4" fontId="38" fillId="0" borderId="32" xfId="6" applyNumberFormat="1" applyFont="1" applyBorder="1" applyAlignment="1" applyProtection="1">
      <alignment horizontal="center" wrapText="1"/>
      <protection locked="0"/>
    </xf>
    <xf numFmtId="4" fontId="38" fillId="0" borderId="19" xfId="6" applyNumberFormat="1" applyFont="1" applyBorder="1" applyAlignment="1" applyProtection="1">
      <alignment horizontal="center" wrapText="1"/>
      <protection locked="0"/>
    </xf>
    <xf numFmtId="44" fontId="38" fillId="13" borderId="18" xfId="5" applyFont="1" applyFill="1" applyBorder="1" applyAlignment="1" applyProtection="1">
      <alignment horizontal="right"/>
      <protection locked="0"/>
    </xf>
    <xf numFmtId="166" fontId="38" fillId="0" borderId="0" xfId="6" applyNumberFormat="1" applyFont="1" applyProtection="1">
      <protection locked="0"/>
    </xf>
    <xf numFmtId="0" fontId="51" fillId="0" borderId="0" xfId="6" applyFont="1" applyProtection="1">
      <protection locked="0"/>
    </xf>
    <xf numFmtId="3" fontId="51" fillId="0" borderId="0" xfId="6" applyNumberFormat="1" applyFont="1" applyAlignment="1" applyProtection="1">
      <alignment horizontal="center"/>
      <protection locked="0"/>
    </xf>
    <xf numFmtId="0" fontId="51" fillId="0" borderId="0" xfId="6" applyFont="1" applyAlignment="1" applyProtection="1">
      <alignment horizontal="center"/>
      <protection locked="0"/>
    </xf>
    <xf numFmtId="0" fontId="39" fillId="0" borderId="0" xfId="6" applyFont="1" applyAlignment="1" applyProtection="1">
      <alignment vertical="center"/>
      <protection locked="0"/>
    </xf>
    <xf numFmtId="44" fontId="38" fillId="7" borderId="18" xfId="5" applyFont="1" applyFill="1" applyBorder="1" applyProtection="1">
      <protection locked="0"/>
    </xf>
    <xf numFmtId="44" fontId="38" fillId="7" borderId="19" xfId="5" applyFont="1" applyFill="1" applyBorder="1" applyProtection="1">
      <protection locked="0"/>
    </xf>
    <xf numFmtId="44" fontId="38" fillId="7" borderId="9" xfId="5" applyFont="1" applyFill="1" applyBorder="1" applyProtection="1">
      <protection locked="0"/>
    </xf>
    <xf numFmtId="3" fontId="39" fillId="7" borderId="13" xfId="6" applyNumberFormat="1" applyFont="1" applyFill="1" applyBorder="1" applyAlignment="1" applyProtection="1">
      <alignment horizontal="center" vertical="center"/>
      <protection locked="0"/>
    </xf>
    <xf numFmtId="3" fontId="38" fillId="7" borderId="13" xfId="6" applyNumberFormat="1" applyFont="1" applyFill="1" applyBorder="1" applyProtection="1">
      <protection locked="0"/>
    </xf>
    <xf numFmtId="3" fontId="38" fillId="7" borderId="23" xfId="6" applyNumberFormat="1" applyFont="1" applyFill="1" applyBorder="1" applyProtection="1">
      <protection locked="0"/>
    </xf>
    <xf numFmtId="4" fontId="38" fillId="7" borderId="17" xfId="6" applyNumberFormat="1" applyFont="1" applyFill="1" applyBorder="1" applyProtection="1">
      <protection locked="0"/>
    </xf>
    <xf numFmtId="0" fontId="39" fillId="7" borderId="13" xfId="6" applyFont="1" applyFill="1" applyBorder="1" applyAlignment="1" applyProtection="1">
      <alignment horizontal="center" vertical="center" wrapText="1"/>
      <protection locked="0"/>
    </xf>
    <xf numFmtId="3" fontId="39" fillId="7" borderId="17" xfId="6" applyNumberFormat="1" applyFont="1" applyFill="1" applyBorder="1" applyAlignment="1" applyProtection="1">
      <alignment horizontal="center"/>
      <protection locked="0"/>
    </xf>
    <xf numFmtId="3" fontId="39" fillId="7" borderId="18" xfId="6" applyNumberFormat="1" applyFont="1" applyFill="1" applyBorder="1" applyAlignment="1" applyProtection="1">
      <alignment horizontal="center" vertical="center"/>
      <protection locked="0"/>
    </xf>
    <xf numFmtId="44" fontId="38" fillId="7" borderId="23" xfId="5" applyFont="1" applyFill="1" applyBorder="1" applyProtection="1">
      <protection locked="0"/>
    </xf>
    <xf numFmtId="0" fontId="54" fillId="0" borderId="0" xfId="6" applyFont="1"/>
    <xf numFmtId="0" fontId="54" fillId="0" borderId="7" xfId="6" applyFont="1" applyBorder="1"/>
    <xf numFmtId="4" fontId="54" fillId="0" borderId="0" xfId="6" applyNumberFormat="1" applyFont="1"/>
    <xf numFmtId="4" fontId="54" fillId="0" borderId="7" xfId="6" applyNumberFormat="1" applyFont="1" applyBorder="1"/>
    <xf numFmtId="4" fontId="43" fillId="0" borderId="7" xfId="6" applyNumberFormat="1" applyFont="1" applyBorder="1"/>
    <xf numFmtId="0" fontId="54" fillId="0" borderId="12" xfId="6" applyFont="1" applyBorder="1"/>
    <xf numFmtId="2" fontId="54" fillId="0" borderId="0" xfId="6" applyNumberFormat="1" applyFont="1"/>
    <xf numFmtId="14" fontId="54" fillId="0" borderId="28" xfId="6" applyNumberFormat="1" applyFont="1" applyBorder="1"/>
    <xf numFmtId="0" fontId="54" fillId="0" borderId="24" xfId="6" applyFont="1" applyBorder="1"/>
    <xf numFmtId="4" fontId="43" fillId="0" borderId="0" xfId="6" applyNumberFormat="1" applyFont="1"/>
    <xf numFmtId="0" fontId="55" fillId="0" borderId="0" xfId="6" applyFont="1"/>
    <xf numFmtId="14" fontId="54" fillId="0" borderId="15" xfId="6" applyNumberFormat="1" applyFont="1" applyBorder="1"/>
    <xf numFmtId="0" fontId="54" fillId="0" borderId="8" xfId="6" applyFont="1" applyBorder="1"/>
    <xf numFmtId="4" fontId="54" fillId="0" borderId="8" xfId="6" applyNumberFormat="1" applyFont="1" applyBorder="1"/>
    <xf numFmtId="4" fontId="43" fillId="0" borderId="8" xfId="6" applyNumberFormat="1" applyFont="1" applyBorder="1"/>
    <xf numFmtId="0" fontId="54" fillId="0" borderId="16" xfId="6" applyFont="1" applyBorder="1"/>
    <xf numFmtId="14" fontId="54" fillId="0" borderId="14" xfId="6" applyNumberFormat="1" applyFont="1" applyBorder="1"/>
    <xf numFmtId="3" fontId="55" fillId="0" borderId="7" xfId="6" applyNumberFormat="1" applyFont="1" applyBorder="1"/>
    <xf numFmtId="3" fontId="54" fillId="0" borderId="8" xfId="6" applyNumberFormat="1" applyFont="1" applyBorder="1"/>
    <xf numFmtId="0" fontId="55" fillId="2" borderId="0" xfId="6" applyFont="1" applyFill="1"/>
    <xf numFmtId="0" fontId="47" fillId="0" borderId="33" xfId="6" applyFont="1" applyBorder="1"/>
    <xf numFmtId="0" fontId="47" fillId="0" borderId="3" xfId="6" applyFont="1" applyBorder="1"/>
    <xf numFmtId="4" fontId="47" fillId="0" borderId="3" xfId="6" applyNumberFormat="1" applyFont="1" applyBorder="1"/>
    <xf numFmtId="4" fontId="47" fillId="12" borderId="3" xfId="6" applyNumberFormat="1" applyFont="1" applyFill="1" applyBorder="1"/>
    <xf numFmtId="0" fontId="47" fillId="0" borderId="34" xfId="6" applyFont="1" applyBorder="1"/>
    <xf numFmtId="0" fontId="47" fillId="0" borderId="0" xfId="6" applyFont="1"/>
    <xf numFmtId="14" fontId="47" fillId="0" borderId="14" xfId="6" applyNumberFormat="1" applyFont="1" applyBorder="1"/>
    <xf numFmtId="0" fontId="47" fillId="0" borderId="7" xfId="6" applyFont="1" applyBorder="1"/>
    <xf numFmtId="0" fontId="43" fillId="0" borderId="0" xfId="6" applyFont="1"/>
    <xf numFmtId="4" fontId="47" fillId="0" borderId="0" xfId="6" applyNumberFormat="1" applyFont="1"/>
    <xf numFmtId="0" fontId="47" fillId="2" borderId="0" xfId="6" applyFont="1" applyFill="1"/>
    <xf numFmtId="0" fontId="47" fillId="0" borderId="8" xfId="6" applyFont="1" applyBorder="1"/>
    <xf numFmtId="4" fontId="47" fillId="0" borderId="8" xfId="6" applyNumberFormat="1" applyFont="1" applyBorder="1"/>
    <xf numFmtId="0" fontId="39" fillId="0" borderId="18" xfId="0" applyFont="1" applyBorder="1" applyAlignment="1"/>
    <xf numFmtId="0" fontId="39" fillId="0" borderId="18" xfId="0" applyFont="1" applyBorder="1" applyAlignment="1">
      <alignment wrapText="1"/>
    </xf>
    <xf numFmtId="4" fontId="47" fillId="0" borderId="18" xfId="6" applyNumberFormat="1" applyFont="1" applyBorder="1"/>
    <xf numFmtId="4" fontId="47" fillId="0" borderId="19" xfId="6" applyNumberFormat="1" applyFont="1" applyBorder="1"/>
    <xf numFmtId="0" fontId="38" fillId="0" borderId="21" xfId="0" applyFont="1" applyBorder="1" applyAlignment="1"/>
    <xf numFmtId="2" fontId="38" fillId="0" borderId="21" xfId="0" applyNumberFormat="1" applyFont="1" applyBorder="1" applyAlignment="1"/>
    <xf numFmtId="0" fontId="38" fillId="0" borderId="26" xfId="0" applyFont="1" applyBorder="1" applyAlignment="1"/>
    <xf numFmtId="43" fontId="38" fillId="0" borderId="26" xfId="1" applyFont="1" applyBorder="1"/>
    <xf numFmtId="0" fontId="38" fillId="0" borderId="30" xfId="0" applyFont="1" applyBorder="1" applyAlignment="1"/>
    <xf numFmtId="43" fontId="38" fillId="0" borderId="30" xfId="1" applyFont="1" applyBorder="1"/>
    <xf numFmtId="43" fontId="38" fillId="0" borderId="21" xfId="1" applyFont="1" applyBorder="1"/>
    <xf numFmtId="4" fontId="47" fillId="13" borderId="35" xfId="3" applyNumberFormat="1" applyFont="1" applyFill="1" applyBorder="1" applyAlignment="1">
      <alignment vertical="center"/>
    </xf>
    <xf numFmtId="4" fontId="47" fillId="13" borderId="2" xfId="3" applyNumberFormat="1" applyFont="1" applyFill="1" applyBorder="1" applyAlignment="1">
      <alignment vertical="center"/>
    </xf>
    <xf numFmtId="168" fontId="38" fillId="0" borderId="26" xfId="6" applyNumberFormat="1" applyFont="1" applyFill="1" applyBorder="1" applyProtection="1">
      <protection locked="0"/>
    </xf>
    <xf numFmtId="0" fontId="38" fillId="0" borderId="25" xfId="6" applyFont="1" applyFill="1" applyBorder="1" applyProtection="1">
      <protection locked="0"/>
    </xf>
    <xf numFmtId="169" fontId="38" fillId="0" borderId="26" xfId="6" applyNumberFormat="1" applyFont="1" applyFill="1" applyBorder="1"/>
    <xf numFmtId="168" fontId="38" fillId="0" borderId="26" xfId="6" applyNumberFormat="1" applyFont="1" applyFill="1" applyBorder="1"/>
    <xf numFmtId="0" fontId="56" fillId="0" borderId="0" xfId="0" applyFont="1" applyAlignment="1">
      <alignment horizontal="left" vertical="center"/>
    </xf>
    <xf numFmtId="0" fontId="32" fillId="0" borderId="0" xfId="0" quotePrefix="1" applyFont="1" applyAlignment="1">
      <alignment horizontal="left" vertical="center" indent="5"/>
    </xf>
    <xf numFmtId="14" fontId="32" fillId="7" borderId="0" xfId="0" applyNumberFormat="1" applyFont="1" applyFill="1">
      <alignment vertical="center"/>
    </xf>
    <xf numFmtId="44" fontId="32" fillId="7" borderId="0" xfId="0" applyNumberFormat="1" applyFont="1" applyFill="1">
      <alignment vertical="center"/>
    </xf>
    <xf numFmtId="0" fontId="32" fillId="7" borderId="0" xfId="0" applyFont="1" applyFill="1">
      <alignment vertical="center"/>
    </xf>
    <xf numFmtId="0" fontId="32" fillId="0" borderId="0" xfId="0" applyFont="1" applyAlignment="1">
      <alignment horizontal="left" vertical="center" indent="8"/>
    </xf>
    <xf numFmtId="0" fontId="32" fillId="0" borderId="0" xfId="0" applyFont="1" applyAlignment="1">
      <alignment horizontal="left" vertical="center" indent="5"/>
    </xf>
    <xf numFmtId="43" fontId="32" fillId="7" borderId="0" xfId="0" applyNumberFormat="1" applyFont="1" applyFill="1">
      <alignment vertical="center"/>
    </xf>
    <xf numFmtId="0" fontId="43" fillId="0" borderId="0" xfId="0" applyFont="1" applyAlignment="1">
      <alignment horizontal="left" vertical="center" indent="5"/>
    </xf>
    <xf numFmtId="2" fontId="33" fillId="7" borderId="0" xfId="0" applyNumberFormat="1" applyFont="1" applyFill="1">
      <alignment vertical="center"/>
    </xf>
    <xf numFmtId="44" fontId="32" fillId="7" borderId="0" xfId="301" applyFont="1" applyFill="1" applyAlignment="1">
      <alignment vertical="center"/>
    </xf>
    <xf numFmtId="44" fontId="32" fillId="0" borderId="0" xfId="301" applyFont="1" applyAlignment="1">
      <alignment vertical="center"/>
    </xf>
    <xf numFmtId="0" fontId="33" fillId="0" borderId="0" xfId="0" applyFont="1" applyAlignment="1">
      <alignment horizontal="left" vertical="center" indent="5"/>
    </xf>
    <xf numFmtId="44" fontId="33" fillId="7" borderId="0" xfId="301" applyFont="1" applyFill="1" applyAlignment="1">
      <alignment vertical="center"/>
    </xf>
    <xf numFmtId="14" fontId="33" fillId="0" borderId="0" xfId="0" applyNumberFormat="1" applyFont="1">
      <alignment vertical="center"/>
    </xf>
    <xf numFmtId="0" fontId="59" fillId="0" borderId="0" xfId="0" applyFont="1">
      <alignment vertical="center"/>
    </xf>
    <xf numFmtId="0" fontId="39" fillId="0" borderId="62" xfId="6" applyFont="1" applyBorder="1" applyAlignment="1" applyProtection="1">
      <alignment horizontal="center" vertical="center" wrapText="1"/>
      <protection locked="0"/>
    </xf>
    <xf numFmtId="0" fontId="39" fillId="0" borderId="8" xfId="6" applyFont="1" applyBorder="1" applyAlignment="1" applyProtection="1">
      <alignment horizontal="center"/>
      <protection locked="0"/>
    </xf>
    <xf numFmtId="3" fontId="39" fillId="0" borderId="9" xfId="6" applyNumberFormat="1" applyFont="1" applyBorder="1" applyAlignment="1" applyProtection="1">
      <alignment horizontal="center" vertical="center"/>
      <protection locked="0"/>
    </xf>
    <xf numFmtId="3" fontId="38" fillId="0" borderId="63" xfId="6" applyNumberFormat="1" applyFont="1" applyBorder="1" applyAlignment="1" applyProtection="1">
      <alignment horizontal="center"/>
      <protection locked="0"/>
    </xf>
    <xf numFmtId="3" fontId="38" fillId="0" borderId="64" xfId="6" applyNumberFormat="1" applyFont="1" applyBorder="1" applyAlignment="1" applyProtection="1">
      <alignment horizontal="center"/>
      <protection locked="0"/>
    </xf>
    <xf numFmtId="43" fontId="38" fillId="0" borderId="28" xfId="1" applyFont="1" applyFill="1" applyBorder="1" applyAlignment="1" applyProtection="1">
      <alignment horizontal="left"/>
      <protection locked="0"/>
    </xf>
    <xf numFmtId="43" fontId="38" fillId="0" borderId="24" xfId="1" applyFont="1" applyFill="1" applyBorder="1" applyAlignment="1" applyProtection="1">
      <alignment horizontal="left"/>
      <protection locked="0"/>
    </xf>
    <xf numFmtId="4" fontId="38" fillId="0" borderId="15" xfId="6" applyNumberFormat="1" applyFont="1" applyBorder="1" applyProtection="1">
      <protection locked="0"/>
    </xf>
    <xf numFmtId="4" fontId="38" fillId="0" borderId="16" xfId="6" applyNumberFormat="1" applyFont="1" applyBorder="1" applyProtection="1">
      <protection locked="0"/>
    </xf>
    <xf numFmtId="44" fontId="38" fillId="0" borderId="26" xfId="301" applyFont="1" applyBorder="1" applyProtection="1">
      <protection locked="0"/>
    </xf>
    <xf numFmtId="0" fontId="32" fillId="0" borderId="0" xfId="0" applyFont="1" applyFill="1">
      <alignment vertical="center"/>
    </xf>
    <xf numFmtId="0" fontId="43" fillId="0" borderId="2" xfId="3" quotePrefix="1" applyFont="1" applyFill="1" applyBorder="1" applyAlignment="1">
      <alignment vertical="center"/>
    </xf>
    <xf numFmtId="0" fontId="43" fillId="0" borderId="2" xfId="3" applyFont="1" applyFill="1" applyBorder="1" applyAlignment="1">
      <alignment vertical="center"/>
    </xf>
    <xf numFmtId="14" fontId="32" fillId="0" borderId="2" xfId="0" applyNumberFormat="1" applyFont="1" applyFill="1" applyBorder="1">
      <alignment vertical="center"/>
    </xf>
    <xf numFmtId="4" fontId="43" fillId="0" borderId="2" xfId="3" applyNumberFormat="1" applyFont="1" applyFill="1" applyBorder="1" applyAlignment="1">
      <alignment vertical="center"/>
    </xf>
    <xf numFmtId="14" fontId="42" fillId="0" borderId="2" xfId="0" applyNumberFormat="1" applyFont="1" applyFill="1" applyBorder="1">
      <alignment vertical="center"/>
    </xf>
    <xf numFmtId="14" fontId="32" fillId="0" borderId="6" xfId="0" applyNumberFormat="1" applyFont="1" applyFill="1" applyBorder="1">
      <alignment vertical="center"/>
    </xf>
    <xf numFmtId="14" fontId="32" fillId="0" borderId="4" xfId="0" applyNumberFormat="1" applyFont="1" applyFill="1" applyBorder="1">
      <alignment vertical="center"/>
    </xf>
    <xf numFmtId="0" fontId="32" fillId="0" borderId="2" xfId="3" applyFont="1" applyFill="1" applyBorder="1" applyAlignment="1">
      <alignment vertical="center"/>
    </xf>
    <xf numFmtId="4" fontId="42" fillId="0" borderId="2" xfId="3" applyNumberFormat="1" applyFont="1" applyFill="1" applyBorder="1" applyAlignment="1">
      <alignment vertical="center"/>
    </xf>
    <xf numFmtId="4" fontId="43" fillId="0" borderId="35" xfId="3" applyNumberFormat="1" applyFont="1" applyFill="1" applyBorder="1" applyAlignment="1">
      <alignment vertical="center"/>
    </xf>
    <xf numFmtId="4" fontId="47" fillId="0" borderId="2" xfId="3" applyNumberFormat="1" applyFont="1" applyFill="1" applyBorder="1" applyAlignment="1">
      <alignment vertical="center"/>
    </xf>
    <xf numFmtId="9" fontId="43" fillId="0" borderId="2" xfId="2" applyFont="1" applyFill="1" applyBorder="1" applyAlignment="1">
      <alignment vertical="center"/>
    </xf>
    <xf numFmtId="4" fontId="44" fillId="0" borderId="2" xfId="3" applyNumberFormat="1" applyFont="1" applyFill="1" applyBorder="1" applyAlignment="1">
      <alignment vertical="center"/>
    </xf>
    <xf numFmtId="4" fontId="45" fillId="0" borderId="2" xfId="3" applyNumberFormat="1" applyFont="1" applyFill="1" applyBorder="1" applyAlignment="1">
      <alignment vertical="center"/>
    </xf>
  </cellXfs>
  <cellStyles count="302">
    <cellStyle name="Comma" xfId="1" builtinId="3"/>
    <cellStyle name="Comma 2" xfId="7" xr:uid="{00000000-0005-0000-0000-000001000000}"/>
    <cellStyle name="Comma 2 2" xfId="67" xr:uid="{0A5D612C-B05C-4E31-9014-FFD10D19CCA9}"/>
    <cellStyle name="Comma 2 3" xfId="33" xr:uid="{69116471-2FB7-44B4-9C7B-83FAB9E03AEF}"/>
    <cellStyle name="Comma 3" xfId="290" xr:uid="{6242A76D-7AFA-4FD6-A420-08F6D4D920E0}"/>
    <cellStyle name="Comma 4" xfId="294" xr:uid="{60F34310-8247-48FF-A5FE-EE8A7A10423C}"/>
    <cellStyle name="Currency" xfId="301" builtinId="4"/>
    <cellStyle name="Currency 2" xfId="5" xr:uid="{00000000-0005-0000-0000-000002000000}"/>
    <cellStyle name="Currency 2 2" xfId="10" xr:uid="{00000000-0005-0000-0000-000003000000}"/>
    <cellStyle name="Currency 2 2 2" xfId="70" xr:uid="{816A2325-9A5F-4958-B3B9-249262D79E96}"/>
    <cellStyle name="Currency 2 2 2 2" xfId="136" xr:uid="{ACC2282C-FE80-4668-9BDD-0CDB158B7ADA}"/>
    <cellStyle name="Currency 2 2 2 2 2" xfId="270" xr:uid="{AB8E0E68-B6F7-43CC-82ED-D1E5F45C3D1A}"/>
    <cellStyle name="Currency 2 2 2 3" xfId="204" xr:uid="{6C280189-FF0F-45B0-92F3-62F91F6EDAB1}"/>
    <cellStyle name="Currency 2 2 3" xfId="103" xr:uid="{07B5848B-E1DC-4A2F-9D55-100B5104417D}"/>
    <cellStyle name="Currency 2 2 3 2" xfId="237" xr:uid="{A77D5647-2718-48CC-8588-BF2C17A638D4}"/>
    <cellStyle name="Currency 2 2 4" xfId="171" xr:uid="{713CB122-292D-457A-84E2-A781CDF93C5D}"/>
    <cellStyle name="Currency 2 2 5" xfId="36" xr:uid="{55D0F17F-29B6-475D-A0FD-F2939354B4F2}"/>
    <cellStyle name="Currency 2 3" xfId="47" xr:uid="{D4FA2F40-CC4C-4BD8-BC8B-BC335B5E326F}"/>
    <cellStyle name="Currency 2 3 2" xfId="81" xr:uid="{834CF5B1-4E7A-4623-9BC5-C01561517CA0}"/>
    <cellStyle name="Currency 2 3 2 2" xfId="147" xr:uid="{6B4B00B5-B121-4959-B0F6-3FE208BBC7AB}"/>
    <cellStyle name="Currency 2 3 2 2 2" xfId="281" xr:uid="{F13BEA07-E2D8-4C5B-BD85-BA33397492B8}"/>
    <cellStyle name="Currency 2 3 2 3" xfId="215" xr:uid="{930F939F-570E-4D1A-8C2F-4EEAD7964A1F}"/>
    <cellStyle name="Currency 2 3 3" xfId="114" xr:uid="{154F1E3B-31D3-4008-B944-A6A31ED1AF9B}"/>
    <cellStyle name="Currency 2 3 3 2" xfId="248" xr:uid="{4C920D04-5D66-4E81-B5AB-DC5AF60C5975}"/>
    <cellStyle name="Currency 2 3 4" xfId="182" xr:uid="{E1F93137-903B-476C-B25E-77856B7DB8D5}"/>
    <cellStyle name="Currency 2 4" xfId="58" xr:uid="{072D59A5-EA54-4557-8979-1E31A1389EF3}"/>
    <cellStyle name="Currency 2 4 2" xfId="125" xr:uid="{E29F16E9-614B-446C-AC01-E124E246501F}"/>
    <cellStyle name="Currency 2 4 2 2" xfId="259" xr:uid="{1F28EF56-7A31-429E-9451-DD3B2AF56448}"/>
    <cellStyle name="Currency 2 4 3" xfId="193" xr:uid="{C05BE7C4-1B1B-4154-B437-A3DC97811183}"/>
    <cellStyle name="Currency 2 5" xfId="92" xr:uid="{79D1F626-8216-45B9-B7EC-0F713ABC2934}"/>
    <cellStyle name="Currency 2 5 2" xfId="226" xr:uid="{F23BAF54-F7C2-4E70-B91B-ECAFE851DBA9}"/>
    <cellStyle name="Currency 2 6" xfId="160" xr:uid="{24D0BC6A-F218-4586-9229-F4D6358940E5}"/>
    <cellStyle name="Currency 2 7" xfId="284" xr:uid="{5844921D-71D8-4983-8850-42949C4C7F45}"/>
    <cellStyle name="Currency 2 8" xfId="24" xr:uid="{6944E5EA-8DCD-4922-BD36-72FE6E0E43F3}"/>
    <cellStyle name="Currency 3" xfId="8" xr:uid="{00000000-0005-0000-0000-000004000000}"/>
    <cellStyle name="Currency 3 2" xfId="291" xr:uid="{CA75A5DE-ADA9-4561-9666-88161F1EC00F}"/>
    <cellStyle name="Excel Built-in Normal" xfId="21" xr:uid="{1341FB4A-1AAE-46E2-B2C7-D4411C487916}"/>
    <cellStyle name="Excel Built-in Normal 1" xfId="20" xr:uid="{9DF91E09-9F07-47DD-9A14-07F957E11501}"/>
    <cellStyle name="Normal" xfId="0" builtinId="0"/>
    <cellStyle name="Normal 10" xfId="288" xr:uid="{398D5B42-0688-4845-B01A-ADA719FF3702}"/>
    <cellStyle name="Normal 11" xfId="293" xr:uid="{4F74FFB7-9745-4AF9-A61E-1BEDC4DEB463}"/>
    <cellStyle name="Normal 12" xfId="295" xr:uid="{E274A059-4108-475C-A940-AA1C6FE9F476}"/>
    <cellStyle name="Normal 13" xfId="297" xr:uid="{5DB1183F-31C3-4BC2-AC24-1AF2071B61CB}"/>
    <cellStyle name="Normal 14" xfId="298" xr:uid="{779ED4B6-2A30-4F13-A0E3-3D5BE8A11699}"/>
    <cellStyle name="Normal 15" xfId="299" xr:uid="{B05D28D2-1494-4D80-B6BD-6799BD435C6B}"/>
    <cellStyle name="Normal 2" xfId="3" xr:uid="{00000000-0005-0000-0000-000006000000}"/>
    <cellStyle name="Normal 2 10" xfId="285" xr:uid="{AEFE5BDE-BBF2-43C7-A82F-335CA077B77F}"/>
    <cellStyle name="Normal 2 11" xfId="292" xr:uid="{A99B73FB-8057-49C6-9B5A-6D251B3B6B08}"/>
    <cellStyle name="Normal 2 12" xfId="12" xr:uid="{205DC896-047E-4E1E-8D8C-F8006E728E75}"/>
    <cellStyle name="Normal 2 2" xfId="6" xr:uid="{00000000-0005-0000-0000-000007000000}"/>
    <cellStyle name="Normal 2 2 2" xfId="28" xr:uid="{3384AFA8-0C38-4DAF-BE2C-586943D9E44C}"/>
    <cellStyle name="Normal 2 2 2 2" xfId="62" xr:uid="{86A4404C-9E70-430B-AE50-76149AD04BCA}"/>
    <cellStyle name="Normal 2 2 2 2 2" xfId="129" xr:uid="{37EC14AF-5B30-4D15-B37B-8E9616FC3D1A}"/>
    <cellStyle name="Normal 2 2 2 2 2 2" xfId="263" xr:uid="{43D191C5-D7C5-443B-92BB-E36060795B93}"/>
    <cellStyle name="Normal 2 2 2 2 3" xfId="197" xr:uid="{69A4289E-D99B-4F60-B051-D7AC8E35BAB5}"/>
    <cellStyle name="Normal 2 2 2 3" xfId="96" xr:uid="{7855543D-904B-4051-AC1E-58B7C7B9A371}"/>
    <cellStyle name="Normal 2 2 2 3 2" xfId="230" xr:uid="{9F23FEAB-2280-410E-9344-3BBB9A65AB45}"/>
    <cellStyle name="Normal 2 2 2 4" xfId="164" xr:uid="{FE65F905-850C-4ECB-BFAB-BC65503F73FA}"/>
    <cellStyle name="Normal 2 2 3" xfId="40" xr:uid="{421196E3-5476-48A4-B113-7A3326BF52DE}"/>
    <cellStyle name="Normal 2 2 3 2" xfId="74" xr:uid="{61F96CE4-C8C1-4826-B008-1F26C6E6B7E1}"/>
    <cellStyle name="Normal 2 2 3 2 2" xfId="140" xr:uid="{CBA670CB-7AED-44D6-8A73-8752133A41EF}"/>
    <cellStyle name="Normal 2 2 3 2 2 2" xfId="274" xr:uid="{FB957123-47E7-49A9-95F2-9FB0413DC438}"/>
    <cellStyle name="Normal 2 2 3 2 3" xfId="208" xr:uid="{A5326D80-C745-4B25-BF79-A3C866FA4D13}"/>
    <cellStyle name="Normal 2 2 3 3" xfId="107" xr:uid="{898EF88F-9D2C-4999-9A96-B8774C640541}"/>
    <cellStyle name="Normal 2 2 3 3 2" xfId="241" xr:uid="{28FC62BD-7B35-4BCF-87CD-CC0209050D2B}"/>
    <cellStyle name="Normal 2 2 3 4" xfId="175" xr:uid="{B1095EAB-7753-49E6-BE77-06ECEE6A44E3}"/>
    <cellStyle name="Normal 2 2 4" xfId="51" xr:uid="{C3691C61-28AF-4DAB-A54C-5899EC7FE83A}"/>
    <cellStyle name="Normal 2 2 4 2" xfId="118" xr:uid="{ACD83E5C-CE2F-4946-ADE0-A3635363BBAE}"/>
    <cellStyle name="Normal 2 2 4 2 2" xfId="252" xr:uid="{379CDCF6-3C57-4E5E-89FB-6A52101B0089}"/>
    <cellStyle name="Normal 2 2 4 3" xfId="186" xr:uid="{91A17375-6F71-4F92-97D3-E8586D58AA24}"/>
    <cellStyle name="Normal 2 2 5" xfId="85" xr:uid="{6021B5A2-3A2D-4A37-8F4F-410A8EE0EAD0}"/>
    <cellStyle name="Normal 2 2 5 2" xfId="219" xr:uid="{B039BD24-FE61-40B4-BD11-DEA830BB77CB}"/>
    <cellStyle name="Normal 2 2 6" xfId="153" xr:uid="{8251BA7D-C5EC-4034-9059-F8CE1C2CE305}"/>
    <cellStyle name="Normal 2 2 7" xfId="15" xr:uid="{CA6210B0-9EA4-4142-8877-3E37FB931F9B}"/>
    <cellStyle name="Normal 2 3" xfId="25" xr:uid="{2D2BDAC2-4124-4246-8AFD-53313D25A58A}"/>
    <cellStyle name="Normal 2 3 2" xfId="59" xr:uid="{893E9FC4-B3A8-487F-BA7C-F9421EC46B68}"/>
    <cellStyle name="Normal 2 3 2 2" xfId="126" xr:uid="{CFB89180-E551-4900-8697-377F075CB9C6}"/>
    <cellStyle name="Normal 2 3 2 2 2" xfId="260" xr:uid="{FE19681E-1162-4F87-A2DE-8A5B10AD74F5}"/>
    <cellStyle name="Normal 2 3 2 3" xfId="194" xr:uid="{09695EC2-FD72-439E-9F86-42BDCC17B022}"/>
    <cellStyle name="Normal 2 3 3" xfId="93" xr:uid="{58397FEF-F0B8-4A88-8AD5-6E63BB7D7E0F}"/>
    <cellStyle name="Normal 2 3 3 2" xfId="227" xr:uid="{49E09D79-A0D5-4E30-8237-AEBB3420AFA4}"/>
    <cellStyle name="Normal 2 3 4" xfId="161" xr:uid="{375F8C3C-CC4C-45B8-83E7-11033F8793CC}"/>
    <cellStyle name="Normal 2 4" xfId="37" xr:uid="{69BD23C6-A651-4CB1-99AB-9EAE8AC1068C}"/>
    <cellStyle name="Normal 2 4 2" xfId="71" xr:uid="{0A10BB01-4795-4EB9-99F2-2600902CF7AC}"/>
    <cellStyle name="Normal 2 4 2 2" xfId="137" xr:uid="{9AAABF17-C3B3-4440-AC37-33EF00810A4A}"/>
    <cellStyle name="Normal 2 4 2 2 2" xfId="271" xr:uid="{B21A1EA3-0AD3-4ECC-976D-9C274F1E893D}"/>
    <cellStyle name="Normal 2 4 2 3" xfId="205" xr:uid="{33D9B46E-5C2D-4A4C-A2E4-5D59BEBF7B35}"/>
    <cellStyle name="Normal 2 4 3" xfId="104" xr:uid="{D82351FD-A550-4D58-A088-A04FF88081D1}"/>
    <cellStyle name="Normal 2 4 3 2" xfId="238" xr:uid="{E8F7DBE0-F72C-4214-9E07-31D650A3CAEC}"/>
    <cellStyle name="Normal 2 4 4" xfId="172" xr:uid="{A00AA077-4AB7-43D6-BD48-6A2C1C74CB8E}"/>
    <cellStyle name="Normal 2 5" xfId="48" xr:uid="{58F68AA2-E805-48A2-B207-9BC624EC96E7}"/>
    <cellStyle name="Normal 2 5 2" xfId="115" xr:uid="{30A5566C-B904-4C2C-984E-B18FEE3E947B}"/>
    <cellStyle name="Normal 2 5 2 2" xfId="249" xr:uid="{968AAA15-6800-466B-8AA1-3626FAA678F5}"/>
    <cellStyle name="Normal 2 5 3" xfId="183" xr:uid="{E2FABA8F-D4F8-45AC-9F75-D7EC4CAEDF92}"/>
    <cellStyle name="Normal 2 6" xfId="82" xr:uid="{7DD35418-58F9-4CAB-BABC-95807BE5E5D8}"/>
    <cellStyle name="Normal 2 6 2" xfId="216" xr:uid="{62C63DB9-CC5C-4F3C-AF46-B844163F3EE8}"/>
    <cellStyle name="Normal 2 7" xfId="148" xr:uid="{817C8B95-86C4-44B9-BE7E-11912F186639}"/>
    <cellStyle name="Normal 2 7 2" xfId="282" xr:uid="{E0573900-E340-42C2-A2CB-BA86937DD182}"/>
    <cellStyle name="Normal 2 8" xfId="149" xr:uid="{AEA87CB6-7C32-423E-BE67-305BB5B99F54}"/>
    <cellStyle name="Normal 2 9" xfId="150" xr:uid="{C2D1A1C2-DF2B-4533-8204-F3778B2C49FE}"/>
    <cellStyle name="Normal 3" xfId="4" xr:uid="{00000000-0005-0000-0000-000008000000}"/>
    <cellStyle name="Normal 3 2" xfId="9" xr:uid="{00000000-0005-0000-0000-000009000000}"/>
    <cellStyle name="Normal 3 2 2" xfId="30" xr:uid="{4591CE2D-22B9-493E-A0E9-C1DAC87885B1}"/>
    <cellStyle name="Normal 3 2 2 2" xfId="64" xr:uid="{B7EDB194-1812-4436-BC9F-6A9BB9AFCE3F}"/>
    <cellStyle name="Normal 3 2 2 2 2" xfId="131" xr:uid="{34839779-D91F-47A9-B8FB-80CDF15D2DB2}"/>
    <cellStyle name="Normal 3 2 2 2 2 2" xfId="265" xr:uid="{0CED56B0-E6A4-47B5-AB8F-5CA14FD33B41}"/>
    <cellStyle name="Normal 3 2 2 2 3" xfId="199" xr:uid="{2F57FD04-54C1-4591-B439-C94474704231}"/>
    <cellStyle name="Normal 3 2 2 3" xfId="98" xr:uid="{C52E538E-B9C5-4F22-A4BB-E93EFBA5AE55}"/>
    <cellStyle name="Normal 3 2 2 3 2" xfId="232" xr:uid="{CC54DF1A-6EB5-4895-BE7B-EAE629F58A3D}"/>
    <cellStyle name="Normal 3 2 2 4" xfId="166" xr:uid="{7E4BF4AE-92AF-4E0D-B73C-5715786FB764}"/>
    <cellStyle name="Normal 3 2 3" xfId="42" xr:uid="{327A3FF8-5A83-4FA1-9D6C-34216897E48C}"/>
    <cellStyle name="Normal 3 2 3 2" xfId="76" xr:uid="{263B8387-5750-427D-917C-439C73A32F79}"/>
    <cellStyle name="Normal 3 2 3 2 2" xfId="142" xr:uid="{44326D2F-0246-4B6C-815C-132FE7532EFE}"/>
    <cellStyle name="Normal 3 2 3 2 2 2" xfId="276" xr:uid="{13C82B8E-45D1-4149-809C-3BD954F1FA0A}"/>
    <cellStyle name="Normal 3 2 3 2 3" xfId="210" xr:uid="{56A43430-C6F3-4883-B169-17E2AA1694DA}"/>
    <cellStyle name="Normal 3 2 3 3" xfId="109" xr:uid="{5647DBC6-A6CA-48D2-B967-E64E802FDC87}"/>
    <cellStyle name="Normal 3 2 3 3 2" xfId="243" xr:uid="{2DE63E36-3EBA-45BB-87EC-67E755D32205}"/>
    <cellStyle name="Normal 3 2 3 4" xfId="177" xr:uid="{09022D26-E832-43CD-BBE4-4A387AD9D856}"/>
    <cellStyle name="Normal 3 2 4" xfId="53" xr:uid="{1F06F98C-B436-40EA-B640-7F2963FC1E12}"/>
    <cellStyle name="Normal 3 2 4 2" xfId="120" xr:uid="{0CBB29A1-2FBA-481E-BC80-79AA03F2B023}"/>
    <cellStyle name="Normal 3 2 4 2 2" xfId="254" xr:uid="{F70FB1FA-135C-4492-8201-EB319CD2B4FA}"/>
    <cellStyle name="Normal 3 2 4 3" xfId="188" xr:uid="{0BC5FFA3-19A6-416D-A572-BB907D4CA028}"/>
    <cellStyle name="Normal 3 2 5" xfId="87" xr:uid="{B2BD9885-E800-4732-B077-B041CF5E0529}"/>
    <cellStyle name="Normal 3 2 5 2" xfId="221" xr:uid="{9F81EE6C-35A2-4ACA-834F-9524951EBD5D}"/>
    <cellStyle name="Normal 3 2 6" xfId="155" xr:uid="{3DF68C93-5559-40FD-AFC8-92D4EE016094}"/>
    <cellStyle name="Normal 3 2 7" xfId="296" xr:uid="{BC9C1DEC-156C-4A9C-A2BC-E377F598D38F}"/>
    <cellStyle name="Normal 3 2 8" xfId="17" xr:uid="{8684B637-F8B7-4965-B1FF-80EBEC1B4491}"/>
    <cellStyle name="Normal 3 3" xfId="27" xr:uid="{63EF43BB-376F-4BB5-9411-F5EDDC5CC81E}"/>
    <cellStyle name="Normal 3 3 2" xfId="61" xr:uid="{51A24B7A-DEB0-4802-B254-8EC8DA866DF5}"/>
    <cellStyle name="Normal 3 3 2 2" xfId="128" xr:uid="{7E0998D6-CD61-4B7B-B6B2-17F0A8E0180B}"/>
    <cellStyle name="Normal 3 3 2 2 2" xfId="262" xr:uid="{C2D348C5-CFF8-4F69-AFB3-F593BC5794CD}"/>
    <cellStyle name="Normal 3 3 2 3" xfId="196" xr:uid="{31C28CD4-96E8-4F67-B3ED-CEE82D0F5BF4}"/>
    <cellStyle name="Normal 3 3 3" xfId="95" xr:uid="{C4742456-806F-405F-A9C8-3010403B736E}"/>
    <cellStyle name="Normal 3 3 3 2" xfId="229" xr:uid="{35CBE201-0748-4873-947D-6519BD3F56F3}"/>
    <cellStyle name="Normal 3 3 4" xfId="163" xr:uid="{CCE70129-C9AF-435A-9B48-818F220430A0}"/>
    <cellStyle name="Normal 3 4" xfId="39" xr:uid="{8135CE43-803E-4A11-96B1-4FDAD682A5FB}"/>
    <cellStyle name="Normal 3 4 2" xfId="73" xr:uid="{63AF62A7-04A2-4B04-A796-5C905EF2259D}"/>
    <cellStyle name="Normal 3 4 2 2" xfId="139" xr:uid="{3FCCA809-216D-4B52-9814-78267D2965C9}"/>
    <cellStyle name="Normal 3 4 2 2 2" xfId="273" xr:uid="{EA980319-55BE-4B53-BEFC-AEBCE3AB8D01}"/>
    <cellStyle name="Normal 3 4 2 3" xfId="207" xr:uid="{2400B23A-5E77-4127-BEE6-603AFA549809}"/>
    <cellStyle name="Normal 3 4 3" xfId="106" xr:uid="{547DEB58-40D4-4187-80D5-ED8C80E53177}"/>
    <cellStyle name="Normal 3 4 3 2" xfId="240" xr:uid="{83B5BC98-8140-4A41-BD4B-EE96A6ADCA46}"/>
    <cellStyle name="Normal 3 4 4" xfId="174" xr:uid="{BA93BA75-4EDF-4EC7-B611-A7014DD4B3B7}"/>
    <cellStyle name="Normal 3 5" xfId="50" xr:uid="{3AAFFBA9-793D-44A3-BA01-92F522C5DC78}"/>
    <cellStyle name="Normal 3 5 2" xfId="117" xr:uid="{E179AAE4-2F65-4547-A43A-FD59A014E22B}"/>
    <cellStyle name="Normal 3 5 2 2" xfId="251" xr:uid="{7EA922BB-1F29-4CDD-A3C3-4869E45AE1C2}"/>
    <cellStyle name="Normal 3 5 3" xfId="185" xr:uid="{6982E4D3-A78A-43A7-BF3B-E97757A3DB44}"/>
    <cellStyle name="Normal 3 6" xfId="84" xr:uid="{FC0390F3-BC03-44E0-95A9-ABFBFFB7FD26}"/>
    <cellStyle name="Normal 3 6 2" xfId="218" xr:uid="{51BEE44E-4767-4EB2-B07A-205ACB168212}"/>
    <cellStyle name="Normal 3 7" xfId="152" xr:uid="{4B647D1A-8751-4BBE-B18B-A449CA00FDDC}"/>
    <cellStyle name="Normal 3 8" xfId="14" xr:uid="{D41A40C6-4AA4-4107-BC00-1EE8EDF1AE62}"/>
    <cellStyle name="Normal 4" xfId="18" xr:uid="{58C8C300-EF60-4EB5-92A2-BFD64919FA38}"/>
    <cellStyle name="Normal 4 2" xfId="31" xr:uid="{22510608-18E3-4D8E-9A0E-40B6D9701EB5}"/>
    <cellStyle name="Normal 4 2 2" xfId="65" xr:uid="{D7F385CD-9C5B-49DF-8F84-4081E349E476}"/>
    <cellStyle name="Normal 4 2 2 2" xfId="132" xr:uid="{B16149DC-7E9B-40CD-A286-F638F9511820}"/>
    <cellStyle name="Normal 4 2 2 2 2" xfId="266" xr:uid="{8371FFFD-26DC-47C5-AC15-156F17CDCDD4}"/>
    <cellStyle name="Normal 4 2 2 3" xfId="200" xr:uid="{30A30B90-7E16-4BBE-BEFC-9B4CDFD51735}"/>
    <cellStyle name="Normal 4 2 3" xfId="99" xr:uid="{EBC5DC5A-0890-4CD5-882A-562FCBCBC931}"/>
    <cellStyle name="Normal 4 2 3 2" xfId="233" xr:uid="{43169D62-8AFA-4EC7-8311-FFBB03303663}"/>
    <cellStyle name="Normal 4 2 4" xfId="167" xr:uid="{7161E71A-F39D-4E73-B9F6-FF96CC25499A}"/>
    <cellStyle name="Normal 4 3" xfId="43" xr:uid="{C063415E-1F42-4394-83E8-7291A75E5631}"/>
    <cellStyle name="Normal 4 3 2" xfId="77" xr:uid="{9995BD53-FF17-4DC0-96B1-8C1AE1BF4329}"/>
    <cellStyle name="Normal 4 3 2 2" xfId="143" xr:uid="{CC25BEB1-F968-4CA3-A122-DDE029FC11F0}"/>
    <cellStyle name="Normal 4 3 2 2 2" xfId="277" xr:uid="{FBA27BA8-BA98-42D1-8B76-5C9F4D2E7361}"/>
    <cellStyle name="Normal 4 3 2 3" xfId="211" xr:uid="{B389976B-8A9C-48E3-B68F-961C5C764017}"/>
    <cellStyle name="Normal 4 3 3" xfId="110" xr:uid="{FEF6AFD7-770D-4E52-9BB0-1DB25BF01F2A}"/>
    <cellStyle name="Normal 4 3 3 2" xfId="244" xr:uid="{AE656F4B-2C7B-4FE7-9AC3-E34710DB6791}"/>
    <cellStyle name="Normal 4 3 4" xfId="178" xr:uid="{AFAB5045-A330-49FB-B533-F1D03B5E5880}"/>
    <cellStyle name="Normal 4 4" xfId="54" xr:uid="{BAB656AC-A178-4306-BA5E-A632C3A76748}"/>
    <cellStyle name="Normal 4 4 2" xfId="121" xr:uid="{53294D8F-6BFD-4602-A40A-0D848529B3BF}"/>
    <cellStyle name="Normal 4 4 2 2" xfId="255" xr:uid="{BE257067-C9AE-4D04-8EBA-A26BD31D285F}"/>
    <cellStyle name="Normal 4 4 3" xfId="189" xr:uid="{C0124AAF-FE88-4706-998F-949B7A64FB61}"/>
    <cellStyle name="Normal 4 5" xfId="88" xr:uid="{84B6C17A-AA64-4CB2-8DA2-342D1F912C7D}"/>
    <cellStyle name="Normal 4 5 2" xfId="222" xr:uid="{5B48FB48-061E-4F8A-A14F-7CC8A6C9C94A}"/>
    <cellStyle name="Normal 4 6" xfId="156" xr:uid="{9AF28F64-A83B-4BDA-9F15-76E74FBA3C7B}"/>
    <cellStyle name="Normal 5" xfId="19" xr:uid="{2864B48F-321C-4D93-AE08-13EAA89AE439}"/>
    <cellStyle name="Normal 5 2" xfId="32" xr:uid="{75304233-DCC9-49CF-A9A9-ECBDC87CD2A1}"/>
    <cellStyle name="Normal 5 2 2" xfId="66" xr:uid="{A1170EDD-EBF2-4A51-A440-53A25F4D7C2A}"/>
    <cellStyle name="Normal 5 2 2 2" xfId="133" xr:uid="{40B0C89E-B53C-4F62-95C3-DBAD9C57F459}"/>
    <cellStyle name="Normal 5 2 2 2 2" xfId="267" xr:uid="{83B542F7-876D-4337-B181-2AED7DD46B51}"/>
    <cellStyle name="Normal 5 2 2 3" xfId="201" xr:uid="{22384ADE-4574-4BD6-82FF-22DAC67B211E}"/>
    <cellStyle name="Normal 5 2 3" xfId="100" xr:uid="{94C4E44C-4493-4BE6-AAF0-1780C9EB8CFD}"/>
    <cellStyle name="Normal 5 2 3 2" xfId="234" xr:uid="{E9E9EDB9-6AA8-4E7F-ADD5-AB2EF6BC18A5}"/>
    <cellStyle name="Normal 5 2 4" xfId="168" xr:uid="{3B7169E5-EBC5-4360-ACB9-6914344F6CEC}"/>
    <cellStyle name="Normal 5 3" xfId="44" xr:uid="{8E1CD444-3C5E-4274-AC00-CA4B89911DF3}"/>
    <cellStyle name="Normal 5 3 2" xfId="78" xr:uid="{7DA81BEB-4C27-450F-A4E2-1906E8EFAB88}"/>
    <cellStyle name="Normal 5 3 2 2" xfId="144" xr:uid="{74BF8209-0369-4AF5-B143-448DDB24BC4D}"/>
    <cellStyle name="Normal 5 3 2 2 2" xfId="278" xr:uid="{821D718D-49E9-4515-8DAA-5C81DE6918BD}"/>
    <cellStyle name="Normal 5 3 2 3" xfId="212" xr:uid="{4182BC82-C5B9-4725-B03C-E45A1FCDA038}"/>
    <cellStyle name="Normal 5 3 3" xfId="111" xr:uid="{3717683C-DA01-49E4-BCA6-E8CE9F29611D}"/>
    <cellStyle name="Normal 5 3 3 2" xfId="245" xr:uid="{CE0CEA4E-1752-4F59-80EF-88055578FB36}"/>
    <cellStyle name="Normal 5 3 4" xfId="179" xr:uid="{A25C52FD-B3BB-4CD3-ABE1-7A68872DDBD5}"/>
    <cellStyle name="Normal 5 4" xfId="55" xr:uid="{13B0EE03-0E41-4BD8-9BF7-23F369C74795}"/>
    <cellStyle name="Normal 5 4 2" xfId="122" xr:uid="{86EC5A8C-51A7-4933-85FB-2DD15B3E4948}"/>
    <cellStyle name="Normal 5 4 2 2" xfId="256" xr:uid="{4BD4E1DA-0F39-4E7B-BE86-ACF6B00F7EDF}"/>
    <cellStyle name="Normal 5 4 3" xfId="190" xr:uid="{74DA5C2E-30DC-42CA-B583-3BFB2753B81F}"/>
    <cellStyle name="Normal 5 5" xfId="89" xr:uid="{C5FB474F-C7B6-478C-89E9-AD93B2B98165}"/>
    <cellStyle name="Normal 5 5 2" xfId="223" xr:uid="{9010C57E-FC6D-488A-8A23-05A54E510DEF}"/>
    <cellStyle name="Normal 5 6" xfId="157" xr:uid="{396C4DA3-D191-43FE-A8B9-EB3E2CFD84CA}"/>
    <cellStyle name="Normal 6" xfId="22" xr:uid="{4E04FDD2-59AC-4674-AE80-BDDAEC9C7A82}"/>
    <cellStyle name="Normal 6 2" xfId="34" xr:uid="{DE7E9E73-D09A-458D-838F-AC851D09725E}"/>
    <cellStyle name="Normal 6 2 2" xfId="68" xr:uid="{19CC2AA3-239F-47B0-BCD2-336540860E09}"/>
    <cellStyle name="Normal 6 2 2 2" xfId="134" xr:uid="{0EE8D43C-C15E-4DC9-AA29-FC324B4F2989}"/>
    <cellStyle name="Normal 6 2 2 2 2" xfId="268" xr:uid="{C2D257D7-B96C-43BE-B97B-7D27F022F63C}"/>
    <cellStyle name="Normal 6 2 2 3" xfId="202" xr:uid="{982CFFE3-A0AF-4FAC-8DD4-153B7EB5C3FA}"/>
    <cellStyle name="Normal 6 2 3" xfId="101" xr:uid="{136F945D-5C52-49A6-A59B-56B193B402D0}"/>
    <cellStyle name="Normal 6 2 3 2" xfId="235" xr:uid="{49A175D8-7409-467C-A173-F881AD8CD80D}"/>
    <cellStyle name="Normal 6 2 4" xfId="169" xr:uid="{E30C43D5-89A9-477C-AEF4-D2F1A1513DA9}"/>
    <cellStyle name="Normal 6 3" xfId="45" xr:uid="{38785F2E-FBCD-4442-B648-8118AE665A6E}"/>
    <cellStyle name="Normal 6 3 2" xfId="79" xr:uid="{B03A020D-D13F-4E7D-8C86-8DB88DECCA80}"/>
    <cellStyle name="Normal 6 3 2 2" xfId="145" xr:uid="{CE306639-0D50-42AE-A7E9-9CDCF562A977}"/>
    <cellStyle name="Normal 6 3 2 2 2" xfId="279" xr:uid="{285BE542-01FE-48F8-BFD8-A8E38586728D}"/>
    <cellStyle name="Normal 6 3 2 3" xfId="213" xr:uid="{92967739-5F43-45ED-A3EA-D7646D8266E8}"/>
    <cellStyle name="Normal 6 3 3" xfId="112" xr:uid="{3BB6BD0A-3EF5-4B6C-B7EB-53CDA2E2033C}"/>
    <cellStyle name="Normal 6 3 3 2" xfId="246" xr:uid="{BC5D2F9E-9005-48CD-A434-D1DE82A6ADBC}"/>
    <cellStyle name="Normal 6 3 4" xfId="180" xr:uid="{D81159A1-83AE-4663-988A-801E4DBA01AF}"/>
    <cellStyle name="Normal 6 4" xfId="56" xr:uid="{2EF4FB70-125C-49E3-8DF9-3D0952D3828B}"/>
    <cellStyle name="Normal 6 4 2" xfId="123" xr:uid="{48FB8E70-69C4-4DB1-AF67-C95669F0ABD7}"/>
    <cellStyle name="Normal 6 4 2 2" xfId="257" xr:uid="{F784DF6F-1526-469D-A05E-4EC4C6A46DFC}"/>
    <cellStyle name="Normal 6 4 3" xfId="191" xr:uid="{F62C17FE-7B39-48B3-BBC2-5E53C01DDF9D}"/>
    <cellStyle name="Normal 6 5" xfId="90" xr:uid="{B1DC8163-9CE3-46F9-A5A0-B9D7E2DAF798}"/>
    <cellStyle name="Normal 6 5 2" xfId="224" xr:uid="{7BB60C66-42C7-41FC-AF80-92DC361AAFCD}"/>
    <cellStyle name="Normal 6 6" xfId="158" xr:uid="{1B6BEFC3-3725-4829-A65A-C06BA054CD67}"/>
    <cellStyle name="Normal 7" xfId="283" xr:uid="{95F8113E-3079-44EE-AC84-8F5ACBFD065B}"/>
    <cellStyle name="Normal 8" xfId="286" xr:uid="{C14BE1D9-DBF5-41FD-B2BD-083B46267563}"/>
    <cellStyle name="Normal 9" xfId="287" xr:uid="{EB9AE378-FE3D-4C41-AAD8-989689EFEAF5}"/>
    <cellStyle name="Percent" xfId="2" builtinId="5"/>
    <cellStyle name="Percent 2" xfId="23" xr:uid="{77EF5EAA-30CF-4E49-B683-7FFCC597E7B0}"/>
    <cellStyle name="Percent 2 2" xfId="35" xr:uid="{78098C50-2EA5-46BF-A2E0-A4666A010595}"/>
    <cellStyle name="Percent 2 2 2" xfId="69" xr:uid="{9CA7FDE8-2571-4B7A-A441-8875CBE1D819}"/>
    <cellStyle name="Percent 2 2 2 2" xfId="135" xr:uid="{3B2F917F-FBE3-46EF-B445-9E759CD67340}"/>
    <cellStyle name="Percent 2 2 2 2 2" xfId="269" xr:uid="{82FF4E5E-18E1-4F2B-A07C-0134084B4E67}"/>
    <cellStyle name="Percent 2 2 2 3" xfId="203" xr:uid="{0193D784-F779-4118-960E-5D44D8EF4F73}"/>
    <cellStyle name="Percent 2 2 3" xfId="102" xr:uid="{0A71D814-04CB-4B26-98E6-95FD2B294E02}"/>
    <cellStyle name="Percent 2 2 3 2" xfId="236" xr:uid="{2F1BC258-36AB-4176-A90E-D832632C4938}"/>
    <cellStyle name="Percent 2 2 4" xfId="170" xr:uid="{8F56C652-3307-4487-A40B-6EFDA009C5A6}"/>
    <cellStyle name="Percent 2 3" xfId="46" xr:uid="{F7FD3759-45DC-4EF2-9B06-82DEA3158188}"/>
    <cellStyle name="Percent 2 3 2" xfId="80" xr:uid="{BB76FB1E-A444-4392-B736-3412CF140D55}"/>
    <cellStyle name="Percent 2 3 2 2" xfId="146" xr:uid="{B49BDFCC-8005-4ACB-B07A-BD4599B2CE3D}"/>
    <cellStyle name="Percent 2 3 2 2 2" xfId="280" xr:uid="{A61BB2B8-3716-4D8E-8CF3-63DCB8D73F8A}"/>
    <cellStyle name="Percent 2 3 2 3" xfId="214" xr:uid="{D8DCBD3E-9160-4944-8D24-3E005778DCCA}"/>
    <cellStyle name="Percent 2 3 3" xfId="113" xr:uid="{80E4FA18-498C-4870-8B30-30976C8EB25F}"/>
    <cellStyle name="Percent 2 3 3 2" xfId="247" xr:uid="{E05BF8C3-4440-4E30-90FB-5A9424AC1C35}"/>
    <cellStyle name="Percent 2 3 4" xfId="181" xr:uid="{435FF311-1606-4612-8D82-6926996E1E47}"/>
    <cellStyle name="Percent 2 4" xfId="57" xr:uid="{59F83400-2C33-4462-A977-A017DB558CA8}"/>
    <cellStyle name="Percent 2 4 2" xfId="124" xr:uid="{4C467589-230A-4FB5-B17E-7BD65C5EF638}"/>
    <cellStyle name="Percent 2 4 2 2" xfId="258" xr:uid="{4A167302-4BBD-4AB0-9580-8084F430CB1C}"/>
    <cellStyle name="Percent 2 4 3" xfId="192" xr:uid="{59394170-6636-40C1-8C9D-0992552F2F31}"/>
    <cellStyle name="Percent 2 5" xfId="91" xr:uid="{53C21763-9217-4FE7-BCD8-EC91639E65BD}"/>
    <cellStyle name="Percent 2 5 2" xfId="225" xr:uid="{DCCFF22D-DA61-4437-A828-0D04343C8897}"/>
    <cellStyle name="Percent 2 6" xfId="159" xr:uid="{6A7A51FD-E47A-4D60-8363-2AD62006A926}"/>
    <cellStyle name="Percent 3" xfId="289" xr:uid="{BF45EAD3-D328-45FB-8BE1-0D23C71A7A8A}"/>
    <cellStyle name="PSChar" xfId="300" xr:uid="{DF47D148-2E93-4159-ACAA-7541D8183B1F}"/>
    <cellStyle name="常规 3" xfId="13" xr:uid="{9450C39F-7CC4-4870-8E3D-27AEA4CE00E2}"/>
    <cellStyle name="常规 3 2" xfId="16" xr:uid="{AF43368C-7394-44B3-B9C7-0A13E07EB8F6}"/>
    <cellStyle name="常规 3 2 2" xfId="29" xr:uid="{B9CE61CF-FC61-45E1-92DC-2D2E6C7F1842}"/>
    <cellStyle name="常规 3 2 2 2" xfId="63" xr:uid="{0663FD76-5515-415F-87C4-3C01252D5C79}"/>
    <cellStyle name="常规 3 2 2 2 2" xfId="130" xr:uid="{989CB1A8-F28B-43B7-9B41-C173AE6B9CD4}"/>
    <cellStyle name="常规 3 2 2 2 2 2" xfId="264" xr:uid="{462614DB-EB7E-4902-B555-9A8C310B569D}"/>
    <cellStyle name="常规 3 2 2 2 3" xfId="198" xr:uid="{31471C22-74BB-421F-A7BA-316326C52EA2}"/>
    <cellStyle name="常规 3 2 2 3" xfId="97" xr:uid="{32981C52-1ED2-46CD-AA20-1D55002F360A}"/>
    <cellStyle name="常规 3 2 2 3 2" xfId="231" xr:uid="{49739201-ECD6-400A-A8A3-35B575C60225}"/>
    <cellStyle name="常规 3 2 2 4" xfId="165" xr:uid="{59C6BFE3-2CF6-4FFA-9A00-274ED0E0E2F5}"/>
    <cellStyle name="常规 3 2 3" xfId="41" xr:uid="{66FC0371-655A-4BDB-97D5-47B588AB92A4}"/>
    <cellStyle name="常规 3 2 3 2" xfId="75" xr:uid="{08648D81-92AD-4C4D-9B6E-C3226960368C}"/>
    <cellStyle name="常规 3 2 3 2 2" xfId="141" xr:uid="{89B7EB0B-B809-446A-B6C6-04EAC7A4C340}"/>
    <cellStyle name="常规 3 2 3 2 2 2" xfId="275" xr:uid="{66D9C825-FD6F-4E4D-B2F3-07AFBDF051BE}"/>
    <cellStyle name="常规 3 2 3 2 3" xfId="209" xr:uid="{7B4D0396-AF80-45A6-B78F-3B3246CBC775}"/>
    <cellStyle name="常规 3 2 3 3" xfId="108" xr:uid="{F115D926-3A2B-4174-B0CE-AC2E335B596E}"/>
    <cellStyle name="常规 3 2 3 3 2" xfId="242" xr:uid="{1E75AA58-43A1-41A7-B052-77F1B45A73E4}"/>
    <cellStyle name="常规 3 2 3 4" xfId="176" xr:uid="{C3545C2F-1865-4D99-AED1-AEB80EA40627}"/>
    <cellStyle name="常规 3 2 4" xfId="52" xr:uid="{CF0E2B60-3217-49E9-84D5-E3DB71751CAE}"/>
    <cellStyle name="常规 3 2 4 2" xfId="119" xr:uid="{CD7DD9B1-52C0-4D05-BB77-D9B9EE4DB420}"/>
    <cellStyle name="常规 3 2 4 2 2" xfId="253" xr:uid="{A7EC8BD2-7289-4D7C-8B31-92D7F4E2684C}"/>
    <cellStyle name="常规 3 2 4 3" xfId="187" xr:uid="{6CF41094-DA17-408F-9C05-194D77A61583}"/>
    <cellStyle name="常规 3 2 5" xfId="86" xr:uid="{4920FBBA-A3BC-4847-AC9E-3CAE9072A417}"/>
    <cellStyle name="常规 3 2 5 2" xfId="220" xr:uid="{6EA362A4-090A-4EEC-B57A-9B9160A19FB1}"/>
    <cellStyle name="常规 3 2 6" xfId="154" xr:uid="{0F3AB835-EA49-441E-9A05-D04EBE85C92F}"/>
    <cellStyle name="常规 3 3" xfId="26" xr:uid="{DA0D9BFE-B8D0-4FBB-B9C5-48AA656DD028}"/>
    <cellStyle name="常规 3 3 2" xfId="60" xr:uid="{ACE33E29-C99E-4311-A8CF-6C8378BD3F9F}"/>
    <cellStyle name="常规 3 3 2 2" xfId="127" xr:uid="{A1F64E67-D465-4A18-B2B0-82932999C114}"/>
    <cellStyle name="常规 3 3 2 2 2" xfId="261" xr:uid="{32E8E6FD-FF10-4950-A7E3-FD898E395603}"/>
    <cellStyle name="常规 3 3 2 3" xfId="195" xr:uid="{31566C48-9A51-46D5-9795-7F522D8F41F3}"/>
    <cellStyle name="常规 3 3 3" xfId="94" xr:uid="{4F54380F-CB29-4B75-82A5-AEEBD1F3C154}"/>
    <cellStyle name="常规 3 3 3 2" xfId="228" xr:uid="{74E5EED4-5033-4830-8D3C-4650A1D970FF}"/>
    <cellStyle name="常规 3 3 4" xfId="162" xr:uid="{56D9BA72-1C1F-4811-B6FC-F41D69010A1B}"/>
    <cellStyle name="常规 3 4" xfId="38" xr:uid="{6DD04B77-A4AA-4D9B-8B84-4595BD0DF940}"/>
    <cellStyle name="常规 3 4 2" xfId="72" xr:uid="{E794243F-5988-4BCB-A42E-59B5CE13D3B3}"/>
    <cellStyle name="常规 3 4 2 2" xfId="138" xr:uid="{AD5111A5-8ED5-4D30-B1B8-1142AFBDCCB1}"/>
    <cellStyle name="常规 3 4 2 2 2" xfId="272" xr:uid="{6484164E-2DB5-4447-8F55-67E4D47B5775}"/>
    <cellStyle name="常规 3 4 2 3" xfId="206" xr:uid="{5A0226ED-B95C-46F1-AFE0-0487B74F72EB}"/>
    <cellStyle name="常规 3 4 3" xfId="105" xr:uid="{F87DF9C7-BE8D-4B66-BB8F-883D5376AE91}"/>
    <cellStyle name="常规 3 4 3 2" xfId="239" xr:uid="{789E4254-AF38-4D8B-B643-7A019A7B6260}"/>
    <cellStyle name="常规 3 4 4" xfId="173" xr:uid="{FB7EDF65-73D3-47FE-9674-E39D366A9535}"/>
    <cellStyle name="常规 3 5" xfId="49" xr:uid="{BA209347-F78D-4856-839A-8F61E3B8FF2B}"/>
    <cellStyle name="常规 3 5 2" xfId="116" xr:uid="{32988E03-BF60-4088-8FA0-FCB055D36333}"/>
    <cellStyle name="常规 3 5 2 2" xfId="250" xr:uid="{F0D83D39-9585-493D-A4AA-EE64E8A63140}"/>
    <cellStyle name="常规 3 5 3" xfId="184" xr:uid="{13C39699-C621-4300-B991-9F691F48180A}"/>
    <cellStyle name="常规 3 6" xfId="83" xr:uid="{E0BE9ED8-1928-4F5D-8832-4993413CE8CC}"/>
    <cellStyle name="常规 3 6 2" xfId="217" xr:uid="{79099E54-E707-41D3-B2CB-3049187D04D5}"/>
    <cellStyle name="常规 3 7" xfId="151" xr:uid="{91F1105C-41C2-4078-BACA-AF569592A395}"/>
    <cellStyle name="常规_Sheet1" xfId="11" xr:uid="{B346AC20-372B-4B54-A301-55A79124572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0EAAE8-CBDB-45DA-A185-E3BD402C26F8}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243417</xdr:colOff>
      <xdr:row>38</xdr:row>
      <xdr:rowOff>42334</xdr:rowOff>
    </xdr:from>
    <xdr:to>
      <xdr:col>13</xdr:col>
      <xdr:colOff>331742</xdr:colOff>
      <xdr:row>54</xdr:row>
      <xdr:rowOff>76222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167" y="6741584"/>
          <a:ext cx="6046741" cy="35898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190500</xdr:colOff>
      <xdr:row>0</xdr:row>
      <xdr:rowOff>66675</xdr:rowOff>
    </xdr:from>
    <xdr:to>
      <xdr:col>64</xdr:col>
      <xdr:colOff>590550</xdr:colOff>
      <xdr:row>1</xdr:row>
      <xdr:rowOff>171450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920275" y="66675"/>
          <a:ext cx="40005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69</xdr:col>
      <xdr:colOff>154781</xdr:colOff>
      <xdr:row>0</xdr:row>
      <xdr:rowOff>11906</xdr:rowOff>
    </xdr:from>
    <xdr:to>
      <xdr:col>69</xdr:col>
      <xdr:colOff>554831</xdr:colOff>
      <xdr:row>1</xdr:row>
      <xdr:rowOff>116681</xdr:rowOff>
    </xdr:to>
    <xdr:sp macro="" textlink="">
      <xdr:nvSpPr>
        <xdr:cNvPr id="3" name="Down Arrow 1">
          <a:extLst>
            <a:ext uri="{FF2B5EF4-FFF2-40B4-BE49-F238E27FC236}">
              <a16:creationId xmlns:a16="http://schemas.microsoft.com/office/drawing/2014/main" id="{6C46912C-E7D3-4FA3-8E58-7167F5815355}"/>
            </a:ext>
          </a:extLst>
        </xdr:cNvPr>
        <xdr:cNvSpPr/>
      </xdr:nvSpPr>
      <xdr:spPr>
        <a:xfrm>
          <a:off x="54649687" y="11906"/>
          <a:ext cx="40005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423109</xdr:colOff>
      <xdr:row>6</xdr:row>
      <xdr:rowOff>224590</xdr:rowOff>
    </xdr:from>
    <xdr:to>
      <xdr:col>20</xdr:col>
      <xdr:colOff>1286709</xdr:colOff>
      <xdr:row>10</xdr:row>
      <xdr:rowOff>173790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4140359" y="1548565"/>
          <a:ext cx="863600" cy="97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588872</xdr:colOff>
      <xdr:row>3</xdr:row>
      <xdr:rowOff>40660</xdr:rowOff>
    </xdr:from>
    <xdr:to>
      <xdr:col>0</xdr:col>
      <xdr:colOff>2918952</xdr:colOff>
      <xdr:row>10</xdr:row>
      <xdr:rowOff>171661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872" y="870257"/>
          <a:ext cx="2330080" cy="17282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752474</xdr:colOff>
      <xdr:row>4</xdr:row>
      <xdr:rowOff>193048</xdr:rowOff>
    </xdr:from>
    <xdr:to>
      <xdr:col>0</xdr:col>
      <xdr:colOff>2406316</xdr:colOff>
      <xdr:row>8</xdr:row>
      <xdr:rowOff>37746</xdr:rowOff>
    </xdr:to>
    <xdr:pic>
      <xdr:nvPicPr>
        <xdr:cNvPr id="2" name="Picture 1" descr="C:\Documents and Settings\HR04\Desktop\Kempinski Hotel Fleuve Congo_Logo_RGB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4" y="1907548"/>
          <a:ext cx="1653842" cy="1559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423109</xdr:colOff>
      <xdr:row>6</xdr:row>
      <xdr:rowOff>224590</xdr:rowOff>
    </xdr:from>
    <xdr:to>
      <xdr:col>17</xdr:col>
      <xdr:colOff>1286709</xdr:colOff>
      <xdr:row>10</xdr:row>
      <xdr:rowOff>173790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4616609" y="2796340"/>
          <a:ext cx="863600" cy="1663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37353</xdr:colOff>
      <xdr:row>26</xdr:row>
      <xdr:rowOff>393451</xdr:rowOff>
    </xdr:from>
    <xdr:to>
      <xdr:col>16</xdr:col>
      <xdr:colOff>184274</xdr:colOff>
      <xdr:row>28</xdr:row>
      <xdr:rowOff>333687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1316203" y="11537701"/>
          <a:ext cx="1280396" cy="7974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622549</xdr:colOff>
      <xdr:row>26</xdr:row>
      <xdr:rowOff>361077</xdr:rowOff>
    </xdr:from>
    <xdr:to>
      <xdr:col>17</xdr:col>
      <xdr:colOff>39843</xdr:colOff>
      <xdr:row>28</xdr:row>
      <xdr:rowOff>166842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23034874" y="11505327"/>
          <a:ext cx="1198469" cy="6630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1344706</xdr:colOff>
      <xdr:row>11</xdr:row>
      <xdr:rowOff>313765</xdr:rowOff>
    </xdr:from>
    <xdr:to>
      <xdr:col>15</xdr:col>
      <xdr:colOff>1090706</xdr:colOff>
      <xdr:row>12</xdr:row>
      <xdr:rowOff>403412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21261481" y="5028640"/>
          <a:ext cx="1108075" cy="5182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298824</xdr:colOff>
      <xdr:row>11</xdr:row>
      <xdr:rowOff>343646</xdr:rowOff>
    </xdr:from>
    <xdr:to>
      <xdr:col>16</xdr:col>
      <xdr:colOff>1583765</xdr:colOff>
      <xdr:row>13</xdr:row>
      <xdr:rowOff>59762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2711149" y="5058521"/>
          <a:ext cx="1284941" cy="57336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Finance%20Department\FINANCE\09%20CHIEF%20ACCOUNTANT\PAYROLL%20FILE%20EXPATS\Decompte%20Final%20Template%20Expats%20FCH..xlsx" TargetMode="External"/><Relationship Id="rId1" Type="http://schemas.openxmlformats.org/officeDocument/2006/relationships/externalLinkPath" Target="/Finance%20Department/FINANCE/09%20CHIEF%20ACCOUNTANT/PAYROLL%20FILE%20EXPATS/Decompte%20Final%20Template%20Expats%20FCH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EME ONEM"/>
      <sheetName val="All Expats ID&amp;SB"/>
      <sheetName val="Categorie"/>
      <sheetName val="Decompte-To Pay"/>
      <sheetName val="Sheet1"/>
      <sheetName val="Tableau-To pay"/>
      <sheetName val="SDT-To Pay"/>
      <sheetName val="Petty cash"/>
      <sheetName val="JV"/>
      <sheetName val="History-"/>
      <sheetName val="DECOMPTES-B"/>
      <sheetName val="DECOMPTES-B History"/>
      <sheetName val="Tableau-B"/>
      <sheetName val="SDT-B"/>
      <sheetName val="Fees"/>
      <sheetName val="Sydney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B1:U34"/>
  <sheetViews>
    <sheetView zoomScale="90" zoomScaleNormal="90" workbookViewId="0">
      <pane ySplit="7" topLeftCell="A8" activePane="bottomLeft" state="frozen"/>
      <selection pane="bottomLeft" activeCell="G16" sqref="G16"/>
    </sheetView>
  </sheetViews>
  <sheetFormatPr defaultColWidth="9.140625" defaultRowHeight="17.25"/>
  <cols>
    <col min="1" max="1" width="9.140625" style="138"/>
    <col min="2" max="2" width="12.85546875" style="138" customWidth="1"/>
    <col min="3" max="3" width="34.5703125" style="138" bestFit="1" customWidth="1"/>
    <col min="4" max="4" width="11.85546875" style="138" customWidth="1"/>
    <col min="5" max="5" width="10.28515625" style="138" customWidth="1"/>
    <col min="6" max="6" width="13" style="138" customWidth="1"/>
    <col min="7" max="7" width="18.42578125" style="138" customWidth="1"/>
    <col min="8" max="8" width="29.140625" style="138" customWidth="1"/>
    <col min="9" max="9" width="17" style="143" customWidth="1"/>
    <col min="10" max="10" width="11.85546875" style="143" bestFit="1" customWidth="1"/>
    <col min="11" max="11" width="61.7109375" style="143" customWidth="1"/>
    <col min="12" max="12" width="27.5703125" style="143" bestFit="1" customWidth="1"/>
    <col min="13" max="13" width="13.5703125" style="143" hidden="1" customWidth="1"/>
    <col min="14" max="15" width="9.28515625" style="143" bestFit="1" customWidth="1"/>
    <col min="16" max="16" width="24.28515625" style="143" bestFit="1" customWidth="1"/>
    <col min="17" max="17" width="11.85546875" style="139" bestFit="1" customWidth="1"/>
    <col min="18" max="18" width="11.28515625" style="138" bestFit="1" customWidth="1"/>
    <col min="19" max="19" width="9.140625" style="138"/>
    <col min="20" max="20" width="10" style="138" bestFit="1" customWidth="1"/>
    <col min="21" max="16384" width="9.140625" style="138"/>
  </cols>
  <sheetData>
    <row r="1" spans="2:21">
      <c r="T1" s="138" t="str">
        <f>IF($AG4&lt;=5,"Echellon 1, Classe 1",IF(AND($AG4&gt;5,$AG4&lt;=5.8),"Echelon 2, Classe 2",IF(AND($AG4&gt;5.8,$AG4&lt;=6.65),"Echellon 0, Classe 3",IF(AND($AG4&gt;6.65,$AG4&lt;=7.7),"Echellon 1, Classe 4",IF(AND($AG4&gt;7.7,$AG4&lt;=8.9),"Echellon 2, Classe 5",IF(AND($AG4&gt;8.9,$AG4&lt;=10.3),"Echellon 3, Classe 6",IF(AND($AG4&gt;10.3,$AG4&lt;=11.85),"Echellon 1,Classe 7",IF(AND($AG4&gt;11.85,$AG4&lt;=13.7),"Echellon 2,Classe 8",IF(AND($AG4&gt;13.7,$AG4&lt;=15.85),"Echellon 0, Classe 9",IF(AND($AG4&gt;15.85,$AG4&lt;=18.3),"Echellon 1, Classe 10",IF(AND($AG4&gt;18.3,$AG4&lt;=21.1),"Echellon 2,Classe 11",IF(AND($AG4&gt;21.1,$AG4&lt;=24.4),"Echellon 3, Classe 12",IF(AND($AG4&gt;24.4,$AG4&lt;=28.2),"Echellon 4,Classe 13",IF(AND($AG4&gt;28.2,$AG4&lt;=32.55),"Echellon 1,Classe 14",IF(AND($AG4&gt;32.55,$AG4&lt;=37.6),"Echellon 2, Classe 15",IF(AND($AG4&gt;37.6,$AG4&lt;=43.4),"Echellon 3, Classe 16",IF(AND($AG4&gt;43.4,$AG4&lt;=50),"Echellon 4, Classe 17",IF($AG4&gt;50,"--"))))))))))))))))))</f>
        <v>Echellon 1, Classe 1</v>
      </c>
    </row>
    <row r="2" spans="2:21">
      <c r="T2" s="138" t="str">
        <f>+IF(OR(OR(OR(AA4="MAITRISE",AA4="CADRE DE COLLABORATION",AA4="CADRE DE DIRECTION"))),AA4,"CATEGORIE 1 A 5")</f>
        <v>CATEGORIE 1 A 5</v>
      </c>
    </row>
    <row r="3" spans="2:21">
      <c r="D3" s="140"/>
      <c r="F3" s="140"/>
      <c r="T3" s="138" t="str">
        <f>IF($AG4&lt;=5,"MANŒUVRE ORDINAIRE",IF(AND($AG4&gt;5,$AG4&lt;=5.8),"MANOEUVRE LOURD",IF(AND($AG4&gt;5.8,$AG4&lt;=6.65),"TRAVAILLEUR SPECIALISE",IF(AND($AG4&gt;6.65,$AG4&lt;=10.3),"TRAVAILLEUR SEMI QUALIFIE",IF(AND($AG4&gt;10.3,$AG4&lt;=13.7),"TRAVAILLEUR QUALIFIE",IF(AND($AG4&gt;13.7,$AG4&lt;=15.85),"TRAVAILLEUR HAUTEMENT QUALIFIE",IF(AND($AG4&gt;15.85,$AG4&lt;=28.2),"MAITRISE",IF(AND($AG4&gt;28.2,$AG4&lt;=50),"CADRE DE COLLABORATION",IF($AG4&gt;50,"CADRE DE DIRECTION")))))))))</f>
        <v>MANŒUVRE ORDINAIRE</v>
      </c>
    </row>
    <row r="4" spans="2:21" ht="18.75">
      <c r="C4" s="141" t="s">
        <v>171</v>
      </c>
      <c r="D4" s="141"/>
      <c r="E4" s="141"/>
      <c r="F4" s="141"/>
      <c r="G4" s="142"/>
    </row>
    <row r="5" spans="2:21">
      <c r="D5" s="140"/>
      <c r="F5" s="140"/>
    </row>
    <row r="6" spans="2:21" ht="18" thickBot="1">
      <c r="B6" s="143"/>
      <c r="C6" s="143"/>
      <c r="D6" s="144"/>
      <c r="E6" s="143"/>
      <c r="F6" s="144"/>
      <c r="G6" s="143"/>
    </row>
    <row r="7" spans="2:21" ht="45.75" thickBot="1">
      <c r="B7" s="145" t="s">
        <v>172</v>
      </c>
      <c r="C7" s="146"/>
      <c r="D7" s="147" t="s">
        <v>173</v>
      </c>
      <c r="E7" s="148" t="s">
        <v>174</v>
      </c>
      <c r="F7" s="147" t="s">
        <v>175</v>
      </c>
      <c r="G7" s="149" t="s">
        <v>176</v>
      </c>
      <c r="H7" s="150" t="s">
        <v>177</v>
      </c>
      <c r="I7" s="418" t="s">
        <v>178</v>
      </c>
      <c r="J7" s="418" t="s">
        <v>70</v>
      </c>
      <c r="K7" s="418" t="s">
        <v>179</v>
      </c>
      <c r="L7" s="418" t="s">
        <v>12</v>
      </c>
      <c r="M7" s="419" t="s">
        <v>11</v>
      </c>
      <c r="N7" s="420" t="s">
        <v>123</v>
      </c>
      <c r="O7" s="421" t="s">
        <v>124</v>
      </c>
      <c r="P7" s="421" t="s">
        <v>176</v>
      </c>
      <c r="Q7" s="139" t="s">
        <v>180</v>
      </c>
      <c r="R7" s="138" t="s">
        <v>181</v>
      </c>
    </row>
    <row r="8" spans="2:21">
      <c r="B8" s="151" t="s">
        <v>182</v>
      </c>
      <c r="C8" s="152" t="s">
        <v>183</v>
      </c>
      <c r="D8" s="153">
        <v>1</v>
      </c>
      <c r="E8" s="154">
        <v>1</v>
      </c>
      <c r="F8" s="155">
        <v>100</v>
      </c>
      <c r="G8" s="156">
        <v>130</v>
      </c>
      <c r="H8" s="157" t="s">
        <v>184</v>
      </c>
      <c r="I8" s="422" t="s">
        <v>185</v>
      </c>
      <c r="J8" s="422" t="s">
        <v>182</v>
      </c>
      <c r="K8" s="422" t="str">
        <f>+C8&amp;", Echellon "&amp;D8&amp;", Classe "&amp;E8</f>
        <v>MANŒUVRE ORDINAIRE (MO), Echellon 1, Classe 1</v>
      </c>
      <c r="L8" s="422" t="s">
        <v>184</v>
      </c>
      <c r="M8" s="423">
        <f>+G8/26</f>
        <v>5</v>
      </c>
      <c r="N8" s="423">
        <v>0</v>
      </c>
      <c r="O8" s="423">
        <v>5</v>
      </c>
      <c r="P8" s="423">
        <f>+G8</f>
        <v>130</v>
      </c>
      <c r="Q8" s="139">
        <v>130</v>
      </c>
      <c r="R8" s="139">
        <f>+Q8-P8</f>
        <v>0</v>
      </c>
      <c r="S8" s="158" t="s">
        <v>125</v>
      </c>
      <c r="T8" s="139">
        <v>0</v>
      </c>
      <c r="U8" s="139"/>
    </row>
    <row r="9" spans="2:21" ht="18" thickBot="1">
      <c r="B9" s="159"/>
      <c r="C9" s="160" t="s">
        <v>186</v>
      </c>
      <c r="D9" s="161">
        <v>2</v>
      </c>
      <c r="E9" s="162">
        <f>+E8+1</f>
        <v>2</v>
      </c>
      <c r="F9" s="155">
        <f>+$G9/$G$8*100</f>
        <v>116.00000000000001</v>
      </c>
      <c r="G9" s="163">
        <v>150.80000000000001</v>
      </c>
      <c r="H9" s="164"/>
      <c r="I9" s="424" t="s">
        <v>187</v>
      </c>
      <c r="J9" s="424" t="s">
        <v>182</v>
      </c>
      <c r="K9" s="424" t="str">
        <f>+C9&amp;", Echellon "&amp;D9&amp;", Classe "&amp;E9</f>
        <v>MANŒUVRE LOURD (ML), Echellon 2, Classe 2</v>
      </c>
      <c r="L9" s="424" t="s">
        <v>184</v>
      </c>
      <c r="M9" s="425">
        <f t="shared" ref="M9:M24" si="0">+G9/26</f>
        <v>5.8000000000000007</v>
      </c>
      <c r="N9" s="425">
        <f>+O8</f>
        <v>5</v>
      </c>
      <c r="O9" s="425">
        <f>+M9</f>
        <v>5.8000000000000007</v>
      </c>
      <c r="P9" s="425">
        <f t="shared" ref="P9:P24" si="1">+G9</f>
        <v>150.80000000000001</v>
      </c>
      <c r="Q9" s="139">
        <f>+$Q$8*F9/100</f>
        <v>150.80000000000001</v>
      </c>
      <c r="R9" s="139">
        <f t="shared" ref="R9:R28" si="2">+Q9-P9</f>
        <v>0</v>
      </c>
      <c r="U9" s="139"/>
    </row>
    <row r="10" spans="2:21" ht="18" thickBot="1">
      <c r="B10" s="165" t="s">
        <v>188</v>
      </c>
      <c r="C10" s="166" t="s">
        <v>189</v>
      </c>
      <c r="D10" s="167"/>
      <c r="E10" s="168">
        <v>3</v>
      </c>
      <c r="F10" s="168">
        <f t="shared" ref="F10:F24" si="3">+$G10/$G$8*100</f>
        <v>133</v>
      </c>
      <c r="G10" s="169">
        <v>172.9</v>
      </c>
      <c r="H10" s="170"/>
      <c r="I10" s="424" t="s">
        <v>190</v>
      </c>
      <c r="J10" s="424" t="s">
        <v>188</v>
      </c>
      <c r="K10" s="424" t="str">
        <f>+C10&amp;", Echellon 0 "&amp;D10&amp;", Classe "&amp;E10</f>
        <v>TRAVAILLEUR SPECIALISE (TS), Echellon 0 , Classe 3</v>
      </c>
      <c r="L10" s="424" t="s">
        <v>184</v>
      </c>
      <c r="M10" s="425">
        <f t="shared" si="0"/>
        <v>6.65</v>
      </c>
      <c r="N10" s="425">
        <f t="shared" ref="N10:N24" si="4">+O9</f>
        <v>5.8000000000000007</v>
      </c>
      <c r="O10" s="425">
        <f t="shared" ref="O10:O24" si="5">+M10</f>
        <v>6.65</v>
      </c>
      <c r="P10" s="425">
        <f t="shared" si="1"/>
        <v>172.9</v>
      </c>
      <c r="Q10" s="139">
        <f>+$Q$8*F10/100</f>
        <v>172.9</v>
      </c>
      <c r="R10" s="139">
        <f t="shared" si="2"/>
        <v>0</v>
      </c>
      <c r="U10" s="139"/>
    </row>
    <row r="11" spans="2:21">
      <c r="B11" s="171" t="s">
        <v>191</v>
      </c>
      <c r="C11" s="172" t="s">
        <v>192</v>
      </c>
      <c r="D11" s="173">
        <v>1</v>
      </c>
      <c r="E11" s="174">
        <f>+E10+1</f>
        <v>4</v>
      </c>
      <c r="F11" s="175">
        <f t="shared" si="3"/>
        <v>153.99999999999997</v>
      </c>
      <c r="G11" s="176">
        <v>200.2</v>
      </c>
      <c r="H11" s="170"/>
      <c r="I11" s="424" t="s">
        <v>193</v>
      </c>
      <c r="J11" s="424" t="s">
        <v>191</v>
      </c>
      <c r="K11" s="424" t="str">
        <f>+$C$11&amp;", Echellon "&amp;D11&amp;", Classe "&amp;E11</f>
        <v>TRAVAILLEUR SEMI QUALIFIE (TSQ), Echellon 1, Classe 4</v>
      </c>
      <c r="L11" s="424" t="s">
        <v>184</v>
      </c>
      <c r="M11" s="425">
        <f t="shared" si="0"/>
        <v>7.6999999999999993</v>
      </c>
      <c r="N11" s="425">
        <f t="shared" si="4"/>
        <v>6.65</v>
      </c>
      <c r="O11" s="425">
        <f t="shared" si="5"/>
        <v>7.6999999999999993</v>
      </c>
      <c r="P11" s="425">
        <f t="shared" si="1"/>
        <v>200.2</v>
      </c>
      <c r="Q11" s="139">
        <f>+T11*26</f>
        <v>140.08620689655174</v>
      </c>
      <c r="R11" s="139">
        <f t="shared" si="2"/>
        <v>-60.113793103448245</v>
      </c>
      <c r="S11" s="158" t="s">
        <v>126</v>
      </c>
      <c r="T11" s="139">
        <v>5.3879310344827589</v>
      </c>
      <c r="U11" s="139"/>
    </row>
    <row r="12" spans="2:21">
      <c r="B12" s="177"/>
      <c r="C12" s="178"/>
      <c r="D12" s="179">
        <v>2</v>
      </c>
      <c r="E12" s="154">
        <f t="shared" ref="E12:E22" si="6">+E11+1</f>
        <v>5</v>
      </c>
      <c r="F12" s="155">
        <f t="shared" si="3"/>
        <v>178</v>
      </c>
      <c r="G12" s="180">
        <v>231.4</v>
      </c>
      <c r="H12" s="170"/>
      <c r="I12" s="424" t="s">
        <v>194</v>
      </c>
      <c r="J12" s="424" t="s">
        <v>191</v>
      </c>
      <c r="K12" s="424" t="str">
        <f>+$C$11&amp;", Echellon "&amp;D12&amp;", Classe "&amp;E12</f>
        <v>TRAVAILLEUR SEMI QUALIFIE (TSQ), Echellon 2, Classe 5</v>
      </c>
      <c r="L12" s="424" t="s">
        <v>184</v>
      </c>
      <c r="M12" s="425">
        <f t="shared" si="0"/>
        <v>8.9</v>
      </c>
      <c r="N12" s="425">
        <f t="shared" si="4"/>
        <v>7.6999999999999993</v>
      </c>
      <c r="O12" s="425">
        <f t="shared" si="5"/>
        <v>8.9</v>
      </c>
      <c r="P12" s="425">
        <f t="shared" si="1"/>
        <v>231.4</v>
      </c>
      <c r="Q12" s="139">
        <f t="shared" ref="Q12:Q13" si="7">+T12*26</f>
        <v>159.69827586206898</v>
      </c>
      <c r="R12" s="139">
        <f t="shared" si="2"/>
        <v>-71.701724137931024</v>
      </c>
      <c r="S12" s="158" t="s">
        <v>127</v>
      </c>
      <c r="T12" s="139">
        <v>6.1422413793103452</v>
      </c>
      <c r="U12" s="139"/>
    </row>
    <row r="13" spans="2:21" ht="18" thickBot="1">
      <c r="B13" s="181"/>
      <c r="C13" s="182"/>
      <c r="D13" s="183">
        <v>3</v>
      </c>
      <c r="E13" s="184">
        <v>6</v>
      </c>
      <c r="F13" s="185">
        <f t="shared" si="3"/>
        <v>206</v>
      </c>
      <c r="G13" s="186">
        <v>267.8</v>
      </c>
      <c r="H13" s="170"/>
      <c r="I13" s="424" t="s">
        <v>195</v>
      </c>
      <c r="J13" s="424" t="s">
        <v>191</v>
      </c>
      <c r="K13" s="424" t="str">
        <f>+$C$11&amp;", Echellon "&amp;D13&amp;", Classe "&amp;E13</f>
        <v>TRAVAILLEUR SEMI QUALIFIE (TSQ), Echellon 3, Classe 6</v>
      </c>
      <c r="L13" s="424" t="s">
        <v>184</v>
      </c>
      <c r="M13" s="425">
        <f t="shared" si="0"/>
        <v>10.3</v>
      </c>
      <c r="N13" s="425">
        <f t="shared" si="4"/>
        <v>8.9</v>
      </c>
      <c r="O13" s="425">
        <f t="shared" si="5"/>
        <v>10.3</v>
      </c>
      <c r="P13" s="425">
        <f t="shared" si="1"/>
        <v>267.8</v>
      </c>
      <c r="Q13" s="139">
        <f t="shared" si="7"/>
        <v>162.5</v>
      </c>
      <c r="R13" s="139">
        <f t="shared" si="2"/>
        <v>-105.30000000000001</v>
      </c>
      <c r="S13" s="158" t="s">
        <v>128</v>
      </c>
      <c r="T13" s="139">
        <v>6.25</v>
      </c>
      <c r="U13" s="139"/>
    </row>
    <row r="14" spans="2:21">
      <c r="B14" s="171" t="s">
        <v>196</v>
      </c>
      <c r="C14" s="172" t="s">
        <v>197</v>
      </c>
      <c r="D14" s="187">
        <v>1</v>
      </c>
      <c r="E14" s="188">
        <v>7</v>
      </c>
      <c r="F14" s="189">
        <f t="shared" si="3"/>
        <v>237</v>
      </c>
      <c r="G14" s="190">
        <v>308.10000000000002</v>
      </c>
      <c r="H14" s="170"/>
      <c r="I14" s="424" t="s">
        <v>198</v>
      </c>
      <c r="J14" s="424" t="s">
        <v>196</v>
      </c>
      <c r="K14" s="424" t="str">
        <f>+$C$14&amp;", Echellon "&amp;D14&amp;", Classe "&amp;E14</f>
        <v>TRAVAILLEUR QUALIFIE (TQ), Echellon 1, Classe 7</v>
      </c>
      <c r="L14" s="424" t="s">
        <v>184</v>
      </c>
      <c r="M14" s="425">
        <f t="shared" si="0"/>
        <v>11.850000000000001</v>
      </c>
      <c r="N14" s="425">
        <f t="shared" si="4"/>
        <v>10.3</v>
      </c>
      <c r="O14" s="425">
        <f t="shared" si="5"/>
        <v>11.850000000000001</v>
      </c>
      <c r="P14" s="425">
        <f t="shared" si="1"/>
        <v>308.10000000000002</v>
      </c>
      <c r="Q14" s="139">
        <f>+$Q$8*F14/100</f>
        <v>308.10000000000002</v>
      </c>
      <c r="R14" s="139">
        <f>+Q14-P14</f>
        <v>0</v>
      </c>
      <c r="U14" s="139"/>
    </row>
    <row r="15" spans="2:21" ht="18" thickBot="1">
      <c r="B15" s="181"/>
      <c r="C15" s="182"/>
      <c r="D15" s="191">
        <v>2</v>
      </c>
      <c r="E15" s="162">
        <v>8</v>
      </c>
      <c r="F15" s="192">
        <f t="shared" si="3"/>
        <v>274</v>
      </c>
      <c r="G15" s="163">
        <v>356.2</v>
      </c>
      <c r="H15" s="170"/>
      <c r="I15" s="424" t="s">
        <v>199</v>
      </c>
      <c r="J15" s="424" t="s">
        <v>196</v>
      </c>
      <c r="K15" s="424" t="str">
        <f>+$C$14&amp;", Echellon "&amp;D15&amp;", Classe "&amp;E15</f>
        <v>TRAVAILLEUR QUALIFIE (TQ), Echellon 2, Classe 8</v>
      </c>
      <c r="L15" s="424" t="s">
        <v>184</v>
      </c>
      <c r="M15" s="425">
        <f t="shared" si="0"/>
        <v>13.7</v>
      </c>
      <c r="N15" s="425">
        <f t="shared" si="4"/>
        <v>11.850000000000001</v>
      </c>
      <c r="O15" s="425">
        <f t="shared" si="5"/>
        <v>13.7</v>
      </c>
      <c r="P15" s="425">
        <f t="shared" si="1"/>
        <v>356.2</v>
      </c>
      <c r="Q15" s="139">
        <f>+$Q$8*F15/100</f>
        <v>356.2</v>
      </c>
      <c r="R15" s="139">
        <f t="shared" si="2"/>
        <v>0</v>
      </c>
      <c r="U15" s="139"/>
    </row>
    <row r="16" spans="2:21" ht="35.25" thickBot="1">
      <c r="B16" s="193" t="s">
        <v>200</v>
      </c>
      <c r="C16" s="194" t="s">
        <v>201</v>
      </c>
      <c r="D16" s="167"/>
      <c r="E16" s="168">
        <v>9</v>
      </c>
      <c r="F16" s="168">
        <f t="shared" si="3"/>
        <v>317.00000000000006</v>
      </c>
      <c r="G16" s="195">
        <v>412.1</v>
      </c>
      <c r="H16" s="196"/>
      <c r="I16" s="426" t="s">
        <v>202</v>
      </c>
      <c r="J16" s="426" t="s">
        <v>200</v>
      </c>
      <c r="K16" s="426" t="str">
        <f>+C16&amp;", Echellon 0"&amp;D16&amp;", Classe "&amp;E16</f>
        <v>TRAVAILLEUR HAUTEMENT QUALIFIE (THQ), Echellon 0, Classe 9</v>
      </c>
      <c r="L16" s="426" t="s">
        <v>184</v>
      </c>
      <c r="M16" s="427">
        <f t="shared" si="0"/>
        <v>15.850000000000001</v>
      </c>
      <c r="N16" s="427">
        <f t="shared" si="4"/>
        <v>13.7</v>
      </c>
      <c r="O16" s="427">
        <f t="shared" si="5"/>
        <v>15.850000000000001</v>
      </c>
      <c r="P16" s="427">
        <f t="shared" si="1"/>
        <v>412.1</v>
      </c>
      <c r="Q16" s="139">
        <f>+T16*26</f>
        <v>184.91379310344826</v>
      </c>
      <c r="R16" s="139">
        <f t="shared" si="2"/>
        <v>-227.18620689655177</v>
      </c>
      <c r="S16" s="158" t="s">
        <v>129</v>
      </c>
      <c r="T16" s="139">
        <v>7.1120689655172411</v>
      </c>
      <c r="U16" s="139"/>
    </row>
    <row r="17" spans="2:21">
      <c r="B17" s="171" t="s">
        <v>203</v>
      </c>
      <c r="C17" s="172" t="s">
        <v>204</v>
      </c>
      <c r="D17" s="187">
        <v>1</v>
      </c>
      <c r="E17" s="188">
        <v>10</v>
      </c>
      <c r="F17" s="189">
        <f t="shared" si="3"/>
        <v>366</v>
      </c>
      <c r="G17" s="190">
        <v>475.8</v>
      </c>
      <c r="H17" s="197" t="s">
        <v>205</v>
      </c>
      <c r="I17" s="422" t="s">
        <v>206</v>
      </c>
      <c r="J17" s="422" t="s">
        <v>203</v>
      </c>
      <c r="K17" s="422" t="str">
        <f>+$C$17&amp;", Echellon "&amp;D17&amp;", Classe "&amp;E17</f>
        <v>MAITRISES, Echellon 1, Classe 10</v>
      </c>
      <c r="L17" s="422" t="s">
        <v>205</v>
      </c>
      <c r="M17" s="428">
        <f t="shared" si="0"/>
        <v>18.3</v>
      </c>
      <c r="N17" s="428">
        <f t="shared" si="4"/>
        <v>15.850000000000001</v>
      </c>
      <c r="O17" s="428">
        <f t="shared" si="5"/>
        <v>18.3</v>
      </c>
      <c r="P17" s="428">
        <f t="shared" si="1"/>
        <v>475.8</v>
      </c>
      <c r="Q17" s="139">
        <f t="shared" ref="Q17:Q24" si="8">+T17*26</f>
        <v>224.13793103448279</v>
      </c>
      <c r="R17" s="139">
        <f t="shared" si="2"/>
        <v>-251.66206896551722</v>
      </c>
      <c r="S17" s="158" t="s">
        <v>130</v>
      </c>
      <c r="T17" s="139">
        <v>8.6206896551724146</v>
      </c>
      <c r="U17" s="139"/>
    </row>
    <row r="18" spans="2:21">
      <c r="B18" s="177"/>
      <c r="C18" s="178"/>
      <c r="D18" s="198">
        <v>2</v>
      </c>
      <c r="E18" s="154">
        <v>11</v>
      </c>
      <c r="F18" s="155">
        <f t="shared" si="3"/>
        <v>422</v>
      </c>
      <c r="G18" s="156">
        <v>548.6</v>
      </c>
      <c r="H18" s="170"/>
      <c r="I18" s="424" t="s">
        <v>207</v>
      </c>
      <c r="J18" s="424" t="s">
        <v>203</v>
      </c>
      <c r="K18" s="424" t="str">
        <f>+$C$17&amp;", Echellon "&amp;D18&amp;", Classe "&amp;E18</f>
        <v>MAITRISES, Echellon 2, Classe 11</v>
      </c>
      <c r="L18" s="424" t="s">
        <v>205</v>
      </c>
      <c r="M18" s="425">
        <f t="shared" si="0"/>
        <v>21.1</v>
      </c>
      <c r="N18" s="425">
        <f t="shared" si="4"/>
        <v>18.3</v>
      </c>
      <c r="O18" s="425">
        <f t="shared" si="5"/>
        <v>21.1</v>
      </c>
      <c r="P18" s="425">
        <f t="shared" si="1"/>
        <v>548.6</v>
      </c>
      <c r="Q18" s="139">
        <f t="shared" si="8"/>
        <v>252.15517241379311</v>
      </c>
      <c r="R18" s="139">
        <f t="shared" si="2"/>
        <v>-296.44482758620688</v>
      </c>
      <c r="S18" s="158" t="s">
        <v>131</v>
      </c>
      <c r="T18" s="139">
        <v>9.6982758620689662</v>
      </c>
      <c r="U18" s="139"/>
    </row>
    <row r="19" spans="2:21">
      <c r="B19" s="177"/>
      <c r="C19" s="178"/>
      <c r="D19" s="198">
        <v>3</v>
      </c>
      <c r="E19" s="154">
        <v>12</v>
      </c>
      <c r="F19" s="155">
        <f t="shared" si="3"/>
        <v>488</v>
      </c>
      <c r="G19" s="156">
        <v>634.4</v>
      </c>
      <c r="H19" s="170"/>
      <c r="I19" s="424" t="s">
        <v>208</v>
      </c>
      <c r="J19" s="424" t="s">
        <v>203</v>
      </c>
      <c r="K19" s="424" t="str">
        <f>+$C$17&amp;", Echellon "&amp;D19&amp;", Classe "&amp;E19</f>
        <v>MAITRISES, Echellon 3, Classe 12</v>
      </c>
      <c r="L19" s="424" t="s">
        <v>205</v>
      </c>
      <c r="M19" s="425">
        <f t="shared" si="0"/>
        <v>24.4</v>
      </c>
      <c r="N19" s="425">
        <f t="shared" si="4"/>
        <v>21.1</v>
      </c>
      <c r="O19" s="425">
        <f t="shared" si="5"/>
        <v>24.4</v>
      </c>
      <c r="P19" s="425">
        <f t="shared" si="1"/>
        <v>634.4</v>
      </c>
      <c r="Q19" s="139">
        <f t="shared" si="8"/>
        <v>280.17241379310349</v>
      </c>
      <c r="R19" s="139">
        <f t="shared" si="2"/>
        <v>-354.22758620689649</v>
      </c>
      <c r="S19" s="158" t="s">
        <v>132</v>
      </c>
      <c r="T19" s="139">
        <v>10.775862068965518</v>
      </c>
      <c r="U19" s="139"/>
    </row>
    <row r="20" spans="2:21" ht="18" thickBot="1">
      <c r="B20" s="181"/>
      <c r="C20" s="182"/>
      <c r="D20" s="191">
        <v>4</v>
      </c>
      <c r="E20" s="162">
        <v>13</v>
      </c>
      <c r="F20" s="192">
        <f t="shared" si="3"/>
        <v>564</v>
      </c>
      <c r="G20" s="163">
        <v>733.2</v>
      </c>
      <c r="H20" s="196"/>
      <c r="I20" s="426" t="s">
        <v>209</v>
      </c>
      <c r="J20" s="426" t="s">
        <v>203</v>
      </c>
      <c r="K20" s="426" t="str">
        <f>+$C$17&amp;", Echellon "&amp;D20&amp;", Classe "&amp;E20</f>
        <v>MAITRISES, Echellon 4, Classe 13</v>
      </c>
      <c r="L20" s="426" t="s">
        <v>205</v>
      </c>
      <c r="M20" s="427">
        <f t="shared" si="0"/>
        <v>28.200000000000003</v>
      </c>
      <c r="N20" s="427">
        <f t="shared" si="4"/>
        <v>24.4</v>
      </c>
      <c r="O20" s="427">
        <f t="shared" si="5"/>
        <v>28.200000000000003</v>
      </c>
      <c r="P20" s="427">
        <f t="shared" si="1"/>
        <v>733.2</v>
      </c>
      <c r="Q20" s="139">
        <f t="shared" si="8"/>
        <v>420.25862068965523</v>
      </c>
      <c r="R20" s="139">
        <f t="shared" si="2"/>
        <v>-312.94137931034481</v>
      </c>
      <c r="S20" s="158" t="s">
        <v>133</v>
      </c>
      <c r="T20" s="139">
        <v>16.163793103448278</v>
      </c>
      <c r="U20" s="139"/>
    </row>
    <row r="21" spans="2:21">
      <c r="B21" s="171" t="s">
        <v>69</v>
      </c>
      <c r="C21" s="172" t="s">
        <v>50</v>
      </c>
      <c r="D21" s="187">
        <v>1</v>
      </c>
      <c r="E21" s="188">
        <v>14</v>
      </c>
      <c r="F21" s="189">
        <f t="shared" si="3"/>
        <v>651</v>
      </c>
      <c r="G21" s="190">
        <v>846.3</v>
      </c>
      <c r="H21" s="197" t="s">
        <v>210</v>
      </c>
      <c r="I21" s="422" t="s">
        <v>211</v>
      </c>
      <c r="J21" s="422" t="s">
        <v>69</v>
      </c>
      <c r="K21" s="422" t="str">
        <f>+$C$21&amp;", Echellon "&amp;D21&amp;", Classe "&amp;E21</f>
        <v>CADRE DE COLLABORATION, Echellon 1, Classe 14</v>
      </c>
      <c r="L21" s="422" t="s">
        <v>210</v>
      </c>
      <c r="M21" s="428">
        <f t="shared" si="0"/>
        <v>32.549999999999997</v>
      </c>
      <c r="N21" s="428">
        <f t="shared" si="4"/>
        <v>28.200000000000003</v>
      </c>
      <c r="O21" s="428">
        <f t="shared" si="5"/>
        <v>32.549999999999997</v>
      </c>
      <c r="P21" s="428">
        <f t="shared" si="1"/>
        <v>846.3</v>
      </c>
      <c r="Q21" s="139">
        <f t="shared" si="8"/>
        <v>504.31034482758622</v>
      </c>
      <c r="R21" s="139">
        <f t="shared" si="2"/>
        <v>-341.98965517241373</v>
      </c>
      <c r="S21" s="158" t="s">
        <v>134</v>
      </c>
      <c r="T21" s="139">
        <v>19.396551724137932</v>
      </c>
      <c r="U21" s="139"/>
    </row>
    <row r="22" spans="2:21">
      <c r="B22" s="177"/>
      <c r="C22" s="178"/>
      <c r="D22" s="198">
        <v>2</v>
      </c>
      <c r="E22" s="154">
        <f t="shared" si="6"/>
        <v>15</v>
      </c>
      <c r="F22" s="199">
        <f t="shared" si="3"/>
        <v>752</v>
      </c>
      <c r="G22" s="156">
        <v>977.6</v>
      </c>
      <c r="H22" s="170"/>
      <c r="I22" s="424" t="s">
        <v>212</v>
      </c>
      <c r="J22" s="424" t="s">
        <v>69</v>
      </c>
      <c r="K22" s="424" t="str">
        <f>+$C$21&amp;", Echellon "&amp;D22&amp;", Classe "&amp;E22</f>
        <v>CADRE DE COLLABORATION, Echellon 2, Classe 15</v>
      </c>
      <c r="L22" s="424" t="s">
        <v>210</v>
      </c>
      <c r="M22" s="425">
        <f t="shared" si="0"/>
        <v>37.6</v>
      </c>
      <c r="N22" s="425">
        <f t="shared" si="4"/>
        <v>32.549999999999997</v>
      </c>
      <c r="O22" s="425">
        <f t="shared" si="5"/>
        <v>37.6</v>
      </c>
      <c r="P22" s="425">
        <f t="shared" si="1"/>
        <v>977.6</v>
      </c>
      <c r="Q22" s="139">
        <f t="shared" si="8"/>
        <v>644.39655172413791</v>
      </c>
      <c r="R22" s="139">
        <f t="shared" si="2"/>
        <v>-333.20344827586212</v>
      </c>
      <c r="S22" s="158" t="s">
        <v>135</v>
      </c>
      <c r="T22" s="139">
        <v>24.78448275862069</v>
      </c>
      <c r="U22" s="139"/>
    </row>
    <row r="23" spans="2:21">
      <c r="B23" s="177"/>
      <c r="C23" s="178"/>
      <c r="D23" s="198">
        <v>3</v>
      </c>
      <c r="E23" s="154">
        <v>16</v>
      </c>
      <c r="F23" s="199">
        <f t="shared" si="3"/>
        <v>868.00000000000011</v>
      </c>
      <c r="G23" s="156">
        <v>1128.4000000000001</v>
      </c>
      <c r="H23" s="170"/>
      <c r="I23" s="424" t="s">
        <v>213</v>
      </c>
      <c r="J23" s="424" t="s">
        <v>69</v>
      </c>
      <c r="K23" s="424" t="str">
        <f>+$C$21&amp;", Echellon "&amp;D23&amp;", Classe "&amp;E23</f>
        <v>CADRE DE COLLABORATION, Echellon 3, Classe 16</v>
      </c>
      <c r="L23" s="424" t="s">
        <v>210</v>
      </c>
      <c r="M23" s="425">
        <f t="shared" si="0"/>
        <v>43.400000000000006</v>
      </c>
      <c r="N23" s="425">
        <f t="shared" si="4"/>
        <v>37.6</v>
      </c>
      <c r="O23" s="425">
        <f t="shared" si="5"/>
        <v>43.400000000000006</v>
      </c>
      <c r="P23" s="425">
        <f t="shared" si="1"/>
        <v>1128.4000000000001</v>
      </c>
      <c r="Q23" s="139">
        <f t="shared" si="8"/>
        <v>840.51724137931046</v>
      </c>
      <c r="R23" s="139">
        <f t="shared" si="2"/>
        <v>-287.88275862068963</v>
      </c>
      <c r="S23" s="158" t="s">
        <v>136</v>
      </c>
      <c r="T23" s="139">
        <v>32.327586206896555</v>
      </c>
      <c r="U23" s="139"/>
    </row>
    <row r="24" spans="2:21" ht="18" thickBot="1">
      <c r="B24" s="181"/>
      <c r="C24" s="182"/>
      <c r="D24" s="191">
        <v>4</v>
      </c>
      <c r="E24" s="162">
        <v>17</v>
      </c>
      <c r="F24" s="200">
        <f t="shared" si="3"/>
        <v>1000</v>
      </c>
      <c r="G24" s="163">
        <v>1300</v>
      </c>
      <c r="H24" s="170"/>
      <c r="I24" s="424" t="s">
        <v>214</v>
      </c>
      <c r="J24" s="424" t="s">
        <v>69</v>
      </c>
      <c r="K24" s="424" t="str">
        <f>+$C$21&amp;", Echellon "&amp;D24&amp;", Classe "&amp;E24</f>
        <v>CADRE DE COLLABORATION, Echellon 4, Classe 17</v>
      </c>
      <c r="L24" s="424" t="s">
        <v>210</v>
      </c>
      <c r="M24" s="425">
        <f t="shared" si="0"/>
        <v>50</v>
      </c>
      <c r="N24" s="425">
        <f t="shared" si="4"/>
        <v>43.400000000000006</v>
      </c>
      <c r="O24" s="425">
        <f t="shared" si="5"/>
        <v>50</v>
      </c>
      <c r="P24" s="425">
        <f t="shared" si="1"/>
        <v>1300</v>
      </c>
      <c r="Q24" s="139">
        <f t="shared" si="8"/>
        <v>1120.6896551724139</v>
      </c>
      <c r="R24" s="139">
        <f t="shared" si="2"/>
        <v>-179.31034482758605</v>
      </c>
      <c r="S24" s="158" t="s">
        <v>137</v>
      </c>
      <c r="T24" s="139">
        <v>43.103448275862071</v>
      </c>
      <c r="U24" s="139"/>
    </row>
    <row r="25" spans="2:21" ht="18" thickBot="1">
      <c r="D25" s="140"/>
      <c r="F25" s="140"/>
      <c r="H25" s="170"/>
      <c r="I25" s="424"/>
      <c r="J25" s="424"/>
      <c r="K25" s="424"/>
      <c r="L25" s="424" t="s">
        <v>210</v>
      </c>
      <c r="M25" s="425"/>
      <c r="N25" s="425"/>
      <c r="O25" s="425"/>
      <c r="P25" s="425"/>
      <c r="R25" s="139">
        <f t="shared" si="2"/>
        <v>0</v>
      </c>
      <c r="S25" s="158" t="s">
        <v>138</v>
      </c>
      <c r="T25" s="139">
        <v>64.65517241379311</v>
      </c>
      <c r="U25" s="139"/>
    </row>
    <row r="26" spans="2:21">
      <c r="B26" s="201" t="s">
        <v>215</v>
      </c>
      <c r="C26" s="201" t="s">
        <v>71</v>
      </c>
      <c r="D26" s="202" t="s">
        <v>216</v>
      </c>
      <c r="E26" s="203"/>
      <c r="F26" s="204"/>
      <c r="G26" s="205" t="s">
        <v>217</v>
      </c>
      <c r="H26" s="170"/>
      <c r="I26" s="424" t="s">
        <v>218</v>
      </c>
      <c r="J26" s="424" t="s">
        <v>219</v>
      </c>
      <c r="K26" s="424" t="str">
        <f>+$C$26</f>
        <v>CADRE DE DIRECTION</v>
      </c>
      <c r="L26" s="424" t="s">
        <v>210</v>
      </c>
      <c r="M26" s="425"/>
      <c r="N26" s="425"/>
      <c r="O26" s="425"/>
      <c r="P26" s="425"/>
      <c r="R26" s="139">
        <f t="shared" si="2"/>
        <v>0</v>
      </c>
      <c r="S26" s="158" t="s">
        <v>139</v>
      </c>
      <c r="T26" s="139">
        <v>75.431034482758619</v>
      </c>
      <c r="U26" s="139"/>
    </row>
    <row r="27" spans="2:21">
      <c r="B27" s="206"/>
      <c r="C27" s="206"/>
      <c r="D27" s="207" t="s">
        <v>220</v>
      </c>
      <c r="E27" s="208"/>
      <c r="F27" s="209"/>
      <c r="G27" s="210"/>
      <c r="H27" s="170"/>
      <c r="I27" s="424" t="s">
        <v>218</v>
      </c>
      <c r="J27" s="424" t="s">
        <v>219</v>
      </c>
      <c r="K27" s="424" t="s">
        <v>71</v>
      </c>
      <c r="L27" s="424" t="s">
        <v>210</v>
      </c>
      <c r="M27" s="425"/>
      <c r="N27" s="425"/>
      <c r="O27" s="425"/>
      <c r="P27" s="425"/>
      <c r="R27" s="139">
        <f t="shared" si="2"/>
        <v>0</v>
      </c>
      <c r="S27" s="158" t="s">
        <v>140</v>
      </c>
      <c r="T27" s="139">
        <v>86.206896551724142</v>
      </c>
    </row>
    <row r="28" spans="2:21" ht="18" thickBot="1">
      <c r="B28" s="211"/>
      <c r="C28" s="211"/>
      <c r="D28" s="212" t="s">
        <v>221</v>
      </c>
      <c r="E28" s="213"/>
      <c r="F28" s="214"/>
      <c r="G28" s="215"/>
      <c r="H28" s="196"/>
      <c r="I28" s="426" t="s">
        <v>218</v>
      </c>
      <c r="J28" s="426" t="s">
        <v>219</v>
      </c>
      <c r="K28" s="426" t="s">
        <v>71</v>
      </c>
      <c r="L28" s="426" t="s">
        <v>210</v>
      </c>
      <c r="M28" s="427"/>
      <c r="N28" s="427"/>
      <c r="O28" s="427"/>
      <c r="P28" s="427"/>
      <c r="R28" s="139">
        <f t="shared" si="2"/>
        <v>0</v>
      </c>
      <c r="S28" s="158" t="s">
        <v>141</v>
      </c>
      <c r="T28" s="139">
        <v>107.75862068965517</v>
      </c>
    </row>
    <row r="32" spans="2:21">
      <c r="B32" s="138" t="s">
        <v>222</v>
      </c>
    </row>
    <row r="34" spans="2:2">
      <c r="B34" s="138" t="s">
        <v>223</v>
      </c>
    </row>
  </sheetData>
  <mergeCells count="20">
    <mergeCell ref="D27:F27"/>
    <mergeCell ref="D28:F28"/>
    <mergeCell ref="B17:B20"/>
    <mergeCell ref="C17:C20"/>
    <mergeCell ref="H17:H20"/>
    <mergeCell ref="B21:B24"/>
    <mergeCell ref="C21:C24"/>
    <mergeCell ref="H21:H28"/>
    <mergeCell ref="B26:B28"/>
    <mergeCell ref="C26:C28"/>
    <mergeCell ref="D26:F26"/>
    <mergeCell ref="G26:G28"/>
    <mergeCell ref="C4:G4"/>
    <mergeCell ref="B7:C7"/>
    <mergeCell ref="B8:B9"/>
    <mergeCell ref="H8:H16"/>
    <mergeCell ref="B11:B13"/>
    <mergeCell ref="C11:C13"/>
    <mergeCell ref="B14:B15"/>
    <mergeCell ref="C14:C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  <pageSetUpPr fitToPage="1"/>
  </sheetPr>
  <dimension ref="A1:CP109"/>
  <sheetViews>
    <sheetView zoomScale="80" zoomScaleNormal="80" workbookViewId="0">
      <pane xSplit="3" ySplit="2" topLeftCell="R63" activePane="bottomRight" state="frozen"/>
      <selection pane="topRight" activeCell="D1" sqref="D1"/>
      <selection pane="bottomLeft" activeCell="A3" sqref="A3"/>
      <selection pane="bottomRight" activeCell="R25" sqref="R25"/>
    </sheetView>
  </sheetViews>
  <sheetFormatPr defaultColWidth="9.140625" defaultRowHeight="16.5" outlineLevelCol="1"/>
  <cols>
    <col min="1" max="1" width="7.140625" style="219" bestFit="1" customWidth="1"/>
    <col min="2" max="2" width="10.28515625" style="219" customWidth="1" outlineLevel="1"/>
    <col min="3" max="3" width="28.28515625" style="219" customWidth="1"/>
    <col min="4" max="4" width="24.140625" style="219" customWidth="1"/>
    <col min="5" max="5" width="28" style="219" customWidth="1"/>
    <col min="6" max="6" width="13.42578125" style="225" customWidth="1"/>
    <col min="7" max="7" width="10.140625" style="219" customWidth="1"/>
    <col min="8" max="8" width="9.42578125" style="219" customWidth="1"/>
    <col min="9" max="9" width="14.7109375" style="219" customWidth="1"/>
    <col min="10" max="11" width="11.7109375" style="219" customWidth="1" outlineLevel="1"/>
    <col min="12" max="12" width="18.7109375" style="223" customWidth="1"/>
    <col min="13" max="13" width="12.140625" style="219" customWidth="1"/>
    <col min="14" max="14" width="15" style="224" customWidth="1"/>
    <col min="15" max="15" width="28" style="225" customWidth="1"/>
    <col min="16" max="16" width="9.85546875" style="219" customWidth="1" outlineLevel="1"/>
    <col min="17" max="17" width="11.5703125" style="219" customWidth="1" outlineLevel="1"/>
    <col min="18" max="18" width="28.5703125" style="219" customWidth="1" outlineLevel="1"/>
    <col min="19" max="19" width="27.42578125" style="225" customWidth="1"/>
    <col min="20" max="20" width="55.28515625" style="225" customWidth="1" outlineLevel="1"/>
    <col min="21" max="21" width="9.140625" style="219" customWidth="1"/>
    <col min="22" max="25" width="9.140625" style="222" customWidth="1"/>
    <col min="26" max="26" width="10.28515625" style="219" customWidth="1"/>
    <col min="27" max="28" width="9.140625" style="219" customWidth="1"/>
    <col min="29" max="29" width="13.140625" style="270" customWidth="1"/>
    <col min="30" max="30" width="11.28515625" style="270" customWidth="1"/>
    <col min="31" max="31" width="10.28515625" style="222" customWidth="1"/>
    <col min="32" max="32" width="8.85546875" style="222" customWidth="1" outlineLevel="1"/>
    <col min="33" max="34" width="11.5703125" style="219" customWidth="1" outlineLevel="1"/>
    <col min="35" max="36" width="10.85546875" style="219" customWidth="1"/>
    <col min="37" max="37" width="11.28515625" style="219" customWidth="1"/>
    <col min="38" max="38" width="10" style="219" customWidth="1" outlineLevel="1"/>
    <col min="39" max="39" width="11.7109375" style="219" customWidth="1"/>
    <col min="40" max="40" width="10" style="219" customWidth="1"/>
    <col min="41" max="42" width="10" style="219" customWidth="1" outlineLevel="1"/>
    <col min="43" max="43" width="13.5703125" style="220" customWidth="1"/>
    <col min="44" max="44" width="11.42578125" style="219" customWidth="1"/>
    <col min="45" max="45" width="11.42578125" style="219" customWidth="1" outlineLevel="1"/>
    <col min="46" max="46" width="11.42578125" style="271" customWidth="1"/>
    <col min="47" max="47" width="11.42578125" style="272" customWidth="1"/>
    <col min="48" max="48" width="12.5703125" style="219" customWidth="1"/>
    <col min="49" max="49" width="9.140625" style="219" customWidth="1" outlineLevel="1"/>
    <col min="50" max="50" width="11.5703125" style="219" customWidth="1" outlineLevel="1"/>
    <col min="51" max="51" width="12.85546875" style="220" customWidth="1"/>
    <col min="52" max="53" width="10.7109375" style="219" customWidth="1"/>
    <col min="54" max="54" width="11.42578125" style="220" customWidth="1"/>
    <col min="55" max="55" width="8.85546875" style="219" customWidth="1" outlineLevel="1"/>
    <col min="56" max="56" width="12" style="219" customWidth="1" outlineLevel="1"/>
    <col min="57" max="57" width="10.140625" style="219" customWidth="1" outlineLevel="1"/>
    <col min="58" max="58" width="8.85546875" style="219" customWidth="1" outlineLevel="1"/>
    <col min="59" max="59" width="10.140625" style="219" customWidth="1" outlineLevel="1"/>
    <col min="60" max="60" width="10" style="219" customWidth="1" outlineLevel="1"/>
    <col min="61" max="63" width="9" style="219" customWidth="1" outlineLevel="1"/>
    <col min="64" max="64" width="12.28515625" style="220" bestFit="1" customWidth="1"/>
    <col min="65" max="65" width="12.140625" style="228" customWidth="1"/>
    <col min="66" max="66" width="9.140625" style="219"/>
    <col min="67" max="67" width="10.5703125" style="219" customWidth="1"/>
    <col min="68" max="68" width="9.140625" style="219"/>
    <col min="69" max="69" width="12.7109375" style="219" customWidth="1"/>
    <col min="70" max="70" width="14.140625" style="219" customWidth="1"/>
    <col min="71" max="16384" width="9.140625" style="219"/>
  </cols>
  <sheetData>
    <row r="1" spans="1:94">
      <c r="A1" s="218" t="s">
        <v>49</v>
      </c>
      <c r="C1" s="220" t="s">
        <v>51</v>
      </c>
      <c r="E1" s="221">
        <v>2023</v>
      </c>
      <c r="F1" s="222" t="s">
        <v>143</v>
      </c>
      <c r="J1" s="222"/>
      <c r="K1" s="222"/>
      <c r="AC1" s="219"/>
      <c r="AD1" s="219"/>
      <c r="AE1" s="219"/>
      <c r="AT1" s="226">
        <f>+IF(G1&lt;500,40%,25%)</f>
        <v>0.4</v>
      </c>
      <c r="AU1" s="227"/>
      <c r="BC1" s="219">
        <v>51</v>
      </c>
      <c r="BD1" s="219">
        <f>+BC1+1</f>
        <v>52</v>
      </c>
      <c r="BE1" s="219">
        <f t="shared" ref="BE1:BL1" si="0">+BD1+1</f>
        <v>53</v>
      </c>
      <c r="BF1" s="219">
        <f t="shared" si="0"/>
        <v>54</v>
      </c>
      <c r="BG1" s="219">
        <f t="shared" si="0"/>
        <v>55</v>
      </c>
      <c r="BH1" s="219">
        <f t="shared" si="0"/>
        <v>56</v>
      </c>
      <c r="BI1" s="219">
        <f t="shared" si="0"/>
        <v>57</v>
      </c>
      <c r="BJ1" s="219">
        <f t="shared" si="0"/>
        <v>58</v>
      </c>
      <c r="BK1" s="219">
        <f t="shared" si="0"/>
        <v>59</v>
      </c>
      <c r="BL1" s="219">
        <f t="shared" si="0"/>
        <v>60</v>
      </c>
      <c r="BO1" s="229" t="s">
        <v>72</v>
      </c>
    </row>
    <row r="2" spans="1:94" ht="69.75" customHeight="1">
      <c r="A2" s="218" t="s">
        <v>52</v>
      </c>
      <c r="B2" s="230" t="s">
        <v>0</v>
      </c>
      <c r="C2" s="231" t="s">
        <v>1</v>
      </c>
      <c r="D2" s="231" t="s">
        <v>2</v>
      </c>
      <c r="E2" s="231" t="s">
        <v>3</v>
      </c>
      <c r="F2" s="232" t="s">
        <v>4</v>
      </c>
      <c r="G2" s="233" t="s">
        <v>5</v>
      </c>
      <c r="H2" s="234" t="s">
        <v>6</v>
      </c>
      <c r="I2" s="234" t="s">
        <v>7</v>
      </c>
      <c r="J2" s="234" t="s">
        <v>8</v>
      </c>
      <c r="K2" s="234" t="s">
        <v>233</v>
      </c>
      <c r="L2" s="232" t="s">
        <v>12</v>
      </c>
      <c r="M2" s="231" t="s">
        <v>121</v>
      </c>
      <c r="N2" s="235" t="s">
        <v>9</v>
      </c>
      <c r="O2" s="236" t="s">
        <v>10</v>
      </c>
      <c r="P2" s="237" t="s">
        <v>11</v>
      </c>
      <c r="Q2" s="216" t="s">
        <v>167</v>
      </c>
      <c r="R2" s="216" t="s">
        <v>168</v>
      </c>
      <c r="S2" s="216" t="s">
        <v>169</v>
      </c>
      <c r="T2" s="216" t="s">
        <v>170</v>
      </c>
      <c r="U2" s="237" t="s">
        <v>13</v>
      </c>
      <c r="V2" s="234" t="s">
        <v>142</v>
      </c>
      <c r="W2" s="234" t="s">
        <v>149</v>
      </c>
      <c r="X2" s="234" t="s">
        <v>14</v>
      </c>
      <c r="Y2" s="234" t="s">
        <v>153</v>
      </c>
      <c r="Z2" s="237" t="s">
        <v>15</v>
      </c>
      <c r="AA2" s="237" t="s">
        <v>16</v>
      </c>
      <c r="AB2" s="237" t="s">
        <v>17</v>
      </c>
      <c r="AC2" s="238" t="s">
        <v>18</v>
      </c>
      <c r="AD2" s="238" t="s">
        <v>145</v>
      </c>
      <c r="AE2" s="234" t="s">
        <v>19</v>
      </c>
      <c r="AF2" s="234" t="s">
        <v>20</v>
      </c>
      <c r="AG2" s="237" t="s">
        <v>21</v>
      </c>
      <c r="AH2" s="237" t="s">
        <v>150</v>
      </c>
      <c r="AI2" s="237" t="s">
        <v>22</v>
      </c>
      <c r="AJ2" s="237" t="s">
        <v>153</v>
      </c>
      <c r="AK2" s="237" t="s">
        <v>23</v>
      </c>
      <c r="AL2" s="237" t="s">
        <v>24</v>
      </c>
      <c r="AM2" s="237" t="s">
        <v>12</v>
      </c>
      <c r="AN2" s="237" t="s">
        <v>25</v>
      </c>
      <c r="AO2" s="237" t="s">
        <v>26</v>
      </c>
      <c r="AP2" s="234" t="s">
        <v>233</v>
      </c>
      <c r="AQ2" s="237" t="s">
        <v>27</v>
      </c>
      <c r="AR2" s="237" t="s">
        <v>28</v>
      </c>
      <c r="AS2" s="237" t="s">
        <v>29</v>
      </c>
      <c r="AT2" s="239" t="s">
        <v>30</v>
      </c>
      <c r="AU2" s="240" t="s">
        <v>31</v>
      </c>
      <c r="AV2" s="237" t="s">
        <v>32</v>
      </c>
      <c r="AW2" s="237" t="s">
        <v>33</v>
      </c>
      <c r="AX2" s="237" t="s">
        <v>34</v>
      </c>
      <c r="AY2" s="237" t="s">
        <v>35</v>
      </c>
      <c r="AZ2" s="237" t="s">
        <v>36</v>
      </c>
      <c r="BA2" s="237" t="s">
        <v>37</v>
      </c>
      <c r="BB2" s="237" t="s">
        <v>48</v>
      </c>
      <c r="BC2" s="237" t="s">
        <v>38</v>
      </c>
      <c r="BD2" s="237" t="s">
        <v>39</v>
      </c>
      <c r="BE2" s="237" t="s">
        <v>40</v>
      </c>
      <c r="BF2" s="237" t="s">
        <v>41</v>
      </c>
      <c r="BG2" s="237" t="s">
        <v>42</v>
      </c>
      <c r="BH2" s="237" t="s">
        <v>43</v>
      </c>
      <c r="BI2" s="237" t="s">
        <v>44</v>
      </c>
      <c r="BJ2" s="237" t="s">
        <v>45</v>
      </c>
      <c r="BK2" s="237" t="s">
        <v>46</v>
      </c>
      <c r="BL2" s="237" t="s">
        <v>47</v>
      </c>
      <c r="BM2" s="234" t="s">
        <v>48</v>
      </c>
      <c r="BO2" s="241" t="s">
        <v>146</v>
      </c>
      <c r="BP2" s="241" t="s">
        <v>157</v>
      </c>
      <c r="BQ2" s="241" t="s">
        <v>158</v>
      </c>
      <c r="BR2" s="242" t="s">
        <v>159</v>
      </c>
    </row>
    <row r="3" spans="1:94" s="243" customFormat="1" ht="20.25" customHeight="1">
      <c r="A3" s="243">
        <v>1</v>
      </c>
      <c r="B3" s="244" t="s">
        <v>293</v>
      </c>
      <c r="C3" s="245"/>
      <c r="D3" s="245" t="s">
        <v>161</v>
      </c>
      <c r="E3" s="245" t="s">
        <v>162</v>
      </c>
      <c r="F3" s="246">
        <v>44418</v>
      </c>
      <c r="G3" s="247">
        <v>1196</v>
      </c>
      <c r="H3" s="247"/>
      <c r="I3" s="247">
        <v>358.8</v>
      </c>
      <c r="J3" s="247"/>
      <c r="K3" s="247"/>
      <c r="L3" s="248" t="s">
        <v>52</v>
      </c>
      <c r="M3" s="245">
        <v>620</v>
      </c>
      <c r="N3" s="249">
        <v>44929</v>
      </c>
      <c r="O3" s="250" t="str">
        <f t="shared" ref="O3:O37" si="1">DATEDIF(F3, N3, "y") &amp;" ans, "&amp;DATEDIF(F3, N3, "ym") &amp;" mois, " &amp;DATEDIF(F3, N3, "md") &amp;" jours"</f>
        <v>1 ans, 4 mois, 24 jours</v>
      </c>
      <c r="P3" s="247">
        <f t="shared" ref="P3:P37" si="2">+G3/26</f>
        <v>46</v>
      </c>
      <c r="Q3" s="217" t="str">
        <f>IF($P3&lt;=5,"MAO1-1.I",IF(AND($P3&gt;5,$P3&lt;=5.8),"MAL1-2.I",IF(AND($P3&gt;5.8,$P3&lt;=6.65),"TSP0-3.II",IF(AND($P3&gt;6.65,$P3&lt;=7.7),"TSQ1-4.III",IF(AND($P3&gt;7.7,$P3&lt;=8.9),"TSQ2-5.III",IF(AND($P3&gt;8.9,$P3&lt;=10.3),"TSQ3-6.III",IF(AND($P3&gt;10.3,$P3&lt;=11.85),"TRQ1-7.IV",IF(AND($P3&gt;11.85,$P3&lt;=13.7),"TRQ2-8.IV",IF(AND($P3&gt;13.7,$P3&lt;=15.85),"THQ0-9.V",IF(AND($P3&gt;15.85,$P3&lt;=18.3),"MAT1-10.M",IF(AND($P3&gt;18.3,$P3&lt;=21.1),"MAT2-11.M",IF(AND($P3&gt;21.1,$P3&lt;=24.4),"MAT3-12.M",IF(AND($P3&gt;24.4,$P3&lt;=28.2),"MAT4-13.M",IF(AND($P3&gt;28.2,$P3&lt;=32.55),"CAC1-14.CC",IF(AND($P3&gt;32.55,$P3&lt;=37.6),"CAC2-15.CC",IF(AND($P3&gt;37.6,$P3&lt;=43.4),"CAC3-16.CC",IF(AND($P3&gt;43.4,$P3&lt;=50),"CAC4-17.CC",IF($P3&gt;50,"CAD"))))))))))))))))))</f>
        <v>CAC4-17.CC</v>
      </c>
      <c r="R3" s="217" t="str">
        <f>IF($P3&lt;=5,"MANŒUVRE ORDINAIRE",IF(AND($P3&gt;5,$P3&lt;=5.8),"MANOEUVRE LOURD",IF(AND($P3&gt;5.8,$P3&lt;=6.65),"TRAVAILLEUR SPECIALISE",IF(AND($P3&gt;6.65,$P3&lt;=10.3),"TRAVAILLEUR SEMI QUALIFIE",IF(AND($P3&gt;10.3,$P3&lt;=13.7),"TRAVAILLEUR QUALIFIE",IF(AND($P3&gt;13.7,$P3&lt;=15.85),"TRAVAILLEUR HAUTEMENT QUALIFIE",IF(AND($P3&gt;15.85,$P3&lt;=28.2),"MAITRISE",IF(AND($P3&gt;28.2,$P3&lt;=50),"CADRE DE COLLABORATION",IF($P3&gt;50,"CADRE DE DIRECTION")))))))))</f>
        <v>CADRE DE COLLABORATION</v>
      </c>
      <c r="S3" s="217" t="str">
        <f>+IF(OR(OR(OR(R3="MAITRISE",R3="CADRE DE COLLABORATION",R3="CADRE DE DIRECTION"))),R3,"CATEGORIE 1 A 5")</f>
        <v>CADRE DE COLLABORATION</v>
      </c>
      <c r="T3" s="217" t="str">
        <f>+VLOOKUP($Q3,Categorie!$I:$P,3,0)</f>
        <v>CADRE DE COLLABORATION, Echellon 4, Classe 17</v>
      </c>
      <c r="U3" s="247">
        <f t="shared" ref="U3:U4" si="3">+DATEDIF(F3,N3,"y")</f>
        <v>1</v>
      </c>
      <c r="V3" s="251">
        <v>0</v>
      </c>
      <c r="W3" s="251">
        <v>0</v>
      </c>
      <c r="X3" s="251">
        <v>0</v>
      </c>
      <c r="Y3" s="251">
        <v>2</v>
      </c>
      <c r="Z3" s="247">
        <f t="shared" ref="Z3:Z16" si="4">IF(L3="SANS PREAVIS",0,+IF(L3="AVEC PREAVIS",IF($S3="MANŒUVRE",14+7*$U3,IF($S3="SEMI-QUALIFIE",14+7*$U3,IF($S3="HAUTEMENT QUALIFIE",14+7*$U3,IF($S3="AGENT DE MAITRISE",26+9*$U3,IF($S3="CADRE DE COLLABORATION",78+16*$U3,IF($S3="CADRE DE DIRECTION",78+16*$U3,)))))),IF($S3="MANŒUVRE",14+7*$U3,IF($S3="SEMI-QUALIFIE",14+7*$U3,IF($S3="HAUTEMENT QUALIFIE",14+7*$U3,IF($S3="AGENT DE MAITRISE",26+9*$U3,IF($S3="CADRE DE COLLABORATION",78+16*$U3,IF($S3="CADRE DE DIRECTION",78+16*$U3,)))))))/2)</f>
        <v>0</v>
      </c>
      <c r="AA3" s="247">
        <f t="shared" ref="AA3:AA16" si="5">+IF(L3="AVEC PREAVIS",(Z3*26)/(26*12),0)</f>
        <v>0</v>
      </c>
      <c r="AB3" s="247">
        <f>+IF(DATEDIF(F3, N3, "md")=0,(DATEDIF(F3, N3, "ym"))*1.5,(DATEDIF(F3, N3, "ym")+1)*1.5)*0</f>
        <v>0</v>
      </c>
      <c r="AC3" s="252">
        <f t="shared" ref="AC3:AC49" si="6">IF(N3=0,0,+IF(DATEDIF(F3,N3,"md")=0,(+DATEDIF("01/01/"&amp;YEAR(N3),N3,"m"))*26/12-(AD3/26),(+DATEDIF("01/01/"&amp;YEAR(N3),N3,"m")+1)*26/12-(AD3/26)))</f>
        <v>2.1666666666666665</v>
      </c>
      <c r="AD3" s="252"/>
      <c r="AE3" s="251">
        <f t="shared" ref="AE3:AE10" si="7">SUM(V3:AC3)-W3</f>
        <v>4.1666666666666661</v>
      </c>
      <c r="AF3" s="251">
        <v>0</v>
      </c>
      <c r="AG3" s="247">
        <f t="shared" ref="AG3:AG17" si="8">P3*V3</f>
        <v>0</v>
      </c>
      <c r="AH3" s="247">
        <f t="shared" ref="AH3:AH16" si="9">ROUND($W3/26*1.1*(G3),2)</f>
        <v>0</v>
      </c>
      <c r="AI3" s="247">
        <f t="shared" ref="AI3:AI16" si="10">+(P3*X3)</f>
        <v>0</v>
      </c>
      <c r="AJ3" s="247">
        <f t="shared" ref="AJ3:AJ49" si="11">+P3*Y3</f>
        <v>92</v>
      </c>
      <c r="AK3" s="247">
        <f>+(P3*AB3)+(P3*AA3)</f>
        <v>0</v>
      </c>
      <c r="AL3" s="247">
        <f t="shared" ref="AL3:AL16" si="12">+(P3*AF3)/3*2</f>
        <v>0</v>
      </c>
      <c r="AM3" s="247">
        <f t="shared" ref="AM3:AM16" si="13">+P3*Z3</f>
        <v>0</v>
      </c>
      <c r="AN3" s="247">
        <f t="shared" ref="AN3:AN16" si="14">+P3*AC3</f>
        <v>99.666666666666657</v>
      </c>
      <c r="AO3" s="247">
        <f t="shared" ref="AO3:AO16" si="15">+J3</f>
        <v>0</v>
      </c>
      <c r="AP3" s="247">
        <f>+K3</f>
        <v>0</v>
      </c>
      <c r="AQ3" s="253">
        <f t="shared" ref="AQ3:AQ11" si="16">SUM(AG3:AO3)</f>
        <v>191.66666666666666</v>
      </c>
      <c r="AR3" s="247">
        <f t="shared" ref="AR3:AR28" si="17">+I3/26*(AE3+AU3)</f>
        <v>57.499999999999993</v>
      </c>
      <c r="AS3" s="247">
        <f t="shared" ref="AS3:AS28" si="18">+H3/26*V3</f>
        <v>0</v>
      </c>
      <c r="AT3" s="254">
        <v>0</v>
      </c>
      <c r="AU3" s="255">
        <v>0</v>
      </c>
      <c r="AV3" s="247">
        <f t="shared" ref="AV3:AV16" si="19">+P3*AU3*AT3</f>
        <v>0</v>
      </c>
      <c r="AW3" s="247"/>
      <c r="AX3" s="247"/>
      <c r="AY3" s="253">
        <f t="shared" ref="AY3:AY37" si="20">+AQ3+AR3+AS3+AX3+AV3</f>
        <v>249.16666666666666</v>
      </c>
      <c r="AZ3" s="247">
        <f t="shared" ref="AZ3:AZ37" si="21">+AQ3*0.05</f>
        <v>9.5833333333333339</v>
      </c>
      <c r="BA3" s="247">
        <f t="shared" ref="BA3:BA37" si="22">+(AQ3-AZ3)*0.1</f>
        <v>18.208333333333332</v>
      </c>
      <c r="BB3" s="429">
        <f t="shared" ref="BB3:BB37" si="23">+AY3-AZ3-BA3</f>
        <v>221.37499999999997</v>
      </c>
      <c r="BC3" s="247"/>
      <c r="BD3" s="247"/>
      <c r="BE3" s="247"/>
      <c r="BF3" s="247"/>
      <c r="BG3" s="247"/>
      <c r="BH3" s="247"/>
      <c r="BI3" s="247"/>
      <c r="BJ3" s="247"/>
      <c r="BK3" s="247"/>
      <c r="BL3" s="253">
        <f t="shared" ref="BL3:BL37" si="24">SUM(BC3:BK3)</f>
        <v>0</v>
      </c>
      <c r="BM3" s="256">
        <f t="shared" ref="BM3:BM37" si="25">+BB3-BL3</f>
        <v>221.37499999999997</v>
      </c>
      <c r="BN3" s="219"/>
      <c r="BO3" s="247">
        <f t="shared" ref="BO3:BO49" si="26">+$AY3*13%</f>
        <v>32.391666666666666</v>
      </c>
      <c r="BP3" s="247">
        <f t="shared" ref="BP3:BP49" si="27">+$AY3*2%</f>
        <v>4.9833333333333334</v>
      </c>
      <c r="BQ3" s="247">
        <f t="shared" ref="BQ3:BQ49" si="28">+$AY3*0.2%</f>
        <v>0.49833333333333335</v>
      </c>
      <c r="BR3" s="253">
        <f t="shared" ref="BR3:BR49" si="29">SUM(BO3:BQ3)</f>
        <v>37.873333333333335</v>
      </c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</row>
    <row r="4" spans="1:94" s="243" customFormat="1" ht="20.25" customHeight="1">
      <c r="A4" s="243">
        <f t="shared" ref="A4:A49" si="30">+A3+1</f>
        <v>2</v>
      </c>
      <c r="B4" s="257" t="s">
        <v>294</v>
      </c>
      <c r="C4" s="257"/>
      <c r="D4" s="257" t="s">
        <v>163</v>
      </c>
      <c r="E4" s="257" t="s">
        <v>164</v>
      </c>
      <c r="F4" s="258">
        <v>43734</v>
      </c>
      <c r="G4" s="259">
        <v>189</v>
      </c>
      <c r="H4" s="259">
        <v>59.3</v>
      </c>
      <c r="I4" s="259">
        <v>56.7</v>
      </c>
      <c r="J4" s="259">
        <v>30</v>
      </c>
      <c r="K4" s="259"/>
      <c r="L4" s="260" t="s">
        <v>52</v>
      </c>
      <c r="M4" s="257">
        <v>120</v>
      </c>
      <c r="N4" s="261">
        <v>44958</v>
      </c>
      <c r="O4" s="262" t="str">
        <f t="shared" si="1"/>
        <v>3 ans, 4 mois, 6 jours</v>
      </c>
      <c r="P4" s="259">
        <f t="shared" si="2"/>
        <v>7.2692307692307692</v>
      </c>
      <c r="Q4" s="217" t="str">
        <f t="shared" ref="Q4:Q67" si="31">IF($P4&lt;=5,"MAO1-1.I",IF(AND($P4&gt;5,$P4&lt;=5.8),"MAL1-2.I",IF(AND($P4&gt;5.8,$P4&lt;=6.65),"TSP0-3.II",IF(AND($P4&gt;6.65,$P4&lt;=7.7),"TSQ1-4.III",IF(AND($P4&gt;7.7,$P4&lt;=8.9),"TSQ2-5.III",IF(AND($P4&gt;8.9,$P4&lt;=10.3),"TSQ3-6.III",IF(AND($P4&gt;10.3,$P4&lt;=11.85),"TRQ1-7.IV",IF(AND($P4&gt;11.85,$P4&lt;=13.7),"TRQ2-8.IV",IF(AND($P4&gt;13.7,$P4&lt;=15.85),"THQ0-9.V",IF(AND($P4&gt;15.85,$P4&lt;=18.3),"MAT1-10.M",IF(AND($P4&gt;18.3,$P4&lt;=21.1),"MAT2-11.M",IF(AND($P4&gt;21.1,$P4&lt;=24.4),"MAT3-12.M",IF(AND($P4&gt;24.4,$P4&lt;=28.2),"MAT4-13.M",IF(AND($P4&gt;28.2,$P4&lt;=32.55),"CAC1-14.CC",IF(AND($P4&gt;32.55,$P4&lt;=37.6),"CAC2-15.CC",IF(AND($P4&gt;37.6,$P4&lt;=43.4),"CAC3-16.CC",IF(AND($P4&gt;43.4,$P4&lt;=50),"CAC4-17.CC",IF($P4&gt;50,"CAD"))))))))))))))))))</f>
        <v>TSQ1-4.III</v>
      </c>
      <c r="R4" s="217" t="str">
        <f t="shared" ref="R4:R67" si="32">IF($P4&lt;=5,"MANŒUVRE ORDINAIRE",IF(AND($P4&gt;5,$P4&lt;=5.8),"MANOEUVRE LOURD",IF(AND($P4&gt;5.8,$P4&lt;=6.65),"TRAVAILLEUR SPECIALISE",IF(AND($P4&gt;6.65,$P4&lt;=10.3),"TRAVAILLEUR SEMI QUALIFIE",IF(AND($P4&gt;10.3,$P4&lt;=13.7),"TRAVAILLEUR QUALIFIE",IF(AND($P4&gt;13.7,$P4&lt;=15.85),"TRAVAILLEUR HAUTEMENT QUALIFIE",IF(AND($P4&gt;15.85,$P4&lt;=28.2),"MAITRISE",IF(AND($P4&gt;28.2,$P4&lt;=50),"CADRE DE COLLABORATION",IF($P4&gt;50,"CADRE DE DIRECTION")))))))))</f>
        <v>TRAVAILLEUR SEMI QUALIFIE</v>
      </c>
      <c r="S4" s="258" t="str">
        <f t="shared" ref="S4:S37" si="33">IF($P4&lt;=5.39,"MANŒUVRE",IF(AND($P4&gt;5.39,$P4&lt;=7.1),"SEMI-QUALIFIE",IF(AND($P4&gt;7.1,$P4&lt;=8.61),"HAUTEMENT QUALIFIE",IF(AND($P4&gt;8.61,$P4&lt;=19.39),"AGENT DE MAITRISE",IF(AND($P4&gt;19.39,$P4&lt;=64.65),"CADRE DE COLLABORATION",IF($P4&gt;64.65,"CADRE DE DIRECTION"))))))</f>
        <v>HAUTEMENT QUALIFIE</v>
      </c>
      <c r="T4" s="217" t="str">
        <f>+VLOOKUP($Q4,Categorie!$I:$P,3,0)</f>
        <v>TRAVAILLEUR SEMI QUALIFIE (TSQ), Echellon 1, Classe 4</v>
      </c>
      <c r="U4" s="259">
        <f t="shared" si="3"/>
        <v>3</v>
      </c>
      <c r="V4" s="263">
        <v>1</v>
      </c>
      <c r="W4" s="263">
        <v>0</v>
      </c>
      <c r="X4" s="263">
        <v>2</v>
      </c>
      <c r="Y4" s="263">
        <v>0</v>
      </c>
      <c r="Z4" s="259">
        <f t="shared" si="4"/>
        <v>0</v>
      </c>
      <c r="AA4" s="259">
        <f t="shared" si="5"/>
        <v>0</v>
      </c>
      <c r="AB4" s="259">
        <f t="shared" ref="AB4:AB26" si="34">+IF(DATEDIF(F4, N4, "md")=0,(DATEDIF(F4, N4, "ym"))*1.5,(DATEDIF(F4, N4, "ym")+1)*1.5)</f>
        <v>7.5</v>
      </c>
      <c r="AC4" s="264">
        <f t="shared" si="6"/>
        <v>4.333333333333333</v>
      </c>
      <c r="AD4" s="264"/>
      <c r="AE4" s="263">
        <f t="shared" si="7"/>
        <v>14.833333333333332</v>
      </c>
      <c r="AF4" s="263">
        <v>0</v>
      </c>
      <c r="AG4" s="259">
        <f t="shared" si="8"/>
        <v>7.2692307692307692</v>
      </c>
      <c r="AH4" s="259">
        <f t="shared" si="9"/>
        <v>0</v>
      </c>
      <c r="AI4" s="259">
        <f t="shared" si="10"/>
        <v>14.538461538461538</v>
      </c>
      <c r="AJ4" s="259">
        <f t="shared" si="11"/>
        <v>0</v>
      </c>
      <c r="AK4" s="259">
        <f t="shared" ref="AK4:AK16" si="35">+(P4*AB4)+(P4*AA4)</f>
        <v>54.519230769230766</v>
      </c>
      <c r="AL4" s="259">
        <f t="shared" si="12"/>
        <v>0</v>
      </c>
      <c r="AM4" s="259">
        <f t="shared" si="13"/>
        <v>0</v>
      </c>
      <c r="AN4" s="259">
        <f t="shared" si="14"/>
        <v>31.499999999999996</v>
      </c>
      <c r="AO4" s="259">
        <f t="shared" si="15"/>
        <v>30</v>
      </c>
      <c r="AP4" s="247">
        <f t="shared" ref="AP4:AP67" si="36">+K4</f>
        <v>0</v>
      </c>
      <c r="AQ4" s="265">
        <f t="shared" si="16"/>
        <v>137.82692307692307</v>
      </c>
      <c r="AR4" s="259">
        <f t="shared" si="17"/>
        <v>32.348076923076924</v>
      </c>
      <c r="AS4" s="259">
        <f t="shared" si="18"/>
        <v>2.2807692307692307</v>
      </c>
      <c r="AT4" s="266">
        <v>0</v>
      </c>
      <c r="AU4" s="267">
        <v>0</v>
      </c>
      <c r="AV4" s="259">
        <f t="shared" si="19"/>
        <v>0</v>
      </c>
      <c r="AW4" s="259"/>
      <c r="AX4" s="259"/>
      <c r="AY4" s="265">
        <f t="shared" si="20"/>
        <v>172.45576923076922</v>
      </c>
      <c r="AZ4" s="259">
        <f t="shared" si="21"/>
        <v>6.891346153846154</v>
      </c>
      <c r="BA4" s="259">
        <f t="shared" si="22"/>
        <v>13.093557692307693</v>
      </c>
      <c r="BB4" s="430">
        <f t="shared" si="23"/>
        <v>152.47086538461539</v>
      </c>
      <c r="BC4" s="259"/>
      <c r="BD4" s="259"/>
      <c r="BE4" s="259">
        <v>5</v>
      </c>
      <c r="BF4" s="259"/>
      <c r="BG4" s="259"/>
      <c r="BH4" s="259"/>
      <c r="BI4" s="259"/>
      <c r="BJ4" s="259"/>
      <c r="BK4" s="259"/>
      <c r="BL4" s="265">
        <f t="shared" si="24"/>
        <v>5</v>
      </c>
      <c r="BM4" s="268">
        <f t="shared" si="25"/>
        <v>147.47086538461539</v>
      </c>
      <c r="BN4" s="219"/>
      <c r="BO4" s="259">
        <f t="shared" si="26"/>
        <v>22.419249999999998</v>
      </c>
      <c r="BP4" s="259">
        <f t="shared" si="27"/>
        <v>3.4491153846153844</v>
      </c>
      <c r="BQ4" s="259">
        <f t="shared" si="28"/>
        <v>0.34491153846153844</v>
      </c>
      <c r="BR4" s="265">
        <f t="shared" si="29"/>
        <v>26.213276923076922</v>
      </c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</row>
    <row r="5" spans="1:94" s="243" customFormat="1" ht="20.25" customHeight="1">
      <c r="A5" s="243">
        <f t="shared" si="30"/>
        <v>3</v>
      </c>
      <c r="B5" s="269" t="s">
        <v>295</v>
      </c>
      <c r="C5" s="257"/>
      <c r="D5" s="257" t="s">
        <v>165</v>
      </c>
      <c r="E5" s="257"/>
      <c r="F5" s="258">
        <v>41153</v>
      </c>
      <c r="G5" s="259">
        <v>450</v>
      </c>
      <c r="H5" s="259">
        <v>120</v>
      </c>
      <c r="I5" s="259">
        <v>135</v>
      </c>
      <c r="J5" s="259">
        <v>20</v>
      </c>
      <c r="K5" s="259"/>
      <c r="L5" s="260" t="s">
        <v>52</v>
      </c>
      <c r="M5" s="257">
        <v>972</v>
      </c>
      <c r="N5" s="261">
        <v>44971</v>
      </c>
      <c r="O5" s="262" t="str">
        <f t="shared" si="1"/>
        <v>10 ans, 5 mois, 13 jours</v>
      </c>
      <c r="P5" s="259">
        <f t="shared" si="2"/>
        <v>17.307692307692307</v>
      </c>
      <c r="Q5" s="217" t="str">
        <f t="shared" si="31"/>
        <v>MAT1-10.M</v>
      </c>
      <c r="R5" s="217" t="str">
        <f t="shared" si="32"/>
        <v>MAITRISE</v>
      </c>
      <c r="S5" s="258" t="str">
        <f t="shared" si="33"/>
        <v>AGENT DE MAITRISE</v>
      </c>
      <c r="T5" s="217" t="str">
        <f>+VLOOKUP($Q5,Categorie!$I:$P,3,0)</f>
        <v>MAITRISES, Echellon 1, Classe 10</v>
      </c>
      <c r="U5" s="259">
        <f t="shared" ref="U5:U36" si="37">+DATEDIF(F5,N5,"y")</f>
        <v>10</v>
      </c>
      <c r="V5" s="263">
        <v>24</v>
      </c>
      <c r="W5" s="263">
        <v>0</v>
      </c>
      <c r="X5" s="263">
        <v>1</v>
      </c>
      <c r="Y5" s="263">
        <v>0</v>
      </c>
      <c r="Z5" s="259">
        <f t="shared" si="4"/>
        <v>0</v>
      </c>
      <c r="AA5" s="259">
        <f t="shared" si="5"/>
        <v>0</v>
      </c>
      <c r="AB5" s="259">
        <f t="shared" si="34"/>
        <v>9</v>
      </c>
      <c r="AC5" s="264">
        <f t="shared" si="6"/>
        <v>4.333333333333333</v>
      </c>
      <c r="AD5" s="264"/>
      <c r="AE5" s="263">
        <f t="shared" si="7"/>
        <v>38.333333333333336</v>
      </c>
      <c r="AF5" s="263">
        <v>0</v>
      </c>
      <c r="AG5" s="259">
        <f t="shared" si="8"/>
        <v>415.38461538461536</v>
      </c>
      <c r="AH5" s="259">
        <f t="shared" si="9"/>
        <v>0</v>
      </c>
      <c r="AI5" s="259">
        <f t="shared" si="10"/>
        <v>17.307692307692307</v>
      </c>
      <c r="AJ5" s="259">
        <f t="shared" si="11"/>
        <v>0</v>
      </c>
      <c r="AK5" s="259">
        <f t="shared" si="35"/>
        <v>155.76923076923077</v>
      </c>
      <c r="AL5" s="259">
        <f t="shared" si="12"/>
        <v>0</v>
      </c>
      <c r="AM5" s="259">
        <f t="shared" si="13"/>
        <v>0</v>
      </c>
      <c r="AN5" s="259">
        <f t="shared" si="14"/>
        <v>74.999999999999986</v>
      </c>
      <c r="AO5" s="259">
        <f t="shared" si="15"/>
        <v>20</v>
      </c>
      <c r="AP5" s="247">
        <f t="shared" si="36"/>
        <v>0</v>
      </c>
      <c r="AQ5" s="265">
        <f t="shared" si="16"/>
        <v>683.46153846153845</v>
      </c>
      <c r="AR5" s="259">
        <f t="shared" si="17"/>
        <v>199.03846153846155</v>
      </c>
      <c r="AS5" s="259">
        <f t="shared" si="18"/>
        <v>110.76923076923076</v>
      </c>
      <c r="AT5" s="266">
        <v>0</v>
      </c>
      <c r="AU5" s="267">
        <v>0</v>
      </c>
      <c r="AV5" s="259">
        <f t="shared" si="19"/>
        <v>0</v>
      </c>
      <c r="AW5" s="259"/>
      <c r="AX5" s="259"/>
      <c r="AY5" s="265">
        <f t="shared" si="20"/>
        <v>993.26923076923072</v>
      </c>
      <c r="AZ5" s="259">
        <f t="shared" si="21"/>
        <v>34.173076923076927</v>
      </c>
      <c r="BA5" s="259">
        <f t="shared" si="22"/>
        <v>64.928846153846152</v>
      </c>
      <c r="BB5" s="430">
        <f t="shared" si="23"/>
        <v>894.16730769230765</v>
      </c>
      <c r="BC5" s="259"/>
      <c r="BD5" s="259"/>
      <c r="BE5" s="259"/>
      <c r="BF5" s="259"/>
      <c r="BG5" s="259"/>
      <c r="BH5" s="259"/>
      <c r="BI5" s="259"/>
      <c r="BJ5" s="259"/>
      <c r="BK5" s="259"/>
      <c r="BL5" s="265">
        <f t="shared" si="24"/>
        <v>0</v>
      </c>
      <c r="BM5" s="268">
        <f t="shared" si="25"/>
        <v>894.16730769230765</v>
      </c>
      <c r="BN5" s="219"/>
      <c r="BO5" s="259">
        <f t="shared" si="26"/>
        <v>129.125</v>
      </c>
      <c r="BP5" s="259">
        <f t="shared" si="27"/>
        <v>19.865384615384613</v>
      </c>
      <c r="BQ5" s="259">
        <f t="shared" si="28"/>
        <v>1.9865384615384614</v>
      </c>
      <c r="BR5" s="265">
        <f t="shared" si="29"/>
        <v>150.97692307692307</v>
      </c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</row>
    <row r="6" spans="1:94" s="243" customFormat="1" ht="20.25" customHeight="1">
      <c r="A6" s="243">
        <f t="shared" si="30"/>
        <v>4</v>
      </c>
      <c r="B6" s="269" t="s">
        <v>296</v>
      </c>
      <c r="C6" s="257"/>
      <c r="D6" s="257" t="s">
        <v>166</v>
      </c>
      <c r="E6" s="257" t="s">
        <v>224</v>
      </c>
      <c r="F6" s="258">
        <v>41153</v>
      </c>
      <c r="G6" s="259">
        <v>180</v>
      </c>
      <c r="H6" s="259">
        <v>60</v>
      </c>
      <c r="I6" s="259">
        <v>50</v>
      </c>
      <c r="J6" s="259"/>
      <c r="K6" s="259"/>
      <c r="L6" s="260" t="s">
        <v>49</v>
      </c>
      <c r="M6" s="257">
        <v>212</v>
      </c>
      <c r="N6" s="261">
        <v>44999</v>
      </c>
      <c r="O6" s="262" t="str">
        <f t="shared" si="1"/>
        <v>10 ans, 6 mois, 13 jours</v>
      </c>
      <c r="P6" s="259">
        <f t="shared" si="2"/>
        <v>6.9230769230769234</v>
      </c>
      <c r="Q6" s="217" t="str">
        <f t="shared" si="31"/>
        <v>TSQ1-4.III</v>
      </c>
      <c r="R6" s="217" t="str">
        <f t="shared" si="32"/>
        <v>TRAVAILLEUR SEMI QUALIFIE</v>
      </c>
      <c r="S6" s="258" t="str">
        <f t="shared" si="33"/>
        <v>SEMI-QUALIFIE</v>
      </c>
      <c r="T6" s="217" t="str">
        <f>+VLOOKUP($Q6,Categorie!$I:$P,3,0)</f>
        <v>TRAVAILLEUR SEMI QUALIFIE (TSQ), Echellon 1, Classe 4</v>
      </c>
      <c r="U6" s="259">
        <f>+DATEDIF(F6,N6,"y")</f>
        <v>10</v>
      </c>
      <c r="V6" s="263">
        <v>0</v>
      </c>
      <c r="W6" s="263">
        <v>0</v>
      </c>
      <c r="X6" s="263">
        <v>1</v>
      </c>
      <c r="Y6" s="263">
        <v>0</v>
      </c>
      <c r="Z6" s="259">
        <f>IF(L6="SANS PREAVIS",0,+IF(L6="AVEC PREAVIS",IF($S6="MANŒUVRE",14+7*$U6,IF($S6="SEMI-QUALIFIE",14+7*$U6,IF($S6="HAUTEMENT QUALIFIE",14+7*$U6,IF($S6="AGENT DE MAITRISE",26+9*$U6,IF($S6="CADRE DE COLLABORATION",78+16*$U6,IF($S6="CADRE DE DIRECTION",78+16*$U6,)))))),IF($S6="MANŒUVRE",14+7*$U6,IF($S6="SEMI-QUALIFIE",14+7*$U6,IF($S6="HAUTEMENT QUALIFIE",14+7*$U6,IF($S6="AGENT DE MAITRISE",26+9*$U6,IF($S6="CADRE DE COLLABORATION",78+16*$U6,IF($S6="CADRE DE DIRECTION",78+16*$U6,))))))))</f>
        <v>84</v>
      </c>
      <c r="AA6" s="259">
        <f>+IF(L6="AVEC PREAVIS",(Z6*19)/(26*12),0)</f>
        <v>5.115384615384615</v>
      </c>
      <c r="AB6" s="259">
        <f t="shared" si="34"/>
        <v>10.5</v>
      </c>
      <c r="AC6" s="264">
        <f t="shared" si="6"/>
        <v>6.5</v>
      </c>
      <c r="AD6" s="264"/>
      <c r="AE6" s="263">
        <f>SUM(V6:AC6)-W6</f>
        <v>107.11538461538461</v>
      </c>
      <c r="AF6" s="263">
        <v>19</v>
      </c>
      <c r="AG6" s="259">
        <f t="shared" si="8"/>
        <v>0</v>
      </c>
      <c r="AH6" s="259">
        <f t="shared" si="9"/>
        <v>0</v>
      </c>
      <c r="AI6" s="259">
        <f t="shared" si="10"/>
        <v>6.9230769230769234</v>
      </c>
      <c r="AJ6" s="259">
        <f t="shared" si="11"/>
        <v>0</v>
      </c>
      <c r="AK6" s="259">
        <f t="shared" si="35"/>
        <v>108.10650887573965</v>
      </c>
      <c r="AL6" s="259">
        <f t="shared" si="12"/>
        <v>87.692307692307693</v>
      </c>
      <c r="AM6" s="259">
        <f t="shared" si="13"/>
        <v>581.53846153846155</v>
      </c>
      <c r="AN6" s="259">
        <f t="shared" si="14"/>
        <v>45</v>
      </c>
      <c r="AO6" s="259">
        <f t="shared" si="15"/>
        <v>0</v>
      </c>
      <c r="AP6" s="247">
        <f t="shared" si="36"/>
        <v>0</v>
      </c>
      <c r="AQ6" s="265">
        <f t="shared" si="16"/>
        <v>829.26035502958575</v>
      </c>
      <c r="AR6" s="259">
        <f t="shared" si="17"/>
        <v>205.99112426035504</v>
      </c>
      <c r="AS6" s="259">
        <f t="shared" si="18"/>
        <v>0</v>
      </c>
      <c r="AT6" s="266">
        <v>0</v>
      </c>
      <c r="AU6" s="267">
        <v>0</v>
      </c>
      <c r="AV6" s="259">
        <f t="shared" si="19"/>
        <v>0</v>
      </c>
      <c r="AW6" s="259"/>
      <c r="AX6" s="259"/>
      <c r="AY6" s="265">
        <f t="shared" si="20"/>
        <v>1035.2514792899408</v>
      </c>
      <c r="AZ6" s="259">
        <f t="shared" si="21"/>
        <v>41.463017751479292</v>
      </c>
      <c r="BA6" s="259">
        <f t="shared" si="22"/>
        <v>78.779733727810651</v>
      </c>
      <c r="BB6" s="430">
        <f t="shared" si="23"/>
        <v>915.00872781065095</v>
      </c>
      <c r="BC6" s="259"/>
      <c r="BD6" s="259"/>
      <c r="BE6" s="259"/>
      <c r="BF6" s="259"/>
      <c r="BG6" s="259"/>
      <c r="BH6" s="259"/>
      <c r="BI6" s="259"/>
      <c r="BJ6" s="259"/>
      <c r="BK6" s="259"/>
      <c r="BL6" s="265">
        <f t="shared" si="24"/>
        <v>0</v>
      </c>
      <c r="BM6" s="268">
        <f t="shared" si="25"/>
        <v>915.00872781065095</v>
      </c>
      <c r="BN6" s="219"/>
      <c r="BO6" s="259">
        <f t="shared" si="26"/>
        <v>134.5826923076923</v>
      </c>
      <c r="BP6" s="259">
        <f t="shared" si="27"/>
        <v>20.705029585798815</v>
      </c>
      <c r="BQ6" s="259">
        <f t="shared" si="28"/>
        <v>2.0705029585798815</v>
      </c>
      <c r="BR6" s="265">
        <f t="shared" si="29"/>
        <v>157.358224852071</v>
      </c>
      <c r="BS6" s="219"/>
      <c r="BT6" s="219"/>
      <c r="BU6" s="219"/>
      <c r="BV6" s="219"/>
      <c r="BW6" s="219"/>
      <c r="BX6" s="219"/>
      <c r="BY6" s="219"/>
      <c r="BZ6" s="219"/>
      <c r="CA6" s="219"/>
      <c r="CB6" s="219"/>
      <c r="CC6" s="219"/>
      <c r="CD6" s="219"/>
      <c r="CE6" s="219"/>
      <c r="CF6" s="219"/>
      <c r="CG6" s="219"/>
      <c r="CH6" s="219"/>
      <c r="CI6" s="219"/>
      <c r="CJ6" s="219"/>
      <c r="CK6" s="219"/>
      <c r="CL6" s="219"/>
      <c r="CM6" s="219"/>
      <c r="CN6" s="219"/>
      <c r="CO6" s="219"/>
      <c r="CP6" s="219"/>
    </row>
    <row r="7" spans="1:94" s="243" customFormat="1" ht="20.25" customHeight="1">
      <c r="A7" s="243">
        <f t="shared" si="30"/>
        <v>5</v>
      </c>
      <c r="B7" s="269" t="s">
        <v>297</v>
      </c>
      <c r="C7" s="257"/>
      <c r="D7" s="257" t="s">
        <v>165</v>
      </c>
      <c r="E7" s="257" t="s">
        <v>225</v>
      </c>
      <c r="F7" s="258">
        <v>43564</v>
      </c>
      <c r="G7" s="259">
        <v>130</v>
      </c>
      <c r="H7" s="259">
        <v>55</v>
      </c>
      <c r="I7" s="259">
        <v>30</v>
      </c>
      <c r="J7" s="259"/>
      <c r="K7" s="259"/>
      <c r="L7" s="260" t="s">
        <v>52</v>
      </c>
      <c r="M7" s="257">
        <v>160</v>
      </c>
      <c r="N7" s="261">
        <v>45003</v>
      </c>
      <c r="O7" s="262" t="str">
        <f t="shared" si="1"/>
        <v>3 ans, 11 mois, 9 jours</v>
      </c>
      <c r="P7" s="259">
        <f t="shared" si="2"/>
        <v>5</v>
      </c>
      <c r="Q7" s="217" t="str">
        <f t="shared" si="31"/>
        <v>MAO1-1.I</v>
      </c>
      <c r="R7" s="217" t="str">
        <f t="shared" si="32"/>
        <v>MANŒUVRE ORDINAIRE</v>
      </c>
      <c r="S7" s="258" t="str">
        <f t="shared" si="33"/>
        <v>MANŒUVRE</v>
      </c>
      <c r="T7" s="217" t="str">
        <f>+VLOOKUP($Q7,Categorie!$I:$P,3,0)</f>
        <v>MANŒUVRE ORDINAIRE (MO), Echellon 1, Classe 1</v>
      </c>
      <c r="U7" s="259">
        <f t="shared" si="37"/>
        <v>3</v>
      </c>
      <c r="V7" s="263">
        <v>0</v>
      </c>
      <c r="W7" s="263">
        <v>0</v>
      </c>
      <c r="X7" s="263">
        <v>0</v>
      </c>
      <c r="Y7" s="263">
        <v>0</v>
      </c>
      <c r="Z7" s="259">
        <f t="shared" si="4"/>
        <v>0</v>
      </c>
      <c r="AA7" s="259">
        <f t="shared" si="5"/>
        <v>0</v>
      </c>
      <c r="AB7" s="259">
        <f t="shared" si="34"/>
        <v>18</v>
      </c>
      <c r="AC7" s="264">
        <f t="shared" si="6"/>
        <v>6.5</v>
      </c>
      <c r="AD7" s="264"/>
      <c r="AE7" s="263">
        <f t="shared" si="7"/>
        <v>24.5</v>
      </c>
      <c r="AF7" s="263">
        <v>22</v>
      </c>
      <c r="AG7" s="259">
        <f t="shared" si="8"/>
        <v>0</v>
      </c>
      <c r="AH7" s="259">
        <f t="shared" si="9"/>
        <v>0</v>
      </c>
      <c r="AI7" s="259">
        <f t="shared" si="10"/>
        <v>0</v>
      </c>
      <c r="AJ7" s="259">
        <f t="shared" si="11"/>
        <v>0</v>
      </c>
      <c r="AK7" s="259">
        <f t="shared" si="35"/>
        <v>90</v>
      </c>
      <c r="AL7" s="259">
        <f t="shared" si="12"/>
        <v>73.333333333333329</v>
      </c>
      <c r="AM7" s="259">
        <f t="shared" si="13"/>
        <v>0</v>
      </c>
      <c r="AN7" s="259">
        <f t="shared" si="14"/>
        <v>32.5</v>
      </c>
      <c r="AO7" s="259">
        <f t="shared" si="15"/>
        <v>0</v>
      </c>
      <c r="AP7" s="247">
        <f t="shared" si="36"/>
        <v>0</v>
      </c>
      <c r="AQ7" s="265">
        <f t="shared" si="16"/>
        <v>195.83333333333331</v>
      </c>
      <c r="AR7" s="259">
        <f t="shared" si="17"/>
        <v>28.269230769230766</v>
      </c>
      <c r="AS7" s="259">
        <f t="shared" si="18"/>
        <v>0</v>
      </c>
      <c r="AT7" s="266">
        <v>0</v>
      </c>
      <c r="AU7" s="267">
        <v>0</v>
      </c>
      <c r="AV7" s="259">
        <f t="shared" si="19"/>
        <v>0</v>
      </c>
      <c r="AW7" s="259"/>
      <c r="AX7" s="259"/>
      <c r="AY7" s="265">
        <f t="shared" si="20"/>
        <v>224.10256410256409</v>
      </c>
      <c r="AZ7" s="259">
        <f t="shared" si="21"/>
        <v>9.7916666666666661</v>
      </c>
      <c r="BA7" s="259">
        <f t="shared" si="22"/>
        <v>18.604166666666668</v>
      </c>
      <c r="BB7" s="430">
        <f t="shared" si="23"/>
        <v>195.70673076923077</v>
      </c>
      <c r="BC7" s="259"/>
      <c r="BD7" s="259"/>
      <c r="BE7" s="259"/>
      <c r="BF7" s="259"/>
      <c r="BG7" s="259"/>
      <c r="BH7" s="259"/>
      <c r="BI7" s="259"/>
      <c r="BJ7" s="259"/>
      <c r="BK7" s="259"/>
      <c r="BL7" s="265">
        <f t="shared" si="24"/>
        <v>0</v>
      </c>
      <c r="BM7" s="268">
        <f t="shared" si="25"/>
        <v>195.70673076923077</v>
      </c>
      <c r="BN7" s="219"/>
      <c r="BO7" s="259">
        <f t="shared" si="26"/>
        <v>29.133333333333333</v>
      </c>
      <c r="BP7" s="259">
        <f t="shared" si="27"/>
        <v>4.4820512820512821</v>
      </c>
      <c r="BQ7" s="259">
        <f t="shared" si="28"/>
        <v>0.4482051282051282</v>
      </c>
      <c r="BR7" s="265">
        <f t="shared" si="29"/>
        <v>34.063589743589745</v>
      </c>
      <c r="BS7" s="219"/>
      <c r="BT7" s="219"/>
      <c r="BU7" s="219"/>
      <c r="BV7" s="219"/>
      <c r="BW7" s="219"/>
      <c r="BX7" s="219"/>
      <c r="BY7" s="219"/>
      <c r="BZ7" s="219"/>
      <c r="CA7" s="219"/>
      <c r="CB7" s="219"/>
      <c r="CC7" s="219"/>
      <c r="CD7" s="219"/>
      <c r="CE7" s="219"/>
      <c r="CF7" s="219"/>
      <c r="CG7" s="219"/>
      <c r="CH7" s="219"/>
      <c r="CI7" s="219"/>
      <c r="CJ7" s="219"/>
      <c r="CK7" s="219"/>
      <c r="CL7" s="219"/>
      <c r="CM7" s="219"/>
      <c r="CN7" s="219"/>
      <c r="CO7" s="219"/>
      <c r="CP7" s="219"/>
    </row>
    <row r="8" spans="1:94" s="243" customFormat="1" ht="20.25" customHeight="1">
      <c r="A8" s="243">
        <f t="shared" si="30"/>
        <v>6</v>
      </c>
      <c r="B8" s="269" t="s">
        <v>298</v>
      </c>
      <c r="C8" s="257"/>
      <c r="D8" s="257" t="s">
        <v>166</v>
      </c>
      <c r="E8" s="257" t="s">
        <v>224</v>
      </c>
      <c r="F8" s="258">
        <v>43521</v>
      </c>
      <c r="G8" s="259">
        <v>160</v>
      </c>
      <c r="H8" s="259">
        <v>60</v>
      </c>
      <c r="I8" s="259">
        <v>40</v>
      </c>
      <c r="J8" s="259">
        <v>30</v>
      </c>
      <c r="K8" s="259"/>
      <c r="L8" s="260" t="s">
        <v>52</v>
      </c>
      <c r="M8" s="257">
        <v>212</v>
      </c>
      <c r="N8" s="261">
        <v>44999</v>
      </c>
      <c r="O8" s="262" t="str">
        <f t="shared" si="1"/>
        <v>4 ans, 0 mois, 17 jours</v>
      </c>
      <c r="P8" s="259">
        <f t="shared" si="2"/>
        <v>6.1538461538461542</v>
      </c>
      <c r="Q8" s="217" t="str">
        <f t="shared" si="31"/>
        <v>TSP0-3.II</v>
      </c>
      <c r="R8" s="217" t="str">
        <f t="shared" si="32"/>
        <v>TRAVAILLEUR SPECIALISE</v>
      </c>
      <c r="S8" s="258" t="str">
        <f t="shared" si="33"/>
        <v>SEMI-QUALIFIE</v>
      </c>
      <c r="T8" s="217" t="str">
        <f>+VLOOKUP($Q8,Categorie!$I:$P,3,0)</f>
        <v>TRAVAILLEUR SPECIALISE (TS), Echellon 0 , Classe 3</v>
      </c>
      <c r="U8" s="259">
        <f t="shared" si="37"/>
        <v>4</v>
      </c>
      <c r="V8" s="263">
        <v>0</v>
      </c>
      <c r="W8" s="263">
        <v>0</v>
      </c>
      <c r="X8" s="263">
        <v>6</v>
      </c>
      <c r="Y8" s="263">
        <v>0</v>
      </c>
      <c r="Z8" s="259">
        <f t="shared" si="4"/>
        <v>0</v>
      </c>
      <c r="AA8" s="259">
        <f t="shared" si="5"/>
        <v>0</v>
      </c>
      <c r="AB8" s="259">
        <f>+IF(DATEDIF(F8, N8, "md")=0,(DATEDIF(F8, N8, "ym"))*1.5,(DATEDIF(F8, N8, "ym")+1)*1.5)</f>
        <v>1.5</v>
      </c>
      <c r="AC8" s="264">
        <f>IF(N8=0,0,+IF(DATEDIF(F8,N8,"md")=0,(+DATEDIF("01/01/"&amp;YEAR(N8),N8,"m"))*26/12-(AD8/26),(+DATEDIF("01/01/"&amp;YEAR(N8),N8,"m")+1)*26/12-(AD8/26)))</f>
        <v>6.5</v>
      </c>
      <c r="AD8" s="264"/>
      <c r="AE8" s="263">
        <f t="shared" si="7"/>
        <v>14</v>
      </c>
      <c r="AF8" s="263">
        <v>0</v>
      </c>
      <c r="AG8" s="259">
        <f t="shared" si="8"/>
        <v>0</v>
      </c>
      <c r="AH8" s="259">
        <f t="shared" si="9"/>
        <v>0</v>
      </c>
      <c r="AI8" s="259">
        <f t="shared" si="10"/>
        <v>36.923076923076927</v>
      </c>
      <c r="AJ8" s="259">
        <f t="shared" si="11"/>
        <v>0</v>
      </c>
      <c r="AK8" s="259">
        <f t="shared" si="35"/>
        <v>9.2307692307692317</v>
      </c>
      <c r="AL8" s="259">
        <f t="shared" si="12"/>
        <v>0</v>
      </c>
      <c r="AM8" s="259">
        <f t="shared" si="13"/>
        <v>0</v>
      </c>
      <c r="AN8" s="259">
        <f t="shared" si="14"/>
        <v>40</v>
      </c>
      <c r="AO8" s="259">
        <f t="shared" si="15"/>
        <v>30</v>
      </c>
      <c r="AP8" s="247">
        <f t="shared" si="36"/>
        <v>0</v>
      </c>
      <c r="AQ8" s="265">
        <f t="shared" si="16"/>
        <v>116.15384615384616</v>
      </c>
      <c r="AR8" s="259">
        <f t="shared" si="17"/>
        <v>21.53846153846154</v>
      </c>
      <c r="AS8" s="259">
        <f t="shared" si="18"/>
        <v>0</v>
      </c>
      <c r="AT8" s="266">
        <v>0</v>
      </c>
      <c r="AU8" s="267">
        <v>0</v>
      </c>
      <c r="AV8" s="259">
        <f t="shared" si="19"/>
        <v>0</v>
      </c>
      <c r="AW8" s="259"/>
      <c r="AX8" s="259"/>
      <c r="AY8" s="265">
        <f t="shared" si="20"/>
        <v>137.69230769230771</v>
      </c>
      <c r="AZ8" s="259">
        <f t="shared" si="21"/>
        <v>5.8076923076923084</v>
      </c>
      <c r="BA8" s="259">
        <f t="shared" si="22"/>
        <v>11.034615384615385</v>
      </c>
      <c r="BB8" s="430">
        <f t="shared" si="23"/>
        <v>120.85</v>
      </c>
      <c r="BC8" s="259"/>
      <c r="BD8" s="259"/>
      <c r="BE8" s="259"/>
      <c r="BF8" s="259"/>
      <c r="BG8" s="259"/>
      <c r="BH8" s="259"/>
      <c r="BI8" s="259"/>
      <c r="BJ8" s="259"/>
      <c r="BK8" s="259"/>
      <c r="BL8" s="265">
        <f t="shared" si="24"/>
        <v>0</v>
      </c>
      <c r="BM8" s="268">
        <f t="shared" si="25"/>
        <v>120.85</v>
      </c>
      <c r="BN8" s="219"/>
      <c r="BO8" s="259">
        <f t="shared" si="26"/>
        <v>17.900000000000002</v>
      </c>
      <c r="BP8" s="259">
        <f t="shared" si="27"/>
        <v>2.7538461538461543</v>
      </c>
      <c r="BQ8" s="259">
        <f t="shared" si="28"/>
        <v>0.27538461538461539</v>
      </c>
      <c r="BR8" s="265">
        <f t="shared" si="29"/>
        <v>20.929230769230774</v>
      </c>
      <c r="BS8" s="219"/>
      <c r="BT8" s="219"/>
      <c r="BU8" s="219"/>
      <c r="BV8" s="219"/>
      <c r="BW8" s="219"/>
      <c r="BX8" s="219"/>
      <c r="BY8" s="219"/>
      <c r="BZ8" s="219"/>
      <c r="CA8" s="219"/>
      <c r="CB8" s="219"/>
      <c r="CC8" s="219"/>
      <c r="CD8" s="219"/>
      <c r="CE8" s="219"/>
      <c r="CF8" s="219"/>
      <c r="CG8" s="219"/>
      <c r="CH8" s="219"/>
      <c r="CI8" s="219"/>
      <c r="CJ8" s="219"/>
      <c r="CK8" s="219"/>
      <c r="CL8" s="219"/>
      <c r="CM8" s="219"/>
      <c r="CN8" s="219"/>
      <c r="CO8" s="219"/>
      <c r="CP8" s="219"/>
    </row>
    <row r="9" spans="1:94" s="243" customFormat="1" ht="20.25" customHeight="1">
      <c r="A9" s="243">
        <f t="shared" si="30"/>
        <v>7</v>
      </c>
      <c r="B9" s="269" t="s">
        <v>299</v>
      </c>
      <c r="C9" s="257"/>
      <c r="D9" s="257" t="s">
        <v>163</v>
      </c>
      <c r="E9" s="257" t="s">
        <v>226</v>
      </c>
      <c r="F9" s="258">
        <v>41153</v>
      </c>
      <c r="G9" s="259">
        <v>220.5</v>
      </c>
      <c r="H9" s="259">
        <v>75</v>
      </c>
      <c r="I9" s="259">
        <v>64</v>
      </c>
      <c r="J9" s="259"/>
      <c r="K9" s="259"/>
      <c r="L9" s="260" t="s">
        <v>49</v>
      </c>
      <c r="M9" s="257">
        <v>120</v>
      </c>
      <c r="N9" s="261">
        <v>44994</v>
      </c>
      <c r="O9" s="262" t="str">
        <f t="shared" si="1"/>
        <v>10 ans, 6 mois, 8 jours</v>
      </c>
      <c r="P9" s="259">
        <f t="shared" si="2"/>
        <v>8.4807692307692299</v>
      </c>
      <c r="Q9" s="217" t="str">
        <f t="shared" si="31"/>
        <v>TSQ2-5.III</v>
      </c>
      <c r="R9" s="217" t="str">
        <f t="shared" si="32"/>
        <v>TRAVAILLEUR SEMI QUALIFIE</v>
      </c>
      <c r="S9" s="258" t="str">
        <f t="shared" si="33"/>
        <v>HAUTEMENT QUALIFIE</v>
      </c>
      <c r="T9" s="217" t="str">
        <f>+VLOOKUP($Q9,Categorie!$I:$P,3,0)</f>
        <v>TRAVAILLEUR SEMI QUALIFIE (TSQ), Echellon 2, Classe 5</v>
      </c>
      <c r="U9" s="259">
        <f t="shared" si="37"/>
        <v>10</v>
      </c>
      <c r="V9" s="263">
        <v>14</v>
      </c>
      <c r="W9" s="263">
        <v>0</v>
      </c>
      <c r="X9" s="263">
        <v>2</v>
      </c>
      <c r="Y9" s="263">
        <v>0</v>
      </c>
      <c r="Z9" s="259">
        <f>IF(L9="SANS PREAVIS",0,+IF(L9="AVEC PREAVIS",IF($S9="MANŒUVRE",14+7*$U9,IF($S9="SEMI-QUALIFIE",14+7*$U9,IF($S9="HAUTEMENT QUALIFIE",14+7*$U9,IF($S9="AGENT DE MAITRISE",26+9*$U9,IF($S9="CADRE DE COLLABORATION",78+16*$U9,IF($S9="CADRE DE DIRECTION",78+16*$U9,)))))),IF($S9="MANŒUVRE",14+7*$U9,IF($S9="SEMI-QUALIFIE",14+7*$U9,IF($S9="HAUTEMENT QUALIFIE",14+7*$U9,IF($S9="AGENT DE MAITRISE",26+9*$U9,IF($S9="CADRE DE COLLABORATION",78+16*$U9,IF($S9="CADRE DE DIRECTION",78+16*$U9,))))))))</f>
        <v>84</v>
      </c>
      <c r="AA9" s="259">
        <f>+IF(L9="AVEC PREAVIS",(Z9*20)/(26*12),0)</f>
        <v>5.384615384615385</v>
      </c>
      <c r="AB9" s="259">
        <f>+IF(DATEDIF(F9, N9, "md")=0,(DATEDIF(F9, N9, "ym"))*1.5,(DATEDIF(F9, N9, "ym")+1)*1.5)</f>
        <v>10.5</v>
      </c>
      <c r="AC9" s="264">
        <f t="shared" si="6"/>
        <v>6.5</v>
      </c>
      <c r="AD9" s="264"/>
      <c r="AE9" s="263">
        <f>SUM(V9:AC9)-W9</f>
        <v>122.38461538461539</v>
      </c>
      <c r="AF9" s="263">
        <v>0</v>
      </c>
      <c r="AG9" s="259">
        <f t="shared" si="8"/>
        <v>118.73076923076923</v>
      </c>
      <c r="AH9" s="259">
        <f t="shared" si="9"/>
        <v>0</v>
      </c>
      <c r="AI9" s="259">
        <f t="shared" si="10"/>
        <v>16.96153846153846</v>
      </c>
      <c r="AJ9" s="259">
        <f t="shared" si="11"/>
        <v>0</v>
      </c>
      <c r="AK9" s="259">
        <f t="shared" si="35"/>
        <v>134.71375739644969</v>
      </c>
      <c r="AL9" s="259">
        <f t="shared" si="12"/>
        <v>0</v>
      </c>
      <c r="AM9" s="259">
        <f t="shared" si="13"/>
        <v>712.38461538461536</v>
      </c>
      <c r="AN9" s="259">
        <f t="shared" si="14"/>
        <v>55.124999999999993</v>
      </c>
      <c r="AO9" s="259">
        <f t="shared" si="15"/>
        <v>0</v>
      </c>
      <c r="AP9" s="247">
        <f t="shared" si="36"/>
        <v>0</v>
      </c>
      <c r="AQ9" s="265">
        <f t="shared" si="16"/>
        <v>1037.9156804733727</v>
      </c>
      <c r="AR9" s="259">
        <f t="shared" si="17"/>
        <v>301.25443786982248</v>
      </c>
      <c r="AS9" s="259">
        <f t="shared" si="18"/>
        <v>40.384615384615387</v>
      </c>
      <c r="AT9" s="266">
        <v>0</v>
      </c>
      <c r="AU9" s="267">
        <v>0</v>
      </c>
      <c r="AV9" s="259">
        <f t="shared" si="19"/>
        <v>0</v>
      </c>
      <c r="AW9" s="259"/>
      <c r="AX9" s="259"/>
      <c r="AY9" s="265">
        <f t="shared" si="20"/>
        <v>1379.5547337278106</v>
      </c>
      <c r="AZ9" s="259">
        <f t="shared" si="21"/>
        <v>51.895784023668639</v>
      </c>
      <c r="BA9" s="259">
        <f t="shared" si="22"/>
        <v>98.601989644970416</v>
      </c>
      <c r="BB9" s="430">
        <f t="shared" si="23"/>
        <v>1229.0569600591714</v>
      </c>
      <c r="BC9" s="259"/>
      <c r="BD9" s="259"/>
      <c r="BE9" s="259"/>
      <c r="BF9" s="259"/>
      <c r="BG9" s="259"/>
      <c r="BH9" s="259"/>
      <c r="BI9" s="259"/>
      <c r="BJ9" s="259"/>
      <c r="BK9" s="259"/>
      <c r="BL9" s="265">
        <f t="shared" si="24"/>
        <v>0</v>
      </c>
      <c r="BM9" s="268">
        <f t="shared" si="25"/>
        <v>1229.0569600591714</v>
      </c>
      <c r="BN9" s="219"/>
      <c r="BO9" s="259">
        <f t="shared" si="26"/>
        <v>179.34211538461537</v>
      </c>
      <c r="BP9" s="259">
        <f t="shared" si="27"/>
        <v>27.591094674556214</v>
      </c>
      <c r="BQ9" s="259">
        <f t="shared" si="28"/>
        <v>2.7591094674556214</v>
      </c>
      <c r="BR9" s="265">
        <f t="shared" si="29"/>
        <v>209.69231952662722</v>
      </c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</row>
    <row r="10" spans="1:94" s="243" customFormat="1" ht="20.25" customHeight="1">
      <c r="A10" s="243">
        <f t="shared" si="30"/>
        <v>8</v>
      </c>
      <c r="B10" s="269" t="s">
        <v>300</v>
      </c>
      <c r="C10" s="257"/>
      <c r="D10" s="257" t="s">
        <v>165</v>
      </c>
      <c r="E10" s="257" t="s">
        <v>227</v>
      </c>
      <c r="F10" s="258">
        <v>41153</v>
      </c>
      <c r="G10" s="259">
        <v>290</v>
      </c>
      <c r="H10" s="259">
        <v>65</v>
      </c>
      <c r="I10" s="259">
        <v>80</v>
      </c>
      <c r="J10" s="259"/>
      <c r="K10" s="259"/>
      <c r="L10" s="260" t="s">
        <v>49</v>
      </c>
      <c r="M10" s="257">
        <v>160</v>
      </c>
      <c r="N10" s="261">
        <v>45032</v>
      </c>
      <c r="O10" s="262" t="str">
        <f t="shared" si="1"/>
        <v>10 ans, 7 mois, 15 jours</v>
      </c>
      <c r="P10" s="259">
        <f t="shared" si="2"/>
        <v>11.153846153846153</v>
      </c>
      <c r="Q10" s="217" t="str">
        <f t="shared" si="31"/>
        <v>TRQ1-7.IV</v>
      </c>
      <c r="R10" s="217" t="str">
        <f t="shared" si="32"/>
        <v>TRAVAILLEUR QUALIFIE</v>
      </c>
      <c r="S10" s="258" t="str">
        <f t="shared" si="33"/>
        <v>AGENT DE MAITRISE</v>
      </c>
      <c r="T10" s="217" t="str">
        <f>+VLOOKUP($Q10,Categorie!$I:$P,3,0)</f>
        <v>TRAVAILLEUR QUALIFIE (TQ), Echellon 1, Classe 7</v>
      </c>
      <c r="U10" s="259">
        <f t="shared" si="37"/>
        <v>10</v>
      </c>
      <c r="V10" s="263">
        <v>23</v>
      </c>
      <c r="W10" s="263">
        <v>0</v>
      </c>
      <c r="X10" s="263">
        <v>1.5</v>
      </c>
      <c r="Y10" s="263">
        <v>0</v>
      </c>
      <c r="Z10" s="259">
        <f>IF(L10="SANS PREAVIS",0,+IF(L10="AVEC PREAVIS",IF($S10="MANŒUVRE",14+7*$U10,IF($S10="SEMI-QUALIFIE",14+7*$U10,IF($S10="HAUTEMENT QUALIFIE",14+7*$U10,IF($S10="AGENT DE MAITRISE",26+9*$U10,IF($S10="CADRE DE COLLABORATION",78+16*$U10,IF($S10="CADRE DE DIRECTION",78+16*$U10,)))))),IF($S10="MANŒUVRE",14+7*$U10,IF($S10="SEMI-QUALIFIE",14+7*$U10,IF($S10="HAUTEMENT QUALIFIE",14+7*$U10,IF($S10="AGENT DE MAITRISE",26+9*$U10,IF($S10="CADRE DE COLLABORATION",78+16*$U10,IF($S10="CADRE DE DIRECTION",78+16*$U10,))))))))</f>
        <v>116</v>
      </c>
      <c r="AA10" s="259">
        <f>+IF(L10="AVEC PREAVIS",(Z10*20)/(26*12),0)</f>
        <v>7.4358974358974361</v>
      </c>
      <c r="AB10" s="259">
        <f t="shared" si="34"/>
        <v>12</v>
      </c>
      <c r="AC10" s="264">
        <f>IF(N10=0,0,+IF(DATEDIF(F10,N10,"md")=0,(+DATEDIF("01/01/"&amp;YEAR(N10),N10,"m"))*26/12-(AD10/26),(+DATEDIF("01/01/"&amp;YEAR(N10),N10,"m")+1)*26/12-(AD10/26)))</f>
        <v>8.6666666666666661</v>
      </c>
      <c r="AD10" s="264"/>
      <c r="AE10" s="263">
        <f t="shared" si="7"/>
        <v>168.60256410256409</v>
      </c>
      <c r="AF10" s="263">
        <v>0</v>
      </c>
      <c r="AG10" s="259">
        <f t="shared" si="8"/>
        <v>256.53846153846155</v>
      </c>
      <c r="AH10" s="259">
        <f t="shared" si="9"/>
        <v>0</v>
      </c>
      <c r="AI10" s="259">
        <f t="shared" si="10"/>
        <v>16.73076923076923</v>
      </c>
      <c r="AJ10" s="259">
        <f t="shared" si="11"/>
        <v>0</v>
      </c>
      <c r="AK10" s="259">
        <f t="shared" si="35"/>
        <v>216.78500986193293</v>
      </c>
      <c r="AL10" s="259">
        <f t="shared" si="12"/>
        <v>0</v>
      </c>
      <c r="AM10" s="259">
        <f t="shared" si="13"/>
        <v>1293.8461538461538</v>
      </c>
      <c r="AN10" s="259">
        <f t="shared" si="14"/>
        <v>96.666666666666657</v>
      </c>
      <c r="AO10" s="259">
        <f t="shared" si="15"/>
        <v>0</v>
      </c>
      <c r="AP10" s="247">
        <f t="shared" si="36"/>
        <v>0</v>
      </c>
      <c r="AQ10" s="265">
        <f t="shared" si="16"/>
        <v>1880.5670611439843</v>
      </c>
      <c r="AR10" s="259">
        <f t="shared" si="17"/>
        <v>518.77712031558178</v>
      </c>
      <c r="AS10" s="259">
        <f t="shared" si="18"/>
        <v>57.5</v>
      </c>
      <c r="AT10" s="266">
        <v>0</v>
      </c>
      <c r="AU10" s="267">
        <v>0</v>
      </c>
      <c r="AV10" s="259">
        <f t="shared" si="19"/>
        <v>0</v>
      </c>
      <c r="AW10" s="259"/>
      <c r="AX10" s="259"/>
      <c r="AY10" s="265">
        <f t="shared" si="20"/>
        <v>2456.8441814595662</v>
      </c>
      <c r="AZ10" s="259">
        <f t="shared" si="21"/>
        <v>94.028353057199226</v>
      </c>
      <c r="BA10" s="259">
        <f t="shared" si="22"/>
        <v>178.65387080867853</v>
      </c>
      <c r="BB10" s="430">
        <f t="shared" si="23"/>
        <v>2184.1619575936884</v>
      </c>
      <c r="BC10" s="259"/>
      <c r="BD10" s="259"/>
      <c r="BE10" s="259"/>
      <c r="BF10" s="259"/>
      <c r="BG10" s="259"/>
      <c r="BH10" s="259"/>
      <c r="BI10" s="259"/>
      <c r="BJ10" s="259"/>
      <c r="BK10" s="259"/>
      <c r="BL10" s="265">
        <f t="shared" si="24"/>
        <v>0</v>
      </c>
      <c r="BM10" s="268">
        <f t="shared" si="25"/>
        <v>2184.1619575936884</v>
      </c>
      <c r="BN10" s="219"/>
      <c r="BO10" s="259">
        <f t="shared" si="26"/>
        <v>319.3897435897436</v>
      </c>
      <c r="BP10" s="259">
        <f t="shared" si="27"/>
        <v>49.136883629191324</v>
      </c>
      <c r="BQ10" s="259">
        <f t="shared" si="28"/>
        <v>4.9136883629191326</v>
      </c>
      <c r="BR10" s="265">
        <f t="shared" si="29"/>
        <v>373.44031558185407</v>
      </c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</row>
    <row r="11" spans="1:94" s="243" customFormat="1" ht="20.25" customHeight="1">
      <c r="A11" s="243">
        <f t="shared" si="30"/>
        <v>9</v>
      </c>
      <c r="B11" s="269" t="s">
        <v>301</v>
      </c>
      <c r="C11" s="257"/>
      <c r="D11" s="257" t="s">
        <v>163</v>
      </c>
      <c r="E11" s="257" t="s">
        <v>228</v>
      </c>
      <c r="F11" s="258">
        <v>41809</v>
      </c>
      <c r="G11" s="259">
        <v>412.1</v>
      </c>
      <c r="H11" s="259">
        <v>90.5</v>
      </c>
      <c r="I11" s="259">
        <v>92.4</v>
      </c>
      <c r="J11" s="259">
        <v>30</v>
      </c>
      <c r="K11" s="259"/>
      <c r="L11" s="260" t="s">
        <v>52</v>
      </c>
      <c r="M11" s="257">
        <v>120</v>
      </c>
      <c r="N11" s="261">
        <v>45075</v>
      </c>
      <c r="O11" s="262" t="str">
        <f t="shared" si="1"/>
        <v>8 ans, 11 mois, 10 jours</v>
      </c>
      <c r="P11" s="259">
        <f t="shared" si="2"/>
        <v>15.850000000000001</v>
      </c>
      <c r="Q11" s="217" t="str">
        <f t="shared" si="31"/>
        <v>THQ0-9.V</v>
      </c>
      <c r="R11" s="217" t="str">
        <f t="shared" si="32"/>
        <v>TRAVAILLEUR HAUTEMENT QUALIFIE</v>
      </c>
      <c r="S11" s="258" t="str">
        <f t="shared" si="33"/>
        <v>AGENT DE MAITRISE</v>
      </c>
      <c r="T11" s="217" t="str">
        <f>+VLOOKUP($Q11,Categorie!$I:$P,3,0)</f>
        <v>TRAVAILLEUR HAUTEMENT QUALIFIE (THQ), Echellon 0, Classe 9</v>
      </c>
      <c r="U11" s="259">
        <f t="shared" si="37"/>
        <v>8</v>
      </c>
      <c r="V11" s="263">
        <v>0</v>
      </c>
      <c r="W11" s="263">
        <v>0</v>
      </c>
      <c r="X11" s="263">
        <v>4</v>
      </c>
      <c r="Y11" s="263">
        <v>0</v>
      </c>
      <c r="Z11" s="259">
        <f t="shared" si="4"/>
        <v>0</v>
      </c>
      <c r="AA11" s="259">
        <f t="shared" si="5"/>
        <v>0</v>
      </c>
      <c r="AB11" s="259">
        <v>0</v>
      </c>
      <c r="AC11" s="264">
        <f t="shared" si="6"/>
        <v>10.833333333333334</v>
      </c>
      <c r="AD11" s="264"/>
      <c r="AE11" s="263">
        <f t="shared" ref="AE11:AE30" si="38">SUM(V11:AC11)</f>
        <v>14.833333333333334</v>
      </c>
      <c r="AF11" s="263">
        <v>0</v>
      </c>
      <c r="AG11" s="259">
        <f t="shared" si="8"/>
        <v>0</v>
      </c>
      <c r="AH11" s="259">
        <f t="shared" si="9"/>
        <v>0</v>
      </c>
      <c r="AI11" s="259">
        <f t="shared" si="10"/>
        <v>63.400000000000006</v>
      </c>
      <c r="AJ11" s="259">
        <f t="shared" si="11"/>
        <v>0</v>
      </c>
      <c r="AK11" s="259">
        <f t="shared" si="35"/>
        <v>0</v>
      </c>
      <c r="AL11" s="259">
        <f t="shared" si="12"/>
        <v>0</v>
      </c>
      <c r="AM11" s="259">
        <f t="shared" si="13"/>
        <v>0</v>
      </c>
      <c r="AN11" s="259">
        <f t="shared" si="14"/>
        <v>171.70833333333337</v>
      </c>
      <c r="AO11" s="259">
        <f t="shared" si="15"/>
        <v>30</v>
      </c>
      <c r="AP11" s="247">
        <f t="shared" si="36"/>
        <v>0</v>
      </c>
      <c r="AQ11" s="265">
        <f t="shared" si="16"/>
        <v>265.10833333333335</v>
      </c>
      <c r="AR11" s="259">
        <f t="shared" si="17"/>
        <v>52.715384615384622</v>
      </c>
      <c r="AS11" s="259">
        <f t="shared" si="18"/>
        <v>0</v>
      </c>
      <c r="AT11" s="266">
        <v>0</v>
      </c>
      <c r="AU11" s="267">
        <v>0</v>
      </c>
      <c r="AV11" s="259">
        <f t="shared" si="19"/>
        <v>0</v>
      </c>
      <c r="AW11" s="259"/>
      <c r="AX11" s="259"/>
      <c r="AY11" s="265">
        <f t="shared" si="20"/>
        <v>317.82371794871796</v>
      </c>
      <c r="AZ11" s="259">
        <f t="shared" si="21"/>
        <v>13.255416666666669</v>
      </c>
      <c r="BA11" s="259">
        <f t="shared" si="22"/>
        <v>25.185291666666672</v>
      </c>
      <c r="BB11" s="430">
        <f t="shared" si="23"/>
        <v>279.38300961538459</v>
      </c>
      <c r="BC11" s="259"/>
      <c r="BD11" s="259">
        <v>20</v>
      </c>
      <c r="BE11" s="259"/>
      <c r="BF11" s="259"/>
      <c r="BG11" s="259"/>
      <c r="BH11" s="259"/>
      <c r="BI11" s="259"/>
      <c r="BJ11" s="259"/>
      <c r="BK11" s="259"/>
      <c r="BL11" s="265">
        <f t="shared" si="24"/>
        <v>20</v>
      </c>
      <c r="BM11" s="268">
        <f t="shared" si="25"/>
        <v>259.38300961538459</v>
      </c>
      <c r="BN11" s="219"/>
      <c r="BO11" s="259">
        <f t="shared" si="26"/>
        <v>41.317083333333336</v>
      </c>
      <c r="BP11" s="259">
        <f t="shared" si="27"/>
        <v>6.3564743589743591</v>
      </c>
      <c r="BQ11" s="259">
        <f t="shared" si="28"/>
        <v>0.63564743589743589</v>
      </c>
      <c r="BR11" s="265">
        <f t="shared" si="29"/>
        <v>48.309205128205129</v>
      </c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</row>
    <row r="12" spans="1:94" s="243" customFormat="1" ht="20.25" customHeight="1">
      <c r="A12" s="243">
        <f t="shared" si="30"/>
        <v>10</v>
      </c>
      <c r="B12" s="269" t="s">
        <v>302</v>
      </c>
      <c r="C12" s="257"/>
      <c r="D12" s="257" t="s">
        <v>229</v>
      </c>
      <c r="E12" s="257" t="s">
        <v>232</v>
      </c>
      <c r="F12" s="258">
        <v>41153</v>
      </c>
      <c r="G12" s="259">
        <v>172.9</v>
      </c>
      <c r="H12" s="259">
        <v>59</v>
      </c>
      <c r="I12" s="259">
        <v>25.45</v>
      </c>
      <c r="J12" s="259"/>
      <c r="K12" s="259">
        <v>1.61</v>
      </c>
      <c r="L12" s="260" t="s">
        <v>52</v>
      </c>
      <c r="M12" s="257">
        <v>282</v>
      </c>
      <c r="N12" s="261">
        <v>45078</v>
      </c>
      <c r="O12" s="262" t="str">
        <f t="shared" si="1"/>
        <v>10 ans, 9 mois, 0 jours</v>
      </c>
      <c r="P12" s="259">
        <f t="shared" si="2"/>
        <v>6.65</v>
      </c>
      <c r="Q12" s="217" t="str">
        <f t="shared" si="31"/>
        <v>TSP0-3.II</v>
      </c>
      <c r="R12" s="217" t="str">
        <f t="shared" si="32"/>
        <v>TRAVAILLEUR SPECIALISE</v>
      </c>
      <c r="S12" s="258" t="str">
        <f t="shared" si="33"/>
        <v>SEMI-QUALIFIE</v>
      </c>
      <c r="T12" s="217" t="str">
        <f>+VLOOKUP($Q12,Categorie!$I:$P,3,0)</f>
        <v>TRAVAILLEUR SPECIALISE (TS), Echellon 0 , Classe 3</v>
      </c>
      <c r="U12" s="259">
        <f t="shared" si="37"/>
        <v>10</v>
      </c>
      <c r="V12" s="263">
        <v>4</v>
      </c>
      <c r="W12" s="263">
        <v>0</v>
      </c>
      <c r="X12" s="263">
        <v>4</v>
      </c>
      <c r="Y12" s="263">
        <v>0</v>
      </c>
      <c r="Z12" s="259">
        <f t="shared" si="4"/>
        <v>0</v>
      </c>
      <c r="AA12" s="259">
        <f t="shared" si="5"/>
        <v>0</v>
      </c>
      <c r="AB12" s="259">
        <v>0</v>
      </c>
      <c r="AC12" s="264">
        <f>IF(N12=0,0,+IF(DATEDIF(F12,N12,"md")=0,(+DATEDIF("01/01/"&amp;YEAR(N12),N12,"m"))*26/12-(AD12/26),(+DATEDIF("01/01/"&amp;YEAR(N12),N12,"m")+1)*26/12-(AD12/26)))</f>
        <v>10.833333333333334</v>
      </c>
      <c r="AD12" s="264"/>
      <c r="AE12" s="263">
        <f t="shared" si="38"/>
        <v>18.833333333333336</v>
      </c>
      <c r="AF12" s="263">
        <v>0</v>
      </c>
      <c r="AG12" s="259">
        <f t="shared" si="8"/>
        <v>26.6</v>
      </c>
      <c r="AH12" s="259">
        <f t="shared" si="9"/>
        <v>0</v>
      </c>
      <c r="AI12" s="259">
        <f t="shared" si="10"/>
        <v>26.6</v>
      </c>
      <c r="AJ12" s="259">
        <f t="shared" si="11"/>
        <v>0</v>
      </c>
      <c r="AK12" s="259">
        <f t="shared" si="35"/>
        <v>0</v>
      </c>
      <c r="AL12" s="259">
        <f t="shared" si="12"/>
        <v>0</v>
      </c>
      <c r="AM12" s="259">
        <f t="shared" si="13"/>
        <v>0</v>
      </c>
      <c r="AN12" s="259">
        <f t="shared" si="14"/>
        <v>72.041666666666671</v>
      </c>
      <c r="AO12" s="259">
        <f t="shared" si="15"/>
        <v>0</v>
      </c>
      <c r="AP12" s="247">
        <f t="shared" si="36"/>
        <v>1.61</v>
      </c>
      <c r="AQ12" s="265">
        <f>SUM(AG12:AP12)</f>
        <v>126.85166666666667</v>
      </c>
      <c r="AR12" s="259">
        <f t="shared" si="17"/>
        <v>18.434935897435899</v>
      </c>
      <c r="AS12" s="259">
        <f t="shared" si="18"/>
        <v>9.0769230769230766</v>
      </c>
      <c r="AT12" s="266">
        <v>0</v>
      </c>
      <c r="AU12" s="267">
        <v>0</v>
      </c>
      <c r="AV12" s="259">
        <f t="shared" si="19"/>
        <v>0</v>
      </c>
      <c r="AW12" s="259"/>
      <c r="AX12" s="259"/>
      <c r="AY12" s="265">
        <f t="shared" si="20"/>
        <v>154.36352564102563</v>
      </c>
      <c r="AZ12" s="259">
        <f t="shared" si="21"/>
        <v>6.3425833333333337</v>
      </c>
      <c r="BA12" s="259">
        <f t="shared" si="22"/>
        <v>12.050908333333334</v>
      </c>
      <c r="BB12" s="430">
        <f t="shared" si="23"/>
        <v>135.97003397435898</v>
      </c>
      <c r="BC12" s="259"/>
      <c r="BD12" s="259"/>
      <c r="BE12" s="259"/>
      <c r="BF12" s="259"/>
      <c r="BG12" s="259"/>
      <c r="BH12" s="259"/>
      <c r="BI12" s="259"/>
      <c r="BJ12" s="259"/>
      <c r="BK12" s="259"/>
      <c r="BL12" s="265">
        <f t="shared" si="24"/>
        <v>0</v>
      </c>
      <c r="BM12" s="268">
        <f t="shared" si="25"/>
        <v>135.97003397435898</v>
      </c>
      <c r="BN12" s="219"/>
      <c r="BO12" s="259">
        <f t="shared" si="26"/>
        <v>20.067258333333331</v>
      </c>
      <c r="BP12" s="259">
        <f t="shared" si="27"/>
        <v>3.0872705128205129</v>
      </c>
      <c r="BQ12" s="259">
        <f t="shared" si="28"/>
        <v>0.30872705128205125</v>
      </c>
      <c r="BR12" s="265">
        <f t="shared" si="29"/>
        <v>23.463255897435896</v>
      </c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</row>
    <row r="13" spans="1:94" s="243" customFormat="1" ht="20.25" customHeight="1">
      <c r="A13" s="243">
        <f t="shared" si="30"/>
        <v>11</v>
      </c>
      <c r="B13" s="269" t="s">
        <v>303</v>
      </c>
      <c r="C13" s="257"/>
      <c r="D13" s="257" t="s">
        <v>230</v>
      </c>
      <c r="E13" s="257" t="s">
        <v>231</v>
      </c>
      <c r="F13" s="258">
        <v>43245</v>
      </c>
      <c r="G13" s="259">
        <v>200.2</v>
      </c>
      <c r="H13" s="259">
        <v>60</v>
      </c>
      <c r="I13" s="259">
        <v>19.8</v>
      </c>
      <c r="J13" s="259"/>
      <c r="K13" s="259">
        <v>2.77</v>
      </c>
      <c r="L13" s="260" t="s">
        <v>52</v>
      </c>
      <c r="M13" s="257">
        <v>281</v>
      </c>
      <c r="N13" s="261">
        <v>45078</v>
      </c>
      <c r="O13" s="262" t="str">
        <f t="shared" si="1"/>
        <v>5 ans, 0 mois, 7 jours</v>
      </c>
      <c r="P13" s="259">
        <f t="shared" si="2"/>
        <v>7.6999999999999993</v>
      </c>
      <c r="Q13" s="217" t="str">
        <f t="shared" si="31"/>
        <v>TSQ1-4.III</v>
      </c>
      <c r="R13" s="217" t="str">
        <f t="shared" si="32"/>
        <v>TRAVAILLEUR SEMI QUALIFIE</v>
      </c>
      <c r="S13" s="258" t="str">
        <f t="shared" si="33"/>
        <v>HAUTEMENT QUALIFIE</v>
      </c>
      <c r="T13" s="217" t="str">
        <f>+VLOOKUP($Q13,Categorie!$I:$P,3,0)</f>
        <v>TRAVAILLEUR SEMI QUALIFIE (TSQ), Echellon 1, Classe 4</v>
      </c>
      <c r="U13" s="259">
        <f t="shared" si="37"/>
        <v>5</v>
      </c>
      <c r="V13" s="263">
        <v>3</v>
      </c>
      <c r="W13" s="263">
        <v>0</v>
      </c>
      <c r="X13" s="263">
        <v>0</v>
      </c>
      <c r="Y13" s="263">
        <v>0</v>
      </c>
      <c r="Z13" s="259">
        <f t="shared" si="4"/>
        <v>0</v>
      </c>
      <c r="AA13" s="259">
        <f t="shared" si="5"/>
        <v>0</v>
      </c>
      <c r="AB13" s="259">
        <v>0</v>
      </c>
      <c r="AC13" s="264">
        <f t="shared" si="6"/>
        <v>13</v>
      </c>
      <c r="AD13" s="264"/>
      <c r="AE13" s="263">
        <f t="shared" si="38"/>
        <v>16</v>
      </c>
      <c r="AF13" s="263">
        <v>0</v>
      </c>
      <c r="AG13" s="259">
        <f t="shared" si="8"/>
        <v>23.099999999999998</v>
      </c>
      <c r="AH13" s="259">
        <f t="shared" si="9"/>
        <v>0</v>
      </c>
      <c r="AI13" s="259">
        <f t="shared" si="10"/>
        <v>0</v>
      </c>
      <c r="AJ13" s="259">
        <f t="shared" si="11"/>
        <v>0</v>
      </c>
      <c r="AK13" s="259">
        <f t="shared" si="35"/>
        <v>0</v>
      </c>
      <c r="AL13" s="259">
        <f t="shared" si="12"/>
        <v>0</v>
      </c>
      <c r="AM13" s="259">
        <f t="shared" si="13"/>
        <v>0</v>
      </c>
      <c r="AN13" s="259">
        <f t="shared" si="14"/>
        <v>100.1</v>
      </c>
      <c r="AO13" s="259">
        <f t="shared" si="15"/>
        <v>0</v>
      </c>
      <c r="AP13" s="247">
        <f t="shared" si="36"/>
        <v>2.77</v>
      </c>
      <c r="AQ13" s="265">
        <f t="shared" ref="AQ13:AQ76" si="39">SUM(AG13:AP13)</f>
        <v>125.96999999999998</v>
      </c>
      <c r="AR13" s="259">
        <f t="shared" si="17"/>
        <v>12.184615384615386</v>
      </c>
      <c r="AS13" s="259">
        <f t="shared" si="18"/>
        <v>6.9230769230769225</v>
      </c>
      <c r="AT13" s="266">
        <v>0</v>
      </c>
      <c r="AU13" s="267">
        <v>0</v>
      </c>
      <c r="AV13" s="259">
        <f t="shared" si="19"/>
        <v>0</v>
      </c>
      <c r="AW13" s="259"/>
      <c r="AX13" s="259"/>
      <c r="AY13" s="265">
        <f t="shared" si="20"/>
        <v>145.0776923076923</v>
      </c>
      <c r="AZ13" s="259">
        <f t="shared" si="21"/>
        <v>6.2984999999999998</v>
      </c>
      <c r="BA13" s="259">
        <f t="shared" si="22"/>
        <v>11.967149999999998</v>
      </c>
      <c r="BB13" s="430">
        <f t="shared" si="23"/>
        <v>126.81204230769231</v>
      </c>
      <c r="BC13" s="259"/>
      <c r="BD13" s="259"/>
      <c r="BE13" s="259"/>
      <c r="BF13" s="259"/>
      <c r="BG13" s="259"/>
      <c r="BH13" s="259"/>
      <c r="BI13" s="259"/>
      <c r="BJ13" s="259"/>
      <c r="BK13" s="259"/>
      <c r="BL13" s="265">
        <f t="shared" si="24"/>
        <v>0</v>
      </c>
      <c r="BM13" s="268">
        <f t="shared" si="25"/>
        <v>126.81204230769231</v>
      </c>
      <c r="BN13" s="219"/>
      <c r="BO13" s="259">
        <f t="shared" si="26"/>
        <v>18.860099999999999</v>
      </c>
      <c r="BP13" s="259">
        <f t="shared" si="27"/>
        <v>2.9015538461538459</v>
      </c>
      <c r="BQ13" s="259">
        <f t="shared" si="28"/>
        <v>0.29015538461538459</v>
      </c>
      <c r="BR13" s="265">
        <f t="shared" si="29"/>
        <v>22.05180923076923</v>
      </c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</row>
    <row r="14" spans="1:94" s="243" customFormat="1" ht="20.25" customHeight="1">
      <c r="A14" s="243">
        <f t="shared" si="30"/>
        <v>12</v>
      </c>
      <c r="B14" s="269" t="s">
        <v>304</v>
      </c>
      <c r="C14" s="257"/>
      <c r="D14" s="257" t="s">
        <v>230</v>
      </c>
      <c r="E14" s="257" t="s">
        <v>231</v>
      </c>
      <c r="F14" s="258">
        <v>43606</v>
      </c>
      <c r="G14" s="259">
        <v>130</v>
      </c>
      <c r="H14" s="259">
        <v>55</v>
      </c>
      <c r="I14" s="259">
        <v>30</v>
      </c>
      <c r="J14" s="259"/>
      <c r="K14" s="259"/>
      <c r="L14" s="260" t="s">
        <v>52</v>
      </c>
      <c r="M14" s="257">
        <v>281</v>
      </c>
      <c r="N14" s="261">
        <v>45079</v>
      </c>
      <c r="O14" s="262" t="str">
        <f t="shared" si="1"/>
        <v>4 ans, 0 mois, 12 jours</v>
      </c>
      <c r="P14" s="259">
        <f t="shared" si="2"/>
        <v>5</v>
      </c>
      <c r="Q14" s="217" t="str">
        <f t="shared" si="31"/>
        <v>MAO1-1.I</v>
      </c>
      <c r="R14" s="217" t="str">
        <f t="shared" si="32"/>
        <v>MANŒUVRE ORDINAIRE</v>
      </c>
      <c r="S14" s="258" t="str">
        <f t="shared" si="33"/>
        <v>MANŒUVRE</v>
      </c>
      <c r="T14" s="217" t="str">
        <f>+VLOOKUP($Q14,Categorie!$I:$P,3,0)</f>
        <v>MANŒUVRE ORDINAIRE (MO), Echellon 1, Classe 1</v>
      </c>
      <c r="U14" s="259">
        <f t="shared" si="37"/>
        <v>4</v>
      </c>
      <c r="V14" s="263">
        <v>0</v>
      </c>
      <c r="W14" s="263">
        <v>0</v>
      </c>
      <c r="X14" s="263">
        <v>0</v>
      </c>
      <c r="Y14" s="263">
        <v>0</v>
      </c>
      <c r="Z14" s="259">
        <f t="shared" si="4"/>
        <v>0</v>
      </c>
      <c r="AA14" s="259">
        <f t="shared" si="5"/>
        <v>0</v>
      </c>
      <c r="AB14" s="259">
        <v>0</v>
      </c>
      <c r="AC14" s="264">
        <f t="shared" si="6"/>
        <v>13</v>
      </c>
      <c r="AD14" s="264"/>
      <c r="AE14" s="263">
        <f t="shared" si="38"/>
        <v>13</v>
      </c>
      <c r="AF14" s="263">
        <v>0</v>
      </c>
      <c r="AG14" s="259">
        <f t="shared" si="8"/>
        <v>0</v>
      </c>
      <c r="AH14" s="259">
        <f t="shared" si="9"/>
        <v>0</v>
      </c>
      <c r="AI14" s="259">
        <f t="shared" si="10"/>
        <v>0</v>
      </c>
      <c r="AJ14" s="259">
        <f t="shared" si="11"/>
        <v>0</v>
      </c>
      <c r="AK14" s="259">
        <f t="shared" si="35"/>
        <v>0</v>
      </c>
      <c r="AL14" s="259">
        <f t="shared" si="12"/>
        <v>0</v>
      </c>
      <c r="AM14" s="259">
        <f t="shared" si="13"/>
        <v>0</v>
      </c>
      <c r="AN14" s="259">
        <f t="shared" si="14"/>
        <v>65</v>
      </c>
      <c r="AO14" s="259">
        <f t="shared" si="15"/>
        <v>0</v>
      </c>
      <c r="AP14" s="247">
        <f t="shared" si="36"/>
        <v>0</v>
      </c>
      <c r="AQ14" s="265">
        <f t="shared" si="39"/>
        <v>65</v>
      </c>
      <c r="AR14" s="259">
        <f t="shared" si="17"/>
        <v>14.999999999999998</v>
      </c>
      <c r="AS14" s="259">
        <f t="shared" si="18"/>
        <v>0</v>
      </c>
      <c r="AT14" s="266">
        <v>0</v>
      </c>
      <c r="AU14" s="267">
        <v>0</v>
      </c>
      <c r="AV14" s="259">
        <f t="shared" si="19"/>
        <v>0</v>
      </c>
      <c r="AW14" s="259"/>
      <c r="AX14" s="259"/>
      <c r="AY14" s="265">
        <f t="shared" si="20"/>
        <v>80</v>
      </c>
      <c r="AZ14" s="259">
        <f t="shared" si="21"/>
        <v>3.25</v>
      </c>
      <c r="BA14" s="259">
        <f t="shared" si="22"/>
        <v>6.1750000000000007</v>
      </c>
      <c r="BB14" s="430">
        <f t="shared" si="23"/>
        <v>70.575000000000003</v>
      </c>
      <c r="BC14" s="259"/>
      <c r="BD14" s="259"/>
      <c r="BE14" s="259"/>
      <c r="BF14" s="259"/>
      <c r="BG14" s="259"/>
      <c r="BH14" s="259"/>
      <c r="BI14" s="259"/>
      <c r="BJ14" s="259"/>
      <c r="BK14" s="259"/>
      <c r="BL14" s="265">
        <f t="shared" si="24"/>
        <v>0</v>
      </c>
      <c r="BM14" s="268">
        <f t="shared" si="25"/>
        <v>70.575000000000003</v>
      </c>
      <c r="BN14" s="219"/>
      <c r="BO14" s="259">
        <f t="shared" si="26"/>
        <v>10.4</v>
      </c>
      <c r="BP14" s="259">
        <f t="shared" si="27"/>
        <v>1.6</v>
      </c>
      <c r="BQ14" s="259">
        <f t="shared" si="28"/>
        <v>0.16</v>
      </c>
      <c r="BR14" s="265">
        <f t="shared" si="29"/>
        <v>12.16</v>
      </c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</row>
    <row r="15" spans="1:94" s="243" customFormat="1" ht="20.25" customHeight="1">
      <c r="A15" s="243">
        <f t="shared" si="30"/>
        <v>13</v>
      </c>
      <c r="B15" s="269" t="s">
        <v>305</v>
      </c>
      <c r="C15" s="257"/>
      <c r="D15" s="257" t="s">
        <v>230</v>
      </c>
      <c r="E15" s="257" t="s">
        <v>231</v>
      </c>
      <c r="F15" s="258">
        <v>41518</v>
      </c>
      <c r="G15" s="259">
        <v>200.2</v>
      </c>
      <c r="H15" s="259">
        <v>60</v>
      </c>
      <c r="I15" s="259">
        <v>42.7</v>
      </c>
      <c r="J15" s="259"/>
      <c r="K15" s="259">
        <v>1.48</v>
      </c>
      <c r="L15" s="260" t="s">
        <v>52</v>
      </c>
      <c r="M15" s="257">
        <v>281</v>
      </c>
      <c r="N15" s="261">
        <v>45082</v>
      </c>
      <c r="O15" s="262" t="str">
        <f t="shared" si="1"/>
        <v>9 ans, 9 mois, 4 jours</v>
      </c>
      <c r="P15" s="259">
        <f t="shared" si="2"/>
        <v>7.6999999999999993</v>
      </c>
      <c r="Q15" s="217" t="str">
        <f t="shared" si="31"/>
        <v>TSQ1-4.III</v>
      </c>
      <c r="R15" s="217" t="str">
        <f t="shared" si="32"/>
        <v>TRAVAILLEUR SEMI QUALIFIE</v>
      </c>
      <c r="S15" s="258" t="str">
        <f t="shared" si="33"/>
        <v>HAUTEMENT QUALIFIE</v>
      </c>
      <c r="T15" s="217" t="str">
        <f>+VLOOKUP($Q15,Categorie!$I:$P,3,0)</f>
        <v>TRAVAILLEUR SEMI QUALIFIE (TSQ), Echellon 1, Classe 4</v>
      </c>
      <c r="U15" s="259">
        <f t="shared" si="37"/>
        <v>9</v>
      </c>
      <c r="V15" s="263">
        <v>4</v>
      </c>
      <c r="W15" s="263">
        <v>0</v>
      </c>
      <c r="X15" s="263">
        <v>1</v>
      </c>
      <c r="Y15" s="263">
        <v>0</v>
      </c>
      <c r="Z15" s="259">
        <f t="shared" si="4"/>
        <v>0</v>
      </c>
      <c r="AA15" s="259">
        <f t="shared" si="5"/>
        <v>0</v>
      </c>
      <c r="AB15" s="259">
        <v>0</v>
      </c>
      <c r="AC15" s="264">
        <f t="shared" si="6"/>
        <v>13</v>
      </c>
      <c r="AD15" s="264"/>
      <c r="AE15" s="263">
        <f t="shared" si="38"/>
        <v>18</v>
      </c>
      <c r="AF15" s="263">
        <v>11</v>
      </c>
      <c r="AG15" s="259">
        <f t="shared" si="8"/>
        <v>30.799999999999997</v>
      </c>
      <c r="AH15" s="259">
        <f t="shared" si="9"/>
        <v>0</v>
      </c>
      <c r="AI15" s="259">
        <f t="shared" si="10"/>
        <v>7.6999999999999993</v>
      </c>
      <c r="AJ15" s="259">
        <f t="shared" si="11"/>
        <v>0</v>
      </c>
      <c r="AK15" s="259">
        <f t="shared" si="35"/>
        <v>0</v>
      </c>
      <c r="AL15" s="259">
        <f t="shared" si="12"/>
        <v>56.466666666666661</v>
      </c>
      <c r="AM15" s="259">
        <f t="shared" si="13"/>
        <v>0</v>
      </c>
      <c r="AN15" s="259">
        <f t="shared" si="14"/>
        <v>100.1</v>
      </c>
      <c r="AO15" s="259">
        <f t="shared" si="15"/>
        <v>0</v>
      </c>
      <c r="AP15" s="247">
        <f t="shared" si="36"/>
        <v>1.48</v>
      </c>
      <c r="AQ15" s="265">
        <f t="shared" si="39"/>
        <v>196.54666666666665</v>
      </c>
      <c r="AR15" s="259">
        <f t="shared" si="17"/>
        <v>29.561538461538465</v>
      </c>
      <c r="AS15" s="259">
        <f t="shared" si="18"/>
        <v>9.2307692307692299</v>
      </c>
      <c r="AT15" s="266">
        <v>0</v>
      </c>
      <c r="AU15" s="267">
        <v>0</v>
      </c>
      <c r="AV15" s="259">
        <f t="shared" si="19"/>
        <v>0</v>
      </c>
      <c r="AW15" s="259"/>
      <c r="AX15" s="259"/>
      <c r="AY15" s="265">
        <f t="shared" si="20"/>
        <v>235.33897435897435</v>
      </c>
      <c r="AZ15" s="259">
        <f t="shared" si="21"/>
        <v>9.8273333333333337</v>
      </c>
      <c r="BA15" s="259">
        <f t="shared" si="22"/>
        <v>18.671933333333332</v>
      </c>
      <c r="BB15" s="430">
        <f t="shared" si="23"/>
        <v>206.83970769230768</v>
      </c>
      <c r="BC15" s="259"/>
      <c r="BD15" s="259"/>
      <c r="BE15" s="259"/>
      <c r="BF15" s="259"/>
      <c r="BG15" s="259"/>
      <c r="BH15" s="259"/>
      <c r="BI15" s="259"/>
      <c r="BJ15" s="259"/>
      <c r="BK15" s="259"/>
      <c r="BL15" s="265">
        <f t="shared" si="24"/>
        <v>0</v>
      </c>
      <c r="BM15" s="268">
        <f t="shared" si="25"/>
        <v>206.83970769230768</v>
      </c>
      <c r="BN15" s="219"/>
      <c r="BO15" s="259">
        <f t="shared" si="26"/>
        <v>30.594066666666667</v>
      </c>
      <c r="BP15" s="259">
        <f t="shared" si="27"/>
        <v>4.706779487179487</v>
      </c>
      <c r="BQ15" s="259">
        <f t="shared" si="28"/>
        <v>0.47067794871794871</v>
      </c>
      <c r="BR15" s="265">
        <f t="shared" si="29"/>
        <v>35.771524102564101</v>
      </c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</row>
    <row r="16" spans="1:94" s="243" customFormat="1" ht="20.25" customHeight="1">
      <c r="A16" s="243">
        <f t="shared" si="30"/>
        <v>14</v>
      </c>
      <c r="B16" s="269" t="s">
        <v>306</v>
      </c>
      <c r="C16" s="257"/>
      <c r="D16" s="257" t="s">
        <v>165</v>
      </c>
      <c r="E16" s="257" t="s">
        <v>225</v>
      </c>
      <c r="F16" s="258">
        <v>44441</v>
      </c>
      <c r="G16" s="259">
        <v>130</v>
      </c>
      <c r="H16" s="259">
        <v>55</v>
      </c>
      <c r="I16" s="259">
        <v>30</v>
      </c>
      <c r="J16" s="259"/>
      <c r="K16" s="259"/>
      <c r="L16" s="260" t="s">
        <v>52</v>
      </c>
      <c r="M16" s="257">
        <v>160</v>
      </c>
      <c r="N16" s="261">
        <v>45100</v>
      </c>
      <c r="O16" s="262" t="str">
        <f t="shared" si="1"/>
        <v>1 ans, 9 mois, 21 jours</v>
      </c>
      <c r="P16" s="259">
        <f t="shared" si="2"/>
        <v>5</v>
      </c>
      <c r="Q16" s="217" t="str">
        <f t="shared" si="31"/>
        <v>MAO1-1.I</v>
      </c>
      <c r="R16" s="217" t="str">
        <f t="shared" si="32"/>
        <v>MANŒUVRE ORDINAIRE</v>
      </c>
      <c r="S16" s="258" t="str">
        <f t="shared" si="33"/>
        <v>MANŒUVRE</v>
      </c>
      <c r="T16" s="217" t="str">
        <f>+VLOOKUP($Q16,Categorie!$I:$P,3,0)</f>
        <v>MANŒUVRE ORDINAIRE (MO), Echellon 1, Classe 1</v>
      </c>
      <c r="U16" s="259">
        <f t="shared" si="37"/>
        <v>1</v>
      </c>
      <c r="V16" s="263">
        <v>0</v>
      </c>
      <c r="W16" s="263">
        <v>0</v>
      </c>
      <c r="X16" s="263">
        <v>0</v>
      </c>
      <c r="Y16" s="263">
        <v>0</v>
      </c>
      <c r="Z16" s="259">
        <f t="shared" si="4"/>
        <v>0</v>
      </c>
      <c r="AA16" s="259">
        <f t="shared" si="5"/>
        <v>0</v>
      </c>
      <c r="AB16" s="259">
        <f t="shared" si="34"/>
        <v>15</v>
      </c>
      <c r="AC16" s="264">
        <f t="shared" si="6"/>
        <v>13</v>
      </c>
      <c r="AD16" s="264"/>
      <c r="AE16" s="263">
        <f t="shared" si="38"/>
        <v>28</v>
      </c>
      <c r="AF16" s="263">
        <v>0</v>
      </c>
      <c r="AG16" s="259">
        <f t="shared" si="8"/>
        <v>0</v>
      </c>
      <c r="AH16" s="259">
        <f t="shared" si="9"/>
        <v>0</v>
      </c>
      <c r="AI16" s="259">
        <f t="shared" si="10"/>
        <v>0</v>
      </c>
      <c r="AJ16" s="259">
        <f t="shared" si="11"/>
        <v>0</v>
      </c>
      <c r="AK16" s="259">
        <f t="shared" si="35"/>
        <v>75</v>
      </c>
      <c r="AL16" s="259">
        <f t="shared" si="12"/>
        <v>0</v>
      </c>
      <c r="AM16" s="259">
        <f t="shared" si="13"/>
        <v>0</v>
      </c>
      <c r="AN16" s="259">
        <f t="shared" si="14"/>
        <v>65</v>
      </c>
      <c r="AO16" s="259">
        <f t="shared" si="15"/>
        <v>0</v>
      </c>
      <c r="AP16" s="247">
        <f t="shared" si="36"/>
        <v>0</v>
      </c>
      <c r="AQ16" s="265">
        <f t="shared" si="39"/>
        <v>140</v>
      </c>
      <c r="AR16" s="259">
        <f t="shared" si="17"/>
        <v>32.307692307692307</v>
      </c>
      <c r="AS16" s="259">
        <f t="shared" si="18"/>
        <v>0</v>
      </c>
      <c r="AT16" s="266">
        <v>0</v>
      </c>
      <c r="AU16" s="267">
        <v>0</v>
      </c>
      <c r="AV16" s="259">
        <f t="shared" si="19"/>
        <v>0</v>
      </c>
      <c r="AW16" s="259"/>
      <c r="AX16" s="259"/>
      <c r="AY16" s="265">
        <f t="shared" si="20"/>
        <v>172.30769230769232</v>
      </c>
      <c r="AZ16" s="259">
        <f t="shared" si="21"/>
        <v>7</v>
      </c>
      <c r="BA16" s="259">
        <f t="shared" si="22"/>
        <v>13.3</v>
      </c>
      <c r="BB16" s="430">
        <f t="shared" si="23"/>
        <v>152.00769230769231</v>
      </c>
      <c r="BC16" s="259"/>
      <c r="BD16" s="259"/>
      <c r="BE16" s="259"/>
      <c r="BF16" s="259"/>
      <c r="BG16" s="259"/>
      <c r="BH16" s="259"/>
      <c r="BI16" s="259"/>
      <c r="BJ16" s="259"/>
      <c r="BK16" s="259"/>
      <c r="BL16" s="265">
        <f t="shared" si="24"/>
        <v>0</v>
      </c>
      <c r="BM16" s="268">
        <f t="shared" si="25"/>
        <v>152.00769230769231</v>
      </c>
      <c r="BN16" s="219"/>
      <c r="BO16" s="259">
        <f t="shared" si="26"/>
        <v>22.400000000000002</v>
      </c>
      <c r="BP16" s="259">
        <f t="shared" si="27"/>
        <v>3.4461538461538463</v>
      </c>
      <c r="BQ16" s="259">
        <f t="shared" si="28"/>
        <v>0.34461538461538466</v>
      </c>
      <c r="BR16" s="265">
        <f t="shared" si="29"/>
        <v>26.190769230769231</v>
      </c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  <c r="CE16" s="219"/>
      <c r="CF16" s="219"/>
      <c r="CG16" s="219"/>
      <c r="CH16" s="219"/>
      <c r="CI16" s="219"/>
      <c r="CJ16" s="219"/>
      <c r="CK16" s="219"/>
      <c r="CL16" s="219"/>
      <c r="CM16" s="219"/>
      <c r="CN16" s="219"/>
      <c r="CO16" s="219"/>
      <c r="CP16" s="219"/>
    </row>
    <row r="17" spans="1:94" s="243" customFormat="1" ht="20.25" customHeight="1">
      <c r="A17" s="243">
        <f t="shared" si="30"/>
        <v>15</v>
      </c>
      <c r="B17" s="269" t="s">
        <v>307</v>
      </c>
      <c r="C17" s="257"/>
      <c r="D17" s="257" t="s">
        <v>163</v>
      </c>
      <c r="E17" s="257" t="s">
        <v>235</v>
      </c>
      <c r="F17" s="258">
        <v>44975</v>
      </c>
      <c r="G17" s="259">
        <v>412.1</v>
      </c>
      <c r="H17" s="259">
        <v>90.5</v>
      </c>
      <c r="I17" s="259">
        <v>92.4</v>
      </c>
      <c r="J17" s="259">
        <v>30</v>
      </c>
      <c r="K17" s="259">
        <v>0.75</v>
      </c>
      <c r="L17" s="260" t="s">
        <v>52</v>
      </c>
      <c r="M17" s="257">
        <v>120</v>
      </c>
      <c r="N17" s="261">
        <v>45111</v>
      </c>
      <c r="O17" s="262" t="str">
        <f t="shared" si="1"/>
        <v>0 ans, 4 mois, 16 jours</v>
      </c>
      <c r="P17" s="259">
        <f t="shared" si="2"/>
        <v>15.850000000000001</v>
      </c>
      <c r="Q17" s="217" t="str">
        <f t="shared" si="31"/>
        <v>THQ0-9.V</v>
      </c>
      <c r="R17" s="217" t="str">
        <f t="shared" si="32"/>
        <v>TRAVAILLEUR HAUTEMENT QUALIFIE</v>
      </c>
      <c r="S17" s="258" t="str">
        <f t="shared" si="33"/>
        <v>AGENT DE MAITRISE</v>
      </c>
      <c r="T17" s="217" t="str">
        <f>+VLOOKUP($Q17,Categorie!$I:$P,3,0)</f>
        <v>TRAVAILLEUR HAUTEMENT QUALIFIE (THQ), Echellon 0, Classe 9</v>
      </c>
      <c r="U17" s="259">
        <f t="shared" si="37"/>
        <v>0</v>
      </c>
      <c r="V17" s="263">
        <v>13</v>
      </c>
      <c r="W17" s="263">
        <v>0</v>
      </c>
      <c r="X17" s="263">
        <v>0</v>
      </c>
      <c r="Y17" s="263">
        <v>0</v>
      </c>
      <c r="Z17" s="259">
        <f t="shared" ref="Z17:Z48" si="40">IF(L17="SANS PREAVIS",0,+IF(L17="AVEC PREAVIS",IF($S17="MANŒUVRE",14+7*$U17,IF($S17="SEMI-QUALIFIE",14+7*$U17,IF($S17="HAUTEMENT QUALIFIE",14+7*$U17,IF($S17="AGENT DE MAITRISE",26+9*$U17,IF($S17="CADRE DE COLLABORATION",78+16*$U17,IF($S17="CADRE DE DIRECTION",78+16*$U17,)))))),IF($S17="MANŒUVRE",14+7*$U17,IF($S17="SEMI-QUALIFIE",14+7*$U17,IF($S17="HAUTEMENT QUALIFIE",14+7*$U17,IF($S17="AGENT DE MAITRISE",26+9*$U17,IF($S17="CADRE DE COLLABORATION",78+16*$U17,IF($S17="CADRE DE DIRECTION",78+16*$U17,)))))))/2)</f>
        <v>0</v>
      </c>
      <c r="AA17" s="259">
        <f t="shared" ref="AA17:AA48" si="41">+IF(L17="AVEC PREAVIS",(Z17*26)/(26*12),0)</f>
        <v>0</v>
      </c>
      <c r="AB17" s="259">
        <f t="shared" si="34"/>
        <v>7.5</v>
      </c>
      <c r="AC17" s="264">
        <v>0</v>
      </c>
      <c r="AD17" s="264"/>
      <c r="AE17" s="263">
        <f t="shared" si="38"/>
        <v>20.5</v>
      </c>
      <c r="AF17" s="263">
        <v>0</v>
      </c>
      <c r="AG17" s="259">
        <f t="shared" si="8"/>
        <v>206.05</v>
      </c>
      <c r="AH17" s="259">
        <f t="shared" ref="AH17:AH80" si="42">ROUND($W17/26*1.1*(G17),2)</f>
        <v>0</v>
      </c>
      <c r="AI17" s="259">
        <f t="shared" ref="AI17:AI48" si="43">+(P17*X17)</f>
        <v>0</v>
      </c>
      <c r="AJ17" s="259">
        <f t="shared" si="11"/>
        <v>0</v>
      </c>
      <c r="AK17" s="259">
        <f t="shared" ref="AK17:AK48" si="44">+(P17*AB17)+(P17*AA17)</f>
        <v>118.87500000000001</v>
      </c>
      <c r="AL17" s="259">
        <f t="shared" ref="AL17:AL48" si="45">+(P17*AF17)/3*2</f>
        <v>0</v>
      </c>
      <c r="AM17" s="259">
        <f t="shared" ref="AM17:AM48" si="46">+P17*Z17</f>
        <v>0</v>
      </c>
      <c r="AN17" s="259">
        <f t="shared" ref="AN17:AN48" si="47">+P17*AC17</f>
        <v>0</v>
      </c>
      <c r="AO17" s="259">
        <f t="shared" ref="AO17:AO48" si="48">+J17</f>
        <v>30</v>
      </c>
      <c r="AP17" s="247">
        <f t="shared" si="36"/>
        <v>0.75</v>
      </c>
      <c r="AQ17" s="265">
        <f t="shared" si="39"/>
        <v>355.67500000000001</v>
      </c>
      <c r="AR17" s="259">
        <f t="shared" si="17"/>
        <v>72.853846153846163</v>
      </c>
      <c r="AS17" s="259">
        <f t="shared" si="18"/>
        <v>45.25</v>
      </c>
      <c r="AT17" s="266">
        <v>0</v>
      </c>
      <c r="AU17" s="267">
        <v>0</v>
      </c>
      <c r="AV17" s="259">
        <f t="shared" ref="AV17:AV48" si="49">+P17*AU17*AT17</f>
        <v>0</v>
      </c>
      <c r="AW17" s="259"/>
      <c r="AX17" s="259"/>
      <c r="AY17" s="265">
        <f t="shared" si="20"/>
        <v>473.77884615384619</v>
      </c>
      <c r="AZ17" s="259">
        <f t="shared" si="21"/>
        <v>17.783750000000001</v>
      </c>
      <c r="BA17" s="259">
        <f t="shared" si="22"/>
        <v>33.789125000000006</v>
      </c>
      <c r="BB17" s="430">
        <f t="shared" si="23"/>
        <v>422.20597115384618</v>
      </c>
      <c r="BC17" s="259"/>
      <c r="BD17" s="259"/>
      <c r="BE17" s="259"/>
      <c r="BF17" s="259"/>
      <c r="BG17" s="259"/>
      <c r="BH17" s="259"/>
      <c r="BI17" s="259"/>
      <c r="BJ17" s="259"/>
      <c r="BK17" s="259"/>
      <c r="BL17" s="265">
        <f t="shared" si="24"/>
        <v>0</v>
      </c>
      <c r="BM17" s="268">
        <f t="shared" si="25"/>
        <v>422.20597115384618</v>
      </c>
      <c r="BN17" s="219"/>
      <c r="BO17" s="259">
        <f t="shared" si="26"/>
        <v>61.591250000000009</v>
      </c>
      <c r="BP17" s="259">
        <f t="shared" si="27"/>
        <v>9.4755769230769236</v>
      </c>
      <c r="BQ17" s="259">
        <f t="shared" si="28"/>
        <v>0.94755769230769238</v>
      </c>
      <c r="BR17" s="265">
        <f t="shared" si="29"/>
        <v>72.014384615384628</v>
      </c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  <c r="CE17" s="219"/>
      <c r="CF17" s="219"/>
      <c r="CG17" s="219"/>
      <c r="CH17" s="219"/>
      <c r="CI17" s="219"/>
      <c r="CJ17" s="219"/>
      <c r="CK17" s="219"/>
      <c r="CL17" s="219"/>
      <c r="CM17" s="219"/>
      <c r="CN17" s="219"/>
      <c r="CO17" s="219"/>
      <c r="CP17" s="219"/>
    </row>
    <row r="18" spans="1:94" s="243" customFormat="1" ht="20.25" customHeight="1">
      <c r="A18" s="243">
        <f t="shared" si="30"/>
        <v>16</v>
      </c>
      <c r="B18" s="269" t="s">
        <v>308</v>
      </c>
      <c r="C18" s="257"/>
      <c r="D18" s="257" t="s">
        <v>165</v>
      </c>
      <c r="E18" s="257" t="s">
        <v>236</v>
      </c>
      <c r="F18" s="258">
        <v>41153</v>
      </c>
      <c r="G18" s="259">
        <v>267.8</v>
      </c>
      <c r="H18" s="259">
        <v>65</v>
      </c>
      <c r="I18" s="259">
        <v>35.950000000000003</v>
      </c>
      <c r="J18" s="259"/>
      <c r="K18" s="259">
        <v>5.92</v>
      </c>
      <c r="L18" s="260" t="s">
        <v>49</v>
      </c>
      <c r="M18" s="257">
        <v>160</v>
      </c>
      <c r="N18" s="261">
        <v>45112</v>
      </c>
      <c r="O18" s="262" t="str">
        <f t="shared" si="1"/>
        <v>10 ans, 10 mois, 4 jours</v>
      </c>
      <c r="P18" s="259">
        <f t="shared" si="2"/>
        <v>10.3</v>
      </c>
      <c r="Q18" s="217" t="str">
        <f t="shared" si="31"/>
        <v>TSQ3-6.III</v>
      </c>
      <c r="R18" s="217" t="str">
        <f t="shared" si="32"/>
        <v>TRAVAILLEUR SEMI QUALIFIE</v>
      </c>
      <c r="S18" s="258" t="str">
        <f t="shared" si="33"/>
        <v>AGENT DE MAITRISE</v>
      </c>
      <c r="T18" s="217" t="str">
        <f>+VLOOKUP($Q18,Categorie!$I:$P,3,0)</f>
        <v>TRAVAILLEUR SEMI QUALIFIE (TSQ), Echellon 3, Classe 6</v>
      </c>
      <c r="U18" s="259">
        <f t="shared" si="37"/>
        <v>10</v>
      </c>
      <c r="V18" s="263">
        <v>15</v>
      </c>
      <c r="W18" s="263">
        <v>0</v>
      </c>
      <c r="X18" s="263">
        <v>0</v>
      </c>
      <c r="Y18" s="263">
        <v>1</v>
      </c>
      <c r="Z18" s="259">
        <v>42</v>
      </c>
      <c r="AA18" s="259">
        <v>2.69</v>
      </c>
      <c r="AB18" s="259">
        <f t="shared" si="34"/>
        <v>16.5</v>
      </c>
      <c r="AC18" s="264">
        <f t="shared" si="6"/>
        <v>15.166666666666666</v>
      </c>
      <c r="AD18" s="264"/>
      <c r="AE18" s="263">
        <f t="shared" si="38"/>
        <v>92.356666666666669</v>
      </c>
      <c r="AF18" s="263">
        <v>0</v>
      </c>
      <c r="AG18" s="259">
        <f t="shared" ref="AG18:AG49" si="50">P18*V18</f>
        <v>154.5</v>
      </c>
      <c r="AH18" s="259">
        <f t="shared" si="42"/>
        <v>0</v>
      </c>
      <c r="AI18" s="259">
        <f t="shared" si="43"/>
        <v>0</v>
      </c>
      <c r="AJ18" s="259">
        <f t="shared" si="11"/>
        <v>10.3</v>
      </c>
      <c r="AK18" s="259">
        <f t="shared" si="44"/>
        <v>197.65700000000001</v>
      </c>
      <c r="AL18" s="259">
        <f t="shared" si="45"/>
        <v>0</v>
      </c>
      <c r="AM18" s="259">
        <f t="shared" si="46"/>
        <v>432.6</v>
      </c>
      <c r="AN18" s="259">
        <f t="shared" si="47"/>
        <v>156.21666666666667</v>
      </c>
      <c r="AO18" s="259">
        <f t="shared" si="48"/>
        <v>0</v>
      </c>
      <c r="AP18" s="247">
        <f t="shared" si="36"/>
        <v>5.92</v>
      </c>
      <c r="AQ18" s="265">
        <f t="shared" si="39"/>
        <v>957.19366666666667</v>
      </c>
      <c r="AR18" s="259">
        <f t="shared" si="17"/>
        <v>127.70085256410259</v>
      </c>
      <c r="AS18" s="259">
        <f t="shared" si="18"/>
        <v>37.5</v>
      </c>
      <c r="AT18" s="266">
        <v>0</v>
      </c>
      <c r="AU18" s="267">
        <v>0</v>
      </c>
      <c r="AV18" s="259">
        <f t="shared" si="49"/>
        <v>0</v>
      </c>
      <c r="AW18" s="259"/>
      <c r="AX18" s="259"/>
      <c r="AY18" s="265">
        <f t="shared" si="20"/>
        <v>1122.3945192307692</v>
      </c>
      <c r="AZ18" s="259">
        <f t="shared" si="21"/>
        <v>47.859683333333336</v>
      </c>
      <c r="BA18" s="259">
        <f t="shared" si="22"/>
        <v>90.933398333333344</v>
      </c>
      <c r="BB18" s="430">
        <f t="shared" si="23"/>
        <v>983.60143756410253</v>
      </c>
      <c r="BC18" s="259"/>
      <c r="BD18" s="259"/>
      <c r="BE18" s="259"/>
      <c r="BF18" s="259"/>
      <c r="BG18" s="259"/>
      <c r="BH18" s="259"/>
      <c r="BI18" s="259"/>
      <c r="BJ18" s="259"/>
      <c r="BK18" s="259"/>
      <c r="BL18" s="265">
        <f t="shared" si="24"/>
        <v>0</v>
      </c>
      <c r="BM18" s="268">
        <f t="shared" si="25"/>
        <v>983.60143756410253</v>
      </c>
      <c r="BN18" s="219"/>
      <c r="BO18" s="259">
        <f t="shared" si="26"/>
        <v>145.91128750000001</v>
      </c>
      <c r="BP18" s="259">
        <f t="shared" si="27"/>
        <v>22.447890384615384</v>
      </c>
      <c r="BQ18" s="259">
        <f t="shared" si="28"/>
        <v>2.2447890384615383</v>
      </c>
      <c r="BR18" s="265">
        <f t="shared" si="29"/>
        <v>170.60396692307694</v>
      </c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</row>
    <row r="19" spans="1:94" s="243" customFormat="1" ht="20.25" customHeight="1">
      <c r="A19" s="243">
        <f t="shared" si="30"/>
        <v>17</v>
      </c>
      <c r="B19" s="269" t="s">
        <v>309</v>
      </c>
      <c r="C19" s="257"/>
      <c r="D19" s="257" t="s">
        <v>237</v>
      </c>
      <c r="E19" s="257" t="s">
        <v>228</v>
      </c>
      <c r="F19" s="258">
        <v>43521</v>
      </c>
      <c r="G19" s="259">
        <v>356.2</v>
      </c>
      <c r="H19" s="259">
        <v>80</v>
      </c>
      <c r="I19" s="259">
        <v>43.8</v>
      </c>
      <c r="J19" s="259"/>
      <c r="K19" s="259">
        <v>6.91</v>
      </c>
      <c r="L19" s="260" t="s">
        <v>52</v>
      </c>
      <c r="M19" s="257">
        <v>650</v>
      </c>
      <c r="N19" s="261">
        <v>45116</v>
      </c>
      <c r="O19" s="262" t="str">
        <f t="shared" si="1"/>
        <v>4 ans, 4 mois, 14 jours</v>
      </c>
      <c r="P19" s="259">
        <f t="shared" si="2"/>
        <v>13.7</v>
      </c>
      <c r="Q19" s="217" t="str">
        <f t="shared" si="31"/>
        <v>TRQ2-8.IV</v>
      </c>
      <c r="R19" s="217" t="str">
        <f t="shared" si="32"/>
        <v>TRAVAILLEUR QUALIFIE</v>
      </c>
      <c r="S19" s="258" t="str">
        <f t="shared" si="33"/>
        <v>AGENT DE MAITRISE</v>
      </c>
      <c r="T19" s="217" t="str">
        <f>+VLOOKUP($Q19,Categorie!$I:$P,3,0)</f>
        <v>TRAVAILLEUR QUALIFIE (TQ), Echellon 2, Classe 8</v>
      </c>
      <c r="U19" s="259">
        <f t="shared" si="37"/>
        <v>4</v>
      </c>
      <c r="V19" s="263">
        <v>15</v>
      </c>
      <c r="W19" s="263">
        <v>0</v>
      </c>
      <c r="X19" s="263">
        <v>47</v>
      </c>
      <c r="Y19" s="263">
        <v>0</v>
      </c>
      <c r="Z19" s="259">
        <f t="shared" si="40"/>
        <v>0</v>
      </c>
      <c r="AA19" s="259">
        <f t="shared" si="41"/>
        <v>0</v>
      </c>
      <c r="AB19" s="259">
        <f t="shared" si="34"/>
        <v>7.5</v>
      </c>
      <c r="AC19" s="264">
        <f t="shared" si="6"/>
        <v>15.166666666666666</v>
      </c>
      <c r="AD19" s="264"/>
      <c r="AE19" s="263">
        <f t="shared" si="38"/>
        <v>84.666666666666671</v>
      </c>
      <c r="AF19" s="263">
        <v>0</v>
      </c>
      <c r="AG19" s="259">
        <f t="shared" si="50"/>
        <v>205.5</v>
      </c>
      <c r="AH19" s="259">
        <f t="shared" si="42"/>
        <v>0</v>
      </c>
      <c r="AI19" s="259">
        <f t="shared" si="43"/>
        <v>643.9</v>
      </c>
      <c r="AJ19" s="259">
        <f t="shared" si="11"/>
        <v>0</v>
      </c>
      <c r="AK19" s="259">
        <f t="shared" si="44"/>
        <v>102.75</v>
      </c>
      <c r="AL19" s="259">
        <f t="shared" si="45"/>
        <v>0</v>
      </c>
      <c r="AM19" s="259">
        <f t="shared" si="46"/>
        <v>0</v>
      </c>
      <c r="AN19" s="259">
        <f t="shared" si="47"/>
        <v>207.7833333333333</v>
      </c>
      <c r="AO19" s="259">
        <f t="shared" si="48"/>
        <v>0</v>
      </c>
      <c r="AP19" s="247">
        <f t="shared" si="36"/>
        <v>6.91</v>
      </c>
      <c r="AQ19" s="265">
        <f t="shared" si="39"/>
        <v>1166.8433333333335</v>
      </c>
      <c r="AR19" s="259">
        <f t="shared" si="17"/>
        <v>142.63076923076923</v>
      </c>
      <c r="AS19" s="259">
        <f t="shared" si="18"/>
        <v>46.153846153846153</v>
      </c>
      <c r="AT19" s="266">
        <v>0</v>
      </c>
      <c r="AU19" s="267">
        <v>0</v>
      </c>
      <c r="AV19" s="259">
        <f t="shared" si="49"/>
        <v>0</v>
      </c>
      <c r="AW19" s="259"/>
      <c r="AX19" s="259"/>
      <c r="AY19" s="265">
        <f t="shared" si="20"/>
        <v>1355.6279487179488</v>
      </c>
      <c r="AZ19" s="259">
        <f t="shared" si="21"/>
        <v>58.342166666666678</v>
      </c>
      <c r="BA19" s="259">
        <f t="shared" si="22"/>
        <v>110.85011666666669</v>
      </c>
      <c r="BB19" s="430">
        <f t="shared" si="23"/>
        <v>1186.4356653846155</v>
      </c>
      <c r="BC19" s="259"/>
      <c r="BD19" s="259"/>
      <c r="BE19" s="259"/>
      <c r="BF19" s="259"/>
      <c r="BG19" s="259"/>
      <c r="BH19" s="259"/>
      <c r="BI19" s="259"/>
      <c r="BJ19" s="259"/>
      <c r="BK19" s="259"/>
      <c r="BL19" s="265">
        <f t="shared" si="24"/>
        <v>0</v>
      </c>
      <c r="BM19" s="268">
        <f t="shared" si="25"/>
        <v>1186.4356653846155</v>
      </c>
      <c r="BN19" s="219"/>
      <c r="BO19" s="259">
        <f t="shared" si="26"/>
        <v>176.23163333333335</v>
      </c>
      <c r="BP19" s="259">
        <f t="shared" si="27"/>
        <v>27.112558974358976</v>
      </c>
      <c r="BQ19" s="259">
        <f t="shared" si="28"/>
        <v>2.7112558974358976</v>
      </c>
      <c r="BR19" s="265">
        <f t="shared" si="29"/>
        <v>206.05544820512822</v>
      </c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</row>
    <row r="20" spans="1:94" s="243" customFormat="1" ht="20.25" customHeight="1">
      <c r="A20" s="243">
        <f t="shared" si="30"/>
        <v>18</v>
      </c>
      <c r="B20" s="269" t="s">
        <v>310</v>
      </c>
      <c r="C20" s="257"/>
      <c r="D20" s="257" t="s">
        <v>238</v>
      </c>
      <c r="E20" s="257" t="s">
        <v>239</v>
      </c>
      <c r="F20" s="258">
        <v>43525</v>
      </c>
      <c r="G20" s="259">
        <v>267.8</v>
      </c>
      <c r="H20" s="259">
        <v>90.25</v>
      </c>
      <c r="I20" s="259">
        <v>70.2</v>
      </c>
      <c r="J20" s="259"/>
      <c r="K20" s="259"/>
      <c r="L20" s="260" t="s">
        <v>49</v>
      </c>
      <c r="M20" s="257">
        <v>610</v>
      </c>
      <c r="N20" s="261">
        <v>45122</v>
      </c>
      <c r="O20" s="262" t="str">
        <f t="shared" si="1"/>
        <v>4 ans, 4 mois, 14 jours</v>
      </c>
      <c r="P20" s="259">
        <f t="shared" si="2"/>
        <v>10.3</v>
      </c>
      <c r="Q20" s="217" t="str">
        <f t="shared" si="31"/>
        <v>TSQ3-6.III</v>
      </c>
      <c r="R20" s="217" t="str">
        <f t="shared" si="32"/>
        <v>TRAVAILLEUR SEMI QUALIFIE</v>
      </c>
      <c r="S20" s="258" t="str">
        <f t="shared" si="33"/>
        <v>AGENT DE MAITRISE</v>
      </c>
      <c r="T20" s="217" t="str">
        <f>+VLOOKUP($Q20,Categorie!$I:$P,3,0)</f>
        <v>TRAVAILLEUR SEMI QUALIFIE (TSQ), Echellon 3, Classe 6</v>
      </c>
      <c r="U20" s="259">
        <f t="shared" si="37"/>
        <v>4</v>
      </c>
      <c r="V20" s="263">
        <v>20</v>
      </c>
      <c r="W20" s="263">
        <v>0</v>
      </c>
      <c r="X20" s="263">
        <v>3</v>
      </c>
      <c r="Y20" s="263">
        <v>0</v>
      </c>
      <c r="Z20" s="259">
        <v>8</v>
      </c>
      <c r="AA20" s="259">
        <f>+IF(L20="AVEC PREAVIS",(Z20*18)/(26*12),0)</f>
        <v>0.46153846153846156</v>
      </c>
      <c r="AB20" s="259">
        <f t="shared" si="34"/>
        <v>7.5</v>
      </c>
      <c r="AC20" s="264">
        <f t="shared" si="6"/>
        <v>15.166666666666666</v>
      </c>
      <c r="AD20" s="264"/>
      <c r="AE20" s="263">
        <f t="shared" si="38"/>
        <v>54.128205128205124</v>
      </c>
      <c r="AF20" s="263">
        <v>0</v>
      </c>
      <c r="AG20" s="259">
        <f t="shared" si="50"/>
        <v>206</v>
      </c>
      <c r="AH20" s="259">
        <f t="shared" si="42"/>
        <v>0</v>
      </c>
      <c r="AI20" s="259">
        <f t="shared" si="43"/>
        <v>30.900000000000002</v>
      </c>
      <c r="AJ20" s="259">
        <f t="shared" si="11"/>
        <v>0</v>
      </c>
      <c r="AK20" s="259">
        <f t="shared" si="44"/>
        <v>82.003846153846155</v>
      </c>
      <c r="AL20" s="259">
        <f t="shared" si="45"/>
        <v>0</v>
      </c>
      <c r="AM20" s="259">
        <f t="shared" si="46"/>
        <v>82.4</v>
      </c>
      <c r="AN20" s="259">
        <f t="shared" si="47"/>
        <v>156.21666666666667</v>
      </c>
      <c r="AO20" s="259">
        <f t="shared" si="48"/>
        <v>0</v>
      </c>
      <c r="AP20" s="247">
        <f t="shared" si="36"/>
        <v>0</v>
      </c>
      <c r="AQ20" s="265">
        <f t="shared" si="39"/>
        <v>557.52051282051286</v>
      </c>
      <c r="AR20" s="259">
        <f t="shared" si="17"/>
        <v>146.14615384615385</v>
      </c>
      <c r="AS20" s="259">
        <f t="shared" si="18"/>
        <v>69.42307692307692</v>
      </c>
      <c r="AT20" s="266">
        <v>0</v>
      </c>
      <c r="AU20" s="267">
        <v>0</v>
      </c>
      <c r="AV20" s="259">
        <f t="shared" si="49"/>
        <v>0</v>
      </c>
      <c r="AW20" s="259"/>
      <c r="AX20" s="259"/>
      <c r="AY20" s="265">
        <f t="shared" si="20"/>
        <v>773.08974358974365</v>
      </c>
      <c r="AZ20" s="259">
        <f t="shared" si="21"/>
        <v>27.876025641025645</v>
      </c>
      <c r="BA20" s="259">
        <f t="shared" si="22"/>
        <v>52.964448717948727</v>
      </c>
      <c r="BB20" s="430">
        <f t="shared" si="23"/>
        <v>692.2492692307693</v>
      </c>
      <c r="BC20" s="259"/>
      <c r="BD20" s="259"/>
      <c r="BE20" s="259"/>
      <c r="BF20" s="259"/>
      <c r="BG20" s="259"/>
      <c r="BH20" s="259"/>
      <c r="BI20" s="259"/>
      <c r="BJ20" s="259"/>
      <c r="BK20" s="259"/>
      <c r="BL20" s="265">
        <f t="shared" si="24"/>
        <v>0</v>
      </c>
      <c r="BM20" s="268">
        <f t="shared" si="25"/>
        <v>692.2492692307693</v>
      </c>
      <c r="BN20" s="219"/>
      <c r="BO20" s="259">
        <f t="shared" si="26"/>
        <v>100.50166666666668</v>
      </c>
      <c r="BP20" s="259">
        <f t="shared" si="27"/>
        <v>15.461794871794874</v>
      </c>
      <c r="BQ20" s="259">
        <f t="shared" si="28"/>
        <v>1.5461794871794874</v>
      </c>
      <c r="BR20" s="265">
        <f t="shared" si="29"/>
        <v>117.50964102564105</v>
      </c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</row>
    <row r="21" spans="1:94" s="243" customFormat="1" ht="20.25" customHeight="1">
      <c r="A21" s="243">
        <f t="shared" si="30"/>
        <v>19</v>
      </c>
      <c r="B21" s="269" t="s">
        <v>311</v>
      </c>
      <c r="C21" s="257"/>
      <c r="D21" s="257" t="s">
        <v>240</v>
      </c>
      <c r="E21" s="257" t="s">
        <v>241</v>
      </c>
      <c r="F21" s="258">
        <v>41153</v>
      </c>
      <c r="G21" s="259">
        <v>548.6</v>
      </c>
      <c r="H21" s="259">
        <v>110</v>
      </c>
      <c r="I21" s="259">
        <v>62.4</v>
      </c>
      <c r="J21" s="259"/>
      <c r="K21" s="259">
        <v>5.31</v>
      </c>
      <c r="L21" s="260" t="s">
        <v>52</v>
      </c>
      <c r="M21" s="257">
        <v>640</v>
      </c>
      <c r="N21" s="261">
        <v>45136</v>
      </c>
      <c r="O21" s="262" t="str">
        <f t="shared" si="1"/>
        <v>10 ans, 10 mois, 28 jours</v>
      </c>
      <c r="P21" s="259">
        <f t="shared" si="2"/>
        <v>21.1</v>
      </c>
      <c r="Q21" s="217" t="str">
        <f t="shared" si="31"/>
        <v>MAT2-11.M</v>
      </c>
      <c r="R21" s="217" t="str">
        <f t="shared" si="32"/>
        <v>MAITRISE</v>
      </c>
      <c r="S21" s="258" t="str">
        <f t="shared" si="33"/>
        <v>CADRE DE COLLABORATION</v>
      </c>
      <c r="T21" s="217" t="str">
        <f>+VLOOKUP($Q21,Categorie!$I:$P,3,0)</f>
        <v>MAITRISES, Echellon 2, Classe 11</v>
      </c>
      <c r="U21" s="259">
        <f t="shared" si="37"/>
        <v>10</v>
      </c>
      <c r="V21" s="263">
        <f>8+17</f>
        <v>25</v>
      </c>
      <c r="W21" s="263">
        <v>0</v>
      </c>
      <c r="X21" s="263">
        <v>4</v>
      </c>
      <c r="Y21" s="263">
        <v>0</v>
      </c>
      <c r="Z21" s="259">
        <f t="shared" si="40"/>
        <v>0</v>
      </c>
      <c r="AA21" s="259">
        <f t="shared" si="41"/>
        <v>0</v>
      </c>
      <c r="AB21" s="259">
        <f t="shared" si="34"/>
        <v>16.5</v>
      </c>
      <c r="AC21" s="264">
        <f t="shared" si="6"/>
        <v>15.166666666666666</v>
      </c>
      <c r="AD21" s="264"/>
      <c r="AE21" s="263">
        <f t="shared" si="38"/>
        <v>60.666666666666664</v>
      </c>
      <c r="AF21" s="263">
        <v>0</v>
      </c>
      <c r="AG21" s="259">
        <f t="shared" si="50"/>
        <v>527.5</v>
      </c>
      <c r="AH21" s="259">
        <f t="shared" si="42"/>
        <v>0</v>
      </c>
      <c r="AI21" s="259">
        <f t="shared" si="43"/>
        <v>84.4</v>
      </c>
      <c r="AJ21" s="259">
        <f t="shared" si="11"/>
        <v>0</v>
      </c>
      <c r="AK21" s="259">
        <f t="shared" si="44"/>
        <v>348.15000000000003</v>
      </c>
      <c r="AL21" s="259">
        <f t="shared" si="45"/>
        <v>0</v>
      </c>
      <c r="AM21" s="259">
        <f t="shared" si="46"/>
        <v>0</v>
      </c>
      <c r="AN21" s="259">
        <f t="shared" si="47"/>
        <v>320.01666666666665</v>
      </c>
      <c r="AO21" s="259">
        <f t="shared" si="48"/>
        <v>0</v>
      </c>
      <c r="AP21" s="247">
        <f t="shared" si="36"/>
        <v>5.31</v>
      </c>
      <c r="AQ21" s="265">
        <f t="shared" si="39"/>
        <v>1285.3766666666666</v>
      </c>
      <c r="AR21" s="259">
        <f t="shared" si="17"/>
        <v>145.6</v>
      </c>
      <c r="AS21" s="259">
        <f t="shared" si="18"/>
        <v>105.76923076923077</v>
      </c>
      <c r="AT21" s="266">
        <v>0</v>
      </c>
      <c r="AU21" s="267">
        <v>0</v>
      </c>
      <c r="AV21" s="259">
        <f t="shared" si="49"/>
        <v>0</v>
      </c>
      <c r="AW21" s="259"/>
      <c r="AX21" s="259"/>
      <c r="AY21" s="265">
        <f t="shared" si="20"/>
        <v>1536.7458974358972</v>
      </c>
      <c r="AZ21" s="259">
        <f t="shared" si="21"/>
        <v>64.268833333333333</v>
      </c>
      <c r="BA21" s="259">
        <f t="shared" si="22"/>
        <v>122.11078333333333</v>
      </c>
      <c r="BB21" s="430">
        <f t="shared" si="23"/>
        <v>1350.3662807692306</v>
      </c>
      <c r="BC21" s="259"/>
      <c r="BD21" s="259"/>
      <c r="BE21" s="259"/>
      <c r="BF21" s="259"/>
      <c r="BG21" s="259"/>
      <c r="BH21" s="259"/>
      <c r="BI21" s="259"/>
      <c r="BJ21" s="259"/>
      <c r="BK21" s="259"/>
      <c r="BL21" s="265">
        <f t="shared" si="24"/>
        <v>0</v>
      </c>
      <c r="BM21" s="268">
        <f t="shared" si="25"/>
        <v>1350.3662807692306</v>
      </c>
      <c r="BN21" s="219"/>
      <c r="BO21" s="259">
        <f t="shared" si="26"/>
        <v>199.77696666666665</v>
      </c>
      <c r="BP21" s="259">
        <f t="shared" si="27"/>
        <v>30.734917948717943</v>
      </c>
      <c r="BQ21" s="259">
        <f t="shared" si="28"/>
        <v>3.0734917948717944</v>
      </c>
      <c r="BR21" s="265">
        <f t="shared" si="29"/>
        <v>233.58537641025637</v>
      </c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</row>
    <row r="22" spans="1:94" s="243" customFormat="1" ht="20.25" customHeight="1">
      <c r="A22" s="243">
        <f t="shared" si="30"/>
        <v>20</v>
      </c>
      <c r="B22" s="269" t="s">
        <v>312</v>
      </c>
      <c r="C22" s="257"/>
      <c r="D22" s="257" t="s">
        <v>165</v>
      </c>
      <c r="E22" s="257" t="s">
        <v>225</v>
      </c>
      <c r="F22" s="258">
        <v>43559</v>
      </c>
      <c r="G22" s="259">
        <v>130</v>
      </c>
      <c r="H22" s="259">
        <v>55</v>
      </c>
      <c r="I22" s="259">
        <v>30</v>
      </c>
      <c r="J22" s="259"/>
      <c r="K22" s="259"/>
      <c r="L22" s="260" t="s">
        <v>52</v>
      </c>
      <c r="M22" s="257">
        <v>160</v>
      </c>
      <c r="N22" s="261">
        <v>45144</v>
      </c>
      <c r="O22" s="262" t="str">
        <f t="shared" si="1"/>
        <v>4 ans, 4 mois, 2 jours</v>
      </c>
      <c r="P22" s="259">
        <f t="shared" si="2"/>
        <v>5</v>
      </c>
      <c r="Q22" s="217" t="str">
        <f t="shared" si="31"/>
        <v>MAO1-1.I</v>
      </c>
      <c r="R22" s="217" t="str">
        <f t="shared" si="32"/>
        <v>MANŒUVRE ORDINAIRE</v>
      </c>
      <c r="S22" s="258" t="str">
        <f t="shared" si="33"/>
        <v>MANŒUVRE</v>
      </c>
      <c r="T22" s="217" t="str">
        <f>+VLOOKUP($Q22,Categorie!$I:$P,3,0)</f>
        <v>MANŒUVRE ORDINAIRE (MO), Echellon 1, Classe 1</v>
      </c>
      <c r="U22" s="259">
        <f t="shared" si="37"/>
        <v>4</v>
      </c>
      <c r="V22" s="263">
        <v>13</v>
      </c>
      <c r="W22" s="263">
        <v>0</v>
      </c>
      <c r="X22" s="263">
        <v>6</v>
      </c>
      <c r="Y22" s="263">
        <v>1</v>
      </c>
      <c r="Z22" s="259">
        <f t="shared" si="40"/>
        <v>0</v>
      </c>
      <c r="AA22" s="259">
        <f t="shared" si="41"/>
        <v>0</v>
      </c>
      <c r="AB22" s="259">
        <f t="shared" si="34"/>
        <v>7.5</v>
      </c>
      <c r="AC22" s="264">
        <f t="shared" si="6"/>
        <v>17.333333333333332</v>
      </c>
      <c r="AD22" s="264"/>
      <c r="AE22" s="263">
        <f t="shared" si="38"/>
        <v>44.833333333333329</v>
      </c>
      <c r="AF22" s="263">
        <v>0</v>
      </c>
      <c r="AG22" s="259">
        <f t="shared" si="50"/>
        <v>65</v>
      </c>
      <c r="AH22" s="259">
        <f t="shared" si="42"/>
        <v>0</v>
      </c>
      <c r="AI22" s="259">
        <f t="shared" si="43"/>
        <v>30</v>
      </c>
      <c r="AJ22" s="259">
        <f t="shared" si="11"/>
        <v>5</v>
      </c>
      <c r="AK22" s="259">
        <f t="shared" si="44"/>
        <v>37.5</v>
      </c>
      <c r="AL22" s="259">
        <f t="shared" si="45"/>
        <v>0</v>
      </c>
      <c r="AM22" s="259">
        <f t="shared" si="46"/>
        <v>0</v>
      </c>
      <c r="AN22" s="259">
        <f t="shared" si="47"/>
        <v>86.666666666666657</v>
      </c>
      <c r="AO22" s="259">
        <f t="shared" si="48"/>
        <v>0</v>
      </c>
      <c r="AP22" s="247">
        <f t="shared" si="36"/>
        <v>0</v>
      </c>
      <c r="AQ22" s="265">
        <f t="shared" si="39"/>
        <v>224.16666666666666</v>
      </c>
      <c r="AR22" s="259">
        <f t="shared" si="17"/>
        <v>51.730769230769219</v>
      </c>
      <c r="AS22" s="259">
        <f t="shared" si="18"/>
        <v>27.5</v>
      </c>
      <c r="AT22" s="266">
        <v>0</v>
      </c>
      <c r="AU22" s="267">
        <v>0</v>
      </c>
      <c r="AV22" s="259">
        <f t="shared" si="49"/>
        <v>0</v>
      </c>
      <c r="AW22" s="259"/>
      <c r="AX22" s="259"/>
      <c r="AY22" s="265">
        <f t="shared" si="20"/>
        <v>303.39743589743586</v>
      </c>
      <c r="AZ22" s="259">
        <f t="shared" si="21"/>
        <v>11.208333333333334</v>
      </c>
      <c r="BA22" s="259">
        <f t="shared" si="22"/>
        <v>21.295833333333334</v>
      </c>
      <c r="BB22" s="430">
        <f t="shared" si="23"/>
        <v>270.89326923076919</v>
      </c>
      <c r="BC22" s="259"/>
      <c r="BD22" s="259"/>
      <c r="BE22" s="259"/>
      <c r="BF22" s="259"/>
      <c r="BG22" s="259"/>
      <c r="BH22" s="259"/>
      <c r="BI22" s="259"/>
      <c r="BJ22" s="259"/>
      <c r="BK22" s="259"/>
      <c r="BL22" s="265">
        <f t="shared" si="24"/>
        <v>0</v>
      </c>
      <c r="BM22" s="268">
        <f t="shared" si="25"/>
        <v>270.89326923076919</v>
      </c>
      <c r="BN22" s="219"/>
      <c r="BO22" s="259">
        <f t="shared" si="26"/>
        <v>39.441666666666663</v>
      </c>
      <c r="BP22" s="259">
        <f t="shared" si="27"/>
        <v>6.0679487179487168</v>
      </c>
      <c r="BQ22" s="259">
        <f t="shared" si="28"/>
        <v>0.60679487179487168</v>
      </c>
      <c r="BR22" s="265">
        <f t="shared" si="29"/>
        <v>46.116410256410248</v>
      </c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</row>
    <row r="23" spans="1:94" s="243" customFormat="1" ht="20.25" customHeight="1">
      <c r="A23" s="243">
        <f t="shared" si="30"/>
        <v>21</v>
      </c>
      <c r="B23" s="269" t="s">
        <v>313</v>
      </c>
      <c r="C23" s="257"/>
      <c r="D23" s="257" t="s">
        <v>240</v>
      </c>
      <c r="E23" s="257" t="s">
        <v>242</v>
      </c>
      <c r="F23" s="258">
        <v>44189</v>
      </c>
      <c r="G23" s="259">
        <v>200.2</v>
      </c>
      <c r="H23" s="259">
        <v>73</v>
      </c>
      <c r="I23" s="259">
        <v>46.8</v>
      </c>
      <c r="J23" s="259"/>
      <c r="K23" s="259">
        <v>1.85</v>
      </c>
      <c r="L23" s="260" t="s">
        <v>52</v>
      </c>
      <c r="M23" s="257">
        <v>640</v>
      </c>
      <c r="N23" s="261">
        <v>45150</v>
      </c>
      <c r="O23" s="262" t="str">
        <f t="shared" si="1"/>
        <v>2 ans, 7 mois, 19 jours</v>
      </c>
      <c r="P23" s="259">
        <f t="shared" si="2"/>
        <v>7.6999999999999993</v>
      </c>
      <c r="Q23" s="217" t="str">
        <f t="shared" si="31"/>
        <v>TSQ1-4.III</v>
      </c>
      <c r="R23" s="217" t="str">
        <f t="shared" si="32"/>
        <v>TRAVAILLEUR SEMI QUALIFIE</v>
      </c>
      <c r="S23" s="258" t="str">
        <f t="shared" si="33"/>
        <v>HAUTEMENT QUALIFIE</v>
      </c>
      <c r="T23" s="217" t="str">
        <f>+VLOOKUP($Q23,Categorie!$I:$P,3,0)</f>
        <v>TRAVAILLEUR SEMI QUALIFIE (TSQ), Echellon 1, Classe 4</v>
      </c>
      <c r="U23" s="259">
        <f t="shared" si="37"/>
        <v>2</v>
      </c>
      <c r="V23" s="263">
        <v>9</v>
      </c>
      <c r="W23" s="263">
        <v>0</v>
      </c>
      <c r="X23" s="263">
        <v>12</v>
      </c>
      <c r="Y23" s="263">
        <v>1</v>
      </c>
      <c r="Z23" s="259">
        <f t="shared" si="40"/>
        <v>0</v>
      </c>
      <c r="AA23" s="259">
        <f t="shared" si="41"/>
        <v>0</v>
      </c>
      <c r="AB23" s="259">
        <v>0</v>
      </c>
      <c r="AC23" s="264">
        <f t="shared" si="6"/>
        <v>17.333333333333332</v>
      </c>
      <c r="AD23" s="264"/>
      <c r="AE23" s="263">
        <f t="shared" si="38"/>
        <v>39.333333333333329</v>
      </c>
      <c r="AF23" s="263">
        <v>0</v>
      </c>
      <c r="AG23" s="259">
        <f t="shared" si="50"/>
        <v>69.3</v>
      </c>
      <c r="AH23" s="259">
        <f t="shared" si="42"/>
        <v>0</v>
      </c>
      <c r="AI23" s="259">
        <f t="shared" si="43"/>
        <v>92.399999999999991</v>
      </c>
      <c r="AJ23" s="259">
        <f t="shared" si="11"/>
        <v>7.6999999999999993</v>
      </c>
      <c r="AK23" s="259">
        <f t="shared" si="44"/>
        <v>0</v>
      </c>
      <c r="AL23" s="259">
        <f t="shared" si="45"/>
        <v>0</v>
      </c>
      <c r="AM23" s="259">
        <f t="shared" si="46"/>
        <v>0</v>
      </c>
      <c r="AN23" s="259">
        <f t="shared" si="47"/>
        <v>133.46666666666664</v>
      </c>
      <c r="AO23" s="259">
        <f>+J23</f>
        <v>0</v>
      </c>
      <c r="AP23" s="247">
        <f t="shared" si="36"/>
        <v>1.85</v>
      </c>
      <c r="AQ23" s="265">
        <f>SUM(AG23:AP23)</f>
        <v>304.71666666666664</v>
      </c>
      <c r="AR23" s="259">
        <f t="shared" si="17"/>
        <v>70.799999999999983</v>
      </c>
      <c r="AS23" s="259">
        <f t="shared" si="18"/>
        <v>25.269230769230766</v>
      </c>
      <c r="AT23" s="266">
        <v>0</v>
      </c>
      <c r="AU23" s="267">
        <v>0</v>
      </c>
      <c r="AV23" s="259">
        <f t="shared" si="49"/>
        <v>0</v>
      </c>
      <c r="AW23" s="259"/>
      <c r="AX23" s="259"/>
      <c r="AY23" s="265">
        <f t="shared" si="20"/>
        <v>400.78589743589743</v>
      </c>
      <c r="AZ23" s="259">
        <f t="shared" si="21"/>
        <v>15.235833333333332</v>
      </c>
      <c r="BA23" s="259">
        <f t="shared" si="22"/>
        <v>28.948083333333329</v>
      </c>
      <c r="BB23" s="430">
        <f t="shared" si="23"/>
        <v>356.60198076923075</v>
      </c>
      <c r="BC23" s="259"/>
      <c r="BD23" s="259"/>
      <c r="BE23" s="259"/>
      <c r="BF23" s="259"/>
      <c r="BG23" s="259"/>
      <c r="BH23" s="259"/>
      <c r="BI23" s="259"/>
      <c r="BJ23" s="259"/>
      <c r="BK23" s="259"/>
      <c r="BL23" s="265">
        <f t="shared" si="24"/>
        <v>0</v>
      </c>
      <c r="BM23" s="268">
        <f t="shared" si="25"/>
        <v>356.60198076923075</v>
      </c>
      <c r="BN23" s="219"/>
      <c r="BO23" s="259">
        <f t="shared" si="26"/>
        <v>52.102166666666669</v>
      </c>
      <c r="BP23" s="259">
        <f t="shared" si="27"/>
        <v>8.0157179487179491</v>
      </c>
      <c r="BQ23" s="259">
        <f t="shared" si="28"/>
        <v>0.80157179487179486</v>
      </c>
      <c r="BR23" s="265">
        <f t="shared" si="29"/>
        <v>60.919456410256416</v>
      </c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</row>
    <row r="24" spans="1:94" s="243" customFormat="1" ht="20.25" customHeight="1">
      <c r="A24" s="243">
        <f t="shared" si="30"/>
        <v>22</v>
      </c>
      <c r="B24" s="269" t="s">
        <v>314</v>
      </c>
      <c r="C24" s="257"/>
      <c r="D24" s="257" t="s">
        <v>243</v>
      </c>
      <c r="E24" s="257" t="s">
        <v>244</v>
      </c>
      <c r="F24" s="258">
        <v>42262</v>
      </c>
      <c r="G24" s="259">
        <v>172.9</v>
      </c>
      <c r="H24" s="259">
        <v>59</v>
      </c>
      <c r="I24" s="259">
        <v>25.45</v>
      </c>
      <c r="J24" s="259">
        <v>20</v>
      </c>
      <c r="K24" s="259">
        <v>3.41</v>
      </c>
      <c r="L24" s="260" t="s">
        <v>52</v>
      </c>
      <c r="M24" s="257">
        <v>972</v>
      </c>
      <c r="N24" s="261">
        <v>45149</v>
      </c>
      <c r="O24" s="262" t="str">
        <f t="shared" si="1"/>
        <v>7 ans, 10 mois, 27 jours</v>
      </c>
      <c r="P24" s="259">
        <f t="shared" si="2"/>
        <v>6.65</v>
      </c>
      <c r="Q24" s="217" t="str">
        <f t="shared" si="31"/>
        <v>TSP0-3.II</v>
      </c>
      <c r="R24" s="217" t="str">
        <f t="shared" si="32"/>
        <v>TRAVAILLEUR SPECIALISE</v>
      </c>
      <c r="S24" s="258" t="str">
        <f t="shared" si="33"/>
        <v>SEMI-QUALIFIE</v>
      </c>
      <c r="T24" s="217" t="str">
        <f>+VLOOKUP($Q24,Categorie!$I:$P,3,0)</f>
        <v>TRAVAILLEUR SPECIALISE (TS), Echellon 0 , Classe 3</v>
      </c>
      <c r="U24" s="259">
        <f t="shared" si="37"/>
        <v>7</v>
      </c>
      <c r="V24" s="263">
        <v>7</v>
      </c>
      <c r="W24" s="263">
        <v>0</v>
      </c>
      <c r="X24" s="263">
        <v>0</v>
      </c>
      <c r="Y24" s="263">
        <v>1</v>
      </c>
      <c r="Z24" s="259">
        <f t="shared" si="40"/>
        <v>0</v>
      </c>
      <c r="AA24" s="259">
        <f t="shared" si="41"/>
        <v>0</v>
      </c>
      <c r="AB24" s="259">
        <f t="shared" si="34"/>
        <v>16.5</v>
      </c>
      <c r="AC24" s="264">
        <f t="shared" si="6"/>
        <v>17.333333333333332</v>
      </c>
      <c r="AD24" s="264"/>
      <c r="AE24" s="263">
        <f t="shared" si="38"/>
        <v>41.833333333333329</v>
      </c>
      <c r="AF24" s="263">
        <v>10</v>
      </c>
      <c r="AG24" s="259">
        <f t="shared" si="50"/>
        <v>46.550000000000004</v>
      </c>
      <c r="AH24" s="259">
        <f t="shared" si="42"/>
        <v>0</v>
      </c>
      <c r="AI24" s="259">
        <f t="shared" si="43"/>
        <v>0</v>
      </c>
      <c r="AJ24" s="259">
        <f t="shared" si="11"/>
        <v>6.65</v>
      </c>
      <c r="AK24" s="259">
        <f t="shared" si="44"/>
        <v>109.72500000000001</v>
      </c>
      <c r="AL24" s="259">
        <f t="shared" si="45"/>
        <v>44.333333333333336</v>
      </c>
      <c r="AM24" s="259">
        <f t="shared" si="46"/>
        <v>0</v>
      </c>
      <c r="AN24" s="259">
        <f t="shared" si="47"/>
        <v>115.26666666666667</v>
      </c>
      <c r="AO24" s="259">
        <v>20</v>
      </c>
      <c r="AP24" s="247">
        <f t="shared" si="36"/>
        <v>3.41</v>
      </c>
      <c r="AQ24" s="265">
        <f>SUM(AG24:AP24)-AO24</f>
        <v>325.93500000000006</v>
      </c>
      <c r="AR24" s="259">
        <f t="shared" si="17"/>
        <v>40.948397435897427</v>
      </c>
      <c r="AS24" s="259">
        <f t="shared" si="18"/>
        <v>15.884615384615383</v>
      </c>
      <c r="AT24" s="266">
        <v>0</v>
      </c>
      <c r="AU24" s="267">
        <v>0</v>
      </c>
      <c r="AV24" s="259">
        <f t="shared" si="49"/>
        <v>0</v>
      </c>
      <c r="AW24" s="259"/>
      <c r="AX24" s="259"/>
      <c r="AY24" s="265">
        <f>+AQ24+AR24+AS24+AX24+AV24</f>
        <v>382.76801282051287</v>
      </c>
      <c r="AZ24" s="259">
        <f t="shared" si="21"/>
        <v>16.296750000000003</v>
      </c>
      <c r="BA24" s="259">
        <f t="shared" si="22"/>
        <v>30.963825000000011</v>
      </c>
      <c r="BB24" s="430">
        <f>+AY24-AZ24-BA24+AO24</f>
        <v>355.50743782051285</v>
      </c>
      <c r="BC24" s="259"/>
      <c r="BD24" s="259"/>
      <c r="BE24" s="259"/>
      <c r="BF24" s="259"/>
      <c r="BG24" s="259"/>
      <c r="BH24" s="259"/>
      <c r="BI24" s="259"/>
      <c r="BJ24" s="259"/>
      <c r="BK24" s="259"/>
      <c r="BL24" s="265">
        <f t="shared" si="24"/>
        <v>0</v>
      </c>
      <c r="BM24" s="268">
        <f t="shared" si="25"/>
        <v>355.50743782051285</v>
      </c>
      <c r="BN24" s="219"/>
      <c r="BO24" s="259">
        <f t="shared" si="26"/>
        <v>49.759841666666674</v>
      </c>
      <c r="BP24" s="259">
        <f t="shared" si="27"/>
        <v>7.6553602564102574</v>
      </c>
      <c r="BQ24" s="259">
        <f t="shared" si="28"/>
        <v>0.76553602564102574</v>
      </c>
      <c r="BR24" s="265">
        <f t="shared" si="29"/>
        <v>58.180737948717955</v>
      </c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</row>
    <row r="25" spans="1:94" s="243" customFormat="1" ht="20.25" customHeight="1">
      <c r="A25" s="243">
        <f t="shared" si="30"/>
        <v>23</v>
      </c>
      <c r="B25" s="269" t="s">
        <v>315</v>
      </c>
      <c r="C25" s="257"/>
      <c r="D25" s="257" t="s">
        <v>245</v>
      </c>
      <c r="E25" s="257" t="s">
        <v>246</v>
      </c>
      <c r="F25" s="258">
        <v>43252</v>
      </c>
      <c r="G25" s="259">
        <v>231.4</v>
      </c>
      <c r="H25" s="259">
        <v>70</v>
      </c>
      <c r="I25" s="259">
        <v>38.6</v>
      </c>
      <c r="J25" s="259"/>
      <c r="K25" s="259">
        <v>3.98</v>
      </c>
      <c r="L25" s="260" t="s">
        <v>52</v>
      </c>
      <c r="M25" s="257">
        <v>140</v>
      </c>
      <c r="N25" s="261">
        <v>45149</v>
      </c>
      <c r="O25" s="262" t="str">
        <f t="shared" si="1"/>
        <v>5 ans, 2 mois, 10 jours</v>
      </c>
      <c r="P25" s="259">
        <f t="shared" si="2"/>
        <v>8.9</v>
      </c>
      <c r="Q25" s="217" t="str">
        <f t="shared" si="31"/>
        <v>TSQ2-5.III</v>
      </c>
      <c r="R25" s="217" t="str">
        <f t="shared" si="32"/>
        <v>TRAVAILLEUR SEMI QUALIFIE</v>
      </c>
      <c r="S25" s="258" t="str">
        <f t="shared" si="33"/>
        <v>AGENT DE MAITRISE</v>
      </c>
      <c r="T25" s="217" t="str">
        <f>+VLOOKUP($Q25,Categorie!$I:$P,3,0)</f>
        <v>TRAVAILLEUR SEMI QUALIFIE (TSQ), Echellon 2, Classe 5</v>
      </c>
      <c r="U25" s="259">
        <f t="shared" si="37"/>
        <v>5</v>
      </c>
      <c r="V25" s="263">
        <v>2</v>
      </c>
      <c r="W25" s="263">
        <v>0</v>
      </c>
      <c r="X25" s="263">
        <v>-5.5</v>
      </c>
      <c r="Y25" s="263">
        <v>1</v>
      </c>
      <c r="Z25" s="259">
        <f t="shared" si="40"/>
        <v>0</v>
      </c>
      <c r="AA25" s="259">
        <f t="shared" si="41"/>
        <v>0</v>
      </c>
      <c r="AB25" s="259">
        <f t="shared" si="34"/>
        <v>4.5</v>
      </c>
      <c r="AC25" s="264">
        <f>IF(N25=0,0,+IF(DATEDIF(F25,N25,"md")=0,(+DATEDIF("01/01/"&amp;YEAR(N25),N25,"m"))*26/12-(AD25/26),(+DATEDIF("01/01/"&amp;YEAR(N25),N25,"m")+1)*26/12-(AD25/26)))</f>
        <v>17.333333333333332</v>
      </c>
      <c r="AD25" s="264"/>
      <c r="AE25" s="263">
        <f t="shared" si="38"/>
        <v>19.333333333333332</v>
      </c>
      <c r="AF25" s="263">
        <v>1</v>
      </c>
      <c r="AG25" s="259">
        <f t="shared" si="50"/>
        <v>17.8</v>
      </c>
      <c r="AH25" s="259">
        <f t="shared" si="42"/>
        <v>0</v>
      </c>
      <c r="AI25" s="259">
        <f t="shared" si="43"/>
        <v>-48.95</v>
      </c>
      <c r="AJ25" s="259">
        <f t="shared" si="11"/>
        <v>8.9</v>
      </c>
      <c r="AK25" s="259">
        <f t="shared" si="44"/>
        <v>40.050000000000004</v>
      </c>
      <c r="AL25" s="259">
        <f t="shared" si="45"/>
        <v>5.9333333333333336</v>
      </c>
      <c r="AM25" s="259">
        <f t="shared" si="46"/>
        <v>0</v>
      </c>
      <c r="AN25" s="259">
        <f t="shared" si="47"/>
        <v>154.26666666666665</v>
      </c>
      <c r="AO25" s="259">
        <f t="shared" si="48"/>
        <v>0</v>
      </c>
      <c r="AP25" s="247">
        <f t="shared" si="36"/>
        <v>3.98</v>
      </c>
      <c r="AQ25" s="265">
        <f>SUM(AG25:AP25)</f>
        <v>181.98</v>
      </c>
      <c r="AR25" s="259">
        <f>+I25/26*(AE25+AU25)</f>
        <v>50.97179487179487</v>
      </c>
      <c r="AS25" s="259">
        <f t="shared" si="18"/>
        <v>5.384615384615385</v>
      </c>
      <c r="AT25" s="266">
        <v>0</v>
      </c>
      <c r="AU25" s="267">
        <v>15</v>
      </c>
      <c r="AV25" s="259">
        <f t="shared" si="49"/>
        <v>0</v>
      </c>
      <c r="AW25" s="259"/>
      <c r="AX25" s="259"/>
      <c r="AY25" s="265">
        <f>+AQ25+AR25+AS25+AX25+AV25</f>
        <v>238.33641025641023</v>
      </c>
      <c r="AZ25" s="259">
        <f t="shared" si="21"/>
        <v>9.0990000000000002</v>
      </c>
      <c r="BA25" s="259">
        <f t="shared" si="22"/>
        <v>17.2881</v>
      </c>
      <c r="BB25" s="430">
        <f t="shared" si="23"/>
        <v>211.94931025641023</v>
      </c>
      <c r="BC25" s="259"/>
      <c r="BD25" s="259"/>
      <c r="BE25" s="259"/>
      <c r="BF25" s="259"/>
      <c r="BG25" s="259"/>
      <c r="BH25" s="259"/>
      <c r="BI25" s="259"/>
      <c r="BJ25" s="259"/>
      <c r="BK25" s="259"/>
      <c r="BL25" s="265">
        <f t="shared" si="24"/>
        <v>0</v>
      </c>
      <c r="BM25" s="268">
        <f t="shared" si="25"/>
        <v>211.94931025641023</v>
      </c>
      <c r="BN25" s="219"/>
      <c r="BO25" s="259">
        <f t="shared" si="26"/>
        <v>30.98373333333333</v>
      </c>
      <c r="BP25" s="259">
        <f t="shared" si="27"/>
        <v>4.7667282051282047</v>
      </c>
      <c r="BQ25" s="259">
        <f t="shared" si="28"/>
        <v>0.47667282051282045</v>
      </c>
      <c r="BR25" s="265">
        <f t="shared" si="29"/>
        <v>36.227134358974354</v>
      </c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</row>
    <row r="26" spans="1:94" s="243" customFormat="1" ht="20.25" customHeight="1">
      <c r="A26" s="243">
        <f t="shared" si="30"/>
        <v>24</v>
      </c>
      <c r="B26" s="269" t="s">
        <v>316</v>
      </c>
      <c r="C26" s="257"/>
      <c r="D26" s="257" t="s">
        <v>163</v>
      </c>
      <c r="E26" s="257" t="s">
        <v>247</v>
      </c>
      <c r="F26" s="258">
        <v>45000</v>
      </c>
      <c r="G26" s="259">
        <v>130</v>
      </c>
      <c r="H26" s="259">
        <v>61</v>
      </c>
      <c r="I26" s="259">
        <v>39</v>
      </c>
      <c r="J26" s="259">
        <v>30</v>
      </c>
      <c r="K26" s="259"/>
      <c r="L26" s="260" t="s">
        <v>52</v>
      </c>
      <c r="M26" s="257">
        <v>120</v>
      </c>
      <c r="N26" s="261">
        <v>45161</v>
      </c>
      <c r="O26" s="262" t="str">
        <f t="shared" si="1"/>
        <v>0 ans, 5 mois, 8 jours</v>
      </c>
      <c r="P26" s="259">
        <f t="shared" si="2"/>
        <v>5</v>
      </c>
      <c r="Q26" s="217" t="str">
        <f t="shared" si="31"/>
        <v>MAO1-1.I</v>
      </c>
      <c r="R26" s="217" t="str">
        <f t="shared" si="32"/>
        <v>MANŒUVRE ORDINAIRE</v>
      </c>
      <c r="S26" s="258" t="str">
        <f t="shared" si="33"/>
        <v>MANŒUVRE</v>
      </c>
      <c r="T26" s="217" t="str">
        <f>+VLOOKUP($Q26,Categorie!$I:$P,3,0)</f>
        <v>MANŒUVRE ORDINAIRE (MO), Echellon 1, Classe 1</v>
      </c>
      <c r="U26" s="259">
        <f t="shared" si="37"/>
        <v>0</v>
      </c>
      <c r="V26" s="263">
        <v>2</v>
      </c>
      <c r="W26" s="263">
        <v>0</v>
      </c>
      <c r="X26" s="263">
        <v>0</v>
      </c>
      <c r="Y26" s="263">
        <v>0</v>
      </c>
      <c r="Z26" s="259">
        <f t="shared" si="40"/>
        <v>0</v>
      </c>
      <c r="AA26" s="259">
        <f t="shared" si="41"/>
        <v>0</v>
      </c>
      <c r="AB26" s="259">
        <f t="shared" si="34"/>
        <v>9</v>
      </c>
      <c r="AC26" s="264">
        <f t="shared" si="6"/>
        <v>17.333333333333332</v>
      </c>
      <c r="AD26" s="264"/>
      <c r="AE26" s="263">
        <f t="shared" si="38"/>
        <v>28.333333333333332</v>
      </c>
      <c r="AF26" s="263">
        <v>0</v>
      </c>
      <c r="AG26" s="259">
        <f t="shared" si="50"/>
        <v>10</v>
      </c>
      <c r="AH26" s="259">
        <f t="shared" si="42"/>
        <v>0</v>
      </c>
      <c r="AI26" s="259">
        <f t="shared" si="43"/>
        <v>0</v>
      </c>
      <c r="AJ26" s="259">
        <f t="shared" si="11"/>
        <v>0</v>
      </c>
      <c r="AK26" s="259">
        <f t="shared" si="44"/>
        <v>45</v>
      </c>
      <c r="AL26" s="259">
        <f t="shared" si="45"/>
        <v>0</v>
      </c>
      <c r="AM26" s="259">
        <f t="shared" si="46"/>
        <v>0</v>
      </c>
      <c r="AN26" s="259">
        <f t="shared" si="47"/>
        <v>86.666666666666657</v>
      </c>
      <c r="AO26" s="259">
        <f t="shared" si="48"/>
        <v>30</v>
      </c>
      <c r="AP26" s="247">
        <f t="shared" si="36"/>
        <v>0</v>
      </c>
      <c r="AQ26" s="265">
        <f t="shared" si="39"/>
        <v>171.66666666666666</v>
      </c>
      <c r="AR26" s="259">
        <f t="shared" si="17"/>
        <v>42.5</v>
      </c>
      <c r="AS26" s="259">
        <f t="shared" si="18"/>
        <v>4.6923076923076925</v>
      </c>
      <c r="AT26" s="266">
        <v>0</v>
      </c>
      <c r="AU26" s="267">
        <v>0</v>
      </c>
      <c r="AV26" s="259">
        <f t="shared" si="49"/>
        <v>0</v>
      </c>
      <c r="AW26" s="259"/>
      <c r="AX26" s="259"/>
      <c r="AY26" s="265">
        <f t="shared" si="20"/>
        <v>218.85897435897434</v>
      </c>
      <c r="AZ26" s="259">
        <f t="shared" si="21"/>
        <v>8.5833333333333339</v>
      </c>
      <c r="BA26" s="259">
        <f t="shared" si="22"/>
        <v>16.308333333333334</v>
      </c>
      <c r="BB26" s="430">
        <f t="shared" si="23"/>
        <v>193.96730769230766</v>
      </c>
      <c r="BC26" s="259"/>
      <c r="BD26" s="259"/>
      <c r="BE26" s="259"/>
      <c r="BF26" s="259"/>
      <c r="BG26" s="259"/>
      <c r="BH26" s="259"/>
      <c r="BI26" s="259"/>
      <c r="BJ26" s="259"/>
      <c r="BK26" s="259"/>
      <c r="BL26" s="265">
        <f t="shared" si="24"/>
        <v>0</v>
      </c>
      <c r="BM26" s="268">
        <f t="shared" si="25"/>
        <v>193.96730769230766</v>
      </c>
      <c r="BN26" s="219"/>
      <c r="BO26" s="259">
        <f t="shared" si="26"/>
        <v>28.451666666666664</v>
      </c>
      <c r="BP26" s="259">
        <f t="shared" si="27"/>
        <v>4.3771794871794869</v>
      </c>
      <c r="BQ26" s="259">
        <f t="shared" si="28"/>
        <v>0.43771794871794867</v>
      </c>
      <c r="BR26" s="265">
        <f t="shared" si="29"/>
        <v>33.266564102564097</v>
      </c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</row>
    <row r="27" spans="1:94" s="243" customFormat="1" ht="20.25" customHeight="1">
      <c r="A27" s="243">
        <f t="shared" si="30"/>
        <v>25</v>
      </c>
      <c r="B27" s="269" t="s">
        <v>317</v>
      </c>
      <c r="C27" s="257"/>
      <c r="D27" s="257" t="s">
        <v>248</v>
      </c>
      <c r="E27" s="257" t="s">
        <v>244</v>
      </c>
      <c r="F27" s="258">
        <v>41153</v>
      </c>
      <c r="G27" s="259">
        <v>200.44</v>
      </c>
      <c r="H27" s="259">
        <v>60</v>
      </c>
      <c r="I27" s="259">
        <v>35.14</v>
      </c>
      <c r="J27" s="259">
        <v>20</v>
      </c>
      <c r="K27" s="259">
        <v>2.88</v>
      </c>
      <c r="L27" s="260" t="s">
        <v>52</v>
      </c>
      <c r="M27" s="257">
        <v>972</v>
      </c>
      <c r="N27" s="261">
        <v>45164</v>
      </c>
      <c r="O27" s="262" t="str">
        <f t="shared" si="1"/>
        <v>10 ans, 11 mois, 25 jours</v>
      </c>
      <c r="P27" s="259">
        <f t="shared" si="2"/>
        <v>7.7092307692307696</v>
      </c>
      <c r="Q27" s="217" t="str">
        <f t="shared" si="31"/>
        <v>TSQ2-5.III</v>
      </c>
      <c r="R27" s="217" t="str">
        <f t="shared" si="32"/>
        <v>TRAVAILLEUR SEMI QUALIFIE</v>
      </c>
      <c r="S27" s="258" t="str">
        <f t="shared" si="33"/>
        <v>HAUTEMENT QUALIFIE</v>
      </c>
      <c r="T27" s="217" t="str">
        <f>+VLOOKUP($Q27,Categorie!$I:$P,3,0)</f>
        <v>TRAVAILLEUR SEMI QUALIFIE (TSQ), Echellon 2, Classe 5</v>
      </c>
      <c r="U27" s="259">
        <f t="shared" si="37"/>
        <v>10</v>
      </c>
      <c r="V27" s="263">
        <v>0</v>
      </c>
      <c r="W27" s="263">
        <v>0</v>
      </c>
      <c r="X27" s="263">
        <v>-6</v>
      </c>
      <c r="Y27" s="263">
        <v>0</v>
      </c>
      <c r="Z27" s="259">
        <f t="shared" si="40"/>
        <v>0</v>
      </c>
      <c r="AA27" s="259">
        <f t="shared" si="41"/>
        <v>0</v>
      </c>
      <c r="AB27" s="259">
        <v>0</v>
      </c>
      <c r="AC27" s="264">
        <v>0</v>
      </c>
      <c r="AD27" s="264"/>
      <c r="AE27" s="263">
        <f t="shared" si="38"/>
        <v>-6</v>
      </c>
      <c r="AF27" s="263">
        <v>6</v>
      </c>
      <c r="AG27" s="259">
        <f t="shared" si="50"/>
        <v>0</v>
      </c>
      <c r="AH27" s="259">
        <f t="shared" si="42"/>
        <v>0</v>
      </c>
      <c r="AI27" s="259">
        <f t="shared" si="43"/>
        <v>-46.255384615384614</v>
      </c>
      <c r="AJ27" s="259">
        <f t="shared" si="11"/>
        <v>0</v>
      </c>
      <c r="AK27" s="259">
        <f t="shared" si="44"/>
        <v>0</v>
      </c>
      <c r="AL27" s="259">
        <f t="shared" si="45"/>
        <v>30.836923076923075</v>
      </c>
      <c r="AM27" s="259">
        <f t="shared" si="46"/>
        <v>0</v>
      </c>
      <c r="AN27" s="259">
        <f t="shared" si="47"/>
        <v>0</v>
      </c>
      <c r="AO27" s="259">
        <f t="shared" si="48"/>
        <v>20</v>
      </c>
      <c r="AP27" s="247">
        <f t="shared" si="36"/>
        <v>2.88</v>
      </c>
      <c r="AQ27" s="265">
        <f>SUM(AG27:AP27)-AO27</f>
        <v>-12.53846153846154</v>
      </c>
      <c r="AR27" s="259">
        <f>+I27/26*(AE27+AU27)</f>
        <v>-8.1092307692307699</v>
      </c>
      <c r="AS27" s="259">
        <f t="shared" si="18"/>
        <v>0</v>
      </c>
      <c r="AT27" s="266">
        <v>0</v>
      </c>
      <c r="AU27" s="267">
        <v>0</v>
      </c>
      <c r="AV27" s="259">
        <f t="shared" si="49"/>
        <v>0</v>
      </c>
      <c r="AW27" s="259"/>
      <c r="AX27" s="259"/>
      <c r="AY27" s="265">
        <f>+AQ27+AR27+AS27+AX27+AV27</f>
        <v>-20.64769230769231</v>
      </c>
      <c r="AZ27" s="259">
        <f t="shared" si="21"/>
        <v>-0.62692307692307703</v>
      </c>
      <c r="BA27" s="259">
        <f t="shared" si="22"/>
        <v>-1.1911538461538462</v>
      </c>
      <c r="BB27" s="430">
        <f>+AY27-AZ27-BA27+AO27</f>
        <v>1.1703846153846129</v>
      </c>
      <c r="BC27" s="259"/>
      <c r="BD27" s="259"/>
      <c r="BE27" s="259"/>
      <c r="BF27" s="259"/>
      <c r="BG27" s="259"/>
      <c r="BH27" s="259"/>
      <c r="BI27" s="259"/>
      <c r="BJ27" s="259"/>
      <c r="BK27" s="259"/>
      <c r="BL27" s="265">
        <f t="shared" si="24"/>
        <v>0</v>
      </c>
      <c r="BM27" s="268">
        <f t="shared" si="25"/>
        <v>1.1703846153846129</v>
      </c>
      <c r="BN27" s="219"/>
      <c r="BO27" s="259">
        <f t="shared" si="26"/>
        <v>-2.6842000000000006</v>
      </c>
      <c r="BP27" s="259">
        <f t="shared" si="27"/>
        <v>-0.41295384615384623</v>
      </c>
      <c r="BQ27" s="259">
        <f t="shared" si="28"/>
        <v>-4.1295384615384623E-2</v>
      </c>
      <c r="BR27" s="265">
        <f t="shared" si="29"/>
        <v>-3.1384492307692318</v>
      </c>
      <c r="BS27" s="219"/>
      <c r="BT27" s="219"/>
      <c r="BU27" s="219"/>
      <c r="BV27" s="219"/>
      <c r="BW27" s="219"/>
      <c r="BX27" s="219"/>
      <c r="BY27" s="219"/>
      <c r="BZ27" s="219"/>
      <c r="CA27" s="219"/>
      <c r="CB27" s="219"/>
      <c r="CC27" s="219"/>
      <c r="CD27" s="219"/>
      <c r="CE27" s="219"/>
      <c r="CF27" s="219"/>
      <c r="CG27" s="219"/>
      <c r="CH27" s="219"/>
      <c r="CI27" s="219"/>
      <c r="CJ27" s="219"/>
      <c r="CK27" s="219"/>
      <c r="CL27" s="219"/>
      <c r="CM27" s="219"/>
      <c r="CN27" s="219"/>
      <c r="CO27" s="219"/>
      <c r="CP27" s="219"/>
    </row>
    <row r="28" spans="1:94" s="243" customFormat="1" ht="20.25" customHeight="1">
      <c r="A28" s="243">
        <f t="shared" si="30"/>
        <v>26</v>
      </c>
      <c r="B28" s="269" t="s">
        <v>318</v>
      </c>
      <c r="C28" s="257"/>
      <c r="D28" s="257" t="s">
        <v>240</v>
      </c>
      <c r="E28" s="257" t="s">
        <v>249</v>
      </c>
      <c r="F28" s="258">
        <v>44274</v>
      </c>
      <c r="G28" s="259">
        <v>846.3</v>
      </c>
      <c r="H28" s="259">
        <v>125</v>
      </c>
      <c r="I28" s="259">
        <v>103.7</v>
      </c>
      <c r="J28" s="259"/>
      <c r="K28" s="259">
        <v>8.7799999999999994</v>
      </c>
      <c r="L28" s="260" t="s">
        <v>52</v>
      </c>
      <c r="M28" s="257">
        <v>640</v>
      </c>
      <c r="N28" s="261">
        <v>45167</v>
      </c>
      <c r="O28" s="262" t="str">
        <f t="shared" si="1"/>
        <v>2 ans, 5 mois, 10 jours</v>
      </c>
      <c r="P28" s="259">
        <f t="shared" si="2"/>
        <v>32.549999999999997</v>
      </c>
      <c r="Q28" s="217" t="str">
        <f t="shared" si="31"/>
        <v>CAC1-14.CC</v>
      </c>
      <c r="R28" s="217" t="str">
        <f t="shared" si="32"/>
        <v>CADRE DE COLLABORATION</v>
      </c>
      <c r="S28" s="258" t="str">
        <f t="shared" si="33"/>
        <v>CADRE DE COLLABORATION</v>
      </c>
      <c r="T28" s="217" t="str">
        <f>+VLOOKUP($Q28,Categorie!$I:$P,3,0)</f>
        <v>CADRE DE COLLABORATION, Echellon 1, Classe 14</v>
      </c>
      <c r="U28" s="259">
        <f t="shared" si="37"/>
        <v>2</v>
      </c>
      <c r="V28" s="263">
        <v>39.5</v>
      </c>
      <c r="W28" s="263">
        <v>0</v>
      </c>
      <c r="X28" s="263">
        <v>11.5</v>
      </c>
      <c r="Y28" s="263">
        <v>0</v>
      </c>
      <c r="Z28" s="259">
        <f t="shared" si="40"/>
        <v>0</v>
      </c>
      <c r="AA28" s="259">
        <f t="shared" si="41"/>
        <v>0</v>
      </c>
      <c r="AB28" s="259">
        <f t="shared" ref="AB28:AB59" si="51">+IF(DATEDIF(F28, N28, "md")=0,(DATEDIF(F28, N28, "ym"))*1.5,(DATEDIF(F28, N28, "ym")+1)*1.5)</f>
        <v>9</v>
      </c>
      <c r="AC28" s="264">
        <v>0</v>
      </c>
      <c r="AD28" s="264"/>
      <c r="AE28" s="263">
        <f t="shared" si="38"/>
        <v>60</v>
      </c>
      <c r="AF28" s="263">
        <v>0</v>
      </c>
      <c r="AG28" s="259">
        <f t="shared" si="50"/>
        <v>1285.7249999999999</v>
      </c>
      <c r="AH28" s="259">
        <f t="shared" si="42"/>
        <v>0</v>
      </c>
      <c r="AI28" s="259">
        <f t="shared" si="43"/>
        <v>374.32499999999999</v>
      </c>
      <c r="AJ28" s="259">
        <f t="shared" si="11"/>
        <v>0</v>
      </c>
      <c r="AK28" s="259">
        <f t="shared" si="44"/>
        <v>292.95</v>
      </c>
      <c r="AL28" s="259">
        <f t="shared" si="45"/>
        <v>0</v>
      </c>
      <c r="AM28" s="259">
        <f t="shared" si="46"/>
        <v>0</v>
      </c>
      <c r="AN28" s="259">
        <f t="shared" si="47"/>
        <v>0</v>
      </c>
      <c r="AO28" s="259">
        <f t="shared" si="48"/>
        <v>0</v>
      </c>
      <c r="AP28" s="247">
        <f t="shared" si="36"/>
        <v>8.7799999999999994</v>
      </c>
      <c r="AQ28" s="265">
        <f t="shared" si="39"/>
        <v>1961.78</v>
      </c>
      <c r="AR28" s="259">
        <f t="shared" si="17"/>
        <v>239.30769230769232</v>
      </c>
      <c r="AS28" s="259">
        <f t="shared" si="18"/>
        <v>189.90384615384613</v>
      </c>
      <c r="AT28" s="266">
        <v>0</v>
      </c>
      <c r="AU28" s="267">
        <v>0</v>
      </c>
      <c r="AV28" s="259">
        <f t="shared" si="49"/>
        <v>0</v>
      </c>
      <c r="AW28" s="259"/>
      <c r="AX28" s="259"/>
      <c r="AY28" s="265">
        <f t="shared" si="20"/>
        <v>2390.9915384615383</v>
      </c>
      <c r="AZ28" s="259">
        <f t="shared" si="21"/>
        <v>98.088999999999999</v>
      </c>
      <c r="BA28" s="259">
        <f t="shared" si="22"/>
        <v>186.3691</v>
      </c>
      <c r="BB28" s="430">
        <f t="shared" si="23"/>
        <v>2106.5334384615385</v>
      </c>
      <c r="BC28" s="259"/>
      <c r="BD28" s="259"/>
      <c r="BE28" s="259"/>
      <c r="BF28" s="259"/>
      <c r="BG28" s="259"/>
      <c r="BH28" s="259"/>
      <c r="BI28" s="259"/>
      <c r="BJ28" s="259"/>
      <c r="BK28" s="259"/>
      <c r="BL28" s="265">
        <f t="shared" si="24"/>
        <v>0</v>
      </c>
      <c r="BM28" s="268">
        <f t="shared" si="25"/>
        <v>2106.5334384615385</v>
      </c>
      <c r="BN28" s="219"/>
      <c r="BO28" s="259">
        <f t="shared" si="26"/>
        <v>310.82889999999998</v>
      </c>
      <c r="BP28" s="259">
        <f t="shared" si="27"/>
        <v>47.819830769230769</v>
      </c>
      <c r="BQ28" s="259">
        <f t="shared" si="28"/>
        <v>4.7819830769230771</v>
      </c>
      <c r="BR28" s="265">
        <f t="shared" si="29"/>
        <v>363.43071384615382</v>
      </c>
      <c r="BS28" s="219"/>
      <c r="BT28" s="219"/>
      <c r="BU28" s="219"/>
      <c r="BV28" s="219"/>
      <c r="BW28" s="219"/>
      <c r="BX28" s="219"/>
      <c r="BY28" s="219"/>
      <c r="BZ28" s="219"/>
      <c r="CA28" s="219"/>
      <c r="CB28" s="219"/>
      <c r="CC28" s="219"/>
      <c r="CD28" s="219"/>
      <c r="CE28" s="219"/>
      <c r="CF28" s="219"/>
      <c r="CG28" s="219"/>
      <c r="CH28" s="219"/>
      <c r="CI28" s="219"/>
      <c r="CJ28" s="219"/>
      <c r="CK28" s="219"/>
      <c r="CL28" s="219"/>
      <c r="CM28" s="219"/>
      <c r="CN28" s="219"/>
      <c r="CO28" s="219"/>
      <c r="CP28" s="219"/>
    </row>
    <row r="29" spans="1:94" s="243" customFormat="1" ht="20.25" customHeight="1">
      <c r="A29" s="243">
        <f t="shared" si="30"/>
        <v>27</v>
      </c>
      <c r="B29" s="269" t="s">
        <v>319</v>
      </c>
      <c r="C29" s="257"/>
      <c r="D29" s="257" t="s">
        <v>163</v>
      </c>
      <c r="E29" s="257" t="s">
        <v>250</v>
      </c>
      <c r="F29" s="258">
        <v>44622</v>
      </c>
      <c r="G29" s="259">
        <v>267.8</v>
      </c>
      <c r="H29" s="259">
        <v>75</v>
      </c>
      <c r="I29" s="259">
        <v>32.200000000000003</v>
      </c>
      <c r="J29" s="259">
        <v>30</v>
      </c>
      <c r="K29" s="259">
        <v>3.25</v>
      </c>
      <c r="L29" s="260" t="s">
        <v>52</v>
      </c>
      <c r="M29" s="257">
        <v>120</v>
      </c>
      <c r="N29" s="261">
        <v>45180</v>
      </c>
      <c r="O29" s="262" t="str">
        <f t="shared" si="1"/>
        <v>1 ans, 6 mois, 9 jours</v>
      </c>
      <c r="P29" s="259">
        <f t="shared" si="2"/>
        <v>10.3</v>
      </c>
      <c r="Q29" s="217" t="str">
        <f t="shared" si="31"/>
        <v>TSQ3-6.III</v>
      </c>
      <c r="R29" s="217" t="str">
        <f t="shared" si="32"/>
        <v>TRAVAILLEUR SEMI QUALIFIE</v>
      </c>
      <c r="S29" s="258" t="str">
        <f t="shared" si="33"/>
        <v>AGENT DE MAITRISE</v>
      </c>
      <c r="T29" s="217" t="str">
        <f>+VLOOKUP($Q29,Categorie!$I:$P,3,0)</f>
        <v>TRAVAILLEUR SEMI QUALIFIE (TSQ), Echellon 3, Classe 6</v>
      </c>
      <c r="U29" s="259">
        <f t="shared" si="37"/>
        <v>1</v>
      </c>
      <c r="V29" s="263">
        <v>2</v>
      </c>
      <c r="W29" s="263">
        <v>0</v>
      </c>
      <c r="X29" s="263">
        <v>13</v>
      </c>
      <c r="Y29" s="263">
        <v>0</v>
      </c>
      <c r="Z29" s="259">
        <f t="shared" si="40"/>
        <v>0</v>
      </c>
      <c r="AA29" s="259">
        <f t="shared" si="41"/>
        <v>0</v>
      </c>
      <c r="AB29" s="259">
        <v>0</v>
      </c>
      <c r="AC29" s="264">
        <v>0</v>
      </c>
      <c r="AD29" s="264"/>
      <c r="AE29" s="263">
        <f t="shared" si="38"/>
        <v>15</v>
      </c>
      <c r="AF29" s="263">
        <v>0</v>
      </c>
      <c r="AG29" s="259">
        <f t="shared" si="50"/>
        <v>20.6</v>
      </c>
      <c r="AH29" s="259">
        <f t="shared" si="42"/>
        <v>0</v>
      </c>
      <c r="AI29" s="259">
        <f t="shared" si="43"/>
        <v>133.9</v>
      </c>
      <c r="AJ29" s="259">
        <f t="shared" si="11"/>
        <v>0</v>
      </c>
      <c r="AK29" s="259">
        <f t="shared" si="44"/>
        <v>0</v>
      </c>
      <c r="AL29" s="259">
        <f t="shared" si="45"/>
        <v>0</v>
      </c>
      <c r="AM29" s="259">
        <f t="shared" si="46"/>
        <v>0</v>
      </c>
      <c r="AN29" s="259">
        <f t="shared" si="47"/>
        <v>0</v>
      </c>
      <c r="AO29" s="259">
        <f t="shared" si="48"/>
        <v>30</v>
      </c>
      <c r="AP29" s="247">
        <f t="shared" si="36"/>
        <v>3.25</v>
      </c>
      <c r="AQ29" s="265">
        <f t="shared" si="39"/>
        <v>187.75</v>
      </c>
      <c r="AR29" s="259">
        <f t="shared" ref="AR29:AR60" si="52">+I29/26*(AE29+AU29)</f>
        <v>18.576923076923077</v>
      </c>
      <c r="AS29" s="259">
        <f t="shared" ref="AS29:AS60" si="53">+H29/26*V29</f>
        <v>5.7692307692307692</v>
      </c>
      <c r="AT29" s="266">
        <v>0</v>
      </c>
      <c r="AU29" s="267">
        <v>0</v>
      </c>
      <c r="AV29" s="259">
        <f t="shared" si="49"/>
        <v>0</v>
      </c>
      <c r="AW29" s="259"/>
      <c r="AX29" s="259"/>
      <c r="AY29" s="265">
        <f t="shared" si="20"/>
        <v>212.09615384615384</v>
      </c>
      <c r="AZ29" s="259">
        <f t="shared" si="21"/>
        <v>9.3875000000000011</v>
      </c>
      <c r="BA29" s="259">
        <f t="shared" si="22"/>
        <v>17.836250000000003</v>
      </c>
      <c r="BB29" s="430">
        <f t="shared" si="23"/>
        <v>184.87240384615384</v>
      </c>
      <c r="BC29" s="259"/>
      <c r="BD29" s="259"/>
      <c r="BE29" s="259"/>
      <c r="BF29" s="259"/>
      <c r="BG29" s="259"/>
      <c r="BH29" s="259"/>
      <c r="BI29" s="259"/>
      <c r="BJ29" s="259"/>
      <c r="BK29" s="259"/>
      <c r="BL29" s="265">
        <f t="shared" si="24"/>
        <v>0</v>
      </c>
      <c r="BM29" s="268">
        <f t="shared" si="25"/>
        <v>184.87240384615384</v>
      </c>
      <c r="BN29" s="219"/>
      <c r="BO29" s="259">
        <f t="shared" si="26"/>
        <v>27.572500000000002</v>
      </c>
      <c r="BP29" s="259">
        <f t="shared" si="27"/>
        <v>4.2419230769230767</v>
      </c>
      <c r="BQ29" s="259">
        <f t="shared" si="28"/>
        <v>0.4241923076923077</v>
      </c>
      <c r="BR29" s="265">
        <f t="shared" si="29"/>
        <v>32.238615384615386</v>
      </c>
      <c r="BS29" s="219"/>
      <c r="BT29" s="219"/>
      <c r="BU29" s="219"/>
      <c r="BV29" s="219"/>
      <c r="BW29" s="219"/>
      <c r="BX29" s="219"/>
      <c r="BY29" s="219"/>
      <c r="BZ29" s="219"/>
      <c r="CA29" s="219"/>
      <c r="CB29" s="219"/>
      <c r="CC29" s="219"/>
      <c r="CD29" s="219"/>
      <c r="CE29" s="219"/>
      <c r="CF29" s="219"/>
      <c r="CG29" s="219"/>
      <c r="CH29" s="219"/>
      <c r="CI29" s="219"/>
      <c r="CJ29" s="219"/>
      <c r="CK29" s="219"/>
      <c r="CL29" s="219"/>
      <c r="CM29" s="219"/>
      <c r="CN29" s="219"/>
      <c r="CO29" s="219"/>
      <c r="CP29" s="219"/>
    </row>
    <row r="30" spans="1:94" s="243" customFormat="1" ht="20.25" customHeight="1">
      <c r="A30" s="243">
        <f t="shared" si="30"/>
        <v>28</v>
      </c>
      <c r="B30" s="269" t="s">
        <v>320</v>
      </c>
      <c r="C30" s="257"/>
      <c r="D30" s="257" t="s">
        <v>163</v>
      </c>
      <c r="E30" s="257" t="s">
        <v>164</v>
      </c>
      <c r="F30" s="258">
        <v>43585</v>
      </c>
      <c r="G30" s="259">
        <v>150.80000000000001</v>
      </c>
      <c r="H30" s="259">
        <v>60</v>
      </c>
      <c r="I30" s="259">
        <v>39.200000000000003</v>
      </c>
      <c r="J30" s="259"/>
      <c r="K30" s="259">
        <v>0.08</v>
      </c>
      <c r="L30" s="260" t="s">
        <v>52</v>
      </c>
      <c r="M30" s="257">
        <v>120</v>
      </c>
      <c r="N30" s="261">
        <v>45181</v>
      </c>
      <c r="O30" s="262" t="str">
        <f t="shared" si="1"/>
        <v>4 ans, 4 mois, 13 jours</v>
      </c>
      <c r="P30" s="259">
        <f t="shared" si="2"/>
        <v>5.8000000000000007</v>
      </c>
      <c r="Q30" s="217" t="str">
        <f t="shared" si="31"/>
        <v>MAL1-2.I</v>
      </c>
      <c r="R30" s="217" t="str">
        <f t="shared" si="32"/>
        <v>MANOEUVRE LOURD</v>
      </c>
      <c r="S30" s="258" t="str">
        <f t="shared" si="33"/>
        <v>SEMI-QUALIFIE</v>
      </c>
      <c r="T30" s="217" t="str">
        <f>+VLOOKUP($Q30,Categorie!$I:$P,3,0)</f>
        <v>MANŒUVRE LOURD (ML), Echellon 2, Classe 2</v>
      </c>
      <c r="U30" s="259">
        <f t="shared" si="37"/>
        <v>4</v>
      </c>
      <c r="V30" s="263">
        <v>20</v>
      </c>
      <c r="W30" s="263">
        <v>0</v>
      </c>
      <c r="X30" s="263">
        <v>9</v>
      </c>
      <c r="Y30" s="263">
        <v>0</v>
      </c>
      <c r="Z30" s="259">
        <f t="shared" si="40"/>
        <v>0</v>
      </c>
      <c r="AA30" s="259">
        <f t="shared" si="41"/>
        <v>0</v>
      </c>
      <c r="AB30" s="259">
        <f t="shared" si="51"/>
        <v>7.5</v>
      </c>
      <c r="AC30" s="264">
        <f t="shared" si="6"/>
        <v>19.5</v>
      </c>
      <c r="AD30" s="264"/>
      <c r="AE30" s="263">
        <f t="shared" si="38"/>
        <v>56</v>
      </c>
      <c r="AF30" s="263">
        <v>0</v>
      </c>
      <c r="AG30" s="259">
        <f t="shared" si="50"/>
        <v>116.00000000000001</v>
      </c>
      <c r="AH30" s="259">
        <f t="shared" si="42"/>
        <v>0</v>
      </c>
      <c r="AI30" s="259">
        <f t="shared" si="43"/>
        <v>52.2</v>
      </c>
      <c r="AJ30" s="259">
        <f t="shared" si="11"/>
        <v>0</v>
      </c>
      <c r="AK30" s="259">
        <f t="shared" si="44"/>
        <v>43.500000000000007</v>
      </c>
      <c r="AL30" s="259">
        <f t="shared" si="45"/>
        <v>0</v>
      </c>
      <c r="AM30" s="259">
        <f t="shared" si="46"/>
        <v>0</v>
      </c>
      <c r="AN30" s="259">
        <f t="shared" si="47"/>
        <v>113.10000000000001</v>
      </c>
      <c r="AO30" s="259">
        <f t="shared" si="48"/>
        <v>0</v>
      </c>
      <c r="AP30" s="247">
        <f t="shared" si="36"/>
        <v>0.08</v>
      </c>
      <c r="AQ30" s="265">
        <f>SUM(AG30:AP30)</f>
        <v>324.88</v>
      </c>
      <c r="AR30" s="259">
        <f t="shared" si="52"/>
        <v>84.430769230769243</v>
      </c>
      <c r="AS30" s="259">
        <f t="shared" si="53"/>
        <v>46.153846153846146</v>
      </c>
      <c r="AT30" s="266">
        <v>0</v>
      </c>
      <c r="AU30" s="267">
        <v>0</v>
      </c>
      <c r="AV30" s="259">
        <f t="shared" si="49"/>
        <v>0</v>
      </c>
      <c r="AW30" s="259"/>
      <c r="AX30" s="259"/>
      <c r="AY30" s="265">
        <f t="shared" si="20"/>
        <v>455.46461538461534</v>
      </c>
      <c r="AZ30" s="259">
        <f t="shared" si="21"/>
        <v>16.244</v>
      </c>
      <c r="BA30" s="259">
        <f t="shared" si="22"/>
        <v>30.863599999999998</v>
      </c>
      <c r="BB30" s="430">
        <f t="shared" si="23"/>
        <v>408.35701538461535</v>
      </c>
      <c r="BC30" s="259"/>
      <c r="BD30" s="259"/>
      <c r="BE30" s="259"/>
      <c r="BF30" s="259"/>
      <c r="BG30" s="259"/>
      <c r="BH30" s="259"/>
      <c r="BI30" s="259"/>
      <c r="BJ30" s="259"/>
      <c r="BK30" s="259"/>
      <c r="BL30" s="265">
        <f t="shared" si="24"/>
        <v>0</v>
      </c>
      <c r="BM30" s="268">
        <f t="shared" si="25"/>
        <v>408.35701538461535</v>
      </c>
      <c r="BN30" s="219"/>
      <c r="BO30" s="259">
        <f t="shared" si="26"/>
        <v>59.2104</v>
      </c>
      <c r="BP30" s="259">
        <f t="shared" si="27"/>
        <v>9.1092923076923071</v>
      </c>
      <c r="BQ30" s="259">
        <f t="shared" si="28"/>
        <v>0.91092923076923071</v>
      </c>
      <c r="BR30" s="265">
        <f t="shared" si="29"/>
        <v>69.230621538461534</v>
      </c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19"/>
      <c r="CG30" s="219"/>
      <c r="CH30" s="219"/>
      <c r="CI30" s="219"/>
      <c r="CJ30" s="219"/>
      <c r="CK30" s="219"/>
      <c r="CL30" s="219"/>
      <c r="CM30" s="219"/>
      <c r="CN30" s="219"/>
      <c r="CO30" s="219"/>
      <c r="CP30" s="219"/>
    </row>
    <row r="31" spans="1:94" s="243" customFormat="1" ht="20.25" customHeight="1">
      <c r="A31" s="243">
        <f t="shared" si="30"/>
        <v>29</v>
      </c>
      <c r="B31" s="269" t="s">
        <v>321</v>
      </c>
      <c r="C31" s="257"/>
      <c r="D31" s="257" t="s">
        <v>251</v>
      </c>
      <c r="E31" s="257" t="s">
        <v>252</v>
      </c>
      <c r="F31" s="258">
        <v>41153</v>
      </c>
      <c r="G31" s="259">
        <v>308.10000000000002</v>
      </c>
      <c r="H31" s="259">
        <v>80</v>
      </c>
      <c r="I31" s="259">
        <v>81.900000000000006</v>
      </c>
      <c r="J31" s="259"/>
      <c r="K31" s="259">
        <v>1.52</v>
      </c>
      <c r="L31" s="260" t="s">
        <v>52</v>
      </c>
      <c r="M31" s="257">
        <v>810</v>
      </c>
      <c r="N31" s="261">
        <v>45226</v>
      </c>
      <c r="O31" s="262" t="str">
        <f t="shared" si="1"/>
        <v>11 ans, 1 mois, 26 jours</v>
      </c>
      <c r="P31" s="259">
        <f t="shared" si="2"/>
        <v>11.850000000000001</v>
      </c>
      <c r="Q31" s="217" t="str">
        <f t="shared" si="31"/>
        <v>TRQ1-7.IV</v>
      </c>
      <c r="R31" s="217" t="str">
        <f t="shared" si="32"/>
        <v>TRAVAILLEUR QUALIFIE</v>
      </c>
      <c r="S31" s="258" t="str">
        <f t="shared" si="33"/>
        <v>AGENT DE MAITRISE</v>
      </c>
      <c r="T31" s="217" t="str">
        <f>+VLOOKUP($Q31,Categorie!$I:$P,3,0)</f>
        <v>TRAVAILLEUR QUALIFIE (TQ), Echellon 1, Classe 7</v>
      </c>
      <c r="U31" s="259">
        <f t="shared" si="37"/>
        <v>11</v>
      </c>
      <c r="V31" s="263">
        <v>6</v>
      </c>
      <c r="W31" s="263">
        <v>0</v>
      </c>
      <c r="X31" s="263">
        <v>-2.5</v>
      </c>
      <c r="Y31" s="263">
        <v>0</v>
      </c>
      <c r="Z31" s="259">
        <f t="shared" si="40"/>
        <v>0</v>
      </c>
      <c r="AA31" s="259">
        <f t="shared" si="41"/>
        <v>0</v>
      </c>
      <c r="AB31" s="259">
        <v>0</v>
      </c>
      <c r="AC31" s="264">
        <f t="shared" si="6"/>
        <v>21.666666666666668</v>
      </c>
      <c r="AD31" s="264"/>
      <c r="AE31" s="263">
        <f t="shared" ref="AE31:AE62" si="54">SUM(V31:AC31)</f>
        <v>25.166666666666668</v>
      </c>
      <c r="AF31" s="263">
        <v>0</v>
      </c>
      <c r="AG31" s="259">
        <f t="shared" si="50"/>
        <v>71.100000000000009</v>
      </c>
      <c r="AH31" s="259">
        <f t="shared" si="42"/>
        <v>0</v>
      </c>
      <c r="AI31" s="259">
        <f t="shared" si="43"/>
        <v>-29.625000000000004</v>
      </c>
      <c r="AJ31" s="259">
        <f t="shared" si="11"/>
        <v>0</v>
      </c>
      <c r="AK31" s="259">
        <f t="shared" si="44"/>
        <v>0</v>
      </c>
      <c r="AL31" s="259">
        <f t="shared" si="45"/>
        <v>0</v>
      </c>
      <c r="AM31" s="259">
        <f t="shared" si="46"/>
        <v>0</v>
      </c>
      <c r="AN31" s="259">
        <f t="shared" si="47"/>
        <v>256.75000000000006</v>
      </c>
      <c r="AO31" s="259">
        <f t="shared" si="48"/>
        <v>0</v>
      </c>
      <c r="AP31" s="247">
        <f t="shared" si="36"/>
        <v>1.52</v>
      </c>
      <c r="AQ31" s="265">
        <f>SUM(AG31:AP31)</f>
        <v>299.74500000000006</v>
      </c>
      <c r="AR31" s="259">
        <f t="shared" si="52"/>
        <v>79.275000000000006</v>
      </c>
      <c r="AS31" s="259">
        <f t="shared" si="53"/>
        <v>18.461538461538463</v>
      </c>
      <c r="AT31" s="266">
        <v>0</v>
      </c>
      <c r="AU31" s="267">
        <v>0</v>
      </c>
      <c r="AV31" s="259">
        <f t="shared" si="49"/>
        <v>0</v>
      </c>
      <c r="AW31" s="259"/>
      <c r="AX31" s="259"/>
      <c r="AY31" s="265">
        <f>+AQ31+AR31+AS31+AX31+AV31</f>
        <v>397.48153846153855</v>
      </c>
      <c r="AZ31" s="259">
        <f t="shared" si="21"/>
        <v>14.987250000000003</v>
      </c>
      <c r="BA31" s="259">
        <f t="shared" si="22"/>
        <v>28.475775000000006</v>
      </c>
      <c r="BB31" s="430">
        <f>+AY31-AZ31-BA31</f>
        <v>354.01851346153853</v>
      </c>
      <c r="BC31" s="259">
        <v>66.67</v>
      </c>
      <c r="BD31" s="259"/>
      <c r="BE31" s="259"/>
      <c r="BF31" s="259"/>
      <c r="BG31" s="259"/>
      <c r="BH31" s="259"/>
      <c r="BI31" s="259"/>
      <c r="BJ31" s="259"/>
      <c r="BK31" s="259"/>
      <c r="BL31" s="265">
        <f t="shared" si="24"/>
        <v>66.67</v>
      </c>
      <c r="BM31" s="268">
        <f t="shared" si="25"/>
        <v>287.34851346153852</v>
      </c>
      <c r="BN31" s="219"/>
      <c r="BO31" s="259">
        <f t="shared" si="26"/>
        <v>51.67260000000001</v>
      </c>
      <c r="BP31" s="259">
        <f t="shared" si="27"/>
        <v>7.9496307692307715</v>
      </c>
      <c r="BQ31" s="259">
        <f t="shared" si="28"/>
        <v>0.79496307692307711</v>
      </c>
      <c r="BR31" s="265">
        <f t="shared" si="29"/>
        <v>60.417193846153857</v>
      </c>
      <c r="BS31" s="219"/>
      <c r="BT31" s="219"/>
      <c r="BU31" s="219"/>
      <c r="BV31" s="219"/>
      <c r="BW31" s="219"/>
      <c r="BX31" s="219"/>
      <c r="BY31" s="219"/>
      <c r="BZ31" s="219"/>
      <c r="CA31" s="219"/>
      <c r="CB31" s="219"/>
      <c r="CC31" s="219"/>
      <c r="CD31" s="219"/>
      <c r="CE31" s="219"/>
      <c r="CF31" s="219"/>
      <c r="CG31" s="219"/>
      <c r="CH31" s="219"/>
      <c r="CI31" s="219"/>
      <c r="CJ31" s="219"/>
      <c r="CK31" s="219"/>
      <c r="CL31" s="219"/>
      <c r="CM31" s="219"/>
      <c r="CN31" s="219"/>
      <c r="CO31" s="219"/>
      <c r="CP31" s="219"/>
    </row>
    <row r="32" spans="1:94" s="243" customFormat="1" ht="20.25" customHeight="1">
      <c r="A32" s="243">
        <f t="shared" si="30"/>
        <v>30</v>
      </c>
      <c r="B32" s="269" t="s">
        <v>322</v>
      </c>
      <c r="C32" s="257"/>
      <c r="D32" s="257" t="s">
        <v>163</v>
      </c>
      <c r="E32" s="257" t="s">
        <v>247</v>
      </c>
      <c r="F32" s="258">
        <v>44848</v>
      </c>
      <c r="G32" s="259">
        <v>172.9</v>
      </c>
      <c r="H32" s="259">
        <v>60</v>
      </c>
      <c r="I32" s="259">
        <v>47.1</v>
      </c>
      <c r="J32" s="259">
        <v>30</v>
      </c>
      <c r="K32" s="259">
        <v>0.51</v>
      </c>
      <c r="L32" s="260" t="s">
        <v>52</v>
      </c>
      <c r="M32" s="257">
        <v>120</v>
      </c>
      <c r="N32" s="261">
        <v>45230</v>
      </c>
      <c r="O32" s="262" t="str">
        <f t="shared" si="1"/>
        <v>1 ans, 0 mois, 17 jours</v>
      </c>
      <c r="P32" s="259">
        <f t="shared" si="2"/>
        <v>6.65</v>
      </c>
      <c r="Q32" s="217" t="str">
        <f t="shared" si="31"/>
        <v>TSP0-3.II</v>
      </c>
      <c r="R32" s="217" t="str">
        <f t="shared" si="32"/>
        <v>TRAVAILLEUR SPECIALISE</v>
      </c>
      <c r="S32" s="258" t="str">
        <f t="shared" si="33"/>
        <v>SEMI-QUALIFIE</v>
      </c>
      <c r="T32" s="217" t="str">
        <f>+VLOOKUP($Q32,Categorie!$I:$P,3,0)</f>
        <v>TRAVAILLEUR SPECIALISE (TS), Echellon 0 , Classe 3</v>
      </c>
      <c r="U32" s="259">
        <f t="shared" si="37"/>
        <v>1</v>
      </c>
      <c r="V32" s="263">
        <v>7</v>
      </c>
      <c r="W32" s="263">
        <v>0</v>
      </c>
      <c r="X32" s="263">
        <v>-2</v>
      </c>
      <c r="Y32" s="263">
        <v>0</v>
      </c>
      <c r="Z32" s="259">
        <f t="shared" si="40"/>
        <v>0</v>
      </c>
      <c r="AA32" s="259">
        <f t="shared" si="41"/>
        <v>0</v>
      </c>
      <c r="AB32" s="259">
        <v>0</v>
      </c>
      <c r="AC32" s="264">
        <f t="shared" si="6"/>
        <v>21.666666666666668</v>
      </c>
      <c r="AD32" s="264"/>
      <c r="AE32" s="263">
        <f t="shared" si="54"/>
        <v>26.666666666666668</v>
      </c>
      <c r="AF32" s="263">
        <v>0</v>
      </c>
      <c r="AG32" s="259">
        <f t="shared" si="50"/>
        <v>46.550000000000004</v>
      </c>
      <c r="AH32" s="259">
        <f t="shared" si="42"/>
        <v>0</v>
      </c>
      <c r="AI32" s="259">
        <f t="shared" si="43"/>
        <v>-13.3</v>
      </c>
      <c r="AJ32" s="259">
        <f t="shared" si="11"/>
        <v>0</v>
      </c>
      <c r="AK32" s="259">
        <f t="shared" si="44"/>
        <v>0</v>
      </c>
      <c r="AL32" s="259">
        <f t="shared" si="45"/>
        <v>0</v>
      </c>
      <c r="AM32" s="259">
        <f t="shared" si="46"/>
        <v>0</v>
      </c>
      <c r="AN32" s="259">
        <f t="shared" si="47"/>
        <v>144.08333333333334</v>
      </c>
      <c r="AO32" s="259">
        <f t="shared" si="48"/>
        <v>30</v>
      </c>
      <c r="AP32" s="247">
        <f t="shared" si="36"/>
        <v>0.51</v>
      </c>
      <c r="AQ32" s="265">
        <f t="shared" si="39"/>
        <v>207.84333333333333</v>
      </c>
      <c r="AR32" s="259">
        <f t="shared" si="52"/>
        <v>48.307692307692307</v>
      </c>
      <c r="AS32" s="259">
        <f t="shared" si="53"/>
        <v>16.153846153846153</v>
      </c>
      <c r="AT32" s="266">
        <v>0</v>
      </c>
      <c r="AU32" s="267">
        <v>0</v>
      </c>
      <c r="AV32" s="259">
        <f t="shared" si="49"/>
        <v>0</v>
      </c>
      <c r="AW32" s="259"/>
      <c r="AX32" s="259"/>
      <c r="AY32" s="265">
        <f t="shared" si="20"/>
        <v>272.30487179487176</v>
      </c>
      <c r="AZ32" s="259">
        <f t="shared" si="21"/>
        <v>10.392166666666668</v>
      </c>
      <c r="BA32" s="259">
        <f t="shared" si="22"/>
        <v>19.745116666666668</v>
      </c>
      <c r="BB32" s="430">
        <f t="shared" si="23"/>
        <v>242.1675884615384</v>
      </c>
      <c r="BC32" s="259">
        <v>10.5</v>
      </c>
      <c r="BD32" s="259"/>
      <c r="BE32" s="259"/>
      <c r="BF32" s="259"/>
      <c r="BG32" s="259"/>
      <c r="BH32" s="259"/>
      <c r="BI32" s="259"/>
      <c r="BJ32" s="259"/>
      <c r="BK32" s="259"/>
      <c r="BL32" s="265">
        <f t="shared" si="24"/>
        <v>10.5</v>
      </c>
      <c r="BM32" s="268">
        <f t="shared" si="25"/>
        <v>231.6675884615384</v>
      </c>
      <c r="BN32" s="219"/>
      <c r="BO32" s="259">
        <f t="shared" si="26"/>
        <v>35.399633333333327</v>
      </c>
      <c r="BP32" s="259">
        <f t="shared" si="27"/>
        <v>5.4460974358974354</v>
      </c>
      <c r="BQ32" s="259">
        <f t="shared" si="28"/>
        <v>0.54460974358974357</v>
      </c>
      <c r="BR32" s="265">
        <f t="shared" si="29"/>
        <v>41.390340512820508</v>
      </c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</row>
    <row r="33" spans="1:94" s="461" customFormat="1" ht="20.25" customHeight="1">
      <c r="A33" s="461">
        <f t="shared" si="30"/>
        <v>31</v>
      </c>
      <c r="B33" s="462" t="s">
        <v>323</v>
      </c>
      <c r="C33" s="463"/>
      <c r="D33" s="463" t="s">
        <v>253</v>
      </c>
      <c r="E33" s="463" t="s">
        <v>224</v>
      </c>
      <c r="F33" s="464">
        <v>41795</v>
      </c>
      <c r="G33" s="465">
        <v>200.2</v>
      </c>
      <c r="H33" s="465">
        <v>60</v>
      </c>
      <c r="I33" s="465">
        <v>48.05</v>
      </c>
      <c r="J33" s="465"/>
      <c r="K33" s="465">
        <v>1.27</v>
      </c>
      <c r="L33" s="466" t="s">
        <v>52</v>
      </c>
      <c r="M33" s="463">
        <v>215</v>
      </c>
      <c r="N33" s="467">
        <v>45236</v>
      </c>
      <c r="O33" s="468" t="str">
        <f t="shared" si="1"/>
        <v>9 ans, 5 mois, 1 jours</v>
      </c>
      <c r="P33" s="465">
        <f t="shared" si="2"/>
        <v>7.6999999999999993</v>
      </c>
      <c r="Q33" s="469" t="str">
        <f t="shared" si="31"/>
        <v>TSQ1-4.III</v>
      </c>
      <c r="R33" s="469" t="str">
        <f t="shared" si="32"/>
        <v>TRAVAILLEUR SEMI QUALIFIE</v>
      </c>
      <c r="S33" s="464" t="str">
        <f t="shared" si="33"/>
        <v>HAUTEMENT QUALIFIE</v>
      </c>
      <c r="T33" s="469" t="str">
        <f>+VLOOKUP($Q33,Categorie!$I:$P,3,0)</f>
        <v>TRAVAILLEUR SEMI QUALIFIE (TSQ), Echellon 1, Classe 4</v>
      </c>
      <c r="U33" s="465">
        <f t="shared" si="37"/>
        <v>9</v>
      </c>
      <c r="V33" s="470">
        <v>0</v>
      </c>
      <c r="W33" s="470">
        <v>0</v>
      </c>
      <c r="X33" s="470">
        <v>-1.6</v>
      </c>
      <c r="Y33" s="470">
        <v>0</v>
      </c>
      <c r="Z33" s="465">
        <f t="shared" si="40"/>
        <v>0</v>
      </c>
      <c r="AA33" s="465">
        <f t="shared" si="41"/>
        <v>0</v>
      </c>
      <c r="AB33" s="465">
        <v>0</v>
      </c>
      <c r="AC33" s="465">
        <f t="shared" si="6"/>
        <v>23.833333333333332</v>
      </c>
      <c r="AD33" s="465"/>
      <c r="AE33" s="470">
        <f t="shared" si="54"/>
        <v>22.233333333333331</v>
      </c>
      <c r="AF33" s="470">
        <v>0</v>
      </c>
      <c r="AG33" s="465">
        <f t="shared" si="50"/>
        <v>0</v>
      </c>
      <c r="AH33" s="465">
        <f t="shared" si="42"/>
        <v>0</v>
      </c>
      <c r="AI33" s="465">
        <f t="shared" si="43"/>
        <v>-12.32</v>
      </c>
      <c r="AJ33" s="465">
        <f t="shared" si="11"/>
        <v>0</v>
      </c>
      <c r="AK33" s="465">
        <f t="shared" si="44"/>
        <v>0</v>
      </c>
      <c r="AL33" s="465">
        <f t="shared" si="45"/>
        <v>0</v>
      </c>
      <c r="AM33" s="465">
        <f t="shared" si="46"/>
        <v>0</v>
      </c>
      <c r="AN33" s="465">
        <f t="shared" si="47"/>
        <v>183.51666666666665</v>
      </c>
      <c r="AO33" s="465">
        <f t="shared" si="48"/>
        <v>0</v>
      </c>
      <c r="AP33" s="471">
        <f t="shared" si="36"/>
        <v>1.27</v>
      </c>
      <c r="AQ33" s="472">
        <f>SUM(AG33:AP33)</f>
        <v>172.46666666666667</v>
      </c>
      <c r="AR33" s="465">
        <f t="shared" si="52"/>
        <v>41.088910256410252</v>
      </c>
      <c r="AS33" s="465">
        <f t="shared" si="53"/>
        <v>0</v>
      </c>
      <c r="AT33" s="473">
        <v>0</v>
      </c>
      <c r="AU33" s="474">
        <v>0</v>
      </c>
      <c r="AV33" s="465">
        <f t="shared" si="49"/>
        <v>0</v>
      </c>
      <c r="AW33" s="465"/>
      <c r="AX33" s="465"/>
      <c r="AY33" s="472">
        <f t="shared" si="20"/>
        <v>213.55557692307693</v>
      </c>
      <c r="AZ33" s="465">
        <f t="shared" si="21"/>
        <v>8.6233333333333331</v>
      </c>
      <c r="BA33" s="465">
        <f t="shared" si="22"/>
        <v>16.384333333333334</v>
      </c>
      <c r="BB33" s="472">
        <f t="shared" si="23"/>
        <v>188.54791025641026</v>
      </c>
      <c r="BC33" s="465"/>
      <c r="BD33" s="465"/>
      <c r="BE33" s="465"/>
      <c r="BF33" s="465"/>
      <c r="BG33" s="465"/>
      <c r="BH33" s="465"/>
      <c r="BI33" s="465"/>
      <c r="BJ33" s="465"/>
      <c r="BK33" s="465"/>
      <c r="BL33" s="472">
        <f t="shared" si="24"/>
        <v>0</v>
      </c>
      <c r="BM33" s="475">
        <f t="shared" si="25"/>
        <v>188.54791025641026</v>
      </c>
      <c r="BO33" s="465">
        <f t="shared" si="26"/>
        <v>27.762225000000001</v>
      </c>
      <c r="BP33" s="465">
        <f t="shared" si="27"/>
        <v>4.2711115384615388</v>
      </c>
      <c r="BQ33" s="465">
        <f t="shared" si="28"/>
        <v>0.42711115384615389</v>
      </c>
      <c r="BR33" s="472">
        <f t="shared" si="29"/>
        <v>32.460447692307696</v>
      </c>
    </row>
    <row r="34" spans="1:94" s="461" customFormat="1" ht="20.25" customHeight="1">
      <c r="A34" s="461">
        <f t="shared" si="30"/>
        <v>32</v>
      </c>
      <c r="B34" s="462" t="s">
        <v>324</v>
      </c>
      <c r="C34" s="463"/>
      <c r="D34" s="463" t="s">
        <v>254</v>
      </c>
      <c r="E34" s="463" t="s">
        <v>255</v>
      </c>
      <c r="F34" s="464">
        <v>41153</v>
      </c>
      <c r="G34" s="465">
        <v>308.10000000000002</v>
      </c>
      <c r="H34" s="465">
        <v>100</v>
      </c>
      <c r="I34" s="465">
        <v>81.900000000000006</v>
      </c>
      <c r="J34" s="465">
        <v>30</v>
      </c>
      <c r="K34" s="465">
        <v>0.8</v>
      </c>
      <c r="L34" s="466" t="s">
        <v>49</v>
      </c>
      <c r="M34" s="463">
        <v>260</v>
      </c>
      <c r="N34" s="467">
        <v>45232</v>
      </c>
      <c r="O34" s="468" t="str">
        <f t="shared" si="1"/>
        <v>11 ans, 2 mois, 1 jours</v>
      </c>
      <c r="P34" s="465">
        <f t="shared" si="2"/>
        <v>11.850000000000001</v>
      </c>
      <c r="Q34" s="469" t="str">
        <f t="shared" si="31"/>
        <v>TRQ1-7.IV</v>
      </c>
      <c r="R34" s="469" t="str">
        <f t="shared" si="32"/>
        <v>TRAVAILLEUR QUALIFIE</v>
      </c>
      <c r="S34" s="464" t="str">
        <f t="shared" si="33"/>
        <v>AGENT DE MAITRISE</v>
      </c>
      <c r="T34" s="469" t="str">
        <f>+VLOOKUP($Q34,Categorie!$I:$P,3,0)</f>
        <v>TRAVAILLEUR QUALIFIE (TQ), Echellon 1, Classe 7</v>
      </c>
      <c r="U34" s="465">
        <f t="shared" si="37"/>
        <v>11</v>
      </c>
      <c r="V34" s="470">
        <v>12</v>
      </c>
      <c r="W34" s="470">
        <v>0</v>
      </c>
      <c r="X34" s="470">
        <v>1</v>
      </c>
      <c r="Y34" s="470">
        <v>0</v>
      </c>
      <c r="Z34" s="465">
        <v>91</v>
      </c>
      <c r="AA34" s="465">
        <v>3.5</v>
      </c>
      <c r="AB34" s="465">
        <v>4.8</v>
      </c>
      <c r="AC34" s="465">
        <f t="shared" si="6"/>
        <v>23.833333333333332</v>
      </c>
      <c r="AD34" s="465"/>
      <c r="AE34" s="470">
        <f t="shared" si="54"/>
        <v>136.13333333333333</v>
      </c>
      <c r="AF34" s="470">
        <v>0</v>
      </c>
      <c r="AG34" s="465">
        <f t="shared" si="50"/>
        <v>142.20000000000002</v>
      </c>
      <c r="AH34" s="465">
        <f t="shared" si="42"/>
        <v>0</v>
      </c>
      <c r="AI34" s="465">
        <f t="shared" si="43"/>
        <v>11.850000000000001</v>
      </c>
      <c r="AJ34" s="465">
        <f t="shared" si="11"/>
        <v>0</v>
      </c>
      <c r="AK34" s="465">
        <f t="shared" si="44"/>
        <v>98.355000000000018</v>
      </c>
      <c r="AL34" s="465">
        <f t="shared" si="45"/>
        <v>0</v>
      </c>
      <c r="AM34" s="465">
        <f t="shared" si="46"/>
        <v>1078.3500000000001</v>
      </c>
      <c r="AN34" s="465">
        <f t="shared" si="47"/>
        <v>282.42500000000001</v>
      </c>
      <c r="AO34" s="465">
        <f t="shared" si="48"/>
        <v>30</v>
      </c>
      <c r="AP34" s="471">
        <f t="shared" si="36"/>
        <v>0.8</v>
      </c>
      <c r="AQ34" s="472">
        <f t="shared" si="39"/>
        <v>1643.98</v>
      </c>
      <c r="AR34" s="465">
        <f t="shared" si="52"/>
        <v>428.82000000000005</v>
      </c>
      <c r="AS34" s="465">
        <f t="shared" si="53"/>
        <v>46.153846153846153</v>
      </c>
      <c r="AT34" s="473">
        <v>0</v>
      </c>
      <c r="AU34" s="474">
        <v>0</v>
      </c>
      <c r="AV34" s="465">
        <f t="shared" si="49"/>
        <v>0</v>
      </c>
      <c r="AW34" s="465"/>
      <c r="AX34" s="465"/>
      <c r="AY34" s="472">
        <f t="shared" si="20"/>
        <v>2118.9538461538464</v>
      </c>
      <c r="AZ34" s="465">
        <f t="shared" si="21"/>
        <v>82.199000000000012</v>
      </c>
      <c r="BA34" s="465">
        <f t="shared" si="22"/>
        <v>156.1781</v>
      </c>
      <c r="BB34" s="472">
        <f t="shared" si="23"/>
        <v>1880.5767461538462</v>
      </c>
      <c r="BC34" s="465"/>
      <c r="BD34" s="465"/>
      <c r="BE34" s="465"/>
      <c r="BF34" s="465"/>
      <c r="BG34" s="465"/>
      <c r="BH34" s="465"/>
      <c r="BI34" s="465"/>
      <c r="BJ34" s="465"/>
      <c r="BK34" s="465"/>
      <c r="BL34" s="472">
        <f t="shared" si="24"/>
        <v>0</v>
      </c>
      <c r="BM34" s="475">
        <f t="shared" si="25"/>
        <v>1880.5767461538462</v>
      </c>
      <c r="BO34" s="465">
        <f t="shared" si="26"/>
        <v>275.46400000000006</v>
      </c>
      <c r="BP34" s="465">
        <f t="shared" si="27"/>
        <v>42.37907692307693</v>
      </c>
      <c r="BQ34" s="465">
        <f t="shared" si="28"/>
        <v>4.2379076923076928</v>
      </c>
      <c r="BR34" s="472">
        <f t="shared" si="29"/>
        <v>322.08098461538469</v>
      </c>
    </row>
    <row r="35" spans="1:94" s="461" customFormat="1" ht="20.25" customHeight="1">
      <c r="A35" s="461">
        <f t="shared" si="30"/>
        <v>33</v>
      </c>
      <c r="B35" s="462" t="s">
        <v>325</v>
      </c>
      <c r="C35" s="463"/>
      <c r="D35" s="463" t="s">
        <v>254</v>
      </c>
      <c r="E35" s="463" t="s">
        <v>255</v>
      </c>
      <c r="F35" s="464">
        <v>41153</v>
      </c>
      <c r="G35" s="465">
        <v>308.10000000000002</v>
      </c>
      <c r="H35" s="465">
        <v>100</v>
      </c>
      <c r="I35" s="465">
        <v>81.900000000000006</v>
      </c>
      <c r="J35" s="465">
        <v>30</v>
      </c>
      <c r="K35" s="465">
        <v>0.8</v>
      </c>
      <c r="L35" s="466" t="s">
        <v>49</v>
      </c>
      <c r="M35" s="463">
        <v>260</v>
      </c>
      <c r="N35" s="467">
        <v>45232</v>
      </c>
      <c r="O35" s="468" t="str">
        <f t="shared" ref="O35" si="55">DATEDIF(F35, N35, "y") &amp;" ans, "&amp;DATEDIF(F35, N35, "ym") &amp;" mois, " &amp;DATEDIF(F35, N35, "md") &amp;" jours"</f>
        <v>11 ans, 2 mois, 1 jours</v>
      </c>
      <c r="P35" s="465">
        <f t="shared" ref="P35" si="56">+G35/26</f>
        <v>11.850000000000001</v>
      </c>
      <c r="Q35" s="469" t="str">
        <f t="shared" si="31"/>
        <v>TRQ1-7.IV</v>
      </c>
      <c r="R35" s="469" t="str">
        <f t="shared" si="32"/>
        <v>TRAVAILLEUR QUALIFIE</v>
      </c>
      <c r="S35" s="464" t="str">
        <f t="shared" si="33"/>
        <v>AGENT DE MAITRISE</v>
      </c>
      <c r="T35" s="469" t="str">
        <f>+VLOOKUP($Q35,Categorie!$I:$P,3,0)</f>
        <v>TRAVAILLEUR QUALIFIE (TQ), Echellon 1, Classe 7</v>
      </c>
      <c r="U35" s="465">
        <f t="shared" ref="U35" si="57">+DATEDIF(F35,N35,"y")</f>
        <v>11</v>
      </c>
      <c r="V35" s="470"/>
      <c r="W35" s="470">
        <v>0</v>
      </c>
      <c r="X35" s="470"/>
      <c r="Y35" s="470">
        <v>0</v>
      </c>
      <c r="Z35" s="465">
        <f>125-91</f>
        <v>34</v>
      </c>
      <c r="AA35" s="465">
        <f>8.8-3.5</f>
        <v>5.3000000000000007</v>
      </c>
      <c r="AB35" s="465">
        <f>5.5-4.8</f>
        <v>0.70000000000000018</v>
      </c>
      <c r="AC35" s="465"/>
      <c r="AD35" s="465"/>
      <c r="AE35" s="470">
        <f t="shared" ref="AE35" si="58">SUM(V35:AC35)</f>
        <v>40</v>
      </c>
      <c r="AF35" s="470">
        <v>0</v>
      </c>
      <c r="AG35" s="465">
        <f t="shared" ref="AG35" si="59">P35*V35</f>
        <v>0</v>
      </c>
      <c r="AH35" s="465">
        <f t="shared" ref="AH35" si="60">ROUND($W35/26*1.1*(G35),2)</f>
        <v>0</v>
      </c>
      <c r="AI35" s="465">
        <f t="shared" ref="AI35" si="61">+(P35*X35)</f>
        <v>0</v>
      </c>
      <c r="AJ35" s="465">
        <f t="shared" ref="AJ35" si="62">+P35*Y35</f>
        <v>0</v>
      </c>
      <c r="AK35" s="465">
        <f t="shared" ref="AK35" si="63">+(P35*AB35)+(P35*AA35)</f>
        <v>71.100000000000023</v>
      </c>
      <c r="AL35" s="465">
        <f t="shared" ref="AL35" si="64">+(P35*AF35)/3*2</f>
        <v>0</v>
      </c>
      <c r="AM35" s="465">
        <f t="shared" ref="AM35" si="65">+P35*Z35</f>
        <v>402.90000000000003</v>
      </c>
      <c r="AN35" s="465">
        <f t="shared" ref="AN35" si="66">+P35*AC35</f>
        <v>0</v>
      </c>
      <c r="AO35" s="465"/>
      <c r="AP35" s="471"/>
      <c r="AQ35" s="472">
        <f>SUM(AG35:AP35)</f>
        <v>474.00000000000006</v>
      </c>
      <c r="AR35" s="465">
        <f t="shared" ref="AR35" si="67">+I35/26*(AE35+AU35)</f>
        <v>126.00000000000001</v>
      </c>
      <c r="AS35" s="465">
        <f t="shared" ref="AS35" si="68">+H35/26*V35</f>
        <v>0</v>
      </c>
      <c r="AT35" s="473">
        <v>0</v>
      </c>
      <c r="AU35" s="474">
        <v>0</v>
      </c>
      <c r="AV35" s="465">
        <f t="shared" ref="AV35" si="69">+P35*AU35*AT35</f>
        <v>0</v>
      </c>
      <c r="AW35" s="465"/>
      <c r="AX35" s="465"/>
      <c r="AY35" s="472">
        <f t="shared" ref="AY35" si="70">+AQ35+AR35+AS35+AX35+AV35</f>
        <v>600.00000000000011</v>
      </c>
      <c r="AZ35" s="465">
        <f t="shared" ref="AZ35" si="71">+AQ35*0.05</f>
        <v>23.700000000000003</v>
      </c>
      <c r="BA35" s="465">
        <f t="shared" ref="BA35" si="72">+(AQ35-AZ35)*0.1</f>
        <v>45.030000000000008</v>
      </c>
      <c r="BB35" s="472">
        <f t="shared" ref="BB35" si="73">+AY35-AZ35-BA35</f>
        <v>531.2700000000001</v>
      </c>
      <c r="BC35" s="465"/>
      <c r="BD35" s="465"/>
      <c r="BE35" s="465"/>
      <c r="BF35" s="465"/>
      <c r="BG35" s="465"/>
      <c r="BH35" s="465"/>
      <c r="BI35" s="465"/>
      <c r="BJ35" s="465"/>
      <c r="BK35" s="465"/>
      <c r="BL35" s="472">
        <f t="shared" ref="BL35" si="74">SUM(BC35:BK35)</f>
        <v>0</v>
      </c>
      <c r="BM35" s="475">
        <f t="shared" ref="BM35" si="75">+BB35-BL35</f>
        <v>531.2700000000001</v>
      </c>
      <c r="BO35" s="465">
        <f t="shared" si="26"/>
        <v>78.000000000000014</v>
      </c>
      <c r="BP35" s="465">
        <f t="shared" si="27"/>
        <v>12.000000000000002</v>
      </c>
      <c r="BQ35" s="465">
        <f t="shared" si="28"/>
        <v>1.2000000000000002</v>
      </c>
      <c r="BR35" s="472">
        <f t="shared" ref="BR35" si="76">SUM(BO35:BQ35)</f>
        <v>91.200000000000017</v>
      </c>
    </row>
    <row r="36" spans="1:94" s="461" customFormat="1" ht="20.25" customHeight="1">
      <c r="A36" s="461">
        <f t="shared" si="30"/>
        <v>34</v>
      </c>
      <c r="B36" s="462" t="s">
        <v>326</v>
      </c>
      <c r="C36" s="463"/>
      <c r="D36" s="463" t="s">
        <v>163</v>
      </c>
      <c r="E36" s="463" t="s">
        <v>247</v>
      </c>
      <c r="F36" s="464">
        <v>44622</v>
      </c>
      <c r="G36" s="465">
        <v>200.2</v>
      </c>
      <c r="H36" s="465">
        <v>65</v>
      </c>
      <c r="I36" s="465">
        <v>49.8</v>
      </c>
      <c r="J36" s="465">
        <v>30</v>
      </c>
      <c r="K36" s="465">
        <v>0.08</v>
      </c>
      <c r="L36" s="466" t="s">
        <v>52</v>
      </c>
      <c r="M36" s="463">
        <v>120</v>
      </c>
      <c r="N36" s="467">
        <v>45264</v>
      </c>
      <c r="O36" s="468" t="str">
        <f t="shared" si="1"/>
        <v>1 ans, 9 mois, 2 jours</v>
      </c>
      <c r="P36" s="465">
        <f t="shared" si="2"/>
        <v>7.6999999999999993</v>
      </c>
      <c r="Q36" s="469" t="str">
        <f t="shared" si="31"/>
        <v>TSQ1-4.III</v>
      </c>
      <c r="R36" s="469" t="str">
        <f t="shared" si="32"/>
        <v>TRAVAILLEUR SEMI QUALIFIE</v>
      </c>
      <c r="S36" s="464" t="str">
        <f t="shared" si="33"/>
        <v>HAUTEMENT QUALIFIE</v>
      </c>
      <c r="T36" s="469" t="str">
        <f>+VLOOKUP($Q36,Categorie!$I:$P,3,0)</f>
        <v>TRAVAILLEUR SEMI QUALIFIE (TSQ), Echellon 1, Classe 4</v>
      </c>
      <c r="U36" s="465">
        <f t="shared" si="37"/>
        <v>1</v>
      </c>
      <c r="V36" s="470">
        <v>12</v>
      </c>
      <c r="W36" s="470">
        <v>0</v>
      </c>
      <c r="X36" s="470">
        <v>0</v>
      </c>
      <c r="Y36" s="470">
        <v>0</v>
      </c>
      <c r="Z36" s="465">
        <f t="shared" si="40"/>
        <v>0</v>
      </c>
      <c r="AA36" s="465">
        <f t="shared" si="41"/>
        <v>0</v>
      </c>
      <c r="AB36" s="465">
        <v>0</v>
      </c>
      <c r="AC36" s="465">
        <f t="shared" si="6"/>
        <v>26</v>
      </c>
      <c r="AD36" s="465"/>
      <c r="AE36" s="470">
        <f t="shared" si="54"/>
        <v>38</v>
      </c>
      <c r="AF36" s="470">
        <v>0</v>
      </c>
      <c r="AG36" s="465">
        <f t="shared" si="50"/>
        <v>92.399999999999991</v>
      </c>
      <c r="AH36" s="465">
        <f t="shared" si="42"/>
        <v>0</v>
      </c>
      <c r="AI36" s="465">
        <f t="shared" si="43"/>
        <v>0</v>
      </c>
      <c r="AJ36" s="465">
        <f t="shared" si="11"/>
        <v>0</v>
      </c>
      <c r="AK36" s="465">
        <f t="shared" si="44"/>
        <v>0</v>
      </c>
      <c r="AL36" s="465">
        <f t="shared" si="45"/>
        <v>0</v>
      </c>
      <c r="AM36" s="465">
        <f t="shared" si="46"/>
        <v>0</v>
      </c>
      <c r="AN36" s="465">
        <f t="shared" si="47"/>
        <v>200.2</v>
      </c>
      <c r="AO36" s="465">
        <f t="shared" si="48"/>
        <v>30</v>
      </c>
      <c r="AP36" s="471">
        <f t="shared" si="36"/>
        <v>0.08</v>
      </c>
      <c r="AQ36" s="472">
        <f>SUM(AG36:AP36)</f>
        <v>322.67999999999995</v>
      </c>
      <c r="AR36" s="465">
        <f t="shared" si="52"/>
        <v>72.784615384615378</v>
      </c>
      <c r="AS36" s="465">
        <f t="shared" si="53"/>
        <v>30</v>
      </c>
      <c r="AT36" s="473">
        <v>0</v>
      </c>
      <c r="AU36" s="474">
        <v>0</v>
      </c>
      <c r="AV36" s="465">
        <f t="shared" si="49"/>
        <v>0</v>
      </c>
      <c r="AW36" s="465"/>
      <c r="AX36" s="465"/>
      <c r="AY36" s="472">
        <f t="shared" si="20"/>
        <v>425.46461538461534</v>
      </c>
      <c r="AZ36" s="465">
        <f t="shared" si="21"/>
        <v>16.133999999999997</v>
      </c>
      <c r="BA36" s="465">
        <f t="shared" si="22"/>
        <v>30.654599999999995</v>
      </c>
      <c r="BB36" s="472">
        <f t="shared" si="23"/>
        <v>378.67601538461531</v>
      </c>
      <c r="BC36" s="465">
        <v>128</v>
      </c>
      <c r="BD36" s="465"/>
      <c r="BE36" s="465"/>
      <c r="BF36" s="465"/>
      <c r="BG36" s="465"/>
      <c r="BH36" s="465"/>
      <c r="BI36" s="465"/>
      <c r="BJ36" s="465"/>
      <c r="BK36" s="465"/>
      <c r="BL36" s="472">
        <f t="shared" si="24"/>
        <v>128</v>
      </c>
      <c r="BM36" s="475">
        <f t="shared" si="25"/>
        <v>250.67601538461531</v>
      </c>
      <c r="BO36" s="465">
        <f t="shared" si="26"/>
        <v>55.310399999999994</v>
      </c>
      <c r="BP36" s="465">
        <f t="shared" si="27"/>
        <v>8.5092923076923075</v>
      </c>
      <c r="BQ36" s="465">
        <f t="shared" si="28"/>
        <v>0.85092923076923066</v>
      </c>
      <c r="BR36" s="472">
        <f t="shared" si="29"/>
        <v>64.670621538461532</v>
      </c>
    </row>
    <row r="37" spans="1:94" s="461" customFormat="1" ht="20.25" customHeight="1">
      <c r="A37" s="461">
        <f t="shared" si="30"/>
        <v>35</v>
      </c>
      <c r="B37" s="462" t="s">
        <v>327</v>
      </c>
      <c r="C37" s="463"/>
      <c r="D37" s="463" t="s">
        <v>230</v>
      </c>
      <c r="E37" s="463" t="s">
        <v>256</v>
      </c>
      <c r="F37" s="464">
        <v>41871</v>
      </c>
      <c r="G37" s="465">
        <v>200.2</v>
      </c>
      <c r="H37" s="465">
        <v>60</v>
      </c>
      <c r="I37" s="465">
        <v>46.95</v>
      </c>
      <c r="J37" s="465"/>
      <c r="K37" s="465">
        <v>0.81</v>
      </c>
      <c r="L37" s="466" t="s">
        <v>52</v>
      </c>
      <c r="M37" s="463">
        <v>281</v>
      </c>
      <c r="N37" s="467">
        <v>45264</v>
      </c>
      <c r="O37" s="468" t="str">
        <f t="shared" si="1"/>
        <v>9 ans, 3 mois, 14 jours</v>
      </c>
      <c r="P37" s="465">
        <f t="shared" si="2"/>
        <v>7.6999999999999993</v>
      </c>
      <c r="Q37" s="469" t="str">
        <f t="shared" si="31"/>
        <v>TSQ1-4.III</v>
      </c>
      <c r="R37" s="469" t="str">
        <f t="shared" si="32"/>
        <v>TRAVAILLEUR SEMI QUALIFIE</v>
      </c>
      <c r="S37" s="464" t="str">
        <f t="shared" si="33"/>
        <v>HAUTEMENT QUALIFIE</v>
      </c>
      <c r="T37" s="469" t="str">
        <f>+VLOOKUP($Q37,Categorie!$I:$P,3,0)</f>
        <v>TRAVAILLEUR SEMI QUALIFIE (TSQ), Echellon 1, Classe 4</v>
      </c>
      <c r="U37" s="465">
        <f t="shared" ref="U37:U68" si="77">+DATEDIF(F37,N37,"y")</f>
        <v>9</v>
      </c>
      <c r="V37" s="470">
        <v>0</v>
      </c>
      <c r="W37" s="470">
        <v>12</v>
      </c>
      <c r="X37" s="470">
        <v>1.5</v>
      </c>
      <c r="Y37" s="470">
        <v>0</v>
      </c>
      <c r="Z37" s="465">
        <f t="shared" si="40"/>
        <v>0</v>
      </c>
      <c r="AA37" s="465">
        <f t="shared" si="41"/>
        <v>0</v>
      </c>
      <c r="AB37" s="465">
        <f t="shared" si="51"/>
        <v>6</v>
      </c>
      <c r="AC37" s="465">
        <f t="shared" si="6"/>
        <v>26</v>
      </c>
      <c r="AD37" s="465"/>
      <c r="AE37" s="470">
        <f t="shared" si="54"/>
        <v>45.5</v>
      </c>
      <c r="AF37" s="470">
        <v>0</v>
      </c>
      <c r="AG37" s="465">
        <f t="shared" si="50"/>
        <v>0</v>
      </c>
      <c r="AH37" s="465">
        <f>ROUND($W37/26*1.25*(G37),2)</f>
        <v>115.5</v>
      </c>
      <c r="AI37" s="465">
        <f t="shared" si="43"/>
        <v>11.549999999999999</v>
      </c>
      <c r="AJ37" s="465">
        <f t="shared" si="11"/>
        <v>0</v>
      </c>
      <c r="AK37" s="465">
        <f t="shared" si="44"/>
        <v>46.199999999999996</v>
      </c>
      <c r="AL37" s="465">
        <f t="shared" si="45"/>
        <v>0</v>
      </c>
      <c r="AM37" s="465">
        <f t="shared" si="46"/>
        <v>0</v>
      </c>
      <c r="AN37" s="465">
        <f t="shared" si="47"/>
        <v>200.2</v>
      </c>
      <c r="AO37" s="465">
        <f t="shared" si="48"/>
        <v>0</v>
      </c>
      <c r="AP37" s="471">
        <f t="shared" si="36"/>
        <v>0.81</v>
      </c>
      <c r="AQ37" s="472">
        <f>SUM(AG37:AP37)</f>
        <v>374.26</v>
      </c>
      <c r="AR37" s="465">
        <f t="shared" si="52"/>
        <v>82.162499999999994</v>
      </c>
      <c r="AS37" s="465">
        <f>+H37/26*W37</f>
        <v>27.69230769230769</v>
      </c>
      <c r="AT37" s="473">
        <v>0</v>
      </c>
      <c r="AU37" s="474">
        <v>0</v>
      </c>
      <c r="AV37" s="465">
        <f t="shared" si="49"/>
        <v>0</v>
      </c>
      <c r="AW37" s="465"/>
      <c r="AX37" s="465"/>
      <c r="AY37" s="472">
        <f t="shared" si="20"/>
        <v>484.11480769230769</v>
      </c>
      <c r="AZ37" s="465">
        <f t="shared" si="21"/>
        <v>18.713000000000001</v>
      </c>
      <c r="BA37" s="465">
        <f t="shared" si="22"/>
        <v>35.554699999999997</v>
      </c>
      <c r="BB37" s="472">
        <f t="shared" si="23"/>
        <v>429.84710769230765</v>
      </c>
      <c r="BC37" s="465"/>
      <c r="BD37" s="465"/>
      <c r="BE37" s="465"/>
      <c r="BF37" s="465"/>
      <c r="BG37" s="465"/>
      <c r="BH37" s="465"/>
      <c r="BI37" s="465"/>
      <c r="BJ37" s="465"/>
      <c r="BK37" s="465"/>
      <c r="BL37" s="472">
        <f t="shared" si="24"/>
        <v>0</v>
      </c>
      <c r="BM37" s="475">
        <f t="shared" si="25"/>
        <v>429.84710769230765</v>
      </c>
      <c r="BO37" s="465">
        <f t="shared" si="26"/>
        <v>62.934925</v>
      </c>
      <c r="BP37" s="465">
        <f t="shared" si="27"/>
        <v>9.6822961538461545</v>
      </c>
      <c r="BQ37" s="465">
        <f t="shared" si="28"/>
        <v>0.96822961538461538</v>
      </c>
      <c r="BR37" s="472">
        <f t="shared" si="29"/>
        <v>73.585450769230775</v>
      </c>
    </row>
    <row r="38" spans="1:94" s="461" customFormat="1" ht="20.25" customHeight="1">
      <c r="A38" s="461">
        <f t="shared" si="30"/>
        <v>36</v>
      </c>
      <c r="B38" s="463" t="s">
        <v>328</v>
      </c>
      <c r="C38" s="463"/>
      <c r="D38" s="463" t="s">
        <v>229</v>
      </c>
      <c r="E38" s="463" t="s">
        <v>232</v>
      </c>
      <c r="F38" s="464">
        <v>41435</v>
      </c>
      <c r="G38" s="465">
        <v>200.2</v>
      </c>
      <c r="H38" s="465">
        <v>60</v>
      </c>
      <c r="I38" s="465">
        <v>29.8</v>
      </c>
      <c r="J38" s="465"/>
      <c r="K38" s="465">
        <v>0.87</v>
      </c>
      <c r="L38" s="466" t="s">
        <v>52</v>
      </c>
      <c r="M38" s="463">
        <v>282</v>
      </c>
      <c r="N38" s="467">
        <v>45255</v>
      </c>
      <c r="O38" s="468" t="str">
        <f t="shared" ref="O38:O101" si="78">DATEDIF(F38, N38, "y") &amp;" ans, "&amp;DATEDIF(F38, N38, "ym") &amp;" mois, " &amp;DATEDIF(F38, N38, "md") &amp;" jours"</f>
        <v>10 ans, 5 mois, 15 jours</v>
      </c>
      <c r="P38" s="465">
        <f t="shared" ref="P38:P101" si="79">+G38/26</f>
        <v>7.6999999999999993</v>
      </c>
      <c r="Q38" s="469" t="str">
        <f t="shared" si="31"/>
        <v>TSQ1-4.III</v>
      </c>
      <c r="R38" s="469" t="str">
        <f t="shared" si="32"/>
        <v>TRAVAILLEUR SEMI QUALIFIE</v>
      </c>
      <c r="S38" s="464" t="str">
        <f t="shared" ref="S38:S101" si="80">IF($P38&lt;=5.39,"MANŒUVRE",IF(AND($P38&gt;5.39,$P38&lt;=7.1),"SEMI-QUALIFIE",IF(AND($P38&gt;7.1,$P38&lt;=8.61),"HAUTEMENT QUALIFIE",IF(AND($P38&gt;8.61,$P38&lt;=19.39),"AGENT DE MAITRISE",IF(AND($P38&gt;19.39,$P38&lt;=64.65),"CADRE DE COLLABORATION",IF($P38&gt;64.65,"CADRE DE DIRECTION"))))))</f>
        <v>HAUTEMENT QUALIFIE</v>
      </c>
      <c r="T38" s="469" t="str">
        <f>+VLOOKUP($Q38,Categorie!$I:$P,3,0)</f>
        <v>TRAVAILLEUR SEMI QUALIFIE (TSQ), Echellon 1, Classe 4</v>
      </c>
      <c r="U38" s="465">
        <f t="shared" si="77"/>
        <v>10</v>
      </c>
      <c r="V38" s="470">
        <v>0</v>
      </c>
      <c r="W38" s="470">
        <v>0</v>
      </c>
      <c r="X38" s="470">
        <v>5</v>
      </c>
      <c r="Y38" s="470">
        <v>0</v>
      </c>
      <c r="Z38" s="465">
        <f t="shared" si="40"/>
        <v>0</v>
      </c>
      <c r="AA38" s="465">
        <f t="shared" si="41"/>
        <v>0</v>
      </c>
      <c r="AB38" s="465">
        <f>+IF(DATEDIF(F38, N38, "md")=0,(DATEDIF(F38, N38, "ym"))*1.5,(DATEDIF(F38, N38, "ym")+1)*1.5)+0.48</f>
        <v>9.48</v>
      </c>
      <c r="AC38" s="465"/>
      <c r="AD38" s="465"/>
      <c r="AE38" s="470">
        <f t="shared" si="54"/>
        <v>14.48</v>
      </c>
      <c r="AF38" s="470">
        <v>0</v>
      </c>
      <c r="AG38" s="465">
        <f t="shared" si="50"/>
        <v>0</v>
      </c>
      <c r="AH38" s="465">
        <f>ROUND($W38/26*1.25*(G38),2)</f>
        <v>0</v>
      </c>
      <c r="AI38" s="465">
        <f t="shared" ref="AI38" si="81">+(P38*X38)</f>
        <v>38.5</v>
      </c>
      <c r="AJ38" s="465">
        <f t="shared" ref="AJ38" si="82">+P38*Y38</f>
        <v>0</v>
      </c>
      <c r="AK38" s="465">
        <f t="shared" ref="AK38" si="83">+(P38*AB38)+(P38*AA38)</f>
        <v>72.995999999999995</v>
      </c>
      <c r="AL38" s="465">
        <f t="shared" ref="AL38" si="84">+(P38*AF38)/3*2</f>
        <v>0</v>
      </c>
      <c r="AM38" s="465">
        <f t="shared" ref="AM38" si="85">+P38*Z38</f>
        <v>0</v>
      </c>
      <c r="AN38" s="465">
        <f t="shared" ref="AN38" si="86">+P38*AC38</f>
        <v>0</v>
      </c>
      <c r="AO38" s="465">
        <f t="shared" si="48"/>
        <v>0</v>
      </c>
      <c r="AP38" s="471">
        <f t="shared" si="36"/>
        <v>0.87</v>
      </c>
      <c r="AQ38" s="472">
        <f>SUM(AG38:AP38)</f>
        <v>112.366</v>
      </c>
      <c r="AR38" s="465">
        <f t="shared" si="52"/>
        <v>16.596307692307693</v>
      </c>
      <c r="AS38" s="465">
        <f t="shared" si="53"/>
        <v>0</v>
      </c>
      <c r="AT38" s="473">
        <v>0</v>
      </c>
      <c r="AU38" s="474">
        <v>0</v>
      </c>
      <c r="AV38" s="465">
        <f t="shared" si="49"/>
        <v>0</v>
      </c>
      <c r="AW38" s="465"/>
      <c r="AX38" s="465"/>
      <c r="AY38" s="472">
        <f t="shared" ref="AY38:AY101" si="87">+AQ38+AR38+AS38+AX38+AV38</f>
        <v>128.96230769230769</v>
      </c>
      <c r="AZ38" s="465">
        <f t="shared" ref="AZ38:AZ101" si="88">+AQ38*0.05</f>
        <v>5.6183000000000005</v>
      </c>
      <c r="BA38" s="465">
        <f t="shared" ref="BA38:BA101" si="89">+(AQ38-AZ38)*0.1</f>
        <v>10.674770000000001</v>
      </c>
      <c r="BB38" s="472">
        <f t="shared" ref="BB38:BB101" si="90">+AY38-AZ38-BA38</f>
        <v>112.66923769230769</v>
      </c>
      <c r="BC38" s="465">
        <v>50</v>
      </c>
      <c r="BD38" s="465"/>
      <c r="BE38" s="465"/>
      <c r="BF38" s="465"/>
      <c r="BG38" s="465"/>
      <c r="BH38" s="465"/>
      <c r="BI38" s="465"/>
      <c r="BJ38" s="465"/>
      <c r="BK38" s="465"/>
      <c r="BL38" s="472">
        <f t="shared" ref="BL38:BL101" si="91">SUM(BC38:BK38)</f>
        <v>50</v>
      </c>
      <c r="BM38" s="475">
        <f t="shared" ref="BM38:BM101" si="92">+BB38-BL38</f>
        <v>62.669237692307689</v>
      </c>
      <c r="BO38" s="465">
        <f t="shared" si="26"/>
        <v>16.7651</v>
      </c>
      <c r="BP38" s="465">
        <f t="shared" si="27"/>
        <v>2.579246153846154</v>
      </c>
      <c r="BQ38" s="465">
        <f t="shared" si="28"/>
        <v>0.25792461538461536</v>
      </c>
      <c r="BR38" s="472">
        <f t="shared" si="29"/>
        <v>19.60227076923077</v>
      </c>
    </row>
    <row r="39" spans="1:94" s="461" customFormat="1" ht="20.25" customHeight="1">
      <c r="A39" s="461">
        <f t="shared" si="30"/>
        <v>37</v>
      </c>
      <c r="B39" s="463" t="s">
        <v>329</v>
      </c>
      <c r="C39" s="463"/>
      <c r="D39" s="463"/>
      <c r="E39" s="463"/>
      <c r="F39" s="464"/>
      <c r="G39" s="465"/>
      <c r="H39" s="465"/>
      <c r="I39" s="465"/>
      <c r="J39" s="465"/>
      <c r="K39" s="465"/>
      <c r="L39" s="466" t="s">
        <v>52</v>
      </c>
      <c r="M39" s="463"/>
      <c r="N39" s="467"/>
      <c r="O39" s="468" t="str">
        <f t="shared" si="78"/>
        <v>0 ans, 0 mois, 0 jours</v>
      </c>
      <c r="P39" s="465">
        <f t="shared" si="79"/>
        <v>0</v>
      </c>
      <c r="Q39" s="469" t="str">
        <f t="shared" si="31"/>
        <v>MAO1-1.I</v>
      </c>
      <c r="R39" s="469" t="str">
        <f t="shared" si="32"/>
        <v>MANŒUVRE ORDINAIRE</v>
      </c>
      <c r="S39" s="464" t="str">
        <f t="shared" si="80"/>
        <v>MANŒUVRE</v>
      </c>
      <c r="T39" s="469" t="str">
        <f>+VLOOKUP($Q39,Categorie!$I:$P,3,0)</f>
        <v>MANŒUVRE ORDINAIRE (MO), Echellon 1, Classe 1</v>
      </c>
      <c r="U39" s="465">
        <f t="shared" si="77"/>
        <v>0</v>
      </c>
      <c r="V39" s="470">
        <v>0</v>
      </c>
      <c r="W39" s="470">
        <v>0</v>
      </c>
      <c r="X39" s="470">
        <v>0</v>
      </c>
      <c r="Y39" s="470">
        <v>0</v>
      </c>
      <c r="Z39" s="465">
        <f t="shared" si="40"/>
        <v>0</v>
      </c>
      <c r="AA39" s="465">
        <f t="shared" si="41"/>
        <v>0</v>
      </c>
      <c r="AB39" s="465">
        <f t="shared" si="51"/>
        <v>0</v>
      </c>
      <c r="AC39" s="465">
        <f t="shared" si="6"/>
        <v>0</v>
      </c>
      <c r="AD39" s="465"/>
      <c r="AE39" s="470">
        <f t="shared" si="54"/>
        <v>0</v>
      </c>
      <c r="AF39" s="470">
        <v>0</v>
      </c>
      <c r="AG39" s="465">
        <f t="shared" si="50"/>
        <v>0</v>
      </c>
      <c r="AH39" s="465">
        <f t="shared" si="42"/>
        <v>0</v>
      </c>
      <c r="AI39" s="465">
        <f t="shared" si="43"/>
        <v>0</v>
      </c>
      <c r="AJ39" s="465">
        <f t="shared" si="11"/>
        <v>0</v>
      </c>
      <c r="AK39" s="465">
        <f t="shared" si="44"/>
        <v>0</v>
      </c>
      <c r="AL39" s="465">
        <f t="shared" si="45"/>
        <v>0</v>
      </c>
      <c r="AM39" s="465">
        <f t="shared" si="46"/>
        <v>0</v>
      </c>
      <c r="AN39" s="465">
        <f t="shared" si="47"/>
        <v>0</v>
      </c>
      <c r="AO39" s="465">
        <f t="shared" si="48"/>
        <v>0</v>
      </c>
      <c r="AP39" s="471">
        <f t="shared" si="36"/>
        <v>0</v>
      </c>
      <c r="AQ39" s="472">
        <f t="shared" si="39"/>
        <v>0</v>
      </c>
      <c r="AR39" s="465">
        <f t="shared" si="52"/>
        <v>0</v>
      </c>
      <c r="AS39" s="465">
        <f t="shared" si="53"/>
        <v>0</v>
      </c>
      <c r="AT39" s="473">
        <v>0</v>
      </c>
      <c r="AU39" s="474">
        <v>0</v>
      </c>
      <c r="AV39" s="465">
        <f t="shared" si="49"/>
        <v>0</v>
      </c>
      <c r="AW39" s="465"/>
      <c r="AX39" s="465"/>
      <c r="AY39" s="472">
        <f t="shared" si="87"/>
        <v>0</v>
      </c>
      <c r="AZ39" s="465">
        <f t="shared" si="88"/>
        <v>0</v>
      </c>
      <c r="BA39" s="465">
        <f t="shared" si="89"/>
        <v>0</v>
      </c>
      <c r="BB39" s="472">
        <f t="shared" si="90"/>
        <v>0</v>
      </c>
      <c r="BC39" s="465"/>
      <c r="BD39" s="465"/>
      <c r="BE39" s="465"/>
      <c r="BF39" s="465"/>
      <c r="BG39" s="465"/>
      <c r="BH39" s="465"/>
      <c r="BI39" s="465"/>
      <c r="BJ39" s="465"/>
      <c r="BK39" s="465"/>
      <c r="BL39" s="472">
        <f t="shared" si="91"/>
        <v>0</v>
      </c>
      <c r="BM39" s="475">
        <f t="shared" si="92"/>
        <v>0</v>
      </c>
      <c r="BO39" s="465">
        <f t="shared" si="26"/>
        <v>0</v>
      </c>
      <c r="BP39" s="465">
        <f t="shared" si="27"/>
        <v>0</v>
      </c>
      <c r="BQ39" s="465">
        <f t="shared" si="28"/>
        <v>0</v>
      </c>
      <c r="BR39" s="472">
        <f t="shared" si="29"/>
        <v>0</v>
      </c>
    </row>
    <row r="40" spans="1:94" s="461" customFormat="1" ht="20.25" customHeight="1">
      <c r="A40" s="461">
        <f t="shared" si="30"/>
        <v>38</v>
      </c>
      <c r="B40" s="463" t="s">
        <v>330</v>
      </c>
      <c r="C40" s="463"/>
      <c r="D40" s="463" t="s">
        <v>165</v>
      </c>
      <c r="E40" s="463" t="s">
        <v>257</v>
      </c>
      <c r="F40" s="464">
        <v>41153</v>
      </c>
      <c r="G40" s="465">
        <v>356.2</v>
      </c>
      <c r="H40" s="465">
        <v>65</v>
      </c>
      <c r="I40" s="465">
        <v>63.3</v>
      </c>
      <c r="J40" s="465"/>
      <c r="K40" s="465">
        <v>5.62</v>
      </c>
      <c r="L40" s="466" t="s">
        <v>52</v>
      </c>
      <c r="M40" s="463">
        <v>160</v>
      </c>
      <c r="N40" s="467">
        <v>45306</v>
      </c>
      <c r="O40" s="468" t="str">
        <f t="shared" si="78"/>
        <v>11 ans, 4 mois, 14 jours</v>
      </c>
      <c r="P40" s="465">
        <f t="shared" si="79"/>
        <v>13.7</v>
      </c>
      <c r="Q40" s="469" t="str">
        <f t="shared" si="31"/>
        <v>TRQ2-8.IV</v>
      </c>
      <c r="R40" s="469" t="str">
        <f t="shared" si="32"/>
        <v>TRAVAILLEUR QUALIFIE</v>
      </c>
      <c r="S40" s="464" t="str">
        <f t="shared" si="80"/>
        <v>AGENT DE MAITRISE</v>
      </c>
      <c r="T40" s="469" t="str">
        <f>+VLOOKUP($Q40,Categorie!$I:$P,3,0)</f>
        <v>TRAVAILLEUR QUALIFIE (TQ), Echellon 2, Classe 8</v>
      </c>
      <c r="U40" s="465">
        <f t="shared" si="77"/>
        <v>11</v>
      </c>
      <c r="V40" s="470">
        <f>2+17</f>
        <v>19</v>
      </c>
      <c r="W40" s="470">
        <v>0</v>
      </c>
      <c r="X40" s="470">
        <v>1.66</v>
      </c>
      <c r="Y40" s="470">
        <v>3</v>
      </c>
      <c r="Z40" s="465">
        <f t="shared" si="40"/>
        <v>0</v>
      </c>
      <c r="AA40" s="465">
        <f t="shared" si="41"/>
        <v>0</v>
      </c>
      <c r="AB40" s="465">
        <v>0</v>
      </c>
      <c r="AC40" s="465">
        <f t="shared" si="6"/>
        <v>2.1666666666666665</v>
      </c>
      <c r="AD40" s="465"/>
      <c r="AE40" s="470">
        <f t="shared" si="54"/>
        <v>25.826666666666668</v>
      </c>
      <c r="AF40" s="470">
        <v>0</v>
      </c>
      <c r="AG40" s="465">
        <f t="shared" si="50"/>
        <v>260.3</v>
      </c>
      <c r="AH40" s="465">
        <f t="shared" si="42"/>
        <v>0</v>
      </c>
      <c r="AI40" s="465">
        <f t="shared" si="43"/>
        <v>22.741999999999997</v>
      </c>
      <c r="AJ40" s="465">
        <f t="shared" si="11"/>
        <v>41.099999999999994</v>
      </c>
      <c r="AK40" s="465">
        <f t="shared" si="44"/>
        <v>0</v>
      </c>
      <c r="AL40" s="465">
        <f t="shared" si="45"/>
        <v>0</v>
      </c>
      <c r="AM40" s="465">
        <f t="shared" si="46"/>
        <v>0</v>
      </c>
      <c r="AN40" s="465">
        <f t="shared" si="47"/>
        <v>29.68333333333333</v>
      </c>
      <c r="AO40" s="465">
        <f t="shared" si="48"/>
        <v>0</v>
      </c>
      <c r="AP40" s="471">
        <f t="shared" si="36"/>
        <v>5.62</v>
      </c>
      <c r="AQ40" s="472">
        <f t="shared" si="39"/>
        <v>359.44533333333339</v>
      </c>
      <c r="AR40" s="465">
        <f t="shared" si="52"/>
        <v>62.878</v>
      </c>
      <c r="AS40" s="465">
        <f t="shared" si="53"/>
        <v>47.5</v>
      </c>
      <c r="AT40" s="473">
        <v>0</v>
      </c>
      <c r="AU40" s="474">
        <v>0</v>
      </c>
      <c r="AV40" s="465">
        <f t="shared" si="49"/>
        <v>0</v>
      </c>
      <c r="AW40" s="465"/>
      <c r="AX40" s="465"/>
      <c r="AY40" s="472">
        <f t="shared" si="87"/>
        <v>469.82333333333338</v>
      </c>
      <c r="AZ40" s="465">
        <f t="shared" si="88"/>
        <v>17.97226666666667</v>
      </c>
      <c r="BA40" s="465">
        <f t="shared" si="89"/>
        <v>34.147306666666672</v>
      </c>
      <c r="BB40" s="472">
        <f t="shared" si="90"/>
        <v>417.70376000000005</v>
      </c>
      <c r="BC40" s="465"/>
      <c r="BD40" s="465"/>
      <c r="BE40" s="465"/>
      <c r="BF40" s="465"/>
      <c r="BG40" s="465"/>
      <c r="BH40" s="465"/>
      <c r="BI40" s="465"/>
      <c r="BJ40" s="465"/>
      <c r="BK40" s="465"/>
      <c r="BL40" s="472">
        <f t="shared" si="91"/>
        <v>0</v>
      </c>
      <c r="BM40" s="475">
        <f t="shared" si="92"/>
        <v>417.70376000000005</v>
      </c>
      <c r="BO40" s="465">
        <f t="shared" si="26"/>
        <v>61.07703333333334</v>
      </c>
      <c r="BP40" s="465">
        <f t="shared" si="27"/>
        <v>9.396466666666667</v>
      </c>
      <c r="BQ40" s="465">
        <f t="shared" si="28"/>
        <v>0.93964666666666674</v>
      </c>
      <c r="BR40" s="472">
        <f t="shared" si="29"/>
        <v>71.413146666666663</v>
      </c>
    </row>
    <row r="41" spans="1:94" s="461" customFormat="1" ht="20.25" customHeight="1">
      <c r="A41" s="461">
        <f t="shared" si="30"/>
        <v>39</v>
      </c>
      <c r="B41" s="463" t="s">
        <v>331</v>
      </c>
      <c r="C41" s="463"/>
      <c r="D41" s="463" t="s">
        <v>258</v>
      </c>
      <c r="E41" s="463" t="s">
        <v>259</v>
      </c>
      <c r="F41" s="464">
        <v>43356</v>
      </c>
      <c r="G41" s="465">
        <v>172.9</v>
      </c>
      <c r="H41" s="465">
        <v>60</v>
      </c>
      <c r="I41" s="465">
        <v>27.1</v>
      </c>
      <c r="J41" s="465"/>
      <c r="K41" s="465">
        <v>2.89</v>
      </c>
      <c r="L41" s="466" t="s">
        <v>52</v>
      </c>
      <c r="M41" s="463">
        <v>216</v>
      </c>
      <c r="N41" s="467">
        <v>45337</v>
      </c>
      <c r="O41" s="468" t="str">
        <f t="shared" si="78"/>
        <v>5 ans, 5 mois, 2 jours</v>
      </c>
      <c r="P41" s="465">
        <f t="shared" si="79"/>
        <v>6.65</v>
      </c>
      <c r="Q41" s="469" t="str">
        <f t="shared" si="31"/>
        <v>TSP0-3.II</v>
      </c>
      <c r="R41" s="469" t="str">
        <f t="shared" si="32"/>
        <v>TRAVAILLEUR SPECIALISE</v>
      </c>
      <c r="S41" s="464" t="str">
        <f t="shared" si="80"/>
        <v>SEMI-QUALIFIE</v>
      </c>
      <c r="T41" s="469" t="str">
        <f>+VLOOKUP($Q41,Categorie!$I:$P,3,0)</f>
        <v>TRAVAILLEUR SPECIALISE (TS), Echellon 0 , Classe 3</v>
      </c>
      <c r="U41" s="465">
        <f t="shared" si="77"/>
        <v>5</v>
      </c>
      <c r="V41" s="470">
        <v>0</v>
      </c>
      <c r="W41" s="470">
        <v>0</v>
      </c>
      <c r="X41" s="470">
        <v>4</v>
      </c>
      <c r="Y41" s="470">
        <v>0</v>
      </c>
      <c r="Z41" s="465">
        <f t="shared" si="40"/>
        <v>0</v>
      </c>
      <c r="AA41" s="465">
        <f t="shared" si="41"/>
        <v>0</v>
      </c>
      <c r="AB41" s="465">
        <v>0</v>
      </c>
      <c r="AC41" s="465">
        <f>IF(N41=0,0,+IF(DATEDIF(F41,N41,"md")=0,(+DATEDIF("01/01/"&amp;YEAR(N41),N41,"m"))*26/12-(AD41/26),(+DATEDIF("01/01/"&amp;YEAR(N41),N41,"m")+1)*26/12-(AD41/26)))</f>
        <v>4.333333333333333</v>
      </c>
      <c r="AD41" s="465"/>
      <c r="AE41" s="470">
        <f t="shared" si="54"/>
        <v>8.3333333333333321</v>
      </c>
      <c r="AF41" s="470">
        <v>0</v>
      </c>
      <c r="AG41" s="465">
        <f t="shared" si="50"/>
        <v>0</v>
      </c>
      <c r="AH41" s="465">
        <f t="shared" si="42"/>
        <v>0</v>
      </c>
      <c r="AI41" s="465">
        <f t="shared" si="43"/>
        <v>26.6</v>
      </c>
      <c r="AJ41" s="465">
        <f t="shared" si="11"/>
        <v>0</v>
      </c>
      <c r="AK41" s="465">
        <f t="shared" si="44"/>
        <v>0</v>
      </c>
      <c r="AL41" s="465">
        <f t="shared" si="45"/>
        <v>0</v>
      </c>
      <c r="AM41" s="465">
        <f t="shared" si="46"/>
        <v>0</v>
      </c>
      <c r="AN41" s="465">
        <f t="shared" si="47"/>
        <v>28.816666666666666</v>
      </c>
      <c r="AO41" s="465">
        <f t="shared" si="48"/>
        <v>0</v>
      </c>
      <c r="AP41" s="471">
        <f>+K41</f>
        <v>2.89</v>
      </c>
      <c r="AQ41" s="472">
        <f t="shared" si="39"/>
        <v>58.306666666666672</v>
      </c>
      <c r="AR41" s="465">
        <f t="shared" si="52"/>
        <v>8.6858974358974361</v>
      </c>
      <c r="AS41" s="465">
        <f t="shared" si="53"/>
        <v>0</v>
      </c>
      <c r="AT41" s="473">
        <v>0</v>
      </c>
      <c r="AU41" s="474">
        <v>0</v>
      </c>
      <c r="AV41" s="465">
        <f t="shared" si="49"/>
        <v>0</v>
      </c>
      <c r="AW41" s="465"/>
      <c r="AX41" s="465"/>
      <c r="AY41" s="472">
        <f t="shared" si="87"/>
        <v>66.992564102564103</v>
      </c>
      <c r="AZ41" s="465">
        <f t="shared" si="88"/>
        <v>2.9153333333333338</v>
      </c>
      <c r="BA41" s="465">
        <f t="shared" si="89"/>
        <v>5.5391333333333339</v>
      </c>
      <c r="BB41" s="472">
        <f t="shared" si="90"/>
        <v>58.538097435897434</v>
      </c>
      <c r="BC41" s="465"/>
      <c r="BD41" s="465"/>
      <c r="BE41" s="465"/>
      <c r="BF41" s="465"/>
      <c r="BG41" s="465"/>
      <c r="BH41" s="465"/>
      <c r="BI41" s="465"/>
      <c r="BJ41" s="465"/>
      <c r="BK41" s="465"/>
      <c r="BL41" s="472">
        <f t="shared" si="91"/>
        <v>0</v>
      </c>
      <c r="BM41" s="475">
        <f t="shared" si="92"/>
        <v>58.538097435897434</v>
      </c>
      <c r="BO41" s="465">
        <f t="shared" si="26"/>
        <v>8.7090333333333341</v>
      </c>
      <c r="BP41" s="465">
        <f t="shared" si="27"/>
        <v>1.339851282051282</v>
      </c>
      <c r="BQ41" s="465">
        <f t="shared" si="28"/>
        <v>0.1339851282051282</v>
      </c>
      <c r="BR41" s="472">
        <f t="shared" si="29"/>
        <v>10.182869743589743</v>
      </c>
    </row>
    <row r="42" spans="1:94" s="461" customFormat="1" ht="20.25" customHeight="1">
      <c r="A42" s="461">
        <f t="shared" si="30"/>
        <v>40</v>
      </c>
      <c r="B42" s="463"/>
      <c r="C42" s="463"/>
      <c r="D42" s="463"/>
      <c r="E42" s="463"/>
      <c r="F42" s="464"/>
      <c r="G42" s="465"/>
      <c r="H42" s="465"/>
      <c r="I42" s="465"/>
      <c r="J42" s="465"/>
      <c r="K42" s="465"/>
      <c r="L42" s="466" t="s">
        <v>52</v>
      </c>
      <c r="M42" s="463"/>
      <c r="N42" s="467"/>
      <c r="O42" s="468" t="str">
        <f t="shared" si="78"/>
        <v>0 ans, 0 mois, 0 jours</v>
      </c>
      <c r="P42" s="465">
        <f t="shared" si="79"/>
        <v>0</v>
      </c>
      <c r="Q42" s="469" t="str">
        <f t="shared" si="31"/>
        <v>MAO1-1.I</v>
      </c>
      <c r="R42" s="469" t="str">
        <f t="shared" si="32"/>
        <v>MANŒUVRE ORDINAIRE</v>
      </c>
      <c r="S42" s="464" t="str">
        <f t="shared" si="80"/>
        <v>MANŒUVRE</v>
      </c>
      <c r="T42" s="469" t="str">
        <f>+VLOOKUP($Q42,Categorie!$I:$P,3,0)</f>
        <v>MANŒUVRE ORDINAIRE (MO), Echellon 1, Classe 1</v>
      </c>
      <c r="U42" s="465">
        <f t="shared" si="77"/>
        <v>0</v>
      </c>
      <c r="V42" s="470">
        <v>0</v>
      </c>
      <c r="W42" s="470">
        <v>0</v>
      </c>
      <c r="X42" s="470">
        <v>0</v>
      </c>
      <c r="Y42" s="470">
        <v>0</v>
      </c>
      <c r="Z42" s="465">
        <f t="shared" si="40"/>
        <v>0</v>
      </c>
      <c r="AA42" s="465">
        <f t="shared" si="41"/>
        <v>0</v>
      </c>
      <c r="AB42" s="465">
        <f t="shared" si="51"/>
        <v>0</v>
      </c>
      <c r="AC42" s="465">
        <f t="shared" si="6"/>
        <v>0</v>
      </c>
      <c r="AD42" s="465"/>
      <c r="AE42" s="470">
        <f t="shared" si="54"/>
        <v>0</v>
      </c>
      <c r="AF42" s="470">
        <v>0</v>
      </c>
      <c r="AG42" s="465">
        <f t="shared" si="50"/>
        <v>0</v>
      </c>
      <c r="AH42" s="465">
        <f t="shared" si="42"/>
        <v>0</v>
      </c>
      <c r="AI42" s="465">
        <f t="shared" si="43"/>
        <v>0</v>
      </c>
      <c r="AJ42" s="465">
        <f t="shared" si="11"/>
        <v>0</v>
      </c>
      <c r="AK42" s="465">
        <f t="shared" si="44"/>
        <v>0</v>
      </c>
      <c r="AL42" s="465">
        <f t="shared" si="45"/>
        <v>0</v>
      </c>
      <c r="AM42" s="465">
        <f t="shared" si="46"/>
        <v>0</v>
      </c>
      <c r="AN42" s="465">
        <f t="shared" si="47"/>
        <v>0</v>
      </c>
      <c r="AO42" s="465">
        <f t="shared" si="48"/>
        <v>0</v>
      </c>
      <c r="AP42" s="471">
        <f t="shared" si="36"/>
        <v>0</v>
      </c>
      <c r="AQ42" s="472">
        <f t="shared" si="39"/>
        <v>0</v>
      </c>
      <c r="AR42" s="465">
        <f t="shared" si="52"/>
        <v>0</v>
      </c>
      <c r="AS42" s="465">
        <f t="shared" si="53"/>
        <v>0</v>
      </c>
      <c r="AT42" s="473">
        <v>0</v>
      </c>
      <c r="AU42" s="474">
        <v>0</v>
      </c>
      <c r="AV42" s="465">
        <f t="shared" si="49"/>
        <v>0</v>
      </c>
      <c r="AW42" s="465"/>
      <c r="AX42" s="465"/>
      <c r="AY42" s="472">
        <f t="shared" si="87"/>
        <v>0</v>
      </c>
      <c r="AZ42" s="465">
        <f t="shared" si="88"/>
        <v>0</v>
      </c>
      <c r="BA42" s="465">
        <f t="shared" si="89"/>
        <v>0</v>
      </c>
      <c r="BB42" s="472">
        <f t="shared" si="90"/>
        <v>0</v>
      </c>
      <c r="BC42" s="465"/>
      <c r="BD42" s="465"/>
      <c r="BE42" s="465"/>
      <c r="BF42" s="465"/>
      <c r="BG42" s="465"/>
      <c r="BH42" s="465"/>
      <c r="BI42" s="465"/>
      <c r="BJ42" s="465"/>
      <c r="BK42" s="465"/>
      <c r="BL42" s="472">
        <f t="shared" si="91"/>
        <v>0</v>
      </c>
      <c r="BM42" s="475">
        <f t="shared" si="92"/>
        <v>0</v>
      </c>
      <c r="BO42" s="465">
        <f t="shared" si="26"/>
        <v>0</v>
      </c>
      <c r="BP42" s="465">
        <f t="shared" si="27"/>
        <v>0</v>
      </c>
      <c r="BQ42" s="465">
        <f t="shared" si="28"/>
        <v>0</v>
      </c>
      <c r="BR42" s="472">
        <f t="shared" si="29"/>
        <v>0</v>
      </c>
    </row>
    <row r="43" spans="1:94" s="461" customFormat="1" ht="20.25" customHeight="1">
      <c r="A43" s="461">
        <f t="shared" si="30"/>
        <v>41</v>
      </c>
      <c r="B43" s="463"/>
      <c r="C43" s="463"/>
      <c r="D43" s="463"/>
      <c r="E43" s="463"/>
      <c r="F43" s="464"/>
      <c r="G43" s="465"/>
      <c r="H43" s="465"/>
      <c r="I43" s="465"/>
      <c r="J43" s="465"/>
      <c r="K43" s="465"/>
      <c r="L43" s="466" t="s">
        <v>52</v>
      </c>
      <c r="M43" s="463"/>
      <c r="N43" s="467"/>
      <c r="O43" s="468" t="str">
        <f t="shared" si="78"/>
        <v>0 ans, 0 mois, 0 jours</v>
      </c>
      <c r="P43" s="465">
        <f t="shared" si="79"/>
        <v>0</v>
      </c>
      <c r="Q43" s="469" t="str">
        <f t="shared" si="31"/>
        <v>MAO1-1.I</v>
      </c>
      <c r="R43" s="469" t="str">
        <f t="shared" si="32"/>
        <v>MANŒUVRE ORDINAIRE</v>
      </c>
      <c r="S43" s="464" t="str">
        <f t="shared" si="80"/>
        <v>MANŒUVRE</v>
      </c>
      <c r="T43" s="469" t="str">
        <f>+VLOOKUP($Q43,Categorie!$I:$P,3,0)</f>
        <v>MANŒUVRE ORDINAIRE (MO), Echellon 1, Classe 1</v>
      </c>
      <c r="U43" s="465">
        <f t="shared" si="77"/>
        <v>0</v>
      </c>
      <c r="V43" s="470">
        <v>0</v>
      </c>
      <c r="W43" s="470">
        <v>0</v>
      </c>
      <c r="X43" s="470">
        <v>0</v>
      </c>
      <c r="Y43" s="470">
        <v>0</v>
      </c>
      <c r="Z43" s="465">
        <f t="shared" si="40"/>
        <v>0</v>
      </c>
      <c r="AA43" s="465">
        <f t="shared" si="41"/>
        <v>0</v>
      </c>
      <c r="AB43" s="465">
        <f t="shared" si="51"/>
        <v>0</v>
      </c>
      <c r="AC43" s="465">
        <f t="shared" si="6"/>
        <v>0</v>
      </c>
      <c r="AD43" s="465"/>
      <c r="AE43" s="470">
        <f t="shared" si="54"/>
        <v>0</v>
      </c>
      <c r="AF43" s="470">
        <v>0</v>
      </c>
      <c r="AG43" s="465">
        <f t="shared" si="50"/>
        <v>0</v>
      </c>
      <c r="AH43" s="465">
        <f t="shared" si="42"/>
        <v>0</v>
      </c>
      <c r="AI43" s="465">
        <f t="shared" si="43"/>
        <v>0</v>
      </c>
      <c r="AJ43" s="465">
        <f t="shared" si="11"/>
        <v>0</v>
      </c>
      <c r="AK43" s="465">
        <f t="shared" si="44"/>
        <v>0</v>
      </c>
      <c r="AL43" s="465">
        <f t="shared" si="45"/>
        <v>0</v>
      </c>
      <c r="AM43" s="465">
        <f t="shared" si="46"/>
        <v>0</v>
      </c>
      <c r="AN43" s="465">
        <f t="shared" si="47"/>
        <v>0</v>
      </c>
      <c r="AO43" s="465">
        <f t="shared" si="48"/>
        <v>0</v>
      </c>
      <c r="AP43" s="471">
        <f t="shared" si="36"/>
        <v>0</v>
      </c>
      <c r="AQ43" s="472">
        <f t="shared" si="39"/>
        <v>0</v>
      </c>
      <c r="AR43" s="465">
        <f t="shared" si="52"/>
        <v>0</v>
      </c>
      <c r="AS43" s="465">
        <f t="shared" si="53"/>
        <v>0</v>
      </c>
      <c r="AT43" s="473">
        <v>0</v>
      </c>
      <c r="AU43" s="474">
        <v>0</v>
      </c>
      <c r="AV43" s="465">
        <f t="shared" si="49"/>
        <v>0</v>
      </c>
      <c r="AW43" s="465"/>
      <c r="AX43" s="465"/>
      <c r="AY43" s="472">
        <f t="shared" si="87"/>
        <v>0</v>
      </c>
      <c r="AZ43" s="465">
        <f t="shared" si="88"/>
        <v>0</v>
      </c>
      <c r="BA43" s="465">
        <f t="shared" si="89"/>
        <v>0</v>
      </c>
      <c r="BB43" s="472">
        <f t="shared" si="90"/>
        <v>0</v>
      </c>
      <c r="BC43" s="465"/>
      <c r="BD43" s="465"/>
      <c r="BE43" s="465"/>
      <c r="BF43" s="465"/>
      <c r="BG43" s="465"/>
      <c r="BH43" s="465"/>
      <c r="BI43" s="465"/>
      <c r="BJ43" s="465"/>
      <c r="BK43" s="465"/>
      <c r="BL43" s="472">
        <f t="shared" si="91"/>
        <v>0</v>
      </c>
      <c r="BM43" s="475">
        <f t="shared" si="92"/>
        <v>0</v>
      </c>
      <c r="BO43" s="465">
        <f t="shared" si="26"/>
        <v>0</v>
      </c>
      <c r="BP43" s="465">
        <f t="shared" si="27"/>
        <v>0</v>
      </c>
      <c r="BQ43" s="465">
        <f t="shared" si="28"/>
        <v>0</v>
      </c>
      <c r="BR43" s="472">
        <f t="shared" si="29"/>
        <v>0</v>
      </c>
    </row>
    <row r="44" spans="1:94" s="461" customFormat="1" ht="20.25" customHeight="1">
      <c r="A44" s="461">
        <f t="shared" si="30"/>
        <v>42</v>
      </c>
      <c r="B44" s="463"/>
      <c r="C44" s="463"/>
      <c r="D44" s="463"/>
      <c r="E44" s="463"/>
      <c r="F44" s="464"/>
      <c r="G44" s="465"/>
      <c r="H44" s="465"/>
      <c r="I44" s="465"/>
      <c r="J44" s="465"/>
      <c r="K44" s="465"/>
      <c r="L44" s="466" t="s">
        <v>52</v>
      </c>
      <c r="M44" s="463"/>
      <c r="N44" s="467"/>
      <c r="O44" s="468" t="str">
        <f t="shared" si="78"/>
        <v>0 ans, 0 mois, 0 jours</v>
      </c>
      <c r="P44" s="465">
        <f t="shared" si="79"/>
        <v>0</v>
      </c>
      <c r="Q44" s="469" t="str">
        <f t="shared" si="31"/>
        <v>MAO1-1.I</v>
      </c>
      <c r="R44" s="469" t="str">
        <f t="shared" si="32"/>
        <v>MANŒUVRE ORDINAIRE</v>
      </c>
      <c r="S44" s="464" t="str">
        <f t="shared" si="80"/>
        <v>MANŒUVRE</v>
      </c>
      <c r="T44" s="469" t="str">
        <f>+VLOOKUP($Q44,Categorie!$I:$P,3,0)</f>
        <v>MANŒUVRE ORDINAIRE (MO), Echellon 1, Classe 1</v>
      </c>
      <c r="U44" s="465">
        <f t="shared" si="77"/>
        <v>0</v>
      </c>
      <c r="V44" s="470">
        <v>0</v>
      </c>
      <c r="W44" s="470">
        <v>0</v>
      </c>
      <c r="X44" s="470">
        <v>0</v>
      </c>
      <c r="Y44" s="470">
        <v>0</v>
      </c>
      <c r="Z44" s="465">
        <f t="shared" si="40"/>
        <v>0</v>
      </c>
      <c r="AA44" s="465">
        <f t="shared" si="41"/>
        <v>0</v>
      </c>
      <c r="AB44" s="465">
        <f t="shared" si="51"/>
        <v>0</v>
      </c>
      <c r="AC44" s="465">
        <f t="shared" si="6"/>
        <v>0</v>
      </c>
      <c r="AD44" s="465"/>
      <c r="AE44" s="470">
        <f t="shared" si="54"/>
        <v>0</v>
      </c>
      <c r="AF44" s="470">
        <v>0</v>
      </c>
      <c r="AG44" s="465">
        <f t="shared" si="50"/>
        <v>0</v>
      </c>
      <c r="AH44" s="465">
        <f t="shared" si="42"/>
        <v>0</v>
      </c>
      <c r="AI44" s="465">
        <f t="shared" si="43"/>
        <v>0</v>
      </c>
      <c r="AJ44" s="465">
        <f t="shared" si="11"/>
        <v>0</v>
      </c>
      <c r="AK44" s="465">
        <f t="shared" si="44"/>
        <v>0</v>
      </c>
      <c r="AL44" s="465">
        <f t="shared" si="45"/>
        <v>0</v>
      </c>
      <c r="AM44" s="465">
        <f t="shared" si="46"/>
        <v>0</v>
      </c>
      <c r="AN44" s="465">
        <f t="shared" si="47"/>
        <v>0</v>
      </c>
      <c r="AO44" s="465">
        <f t="shared" si="48"/>
        <v>0</v>
      </c>
      <c r="AP44" s="471">
        <f t="shared" si="36"/>
        <v>0</v>
      </c>
      <c r="AQ44" s="472">
        <f t="shared" si="39"/>
        <v>0</v>
      </c>
      <c r="AR44" s="465">
        <f t="shared" si="52"/>
        <v>0</v>
      </c>
      <c r="AS44" s="465">
        <f t="shared" si="53"/>
        <v>0</v>
      </c>
      <c r="AT44" s="473">
        <v>0</v>
      </c>
      <c r="AU44" s="474">
        <v>0</v>
      </c>
      <c r="AV44" s="465">
        <f t="shared" si="49"/>
        <v>0</v>
      </c>
      <c r="AW44" s="465"/>
      <c r="AX44" s="465"/>
      <c r="AY44" s="472">
        <f t="shared" si="87"/>
        <v>0</v>
      </c>
      <c r="AZ44" s="465">
        <f t="shared" si="88"/>
        <v>0</v>
      </c>
      <c r="BA44" s="465">
        <f t="shared" si="89"/>
        <v>0</v>
      </c>
      <c r="BB44" s="472">
        <f t="shared" si="90"/>
        <v>0</v>
      </c>
      <c r="BC44" s="465"/>
      <c r="BD44" s="465"/>
      <c r="BE44" s="465"/>
      <c r="BF44" s="465"/>
      <c r="BG44" s="465"/>
      <c r="BH44" s="465"/>
      <c r="BI44" s="465"/>
      <c r="BJ44" s="465"/>
      <c r="BK44" s="465"/>
      <c r="BL44" s="472">
        <f t="shared" si="91"/>
        <v>0</v>
      </c>
      <c r="BM44" s="475">
        <f t="shared" si="92"/>
        <v>0</v>
      </c>
      <c r="BO44" s="465">
        <f t="shared" si="26"/>
        <v>0</v>
      </c>
      <c r="BP44" s="465">
        <f t="shared" si="27"/>
        <v>0</v>
      </c>
      <c r="BQ44" s="465">
        <f t="shared" si="28"/>
        <v>0</v>
      </c>
      <c r="BR44" s="472">
        <f t="shared" si="29"/>
        <v>0</v>
      </c>
    </row>
    <row r="45" spans="1:94" s="243" customFormat="1" ht="20.25" customHeight="1">
      <c r="A45" s="243">
        <f t="shared" si="30"/>
        <v>43</v>
      </c>
      <c r="B45" s="257"/>
      <c r="C45" s="257"/>
      <c r="D45" s="257"/>
      <c r="E45" s="257"/>
      <c r="F45" s="258"/>
      <c r="G45" s="259"/>
      <c r="H45" s="259"/>
      <c r="I45" s="259"/>
      <c r="J45" s="259"/>
      <c r="K45" s="259"/>
      <c r="L45" s="260" t="s">
        <v>52</v>
      </c>
      <c r="M45" s="257"/>
      <c r="N45" s="261"/>
      <c r="O45" s="262" t="str">
        <f t="shared" si="78"/>
        <v>0 ans, 0 mois, 0 jours</v>
      </c>
      <c r="P45" s="259">
        <f t="shared" si="79"/>
        <v>0</v>
      </c>
      <c r="Q45" s="217" t="str">
        <f t="shared" si="31"/>
        <v>MAO1-1.I</v>
      </c>
      <c r="R45" s="217" t="str">
        <f t="shared" si="32"/>
        <v>MANŒUVRE ORDINAIRE</v>
      </c>
      <c r="S45" s="258" t="str">
        <f t="shared" si="80"/>
        <v>MANŒUVRE</v>
      </c>
      <c r="T45" s="217" t="str">
        <f>+VLOOKUP($Q45,Categorie!$I:$P,3,0)</f>
        <v>MANŒUVRE ORDINAIRE (MO), Echellon 1, Classe 1</v>
      </c>
      <c r="U45" s="259">
        <f t="shared" si="77"/>
        <v>0</v>
      </c>
      <c r="V45" s="263">
        <v>0</v>
      </c>
      <c r="W45" s="263">
        <v>0</v>
      </c>
      <c r="X45" s="263">
        <v>0</v>
      </c>
      <c r="Y45" s="263">
        <v>0</v>
      </c>
      <c r="Z45" s="259">
        <f t="shared" si="40"/>
        <v>0</v>
      </c>
      <c r="AA45" s="259">
        <f t="shared" si="41"/>
        <v>0</v>
      </c>
      <c r="AB45" s="259">
        <f t="shared" si="51"/>
        <v>0</v>
      </c>
      <c r="AC45" s="264">
        <f t="shared" si="6"/>
        <v>0</v>
      </c>
      <c r="AD45" s="264"/>
      <c r="AE45" s="263">
        <f t="shared" si="54"/>
        <v>0</v>
      </c>
      <c r="AF45" s="263">
        <v>0</v>
      </c>
      <c r="AG45" s="259">
        <f t="shared" si="50"/>
        <v>0</v>
      </c>
      <c r="AH45" s="259">
        <f t="shared" si="42"/>
        <v>0</v>
      </c>
      <c r="AI45" s="259">
        <f t="shared" si="43"/>
        <v>0</v>
      </c>
      <c r="AJ45" s="259">
        <f t="shared" si="11"/>
        <v>0</v>
      </c>
      <c r="AK45" s="259">
        <f t="shared" si="44"/>
        <v>0</v>
      </c>
      <c r="AL45" s="259">
        <f t="shared" si="45"/>
        <v>0</v>
      </c>
      <c r="AM45" s="259">
        <f t="shared" si="46"/>
        <v>0</v>
      </c>
      <c r="AN45" s="259">
        <f t="shared" si="47"/>
        <v>0</v>
      </c>
      <c r="AO45" s="259">
        <f t="shared" si="48"/>
        <v>0</v>
      </c>
      <c r="AP45" s="247">
        <f t="shared" si="36"/>
        <v>0</v>
      </c>
      <c r="AQ45" s="265">
        <f t="shared" si="39"/>
        <v>0</v>
      </c>
      <c r="AR45" s="259">
        <f t="shared" si="52"/>
        <v>0</v>
      </c>
      <c r="AS45" s="259">
        <f t="shared" si="53"/>
        <v>0</v>
      </c>
      <c r="AT45" s="266">
        <v>0</v>
      </c>
      <c r="AU45" s="267">
        <v>0</v>
      </c>
      <c r="AV45" s="259">
        <f t="shared" si="49"/>
        <v>0</v>
      </c>
      <c r="AW45" s="259"/>
      <c r="AX45" s="259"/>
      <c r="AY45" s="265">
        <f t="shared" si="87"/>
        <v>0</v>
      </c>
      <c r="AZ45" s="259">
        <f t="shared" si="88"/>
        <v>0</v>
      </c>
      <c r="BA45" s="259">
        <f t="shared" si="89"/>
        <v>0</v>
      </c>
      <c r="BB45" s="430">
        <f t="shared" si="90"/>
        <v>0</v>
      </c>
      <c r="BC45" s="259"/>
      <c r="BD45" s="259"/>
      <c r="BE45" s="259"/>
      <c r="BF45" s="259"/>
      <c r="BG45" s="259"/>
      <c r="BH45" s="259"/>
      <c r="BI45" s="259"/>
      <c r="BJ45" s="259"/>
      <c r="BK45" s="259"/>
      <c r="BL45" s="265">
        <f t="shared" si="91"/>
        <v>0</v>
      </c>
      <c r="BM45" s="268">
        <f t="shared" si="92"/>
        <v>0</v>
      </c>
      <c r="BN45" s="219"/>
      <c r="BO45" s="259">
        <f t="shared" si="26"/>
        <v>0</v>
      </c>
      <c r="BP45" s="259">
        <f t="shared" si="27"/>
        <v>0</v>
      </c>
      <c r="BQ45" s="259">
        <f t="shared" si="28"/>
        <v>0</v>
      </c>
      <c r="BR45" s="265">
        <f t="shared" si="29"/>
        <v>0</v>
      </c>
      <c r="BS45" s="219"/>
      <c r="BT45" s="219"/>
      <c r="BU45" s="219"/>
      <c r="BV45" s="219"/>
      <c r="BW45" s="219"/>
      <c r="BX45" s="219"/>
      <c r="BY45" s="219"/>
      <c r="BZ45" s="219"/>
      <c r="CA45" s="219"/>
      <c r="CB45" s="219"/>
      <c r="CC45" s="219"/>
      <c r="CD45" s="219"/>
      <c r="CE45" s="219"/>
      <c r="CF45" s="219"/>
      <c r="CG45" s="219"/>
      <c r="CH45" s="219"/>
      <c r="CI45" s="219"/>
      <c r="CJ45" s="219"/>
      <c r="CK45" s="219"/>
      <c r="CL45" s="219"/>
      <c r="CM45" s="219"/>
      <c r="CN45" s="219"/>
      <c r="CO45" s="219"/>
      <c r="CP45" s="219"/>
    </row>
    <row r="46" spans="1:94" s="243" customFormat="1" ht="20.25" customHeight="1">
      <c r="A46" s="243">
        <f t="shared" si="30"/>
        <v>44</v>
      </c>
      <c r="B46" s="257"/>
      <c r="C46" s="257"/>
      <c r="D46" s="257"/>
      <c r="E46" s="257"/>
      <c r="F46" s="258"/>
      <c r="G46" s="259"/>
      <c r="H46" s="259"/>
      <c r="I46" s="259"/>
      <c r="J46" s="259"/>
      <c r="K46" s="259"/>
      <c r="L46" s="260" t="s">
        <v>52</v>
      </c>
      <c r="M46" s="257"/>
      <c r="N46" s="261"/>
      <c r="O46" s="262" t="str">
        <f t="shared" si="78"/>
        <v>0 ans, 0 mois, 0 jours</v>
      </c>
      <c r="P46" s="259">
        <f t="shared" si="79"/>
        <v>0</v>
      </c>
      <c r="Q46" s="217" t="str">
        <f t="shared" si="31"/>
        <v>MAO1-1.I</v>
      </c>
      <c r="R46" s="217" t="str">
        <f t="shared" si="32"/>
        <v>MANŒUVRE ORDINAIRE</v>
      </c>
      <c r="S46" s="258" t="str">
        <f t="shared" si="80"/>
        <v>MANŒUVRE</v>
      </c>
      <c r="T46" s="217" t="str">
        <f>+VLOOKUP($Q46,Categorie!$I:$P,3,0)</f>
        <v>MANŒUVRE ORDINAIRE (MO), Echellon 1, Classe 1</v>
      </c>
      <c r="U46" s="259">
        <f t="shared" si="77"/>
        <v>0</v>
      </c>
      <c r="V46" s="263">
        <v>0</v>
      </c>
      <c r="W46" s="263">
        <v>0</v>
      </c>
      <c r="X46" s="263">
        <v>0</v>
      </c>
      <c r="Y46" s="263">
        <v>0</v>
      </c>
      <c r="Z46" s="259">
        <f t="shared" si="40"/>
        <v>0</v>
      </c>
      <c r="AA46" s="259">
        <f t="shared" si="41"/>
        <v>0</v>
      </c>
      <c r="AB46" s="259">
        <f t="shared" si="51"/>
        <v>0</v>
      </c>
      <c r="AC46" s="264">
        <f t="shared" si="6"/>
        <v>0</v>
      </c>
      <c r="AD46" s="264"/>
      <c r="AE46" s="263">
        <f t="shared" si="54"/>
        <v>0</v>
      </c>
      <c r="AF46" s="263">
        <v>0</v>
      </c>
      <c r="AG46" s="259">
        <f t="shared" si="50"/>
        <v>0</v>
      </c>
      <c r="AH46" s="259">
        <f t="shared" si="42"/>
        <v>0</v>
      </c>
      <c r="AI46" s="259">
        <f t="shared" si="43"/>
        <v>0</v>
      </c>
      <c r="AJ46" s="259">
        <f t="shared" si="11"/>
        <v>0</v>
      </c>
      <c r="AK46" s="259">
        <f t="shared" si="44"/>
        <v>0</v>
      </c>
      <c r="AL46" s="259">
        <f t="shared" si="45"/>
        <v>0</v>
      </c>
      <c r="AM46" s="259">
        <f t="shared" si="46"/>
        <v>0</v>
      </c>
      <c r="AN46" s="259">
        <f t="shared" si="47"/>
        <v>0</v>
      </c>
      <c r="AO46" s="259">
        <f t="shared" si="48"/>
        <v>0</v>
      </c>
      <c r="AP46" s="247">
        <f t="shared" si="36"/>
        <v>0</v>
      </c>
      <c r="AQ46" s="265">
        <f t="shared" si="39"/>
        <v>0</v>
      </c>
      <c r="AR46" s="259">
        <f t="shared" si="52"/>
        <v>0</v>
      </c>
      <c r="AS46" s="259">
        <f t="shared" si="53"/>
        <v>0</v>
      </c>
      <c r="AT46" s="266">
        <v>0</v>
      </c>
      <c r="AU46" s="267">
        <v>0</v>
      </c>
      <c r="AV46" s="259">
        <f t="shared" si="49"/>
        <v>0</v>
      </c>
      <c r="AW46" s="259"/>
      <c r="AX46" s="259"/>
      <c r="AY46" s="265">
        <f t="shared" si="87"/>
        <v>0</v>
      </c>
      <c r="AZ46" s="259">
        <f t="shared" si="88"/>
        <v>0</v>
      </c>
      <c r="BA46" s="259">
        <f t="shared" si="89"/>
        <v>0</v>
      </c>
      <c r="BB46" s="430">
        <f t="shared" si="90"/>
        <v>0</v>
      </c>
      <c r="BC46" s="259"/>
      <c r="BD46" s="259"/>
      <c r="BE46" s="259"/>
      <c r="BF46" s="259"/>
      <c r="BG46" s="259"/>
      <c r="BH46" s="259"/>
      <c r="BI46" s="259"/>
      <c r="BJ46" s="259"/>
      <c r="BK46" s="259"/>
      <c r="BL46" s="265">
        <f t="shared" si="91"/>
        <v>0</v>
      </c>
      <c r="BM46" s="268">
        <f t="shared" si="92"/>
        <v>0</v>
      </c>
      <c r="BN46" s="219"/>
      <c r="BO46" s="259">
        <f t="shared" si="26"/>
        <v>0</v>
      </c>
      <c r="BP46" s="259">
        <f t="shared" si="27"/>
        <v>0</v>
      </c>
      <c r="BQ46" s="259">
        <f t="shared" si="28"/>
        <v>0</v>
      </c>
      <c r="BR46" s="265">
        <f t="shared" si="29"/>
        <v>0</v>
      </c>
      <c r="BS46" s="219"/>
      <c r="BT46" s="219"/>
      <c r="BU46" s="219"/>
      <c r="BV46" s="219"/>
      <c r="BW46" s="219"/>
      <c r="BX46" s="219"/>
      <c r="BY46" s="219"/>
      <c r="BZ46" s="219"/>
      <c r="CA46" s="219"/>
      <c r="CB46" s="219"/>
      <c r="CC46" s="219"/>
      <c r="CD46" s="219"/>
      <c r="CE46" s="219"/>
      <c r="CF46" s="219"/>
      <c r="CG46" s="219"/>
      <c r="CH46" s="219"/>
      <c r="CI46" s="219"/>
      <c r="CJ46" s="219"/>
      <c r="CK46" s="219"/>
      <c r="CL46" s="219"/>
      <c r="CM46" s="219"/>
      <c r="CN46" s="219"/>
      <c r="CO46" s="219"/>
      <c r="CP46" s="219"/>
    </row>
    <row r="47" spans="1:94">
      <c r="A47" s="243">
        <f t="shared" si="30"/>
        <v>45</v>
      </c>
      <c r="B47" s="257"/>
      <c r="C47" s="257"/>
      <c r="D47" s="257"/>
      <c r="E47" s="257"/>
      <c r="F47" s="258"/>
      <c r="G47" s="259"/>
      <c r="H47" s="259"/>
      <c r="I47" s="259"/>
      <c r="J47" s="259"/>
      <c r="K47" s="259"/>
      <c r="L47" s="260" t="s">
        <v>52</v>
      </c>
      <c r="M47" s="257"/>
      <c r="N47" s="261"/>
      <c r="O47" s="262" t="str">
        <f t="shared" si="78"/>
        <v>0 ans, 0 mois, 0 jours</v>
      </c>
      <c r="P47" s="259">
        <f t="shared" si="79"/>
        <v>0</v>
      </c>
      <c r="Q47" s="217" t="str">
        <f t="shared" si="31"/>
        <v>MAO1-1.I</v>
      </c>
      <c r="R47" s="217" t="str">
        <f t="shared" si="32"/>
        <v>MANŒUVRE ORDINAIRE</v>
      </c>
      <c r="S47" s="258" t="str">
        <f t="shared" si="80"/>
        <v>MANŒUVRE</v>
      </c>
      <c r="T47" s="217" t="str">
        <f>+VLOOKUP($Q47,Categorie!$I:$P,3,0)</f>
        <v>MANŒUVRE ORDINAIRE (MO), Echellon 1, Classe 1</v>
      </c>
      <c r="U47" s="259">
        <f t="shared" si="77"/>
        <v>0</v>
      </c>
      <c r="V47" s="263">
        <v>0</v>
      </c>
      <c r="W47" s="263">
        <v>0</v>
      </c>
      <c r="X47" s="263">
        <v>0</v>
      </c>
      <c r="Y47" s="263">
        <v>0</v>
      </c>
      <c r="Z47" s="259">
        <f t="shared" si="40"/>
        <v>0</v>
      </c>
      <c r="AA47" s="259">
        <f t="shared" si="41"/>
        <v>0</v>
      </c>
      <c r="AB47" s="259">
        <f t="shared" si="51"/>
        <v>0</v>
      </c>
      <c r="AC47" s="264">
        <f t="shared" si="6"/>
        <v>0</v>
      </c>
      <c r="AD47" s="264"/>
      <c r="AE47" s="263">
        <f t="shared" si="54"/>
        <v>0</v>
      </c>
      <c r="AF47" s="263">
        <v>0</v>
      </c>
      <c r="AG47" s="259">
        <f t="shared" si="50"/>
        <v>0</v>
      </c>
      <c r="AH47" s="259">
        <f t="shared" si="42"/>
        <v>0</v>
      </c>
      <c r="AI47" s="259">
        <f t="shared" si="43"/>
        <v>0</v>
      </c>
      <c r="AJ47" s="259">
        <f t="shared" si="11"/>
        <v>0</v>
      </c>
      <c r="AK47" s="259">
        <f t="shared" si="44"/>
        <v>0</v>
      </c>
      <c r="AL47" s="259">
        <f t="shared" si="45"/>
        <v>0</v>
      </c>
      <c r="AM47" s="259">
        <f t="shared" si="46"/>
        <v>0</v>
      </c>
      <c r="AN47" s="259">
        <f t="shared" si="47"/>
        <v>0</v>
      </c>
      <c r="AO47" s="259">
        <f t="shared" si="48"/>
        <v>0</v>
      </c>
      <c r="AP47" s="247">
        <f t="shared" si="36"/>
        <v>0</v>
      </c>
      <c r="AQ47" s="265">
        <f t="shared" si="39"/>
        <v>0</v>
      </c>
      <c r="AR47" s="259">
        <f t="shared" si="52"/>
        <v>0</v>
      </c>
      <c r="AS47" s="259">
        <f t="shared" si="53"/>
        <v>0</v>
      </c>
      <c r="AT47" s="266">
        <v>0</v>
      </c>
      <c r="AU47" s="267">
        <v>0</v>
      </c>
      <c r="AV47" s="259">
        <f t="shared" si="49"/>
        <v>0</v>
      </c>
      <c r="AW47" s="259"/>
      <c r="AX47" s="259"/>
      <c r="AY47" s="265">
        <f t="shared" si="87"/>
        <v>0</v>
      </c>
      <c r="AZ47" s="259">
        <f t="shared" si="88"/>
        <v>0</v>
      </c>
      <c r="BA47" s="259">
        <f t="shared" si="89"/>
        <v>0</v>
      </c>
      <c r="BB47" s="430">
        <f t="shared" si="90"/>
        <v>0</v>
      </c>
      <c r="BC47" s="259"/>
      <c r="BD47" s="259"/>
      <c r="BE47" s="259"/>
      <c r="BF47" s="259"/>
      <c r="BG47" s="259"/>
      <c r="BH47" s="259"/>
      <c r="BI47" s="259"/>
      <c r="BJ47" s="259"/>
      <c r="BK47" s="259"/>
      <c r="BL47" s="265">
        <f t="shared" si="91"/>
        <v>0</v>
      </c>
      <c r="BM47" s="268">
        <f t="shared" si="92"/>
        <v>0</v>
      </c>
      <c r="BO47" s="259">
        <f t="shared" si="26"/>
        <v>0</v>
      </c>
      <c r="BP47" s="259">
        <f t="shared" si="27"/>
        <v>0</v>
      </c>
      <c r="BQ47" s="259">
        <f t="shared" si="28"/>
        <v>0</v>
      </c>
      <c r="BR47" s="265">
        <f t="shared" si="29"/>
        <v>0</v>
      </c>
    </row>
    <row r="48" spans="1:94">
      <c r="A48" s="243">
        <f t="shared" si="30"/>
        <v>46</v>
      </c>
      <c r="B48" s="257"/>
      <c r="C48" s="257"/>
      <c r="D48" s="257"/>
      <c r="E48" s="257"/>
      <c r="F48" s="258"/>
      <c r="G48" s="259"/>
      <c r="H48" s="259"/>
      <c r="I48" s="259"/>
      <c r="J48" s="259"/>
      <c r="K48" s="259"/>
      <c r="L48" s="260" t="s">
        <v>52</v>
      </c>
      <c r="M48" s="257"/>
      <c r="N48" s="261"/>
      <c r="O48" s="262" t="str">
        <f t="shared" si="78"/>
        <v>0 ans, 0 mois, 0 jours</v>
      </c>
      <c r="P48" s="259">
        <f t="shared" si="79"/>
        <v>0</v>
      </c>
      <c r="Q48" s="217" t="str">
        <f t="shared" si="31"/>
        <v>MAO1-1.I</v>
      </c>
      <c r="R48" s="217" t="str">
        <f t="shared" si="32"/>
        <v>MANŒUVRE ORDINAIRE</v>
      </c>
      <c r="S48" s="258" t="str">
        <f t="shared" si="80"/>
        <v>MANŒUVRE</v>
      </c>
      <c r="T48" s="217" t="str">
        <f>+VLOOKUP($Q48,Categorie!$I:$P,3,0)</f>
        <v>MANŒUVRE ORDINAIRE (MO), Echellon 1, Classe 1</v>
      </c>
      <c r="U48" s="259">
        <f t="shared" si="77"/>
        <v>0</v>
      </c>
      <c r="V48" s="263">
        <v>0</v>
      </c>
      <c r="W48" s="263">
        <v>0</v>
      </c>
      <c r="X48" s="263">
        <v>0</v>
      </c>
      <c r="Y48" s="263">
        <v>0</v>
      </c>
      <c r="Z48" s="259">
        <f t="shared" si="40"/>
        <v>0</v>
      </c>
      <c r="AA48" s="259">
        <f t="shared" si="41"/>
        <v>0</v>
      </c>
      <c r="AB48" s="259">
        <f t="shared" si="51"/>
        <v>0</v>
      </c>
      <c r="AC48" s="264">
        <f t="shared" si="6"/>
        <v>0</v>
      </c>
      <c r="AD48" s="264"/>
      <c r="AE48" s="263">
        <f t="shared" si="54"/>
        <v>0</v>
      </c>
      <c r="AF48" s="263">
        <v>0</v>
      </c>
      <c r="AG48" s="259">
        <f t="shared" si="50"/>
        <v>0</v>
      </c>
      <c r="AH48" s="259">
        <f t="shared" si="42"/>
        <v>0</v>
      </c>
      <c r="AI48" s="259">
        <f t="shared" si="43"/>
        <v>0</v>
      </c>
      <c r="AJ48" s="259">
        <f t="shared" si="11"/>
        <v>0</v>
      </c>
      <c r="AK48" s="259">
        <f t="shared" si="44"/>
        <v>0</v>
      </c>
      <c r="AL48" s="259">
        <f t="shared" si="45"/>
        <v>0</v>
      </c>
      <c r="AM48" s="259">
        <f t="shared" si="46"/>
        <v>0</v>
      </c>
      <c r="AN48" s="259">
        <f t="shared" si="47"/>
        <v>0</v>
      </c>
      <c r="AO48" s="259">
        <f t="shared" si="48"/>
        <v>0</v>
      </c>
      <c r="AP48" s="247">
        <f t="shared" si="36"/>
        <v>0</v>
      </c>
      <c r="AQ48" s="265">
        <f t="shared" si="39"/>
        <v>0</v>
      </c>
      <c r="AR48" s="259">
        <f t="shared" si="52"/>
        <v>0</v>
      </c>
      <c r="AS48" s="259">
        <f t="shared" si="53"/>
        <v>0</v>
      </c>
      <c r="AT48" s="266">
        <v>0</v>
      </c>
      <c r="AU48" s="267">
        <v>0</v>
      </c>
      <c r="AV48" s="259">
        <f t="shared" si="49"/>
        <v>0</v>
      </c>
      <c r="AW48" s="259"/>
      <c r="AX48" s="259"/>
      <c r="AY48" s="265">
        <f t="shared" si="87"/>
        <v>0</v>
      </c>
      <c r="AZ48" s="259">
        <f t="shared" si="88"/>
        <v>0</v>
      </c>
      <c r="BA48" s="259">
        <f t="shared" si="89"/>
        <v>0</v>
      </c>
      <c r="BB48" s="430">
        <f t="shared" si="90"/>
        <v>0</v>
      </c>
      <c r="BC48" s="259"/>
      <c r="BD48" s="259"/>
      <c r="BE48" s="259"/>
      <c r="BF48" s="259"/>
      <c r="BG48" s="259"/>
      <c r="BH48" s="259"/>
      <c r="BI48" s="259"/>
      <c r="BJ48" s="259"/>
      <c r="BK48" s="259"/>
      <c r="BL48" s="265">
        <f t="shared" si="91"/>
        <v>0</v>
      </c>
      <c r="BM48" s="268">
        <f t="shared" si="92"/>
        <v>0</v>
      </c>
      <c r="BO48" s="259">
        <f t="shared" si="26"/>
        <v>0</v>
      </c>
      <c r="BP48" s="259">
        <f t="shared" si="27"/>
        <v>0</v>
      </c>
      <c r="BQ48" s="259">
        <f t="shared" si="28"/>
        <v>0</v>
      </c>
      <c r="BR48" s="265">
        <f t="shared" si="29"/>
        <v>0</v>
      </c>
    </row>
    <row r="49" spans="1:70">
      <c r="A49" s="243">
        <f t="shared" si="30"/>
        <v>47</v>
      </c>
      <c r="B49" s="257"/>
      <c r="C49" s="257"/>
      <c r="D49" s="257"/>
      <c r="E49" s="257"/>
      <c r="F49" s="258"/>
      <c r="G49" s="259"/>
      <c r="H49" s="259"/>
      <c r="I49" s="259"/>
      <c r="J49" s="259"/>
      <c r="K49" s="259"/>
      <c r="L49" s="260" t="s">
        <v>52</v>
      </c>
      <c r="M49" s="257"/>
      <c r="N49" s="261"/>
      <c r="O49" s="262" t="str">
        <f t="shared" si="78"/>
        <v>0 ans, 0 mois, 0 jours</v>
      </c>
      <c r="P49" s="259">
        <f t="shared" si="79"/>
        <v>0</v>
      </c>
      <c r="Q49" s="217" t="str">
        <f t="shared" si="31"/>
        <v>MAO1-1.I</v>
      </c>
      <c r="R49" s="217" t="str">
        <f t="shared" si="32"/>
        <v>MANŒUVRE ORDINAIRE</v>
      </c>
      <c r="S49" s="258" t="str">
        <f t="shared" si="80"/>
        <v>MANŒUVRE</v>
      </c>
      <c r="T49" s="217" t="str">
        <f>+VLOOKUP($Q49,Categorie!$I:$P,3,0)</f>
        <v>MANŒUVRE ORDINAIRE (MO), Echellon 1, Classe 1</v>
      </c>
      <c r="U49" s="259">
        <f t="shared" si="77"/>
        <v>0</v>
      </c>
      <c r="V49" s="263">
        <v>0</v>
      </c>
      <c r="W49" s="263">
        <v>0</v>
      </c>
      <c r="X49" s="263">
        <v>0</v>
      </c>
      <c r="Y49" s="263">
        <v>0</v>
      </c>
      <c r="Z49" s="259">
        <f t="shared" ref="Z49:Z80" si="93">IF(L49="SANS PREAVIS",0,+IF(L49="AVEC PREAVIS",IF($S49="MANŒUVRE",14+7*$U49,IF($S49="SEMI-QUALIFIE",14+7*$U49,IF($S49="HAUTEMENT QUALIFIE",14+7*$U49,IF($S49="AGENT DE MAITRISE",26+9*$U49,IF($S49="CADRE DE COLLABORATION",78+16*$U49,IF($S49="CADRE DE DIRECTION",78+16*$U49,)))))),IF($S49="MANŒUVRE",14+7*$U49,IF($S49="SEMI-QUALIFIE",14+7*$U49,IF($S49="HAUTEMENT QUALIFIE",14+7*$U49,IF($S49="AGENT DE MAITRISE",26+9*$U49,IF($S49="CADRE DE COLLABORATION",78+16*$U49,IF($S49="CADRE DE DIRECTION",78+16*$U49,)))))))/2)</f>
        <v>0</v>
      </c>
      <c r="AA49" s="259">
        <f t="shared" ref="AA49:AA80" si="94">+IF(L49="AVEC PREAVIS",(Z49*26)/(26*12),0)</f>
        <v>0</v>
      </c>
      <c r="AB49" s="259">
        <f t="shared" si="51"/>
        <v>0</v>
      </c>
      <c r="AC49" s="264">
        <f t="shared" si="6"/>
        <v>0</v>
      </c>
      <c r="AD49" s="264"/>
      <c r="AE49" s="263">
        <f t="shared" si="54"/>
        <v>0</v>
      </c>
      <c r="AF49" s="263">
        <v>0</v>
      </c>
      <c r="AG49" s="259">
        <f t="shared" si="50"/>
        <v>0</v>
      </c>
      <c r="AH49" s="259">
        <f t="shared" si="42"/>
        <v>0</v>
      </c>
      <c r="AI49" s="259">
        <f t="shared" ref="AI49:AI80" si="95">+(P49*X49)</f>
        <v>0</v>
      </c>
      <c r="AJ49" s="259">
        <f t="shared" si="11"/>
        <v>0</v>
      </c>
      <c r="AK49" s="259">
        <f t="shared" ref="AK49:AK80" si="96">+(P49*AB49)+(P49*AA49)</f>
        <v>0</v>
      </c>
      <c r="AL49" s="259">
        <f t="shared" ref="AL49:AL80" si="97">+(P49*AF49)/3*2</f>
        <v>0</v>
      </c>
      <c r="AM49" s="259">
        <f t="shared" ref="AM49:AM80" si="98">+P49*Z49</f>
        <v>0</v>
      </c>
      <c r="AN49" s="259">
        <f t="shared" ref="AN49:AN80" si="99">+P49*AC49</f>
        <v>0</v>
      </c>
      <c r="AO49" s="259">
        <f t="shared" ref="AO49:AO80" si="100">+J49</f>
        <v>0</v>
      </c>
      <c r="AP49" s="247">
        <f t="shared" si="36"/>
        <v>0</v>
      </c>
      <c r="AQ49" s="265">
        <f t="shared" si="39"/>
        <v>0</v>
      </c>
      <c r="AR49" s="259">
        <f t="shared" si="52"/>
        <v>0</v>
      </c>
      <c r="AS49" s="259">
        <f t="shared" si="53"/>
        <v>0</v>
      </c>
      <c r="AT49" s="266">
        <v>0</v>
      </c>
      <c r="AU49" s="267">
        <v>0</v>
      </c>
      <c r="AV49" s="259">
        <f t="shared" ref="AV49:AV80" si="101">+P49*AU49*AT49</f>
        <v>0</v>
      </c>
      <c r="AW49" s="259"/>
      <c r="AX49" s="259"/>
      <c r="AY49" s="265">
        <f t="shared" si="87"/>
        <v>0</v>
      </c>
      <c r="AZ49" s="259">
        <f t="shared" si="88"/>
        <v>0</v>
      </c>
      <c r="BA49" s="259">
        <f t="shared" si="89"/>
        <v>0</v>
      </c>
      <c r="BB49" s="430">
        <f t="shared" si="90"/>
        <v>0</v>
      </c>
      <c r="BC49" s="259"/>
      <c r="BD49" s="259"/>
      <c r="BE49" s="259"/>
      <c r="BF49" s="259"/>
      <c r="BG49" s="259"/>
      <c r="BH49" s="259"/>
      <c r="BI49" s="259"/>
      <c r="BJ49" s="259"/>
      <c r="BK49" s="259"/>
      <c r="BL49" s="265">
        <f t="shared" si="91"/>
        <v>0</v>
      </c>
      <c r="BM49" s="268">
        <f t="shared" si="92"/>
        <v>0</v>
      </c>
      <c r="BO49" s="259">
        <f t="shared" si="26"/>
        <v>0</v>
      </c>
      <c r="BP49" s="259">
        <f t="shared" si="27"/>
        <v>0</v>
      </c>
      <c r="BQ49" s="259">
        <f t="shared" si="28"/>
        <v>0</v>
      </c>
      <c r="BR49" s="265">
        <f t="shared" si="29"/>
        <v>0</v>
      </c>
    </row>
    <row r="50" spans="1:70">
      <c r="A50" s="243">
        <f t="shared" ref="A50:A109" si="102">+A49+1</f>
        <v>48</v>
      </c>
      <c r="B50" s="257"/>
      <c r="C50" s="257"/>
      <c r="D50" s="257"/>
      <c r="E50" s="257"/>
      <c r="F50" s="258"/>
      <c r="G50" s="259"/>
      <c r="H50" s="259"/>
      <c r="I50" s="259"/>
      <c r="J50" s="259"/>
      <c r="K50" s="259"/>
      <c r="L50" s="260" t="s">
        <v>52</v>
      </c>
      <c r="M50" s="257"/>
      <c r="N50" s="261"/>
      <c r="O50" s="262" t="str">
        <f t="shared" si="78"/>
        <v>0 ans, 0 mois, 0 jours</v>
      </c>
      <c r="P50" s="259">
        <f t="shared" si="79"/>
        <v>0</v>
      </c>
      <c r="Q50" s="217" t="str">
        <f t="shared" si="31"/>
        <v>MAO1-1.I</v>
      </c>
      <c r="R50" s="217" t="str">
        <f t="shared" si="32"/>
        <v>MANŒUVRE ORDINAIRE</v>
      </c>
      <c r="S50" s="258" t="str">
        <f t="shared" si="80"/>
        <v>MANŒUVRE</v>
      </c>
      <c r="T50" s="217" t="str">
        <f>+VLOOKUP($Q50,Categorie!$I:$P,3,0)</f>
        <v>MANŒUVRE ORDINAIRE (MO), Echellon 1, Classe 1</v>
      </c>
      <c r="U50" s="259">
        <f t="shared" si="77"/>
        <v>0</v>
      </c>
      <c r="V50" s="263">
        <v>0</v>
      </c>
      <c r="W50" s="263">
        <v>0</v>
      </c>
      <c r="X50" s="263">
        <v>0</v>
      </c>
      <c r="Y50" s="263">
        <v>0</v>
      </c>
      <c r="Z50" s="259">
        <f t="shared" si="93"/>
        <v>0</v>
      </c>
      <c r="AA50" s="259">
        <f t="shared" si="94"/>
        <v>0</v>
      </c>
      <c r="AB50" s="259">
        <f t="shared" si="51"/>
        <v>0</v>
      </c>
      <c r="AC50" s="264">
        <f t="shared" ref="AC50:AC109" si="103">IF(N50=0,0,+IF(DATEDIF(F50,N50,"md")=0,(+DATEDIF("01/01/"&amp;YEAR(N50),N50,"m"))*26/12-(AD50/26),(+DATEDIF("01/01/"&amp;YEAR(N50),N50,"m")+1)*26/12-(AD50/26)))</f>
        <v>0</v>
      </c>
      <c r="AD50" s="264"/>
      <c r="AE50" s="263">
        <f t="shared" si="54"/>
        <v>0</v>
      </c>
      <c r="AF50" s="263">
        <v>0</v>
      </c>
      <c r="AG50" s="259">
        <f t="shared" ref="AG50:AG81" si="104">P50*V50</f>
        <v>0</v>
      </c>
      <c r="AH50" s="259">
        <f t="shared" si="42"/>
        <v>0</v>
      </c>
      <c r="AI50" s="259">
        <f t="shared" si="95"/>
        <v>0</v>
      </c>
      <c r="AJ50" s="259">
        <f t="shared" ref="AJ50:AJ109" si="105">+P50*Y50</f>
        <v>0</v>
      </c>
      <c r="AK50" s="259">
        <f t="shared" si="96"/>
        <v>0</v>
      </c>
      <c r="AL50" s="259">
        <f t="shared" si="97"/>
        <v>0</v>
      </c>
      <c r="AM50" s="259">
        <f t="shared" si="98"/>
        <v>0</v>
      </c>
      <c r="AN50" s="259">
        <f t="shared" si="99"/>
        <v>0</v>
      </c>
      <c r="AO50" s="259">
        <f t="shared" si="100"/>
        <v>0</v>
      </c>
      <c r="AP50" s="247">
        <f t="shared" si="36"/>
        <v>0</v>
      </c>
      <c r="AQ50" s="265">
        <f t="shared" si="39"/>
        <v>0</v>
      </c>
      <c r="AR50" s="259">
        <f t="shared" si="52"/>
        <v>0</v>
      </c>
      <c r="AS50" s="259">
        <f t="shared" si="53"/>
        <v>0</v>
      </c>
      <c r="AT50" s="266">
        <v>0</v>
      </c>
      <c r="AU50" s="267">
        <v>0</v>
      </c>
      <c r="AV50" s="259">
        <f t="shared" si="101"/>
        <v>0</v>
      </c>
      <c r="AW50" s="259"/>
      <c r="AX50" s="259"/>
      <c r="AY50" s="265">
        <f t="shared" si="87"/>
        <v>0</v>
      </c>
      <c r="AZ50" s="259">
        <f t="shared" si="88"/>
        <v>0</v>
      </c>
      <c r="BA50" s="259">
        <f t="shared" si="89"/>
        <v>0</v>
      </c>
      <c r="BB50" s="430">
        <f t="shared" si="90"/>
        <v>0</v>
      </c>
      <c r="BC50" s="259"/>
      <c r="BD50" s="259"/>
      <c r="BE50" s="259"/>
      <c r="BF50" s="259"/>
      <c r="BG50" s="259"/>
      <c r="BH50" s="259"/>
      <c r="BI50" s="259"/>
      <c r="BJ50" s="259"/>
      <c r="BK50" s="259"/>
      <c r="BL50" s="265">
        <f t="shared" si="91"/>
        <v>0</v>
      </c>
      <c r="BM50" s="268">
        <f t="shared" si="92"/>
        <v>0</v>
      </c>
      <c r="BO50" s="259">
        <f t="shared" ref="BO50:BO109" si="106">+$AY50*13%</f>
        <v>0</v>
      </c>
      <c r="BP50" s="259">
        <f t="shared" ref="BP50:BP109" si="107">+$AY50*2%</f>
        <v>0</v>
      </c>
      <c r="BQ50" s="259">
        <f t="shared" ref="BQ50:BQ109" si="108">+$AY50*0.2%</f>
        <v>0</v>
      </c>
      <c r="BR50" s="265">
        <f t="shared" ref="BR50:BR109" si="109">SUM(BO50:BQ50)</f>
        <v>0</v>
      </c>
    </row>
    <row r="51" spans="1:70">
      <c r="A51" s="243">
        <f t="shared" si="102"/>
        <v>49</v>
      </c>
      <c r="B51" s="257"/>
      <c r="C51" s="257"/>
      <c r="D51" s="257"/>
      <c r="E51" s="257"/>
      <c r="F51" s="258"/>
      <c r="G51" s="259"/>
      <c r="H51" s="259"/>
      <c r="I51" s="259"/>
      <c r="J51" s="259"/>
      <c r="K51" s="259"/>
      <c r="L51" s="260" t="s">
        <v>52</v>
      </c>
      <c r="M51" s="257"/>
      <c r="N51" s="261"/>
      <c r="O51" s="262" t="str">
        <f t="shared" si="78"/>
        <v>0 ans, 0 mois, 0 jours</v>
      </c>
      <c r="P51" s="259">
        <f t="shared" si="79"/>
        <v>0</v>
      </c>
      <c r="Q51" s="217" t="str">
        <f t="shared" si="31"/>
        <v>MAO1-1.I</v>
      </c>
      <c r="R51" s="217" t="str">
        <f t="shared" si="32"/>
        <v>MANŒUVRE ORDINAIRE</v>
      </c>
      <c r="S51" s="258" t="str">
        <f t="shared" si="80"/>
        <v>MANŒUVRE</v>
      </c>
      <c r="T51" s="217" t="str">
        <f>+VLOOKUP($Q51,Categorie!$I:$P,3,0)</f>
        <v>MANŒUVRE ORDINAIRE (MO), Echellon 1, Classe 1</v>
      </c>
      <c r="U51" s="259">
        <f t="shared" si="77"/>
        <v>0</v>
      </c>
      <c r="V51" s="263">
        <v>0</v>
      </c>
      <c r="W51" s="263">
        <v>0</v>
      </c>
      <c r="X51" s="263">
        <v>0</v>
      </c>
      <c r="Y51" s="263">
        <v>0</v>
      </c>
      <c r="Z51" s="259">
        <f t="shared" si="93"/>
        <v>0</v>
      </c>
      <c r="AA51" s="259">
        <f t="shared" si="94"/>
        <v>0</v>
      </c>
      <c r="AB51" s="259">
        <f t="shared" si="51"/>
        <v>0</v>
      </c>
      <c r="AC51" s="264">
        <f t="shared" si="103"/>
        <v>0</v>
      </c>
      <c r="AD51" s="264"/>
      <c r="AE51" s="263">
        <f t="shared" si="54"/>
        <v>0</v>
      </c>
      <c r="AF51" s="263">
        <v>0</v>
      </c>
      <c r="AG51" s="259">
        <f t="shared" si="104"/>
        <v>0</v>
      </c>
      <c r="AH51" s="259">
        <f t="shared" si="42"/>
        <v>0</v>
      </c>
      <c r="AI51" s="259">
        <f t="shared" si="95"/>
        <v>0</v>
      </c>
      <c r="AJ51" s="259">
        <f t="shared" si="105"/>
        <v>0</v>
      </c>
      <c r="AK51" s="259">
        <f t="shared" si="96"/>
        <v>0</v>
      </c>
      <c r="AL51" s="259">
        <f t="shared" si="97"/>
        <v>0</v>
      </c>
      <c r="AM51" s="259">
        <f t="shared" si="98"/>
        <v>0</v>
      </c>
      <c r="AN51" s="259">
        <f t="shared" si="99"/>
        <v>0</v>
      </c>
      <c r="AO51" s="259">
        <f t="shared" si="100"/>
        <v>0</v>
      </c>
      <c r="AP51" s="247">
        <f t="shared" si="36"/>
        <v>0</v>
      </c>
      <c r="AQ51" s="265">
        <f t="shared" si="39"/>
        <v>0</v>
      </c>
      <c r="AR51" s="259">
        <f t="shared" si="52"/>
        <v>0</v>
      </c>
      <c r="AS51" s="259">
        <f t="shared" si="53"/>
        <v>0</v>
      </c>
      <c r="AT51" s="266">
        <v>0</v>
      </c>
      <c r="AU51" s="267">
        <v>0</v>
      </c>
      <c r="AV51" s="259">
        <f t="shared" si="101"/>
        <v>0</v>
      </c>
      <c r="AW51" s="259"/>
      <c r="AX51" s="259"/>
      <c r="AY51" s="265">
        <f t="shared" si="87"/>
        <v>0</v>
      </c>
      <c r="AZ51" s="259">
        <f t="shared" si="88"/>
        <v>0</v>
      </c>
      <c r="BA51" s="259">
        <f t="shared" si="89"/>
        <v>0</v>
      </c>
      <c r="BB51" s="430">
        <f t="shared" si="90"/>
        <v>0</v>
      </c>
      <c r="BC51" s="259"/>
      <c r="BD51" s="259"/>
      <c r="BE51" s="259"/>
      <c r="BF51" s="259"/>
      <c r="BG51" s="259"/>
      <c r="BH51" s="259"/>
      <c r="BI51" s="259"/>
      <c r="BJ51" s="259"/>
      <c r="BK51" s="259"/>
      <c r="BL51" s="265">
        <f t="shared" si="91"/>
        <v>0</v>
      </c>
      <c r="BM51" s="268">
        <f t="shared" si="92"/>
        <v>0</v>
      </c>
      <c r="BO51" s="259">
        <f t="shared" si="106"/>
        <v>0</v>
      </c>
      <c r="BP51" s="259">
        <f t="shared" si="107"/>
        <v>0</v>
      </c>
      <c r="BQ51" s="259">
        <f t="shared" si="108"/>
        <v>0</v>
      </c>
      <c r="BR51" s="265">
        <f t="shared" si="109"/>
        <v>0</v>
      </c>
    </row>
    <row r="52" spans="1:70">
      <c r="A52" s="243">
        <f t="shared" si="102"/>
        <v>50</v>
      </c>
      <c r="B52" s="257"/>
      <c r="C52" s="257"/>
      <c r="D52" s="257"/>
      <c r="E52" s="257"/>
      <c r="F52" s="258"/>
      <c r="G52" s="259"/>
      <c r="H52" s="259"/>
      <c r="I52" s="259"/>
      <c r="J52" s="259"/>
      <c r="K52" s="259"/>
      <c r="L52" s="260" t="s">
        <v>52</v>
      </c>
      <c r="M52" s="257"/>
      <c r="N52" s="261"/>
      <c r="O52" s="262" t="str">
        <f t="shared" si="78"/>
        <v>0 ans, 0 mois, 0 jours</v>
      </c>
      <c r="P52" s="259">
        <f t="shared" si="79"/>
        <v>0</v>
      </c>
      <c r="Q52" s="217" t="str">
        <f t="shared" si="31"/>
        <v>MAO1-1.I</v>
      </c>
      <c r="R52" s="217" t="str">
        <f t="shared" si="32"/>
        <v>MANŒUVRE ORDINAIRE</v>
      </c>
      <c r="S52" s="258" t="str">
        <f t="shared" si="80"/>
        <v>MANŒUVRE</v>
      </c>
      <c r="T52" s="217" t="str">
        <f>+VLOOKUP($Q52,Categorie!$I:$P,3,0)</f>
        <v>MANŒUVRE ORDINAIRE (MO), Echellon 1, Classe 1</v>
      </c>
      <c r="U52" s="259">
        <f t="shared" si="77"/>
        <v>0</v>
      </c>
      <c r="V52" s="263">
        <v>0</v>
      </c>
      <c r="W52" s="263">
        <v>0</v>
      </c>
      <c r="X52" s="263">
        <v>0</v>
      </c>
      <c r="Y52" s="263">
        <v>0</v>
      </c>
      <c r="Z52" s="259">
        <f t="shared" si="93"/>
        <v>0</v>
      </c>
      <c r="AA52" s="259">
        <f t="shared" si="94"/>
        <v>0</v>
      </c>
      <c r="AB52" s="259">
        <f t="shared" si="51"/>
        <v>0</v>
      </c>
      <c r="AC52" s="264">
        <f t="shared" si="103"/>
        <v>0</v>
      </c>
      <c r="AD52" s="264"/>
      <c r="AE52" s="263">
        <f t="shared" si="54"/>
        <v>0</v>
      </c>
      <c r="AF52" s="263">
        <v>0</v>
      </c>
      <c r="AG52" s="259">
        <f t="shared" si="104"/>
        <v>0</v>
      </c>
      <c r="AH52" s="259">
        <f t="shared" si="42"/>
        <v>0</v>
      </c>
      <c r="AI52" s="259">
        <f t="shared" si="95"/>
        <v>0</v>
      </c>
      <c r="AJ52" s="259">
        <f t="shared" si="105"/>
        <v>0</v>
      </c>
      <c r="AK52" s="259">
        <f t="shared" si="96"/>
        <v>0</v>
      </c>
      <c r="AL52" s="259">
        <f t="shared" si="97"/>
        <v>0</v>
      </c>
      <c r="AM52" s="259">
        <f t="shared" si="98"/>
        <v>0</v>
      </c>
      <c r="AN52" s="259">
        <f t="shared" si="99"/>
        <v>0</v>
      </c>
      <c r="AO52" s="259">
        <f t="shared" si="100"/>
        <v>0</v>
      </c>
      <c r="AP52" s="247">
        <f t="shared" si="36"/>
        <v>0</v>
      </c>
      <c r="AQ52" s="265">
        <f t="shared" si="39"/>
        <v>0</v>
      </c>
      <c r="AR52" s="259">
        <f t="shared" si="52"/>
        <v>0</v>
      </c>
      <c r="AS52" s="259">
        <f t="shared" si="53"/>
        <v>0</v>
      </c>
      <c r="AT52" s="266">
        <v>0</v>
      </c>
      <c r="AU52" s="267">
        <v>0</v>
      </c>
      <c r="AV52" s="259">
        <f t="shared" si="101"/>
        <v>0</v>
      </c>
      <c r="AW52" s="259"/>
      <c r="AX52" s="259"/>
      <c r="AY52" s="265">
        <f t="shared" si="87"/>
        <v>0</v>
      </c>
      <c r="AZ52" s="259">
        <f t="shared" si="88"/>
        <v>0</v>
      </c>
      <c r="BA52" s="259">
        <f t="shared" si="89"/>
        <v>0</v>
      </c>
      <c r="BB52" s="430">
        <f t="shared" si="90"/>
        <v>0</v>
      </c>
      <c r="BC52" s="259"/>
      <c r="BD52" s="259"/>
      <c r="BE52" s="259"/>
      <c r="BF52" s="259"/>
      <c r="BG52" s="259"/>
      <c r="BH52" s="259"/>
      <c r="BI52" s="259"/>
      <c r="BJ52" s="259"/>
      <c r="BK52" s="259"/>
      <c r="BL52" s="265">
        <f t="shared" si="91"/>
        <v>0</v>
      </c>
      <c r="BM52" s="268">
        <f t="shared" si="92"/>
        <v>0</v>
      </c>
      <c r="BO52" s="259">
        <f t="shared" si="106"/>
        <v>0</v>
      </c>
      <c r="BP52" s="259">
        <f t="shared" si="107"/>
        <v>0</v>
      </c>
      <c r="BQ52" s="259">
        <f t="shared" si="108"/>
        <v>0</v>
      </c>
      <c r="BR52" s="265">
        <f t="shared" si="109"/>
        <v>0</v>
      </c>
    </row>
    <row r="53" spans="1:70">
      <c r="A53" s="243">
        <f t="shared" si="102"/>
        <v>51</v>
      </c>
      <c r="B53" s="257"/>
      <c r="C53" s="257"/>
      <c r="D53" s="257"/>
      <c r="E53" s="257"/>
      <c r="F53" s="258"/>
      <c r="G53" s="259"/>
      <c r="H53" s="259"/>
      <c r="I53" s="259"/>
      <c r="J53" s="259"/>
      <c r="K53" s="259"/>
      <c r="L53" s="260" t="s">
        <v>52</v>
      </c>
      <c r="M53" s="257"/>
      <c r="N53" s="261"/>
      <c r="O53" s="262" t="str">
        <f t="shared" si="78"/>
        <v>0 ans, 0 mois, 0 jours</v>
      </c>
      <c r="P53" s="259">
        <f t="shared" si="79"/>
        <v>0</v>
      </c>
      <c r="Q53" s="217" t="str">
        <f t="shared" si="31"/>
        <v>MAO1-1.I</v>
      </c>
      <c r="R53" s="217" t="str">
        <f t="shared" si="32"/>
        <v>MANŒUVRE ORDINAIRE</v>
      </c>
      <c r="S53" s="258" t="str">
        <f t="shared" si="80"/>
        <v>MANŒUVRE</v>
      </c>
      <c r="T53" s="217" t="str">
        <f>+VLOOKUP($Q53,Categorie!$I:$P,3,0)</f>
        <v>MANŒUVRE ORDINAIRE (MO), Echellon 1, Classe 1</v>
      </c>
      <c r="U53" s="259">
        <f t="shared" si="77"/>
        <v>0</v>
      </c>
      <c r="V53" s="263">
        <v>0</v>
      </c>
      <c r="W53" s="263">
        <v>0</v>
      </c>
      <c r="X53" s="263">
        <v>0</v>
      </c>
      <c r="Y53" s="263">
        <v>0</v>
      </c>
      <c r="Z53" s="259">
        <f t="shared" si="93"/>
        <v>0</v>
      </c>
      <c r="AA53" s="259">
        <f t="shared" si="94"/>
        <v>0</v>
      </c>
      <c r="AB53" s="259">
        <f t="shared" si="51"/>
        <v>0</v>
      </c>
      <c r="AC53" s="264">
        <f t="shared" si="103"/>
        <v>0</v>
      </c>
      <c r="AD53" s="264"/>
      <c r="AE53" s="263">
        <f t="shared" si="54"/>
        <v>0</v>
      </c>
      <c r="AF53" s="263">
        <v>0</v>
      </c>
      <c r="AG53" s="259">
        <f t="shared" si="104"/>
        <v>0</v>
      </c>
      <c r="AH53" s="259">
        <f t="shared" si="42"/>
        <v>0</v>
      </c>
      <c r="AI53" s="259">
        <f t="shared" si="95"/>
        <v>0</v>
      </c>
      <c r="AJ53" s="259">
        <f t="shared" si="105"/>
        <v>0</v>
      </c>
      <c r="AK53" s="259">
        <f t="shared" si="96"/>
        <v>0</v>
      </c>
      <c r="AL53" s="259">
        <f t="shared" si="97"/>
        <v>0</v>
      </c>
      <c r="AM53" s="259">
        <f t="shared" si="98"/>
        <v>0</v>
      </c>
      <c r="AN53" s="259">
        <f t="shared" si="99"/>
        <v>0</v>
      </c>
      <c r="AO53" s="259">
        <f t="shared" si="100"/>
        <v>0</v>
      </c>
      <c r="AP53" s="247">
        <f t="shared" si="36"/>
        <v>0</v>
      </c>
      <c r="AQ53" s="265">
        <f t="shared" si="39"/>
        <v>0</v>
      </c>
      <c r="AR53" s="259">
        <f t="shared" si="52"/>
        <v>0</v>
      </c>
      <c r="AS53" s="259">
        <f t="shared" si="53"/>
        <v>0</v>
      </c>
      <c r="AT53" s="266">
        <v>0</v>
      </c>
      <c r="AU53" s="267">
        <v>0</v>
      </c>
      <c r="AV53" s="259">
        <f t="shared" si="101"/>
        <v>0</v>
      </c>
      <c r="AW53" s="259"/>
      <c r="AX53" s="259"/>
      <c r="AY53" s="265">
        <f t="shared" si="87"/>
        <v>0</v>
      </c>
      <c r="AZ53" s="259">
        <f t="shared" si="88"/>
        <v>0</v>
      </c>
      <c r="BA53" s="259">
        <f t="shared" si="89"/>
        <v>0</v>
      </c>
      <c r="BB53" s="430">
        <f t="shared" si="90"/>
        <v>0</v>
      </c>
      <c r="BC53" s="259"/>
      <c r="BD53" s="259"/>
      <c r="BE53" s="259"/>
      <c r="BF53" s="259"/>
      <c r="BG53" s="259"/>
      <c r="BH53" s="259"/>
      <c r="BI53" s="259"/>
      <c r="BJ53" s="259"/>
      <c r="BK53" s="259"/>
      <c r="BL53" s="265">
        <f t="shared" si="91"/>
        <v>0</v>
      </c>
      <c r="BM53" s="268">
        <f t="shared" si="92"/>
        <v>0</v>
      </c>
      <c r="BO53" s="259">
        <f t="shared" si="106"/>
        <v>0</v>
      </c>
      <c r="BP53" s="259">
        <f t="shared" si="107"/>
        <v>0</v>
      </c>
      <c r="BQ53" s="259">
        <f t="shared" si="108"/>
        <v>0</v>
      </c>
      <c r="BR53" s="265">
        <f t="shared" si="109"/>
        <v>0</v>
      </c>
    </row>
    <row r="54" spans="1:70">
      <c r="A54" s="243">
        <f t="shared" si="102"/>
        <v>52</v>
      </c>
      <c r="B54" s="257"/>
      <c r="C54" s="257"/>
      <c r="D54" s="257"/>
      <c r="E54" s="257"/>
      <c r="F54" s="258"/>
      <c r="G54" s="259"/>
      <c r="H54" s="259"/>
      <c r="I54" s="259"/>
      <c r="J54" s="259"/>
      <c r="K54" s="259"/>
      <c r="L54" s="260" t="s">
        <v>52</v>
      </c>
      <c r="M54" s="257"/>
      <c r="N54" s="261"/>
      <c r="O54" s="262" t="str">
        <f t="shared" si="78"/>
        <v>0 ans, 0 mois, 0 jours</v>
      </c>
      <c r="P54" s="259">
        <f t="shared" si="79"/>
        <v>0</v>
      </c>
      <c r="Q54" s="217" t="str">
        <f t="shared" si="31"/>
        <v>MAO1-1.I</v>
      </c>
      <c r="R54" s="217" t="str">
        <f t="shared" si="32"/>
        <v>MANŒUVRE ORDINAIRE</v>
      </c>
      <c r="S54" s="258" t="str">
        <f t="shared" si="80"/>
        <v>MANŒUVRE</v>
      </c>
      <c r="T54" s="217" t="str">
        <f>+VLOOKUP($Q54,Categorie!$I:$P,3,0)</f>
        <v>MANŒUVRE ORDINAIRE (MO), Echellon 1, Classe 1</v>
      </c>
      <c r="U54" s="259">
        <f t="shared" si="77"/>
        <v>0</v>
      </c>
      <c r="V54" s="263">
        <v>0</v>
      </c>
      <c r="W54" s="263">
        <v>0</v>
      </c>
      <c r="X54" s="263">
        <v>0</v>
      </c>
      <c r="Y54" s="263">
        <v>0</v>
      </c>
      <c r="Z54" s="259">
        <f t="shared" si="93"/>
        <v>0</v>
      </c>
      <c r="AA54" s="259">
        <f t="shared" si="94"/>
        <v>0</v>
      </c>
      <c r="AB54" s="259">
        <f t="shared" si="51"/>
        <v>0</v>
      </c>
      <c r="AC54" s="264">
        <f t="shared" si="103"/>
        <v>0</v>
      </c>
      <c r="AD54" s="264"/>
      <c r="AE54" s="263">
        <f t="shared" si="54"/>
        <v>0</v>
      </c>
      <c r="AF54" s="263">
        <v>0</v>
      </c>
      <c r="AG54" s="259">
        <f t="shared" si="104"/>
        <v>0</v>
      </c>
      <c r="AH54" s="259">
        <f t="shared" si="42"/>
        <v>0</v>
      </c>
      <c r="AI54" s="259">
        <f t="shared" si="95"/>
        <v>0</v>
      </c>
      <c r="AJ54" s="259">
        <f t="shared" si="105"/>
        <v>0</v>
      </c>
      <c r="AK54" s="259">
        <f t="shared" si="96"/>
        <v>0</v>
      </c>
      <c r="AL54" s="259">
        <f t="shared" si="97"/>
        <v>0</v>
      </c>
      <c r="AM54" s="259">
        <f t="shared" si="98"/>
        <v>0</v>
      </c>
      <c r="AN54" s="259">
        <f t="shared" si="99"/>
        <v>0</v>
      </c>
      <c r="AO54" s="259">
        <f t="shared" si="100"/>
        <v>0</v>
      </c>
      <c r="AP54" s="247">
        <f t="shared" si="36"/>
        <v>0</v>
      </c>
      <c r="AQ54" s="265">
        <f t="shared" si="39"/>
        <v>0</v>
      </c>
      <c r="AR54" s="259">
        <f t="shared" si="52"/>
        <v>0</v>
      </c>
      <c r="AS54" s="259">
        <f t="shared" si="53"/>
        <v>0</v>
      </c>
      <c r="AT54" s="266">
        <v>0</v>
      </c>
      <c r="AU54" s="267">
        <v>0</v>
      </c>
      <c r="AV54" s="259">
        <f t="shared" si="101"/>
        <v>0</v>
      </c>
      <c r="AW54" s="259"/>
      <c r="AX54" s="259"/>
      <c r="AY54" s="265">
        <f t="shared" si="87"/>
        <v>0</v>
      </c>
      <c r="AZ54" s="259">
        <f t="shared" si="88"/>
        <v>0</v>
      </c>
      <c r="BA54" s="259">
        <f t="shared" si="89"/>
        <v>0</v>
      </c>
      <c r="BB54" s="430">
        <f t="shared" si="90"/>
        <v>0</v>
      </c>
      <c r="BC54" s="259"/>
      <c r="BD54" s="259"/>
      <c r="BE54" s="259"/>
      <c r="BF54" s="259"/>
      <c r="BG54" s="259"/>
      <c r="BH54" s="259"/>
      <c r="BI54" s="259"/>
      <c r="BJ54" s="259"/>
      <c r="BK54" s="259"/>
      <c r="BL54" s="265">
        <f t="shared" si="91"/>
        <v>0</v>
      </c>
      <c r="BM54" s="268">
        <f t="shared" si="92"/>
        <v>0</v>
      </c>
      <c r="BO54" s="259">
        <f t="shared" si="106"/>
        <v>0</v>
      </c>
      <c r="BP54" s="259">
        <f t="shared" si="107"/>
        <v>0</v>
      </c>
      <c r="BQ54" s="259">
        <f t="shared" si="108"/>
        <v>0</v>
      </c>
      <c r="BR54" s="265">
        <f t="shared" si="109"/>
        <v>0</v>
      </c>
    </row>
    <row r="55" spans="1:70">
      <c r="A55" s="243">
        <f t="shared" si="102"/>
        <v>53</v>
      </c>
      <c r="B55" s="257"/>
      <c r="C55" s="257"/>
      <c r="D55" s="257"/>
      <c r="E55" s="257"/>
      <c r="F55" s="258"/>
      <c r="G55" s="259"/>
      <c r="H55" s="259"/>
      <c r="I55" s="259"/>
      <c r="J55" s="259"/>
      <c r="K55" s="259"/>
      <c r="L55" s="260" t="s">
        <v>52</v>
      </c>
      <c r="M55" s="257"/>
      <c r="N55" s="261"/>
      <c r="O55" s="262" t="str">
        <f t="shared" si="78"/>
        <v>0 ans, 0 mois, 0 jours</v>
      </c>
      <c r="P55" s="259">
        <f t="shared" si="79"/>
        <v>0</v>
      </c>
      <c r="Q55" s="217" t="str">
        <f t="shared" si="31"/>
        <v>MAO1-1.I</v>
      </c>
      <c r="R55" s="217" t="str">
        <f t="shared" si="32"/>
        <v>MANŒUVRE ORDINAIRE</v>
      </c>
      <c r="S55" s="258" t="str">
        <f t="shared" si="80"/>
        <v>MANŒUVRE</v>
      </c>
      <c r="T55" s="217" t="str">
        <f>+VLOOKUP($Q55,Categorie!$I:$P,3,0)</f>
        <v>MANŒUVRE ORDINAIRE (MO), Echellon 1, Classe 1</v>
      </c>
      <c r="U55" s="259">
        <f t="shared" si="77"/>
        <v>0</v>
      </c>
      <c r="V55" s="263">
        <v>0</v>
      </c>
      <c r="W55" s="263">
        <v>0</v>
      </c>
      <c r="X55" s="263">
        <v>0</v>
      </c>
      <c r="Y55" s="263">
        <v>0</v>
      </c>
      <c r="Z55" s="259">
        <f t="shared" si="93"/>
        <v>0</v>
      </c>
      <c r="AA55" s="259">
        <f t="shared" si="94"/>
        <v>0</v>
      </c>
      <c r="AB55" s="259">
        <f t="shared" si="51"/>
        <v>0</v>
      </c>
      <c r="AC55" s="264">
        <f t="shared" si="103"/>
        <v>0</v>
      </c>
      <c r="AD55" s="264"/>
      <c r="AE55" s="263">
        <f t="shared" si="54"/>
        <v>0</v>
      </c>
      <c r="AF55" s="263">
        <v>0</v>
      </c>
      <c r="AG55" s="259">
        <f t="shared" si="104"/>
        <v>0</v>
      </c>
      <c r="AH55" s="259">
        <f t="shared" si="42"/>
        <v>0</v>
      </c>
      <c r="AI55" s="259">
        <f t="shared" si="95"/>
        <v>0</v>
      </c>
      <c r="AJ55" s="259">
        <f t="shared" si="105"/>
        <v>0</v>
      </c>
      <c r="AK55" s="259">
        <f t="shared" si="96"/>
        <v>0</v>
      </c>
      <c r="AL55" s="259">
        <f t="shared" si="97"/>
        <v>0</v>
      </c>
      <c r="AM55" s="259">
        <f t="shared" si="98"/>
        <v>0</v>
      </c>
      <c r="AN55" s="259">
        <f t="shared" si="99"/>
        <v>0</v>
      </c>
      <c r="AO55" s="259">
        <f t="shared" si="100"/>
        <v>0</v>
      </c>
      <c r="AP55" s="247">
        <f t="shared" si="36"/>
        <v>0</v>
      </c>
      <c r="AQ55" s="265">
        <f t="shared" si="39"/>
        <v>0</v>
      </c>
      <c r="AR55" s="259">
        <f t="shared" si="52"/>
        <v>0</v>
      </c>
      <c r="AS55" s="259">
        <f t="shared" si="53"/>
        <v>0</v>
      </c>
      <c r="AT55" s="266">
        <v>0</v>
      </c>
      <c r="AU55" s="267">
        <v>0</v>
      </c>
      <c r="AV55" s="259">
        <f t="shared" si="101"/>
        <v>0</v>
      </c>
      <c r="AW55" s="259"/>
      <c r="AX55" s="259"/>
      <c r="AY55" s="265">
        <f t="shared" si="87"/>
        <v>0</v>
      </c>
      <c r="AZ55" s="259">
        <f t="shared" si="88"/>
        <v>0</v>
      </c>
      <c r="BA55" s="259">
        <f t="shared" si="89"/>
        <v>0</v>
      </c>
      <c r="BB55" s="430">
        <f t="shared" si="90"/>
        <v>0</v>
      </c>
      <c r="BC55" s="259"/>
      <c r="BD55" s="259"/>
      <c r="BE55" s="259"/>
      <c r="BF55" s="259"/>
      <c r="BG55" s="259"/>
      <c r="BH55" s="259"/>
      <c r="BI55" s="259"/>
      <c r="BJ55" s="259"/>
      <c r="BK55" s="259"/>
      <c r="BL55" s="265">
        <f t="shared" si="91"/>
        <v>0</v>
      </c>
      <c r="BM55" s="268">
        <f t="shared" si="92"/>
        <v>0</v>
      </c>
      <c r="BO55" s="259">
        <f t="shared" si="106"/>
        <v>0</v>
      </c>
      <c r="BP55" s="259">
        <f t="shared" si="107"/>
        <v>0</v>
      </c>
      <c r="BQ55" s="259">
        <f t="shared" si="108"/>
        <v>0</v>
      </c>
      <c r="BR55" s="265">
        <f t="shared" si="109"/>
        <v>0</v>
      </c>
    </row>
    <row r="56" spans="1:70">
      <c r="A56" s="243">
        <f t="shared" si="102"/>
        <v>54</v>
      </c>
      <c r="B56" s="257"/>
      <c r="C56" s="257"/>
      <c r="D56" s="257"/>
      <c r="E56" s="257"/>
      <c r="F56" s="258"/>
      <c r="G56" s="259"/>
      <c r="H56" s="259"/>
      <c r="I56" s="259"/>
      <c r="J56" s="259"/>
      <c r="K56" s="259"/>
      <c r="L56" s="260" t="s">
        <v>52</v>
      </c>
      <c r="M56" s="257"/>
      <c r="N56" s="261"/>
      <c r="O56" s="262" t="str">
        <f t="shared" si="78"/>
        <v>0 ans, 0 mois, 0 jours</v>
      </c>
      <c r="P56" s="259">
        <f t="shared" si="79"/>
        <v>0</v>
      </c>
      <c r="Q56" s="217" t="str">
        <f t="shared" si="31"/>
        <v>MAO1-1.I</v>
      </c>
      <c r="R56" s="217" t="str">
        <f t="shared" si="32"/>
        <v>MANŒUVRE ORDINAIRE</v>
      </c>
      <c r="S56" s="258" t="str">
        <f t="shared" si="80"/>
        <v>MANŒUVRE</v>
      </c>
      <c r="T56" s="217" t="str">
        <f>+VLOOKUP($Q56,Categorie!$I:$P,3,0)</f>
        <v>MANŒUVRE ORDINAIRE (MO), Echellon 1, Classe 1</v>
      </c>
      <c r="U56" s="259">
        <f t="shared" si="77"/>
        <v>0</v>
      </c>
      <c r="V56" s="263">
        <v>0</v>
      </c>
      <c r="W56" s="263">
        <v>0</v>
      </c>
      <c r="X56" s="263">
        <v>0</v>
      </c>
      <c r="Y56" s="263">
        <v>0</v>
      </c>
      <c r="Z56" s="259">
        <f t="shared" si="93"/>
        <v>0</v>
      </c>
      <c r="AA56" s="259">
        <f t="shared" si="94"/>
        <v>0</v>
      </c>
      <c r="AB56" s="259">
        <f t="shared" si="51"/>
        <v>0</v>
      </c>
      <c r="AC56" s="264">
        <f t="shared" si="103"/>
        <v>0</v>
      </c>
      <c r="AD56" s="264"/>
      <c r="AE56" s="263">
        <f t="shared" si="54"/>
        <v>0</v>
      </c>
      <c r="AF56" s="263">
        <v>0</v>
      </c>
      <c r="AG56" s="259">
        <f t="shared" si="104"/>
        <v>0</v>
      </c>
      <c r="AH56" s="259">
        <f t="shared" si="42"/>
        <v>0</v>
      </c>
      <c r="AI56" s="259">
        <f t="shared" si="95"/>
        <v>0</v>
      </c>
      <c r="AJ56" s="259">
        <f t="shared" si="105"/>
        <v>0</v>
      </c>
      <c r="AK56" s="259">
        <f t="shared" si="96"/>
        <v>0</v>
      </c>
      <c r="AL56" s="259">
        <f t="shared" si="97"/>
        <v>0</v>
      </c>
      <c r="AM56" s="259">
        <f t="shared" si="98"/>
        <v>0</v>
      </c>
      <c r="AN56" s="259">
        <f t="shared" si="99"/>
        <v>0</v>
      </c>
      <c r="AO56" s="259">
        <f t="shared" si="100"/>
        <v>0</v>
      </c>
      <c r="AP56" s="247">
        <f t="shared" si="36"/>
        <v>0</v>
      </c>
      <c r="AQ56" s="265">
        <f t="shared" si="39"/>
        <v>0</v>
      </c>
      <c r="AR56" s="259">
        <f t="shared" si="52"/>
        <v>0</v>
      </c>
      <c r="AS56" s="259">
        <f t="shared" si="53"/>
        <v>0</v>
      </c>
      <c r="AT56" s="266">
        <v>0</v>
      </c>
      <c r="AU56" s="267">
        <v>0</v>
      </c>
      <c r="AV56" s="259">
        <f t="shared" si="101"/>
        <v>0</v>
      </c>
      <c r="AW56" s="259"/>
      <c r="AX56" s="259"/>
      <c r="AY56" s="265">
        <f t="shared" si="87"/>
        <v>0</v>
      </c>
      <c r="AZ56" s="259">
        <f t="shared" si="88"/>
        <v>0</v>
      </c>
      <c r="BA56" s="259">
        <f t="shared" si="89"/>
        <v>0</v>
      </c>
      <c r="BB56" s="430">
        <f t="shared" si="90"/>
        <v>0</v>
      </c>
      <c r="BC56" s="259"/>
      <c r="BD56" s="259"/>
      <c r="BE56" s="259"/>
      <c r="BF56" s="259"/>
      <c r="BG56" s="259"/>
      <c r="BH56" s="259"/>
      <c r="BI56" s="259"/>
      <c r="BJ56" s="259"/>
      <c r="BK56" s="259"/>
      <c r="BL56" s="265">
        <f t="shared" si="91"/>
        <v>0</v>
      </c>
      <c r="BM56" s="268">
        <f t="shared" si="92"/>
        <v>0</v>
      </c>
      <c r="BO56" s="259">
        <f t="shared" si="106"/>
        <v>0</v>
      </c>
      <c r="BP56" s="259">
        <f t="shared" si="107"/>
        <v>0</v>
      </c>
      <c r="BQ56" s="259">
        <f t="shared" si="108"/>
        <v>0</v>
      </c>
      <c r="BR56" s="265">
        <f t="shared" si="109"/>
        <v>0</v>
      </c>
    </row>
    <row r="57" spans="1:70">
      <c r="A57" s="243">
        <f t="shared" si="102"/>
        <v>55</v>
      </c>
      <c r="B57" s="257"/>
      <c r="C57" s="257"/>
      <c r="D57" s="257"/>
      <c r="E57" s="257"/>
      <c r="F57" s="258"/>
      <c r="G57" s="259"/>
      <c r="H57" s="259"/>
      <c r="I57" s="259"/>
      <c r="J57" s="259"/>
      <c r="K57" s="259"/>
      <c r="L57" s="260" t="s">
        <v>52</v>
      </c>
      <c r="M57" s="257"/>
      <c r="N57" s="261"/>
      <c r="O57" s="262" t="str">
        <f t="shared" si="78"/>
        <v>0 ans, 0 mois, 0 jours</v>
      </c>
      <c r="P57" s="259">
        <f t="shared" si="79"/>
        <v>0</v>
      </c>
      <c r="Q57" s="217" t="str">
        <f t="shared" si="31"/>
        <v>MAO1-1.I</v>
      </c>
      <c r="R57" s="217" t="str">
        <f t="shared" si="32"/>
        <v>MANŒUVRE ORDINAIRE</v>
      </c>
      <c r="S57" s="258" t="str">
        <f t="shared" si="80"/>
        <v>MANŒUVRE</v>
      </c>
      <c r="T57" s="217" t="str">
        <f>+VLOOKUP($Q57,Categorie!$I:$P,3,0)</f>
        <v>MANŒUVRE ORDINAIRE (MO), Echellon 1, Classe 1</v>
      </c>
      <c r="U57" s="259">
        <f t="shared" si="77"/>
        <v>0</v>
      </c>
      <c r="V57" s="263">
        <v>0</v>
      </c>
      <c r="W57" s="263">
        <v>0</v>
      </c>
      <c r="X57" s="263">
        <v>0</v>
      </c>
      <c r="Y57" s="263">
        <v>0</v>
      </c>
      <c r="Z57" s="259">
        <f t="shared" si="93"/>
        <v>0</v>
      </c>
      <c r="AA57" s="259">
        <f t="shared" si="94"/>
        <v>0</v>
      </c>
      <c r="AB57" s="259">
        <f t="shared" si="51"/>
        <v>0</v>
      </c>
      <c r="AC57" s="264">
        <f t="shared" si="103"/>
        <v>0</v>
      </c>
      <c r="AD57" s="264"/>
      <c r="AE57" s="263">
        <f t="shared" si="54"/>
        <v>0</v>
      </c>
      <c r="AF57" s="263">
        <v>0</v>
      </c>
      <c r="AG57" s="259">
        <f t="shared" si="104"/>
        <v>0</v>
      </c>
      <c r="AH57" s="259">
        <f t="shared" si="42"/>
        <v>0</v>
      </c>
      <c r="AI57" s="259">
        <f t="shared" si="95"/>
        <v>0</v>
      </c>
      <c r="AJ57" s="259">
        <f t="shared" si="105"/>
        <v>0</v>
      </c>
      <c r="AK57" s="259">
        <f t="shared" si="96"/>
        <v>0</v>
      </c>
      <c r="AL57" s="259">
        <f t="shared" si="97"/>
        <v>0</v>
      </c>
      <c r="AM57" s="259">
        <f t="shared" si="98"/>
        <v>0</v>
      </c>
      <c r="AN57" s="259">
        <f t="shared" si="99"/>
        <v>0</v>
      </c>
      <c r="AO57" s="259">
        <f t="shared" si="100"/>
        <v>0</v>
      </c>
      <c r="AP57" s="247">
        <f t="shared" si="36"/>
        <v>0</v>
      </c>
      <c r="AQ57" s="265">
        <f t="shared" si="39"/>
        <v>0</v>
      </c>
      <c r="AR57" s="259">
        <f t="shared" si="52"/>
        <v>0</v>
      </c>
      <c r="AS57" s="259">
        <f t="shared" si="53"/>
        <v>0</v>
      </c>
      <c r="AT57" s="266">
        <v>0</v>
      </c>
      <c r="AU57" s="267">
        <v>0</v>
      </c>
      <c r="AV57" s="259">
        <f t="shared" si="101"/>
        <v>0</v>
      </c>
      <c r="AW57" s="259"/>
      <c r="AX57" s="259"/>
      <c r="AY57" s="265">
        <f t="shared" si="87"/>
        <v>0</v>
      </c>
      <c r="AZ57" s="259">
        <f t="shared" si="88"/>
        <v>0</v>
      </c>
      <c r="BA57" s="259">
        <f t="shared" si="89"/>
        <v>0</v>
      </c>
      <c r="BB57" s="430">
        <f t="shared" si="90"/>
        <v>0</v>
      </c>
      <c r="BC57" s="259"/>
      <c r="BD57" s="259"/>
      <c r="BE57" s="259"/>
      <c r="BF57" s="259"/>
      <c r="BG57" s="259"/>
      <c r="BH57" s="259"/>
      <c r="BI57" s="259"/>
      <c r="BJ57" s="259"/>
      <c r="BK57" s="259"/>
      <c r="BL57" s="265">
        <f t="shared" si="91"/>
        <v>0</v>
      </c>
      <c r="BM57" s="268">
        <f t="shared" si="92"/>
        <v>0</v>
      </c>
      <c r="BO57" s="259">
        <f t="shared" si="106"/>
        <v>0</v>
      </c>
      <c r="BP57" s="259">
        <f t="shared" si="107"/>
        <v>0</v>
      </c>
      <c r="BQ57" s="259">
        <f t="shared" si="108"/>
        <v>0</v>
      </c>
      <c r="BR57" s="265">
        <f t="shared" si="109"/>
        <v>0</v>
      </c>
    </row>
    <row r="58" spans="1:70">
      <c r="A58" s="243">
        <f t="shared" si="102"/>
        <v>56</v>
      </c>
      <c r="B58" s="257"/>
      <c r="C58" s="257"/>
      <c r="D58" s="257"/>
      <c r="E58" s="257"/>
      <c r="F58" s="258"/>
      <c r="G58" s="259"/>
      <c r="H58" s="259"/>
      <c r="I58" s="259"/>
      <c r="J58" s="259"/>
      <c r="K58" s="259"/>
      <c r="L58" s="260" t="s">
        <v>52</v>
      </c>
      <c r="M58" s="257"/>
      <c r="N58" s="261"/>
      <c r="O58" s="262" t="str">
        <f t="shared" si="78"/>
        <v>0 ans, 0 mois, 0 jours</v>
      </c>
      <c r="P58" s="259">
        <f t="shared" si="79"/>
        <v>0</v>
      </c>
      <c r="Q58" s="217" t="str">
        <f t="shared" si="31"/>
        <v>MAO1-1.I</v>
      </c>
      <c r="R58" s="217" t="str">
        <f t="shared" si="32"/>
        <v>MANŒUVRE ORDINAIRE</v>
      </c>
      <c r="S58" s="258" t="str">
        <f t="shared" si="80"/>
        <v>MANŒUVRE</v>
      </c>
      <c r="T58" s="217" t="str">
        <f>+VLOOKUP($Q58,Categorie!$I:$P,3,0)</f>
        <v>MANŒUVRE ORDINAIRE (MO), Echellon 1, Classe 1</v>
      </c>
      <c r="U58" s="259">
        <f t="shared" si="77"/>
        <v>0</v>
      </c>
      <c r="V58" s="263">
        <v>0</v>
      </c>
      <c r="W58" s="263">
        <v>0</v>
      </c>
      <c r="X58" s="263">
        <v>0</v>
      </c>
      <c r="Y58" s="263">
        <v>0</v>
      </c>
      <c r="Z58" s="259">
        <f t="shared" si="93"/>
        <v>0</v>
      </c>
      <c r="AA58" s="259">
        <f t="shared" si="94"/>
        <v>0</v>
      </c>
      <c r="AB58" s="259">
        <f t="shared" si="51"/>
        <v>0</v>
      </c>
      <c r="AC58" s="264">
        <f t="shared" si="103"/>
        <v>0</v>
      </c>
      <c r="AD58" s="264"/>
      <c r="AE58" s="263">
        <f t="shared" si="54"/>
        <v>0</v>
      </c>
      <c r="AF58" s="263">
        <v>0</v>
      </c>
      <c r="AG58" s="259">
        <f t="shared" si="104"/>
        <v>0</v>
      </c>
      <c r="AH58" s="259">
        <f t="shared" si="42"/>
        <v>0</v>
      </c>
      <c r="AI58" s="259">
        <f t="shared" si="95"/>
        <v>0</v>
      </c>
      <c r="AJ58" s="259">
        <f t="shared" si="105"/>
        <v>0</v>
      </c>
      <c r="AK58" s="259">
        <f t="shared" si="96"/>
        <v>0</v>
      </c>
      <c r="AL58" s="259">
        <f t="shared" si="97"/>
        <v>0</v>
      </c>
      <c r="AM58" s="259">
        <f t="shared" si="98"/>
        <v>0</v>
      </c>
      <c r="AN58" s="259">
        <f t="shared" si="99"/>
        <v>0</v>
      </c>
      <c r="AO58" s="259">
        <f t="shared" si="100"/>
        <v>0</v>
      </c>
      <c r="AP58" s="247">
        <f t="shared" si="36"/>
        <v>0</v>
      </c>
      <c r="AQ58" s="265">
        <f t="shared" si="39"/>
        <v>0</v>
      </c>
      <c r="AR58" s="259">
        <f t="shared" si="52"/>
        <v>0</v>
      </c>
      <c r="AS58" s="259">
        <f t="shared" si="53"/>
        <v>0</v>
      </c>
      <c r="AT58" s="266">
        <v>0</v>
      </c>
      <c r="AU58" s="267">
        <v>0</v>
      </c>
      <c r="AV58" s="259">
        <f t="shared" si="101"/>
        <v>0</v>
      </c>
      <c r="AW58" s="259"/>
      <c r="AX58" s="259"/>
      <c r="AY58" s="265">
        <f t="shared" si="87"/>
        <v>0</v>
      </c>
      <c r="AZ58" s="259">
        <f t="shared" si="88"/>
        <v>0</v>
      </c>
      <c r="BA58" s="259">
        <f t="shared" si="89"/>
        <v>0</v>
      </c>
      <c r="BB58" s="430">
        <f t="shared" si="90"/>
        <v>0</v>
      </c>
      <c r="BC58" s="259"/>
      <c r="BD58" s="259"/>
      <c r="BE58" s="259"/>
      <c r="BF58" s="259"/>
      <c r="BG58" s="259"/>
      <c r="BH58" s="259"/>
      <c r="BI58" s="259"/>
      <c r="BJ58" s="259"/>
      <c r="BK58" s="259"/>
      <c r="BL58" s="265">
        <f t="shared" si="91"/>
        <v>0</v>
      </c>
      <c r="BM58" s="268">
        <f t="shared" si="92"/>
        <v>0</v>
      </c>
      <c r="BO58" s="259">
        <f t="shared" si="106"/>
        <v>0</v>
      </c>
      <c r="BP58" s="259">
        <f t="shared" si="107"/>
        <v>0</v>
      </c>
      <c r="BQ58" s="259">
        <f t="shared" si="108"/>
        <v>0</v>
      </c>
      <c r="BR58" s="265">
        <f t="shared" si="109"/>
        <v>0</v>
      </c>
    </row>
    <row r="59" spans="1:70">
      <c r="A59" s="243">
        <f t="shared" si="102"/>
        <v>57</v>
      </c>
      <c r="B59" s="257"/>
      <c r="C59" s="257"/>
      <c r="D59" s="257"/>
      <c r="E59" s="257"/>
      <c r="F59" s="258"/>
      <c r="G59" s="259"/>
      <c r="H59" s="259"/>
      <c r="I59" s="259"/>
      <c r="J59" s="259"/>
      <c r="K59" s="259"/>
      <c r="L59" s="260" t="s">
        <v>52</v>
      </c>
      <c r="M59" s="257"/>
      <c r="N59" s="261"/>
      <c r="O59" s="262" t="str">
        <f t="shared" si="78"/>
        <v>0 ans, 0 mois, 0 jours</v>
      </c>
      <c r="P59" s="259">
        <f t="shared" si="79"/>
        <v>0</v>
      </c>
      <c r="Q59" s="217" t="str">
        <f t="shared" si="31"/>
        <v>MAO1-1.I</v>
      </c>
      <c r="R59" s="217" t="str">
        <f t="shared" si="32"/>
        <v>MANŒUVRE ORDINAIRE</v>
      </c>
      <c r="S59" s="258" t="str">
        <f t="shared" si="80"/>
        <v>MANŒUVRE</v>
      </c>
      <c r="T59" s="217" t="str">
        <f>+VLOOKUP($Q59,Categorie!$I:$P,3,0)</f>
        <v>MANŒUVRE ORDINAIRE (MO), Echellon 1, Classe 1</v>
      </c>
      <c r="U59" s="259">
        <f t="shared" si="77"/>
        <v>0</v>
      </c>
      <c r="V59" s="263">
        <v>0</v>
      </c>
      <c r="W59" s="263">
        <v>0</v>
      </c>
      <c r="X59" s="263">
        <v>0</v>
      </c>
      <c r="Y59" s="263">
        <v>0</v>
      </c>
      <c r="Z59" s="259">
        <f t="shared" si="93"/>
        <v>0</v>
      </c>
      <c r="AA59" s="259">
        <f t="shared" si="94"/>
        <v>0</v>
      </c>
      <c r="AB59" s="259">
        <f t="shared" si="51"/>
        <v>0</v>
      </c>
      <c r="AC59" s="264">
        <f t="shared" si="103"/>
        <v>0</v>
      </c>
      <c r="AD59" s="264"/>
      <c r="AE59" s="263">
        <f t="shared" si="54"/>
        <v>0</v>
      </c>
      <c r="AF59" s="263">
        <v>0</v>
      </c>
      <c r="AG59" s="259">
        <f t="shared" si="104"/>
        <v>0</v>
      </c>
      <c r="AH59" s="259">
        <f t="shared" si="42"/>
        <v>0</v>
      </c>
      <c r="AI59" s="259">
        <f t="shared" si="95"/>
        <v>0</v>
      </c>
      <c r="AJ59" s="259">
        <f t="shared" si="105"/>
        <v>0</v>
      </c>
      <c r="AK59" s="259">
        <f t="shared" si="96"/>
        <v>0</v>
      </c>
      <c r="AL59" s="259">
        <f t="shared" si="97"/>
        <v>0</v>
      </c>
      <c r="AM59" s="259">
        <f t="shared" si="98"/>
        <v>0</v>
      </c>
      <c r="AN59" s="259">
        <f t="shared" si="99"/>
        <v>0</v>
      </c>
      <c r="AO59" s="259">
        <f t="shared" si="100"/>
        <v>0</v>
      </c>
      <c r="AP59" s="247">
        <f t="shared" si="36"/>
        <v>0</v>
      </c>
      <c r="AQ59" s="265">
        <f t="shared" si="39"/>
        <v>0</v>
      </c>
      <c r="AR59" s="259">
        <f t="shared" si="52"/>
        <v>0</v>
      </c>
      <c r="AS59" s="259">
        <f t="shared" si="53"/>
        <v>0</v>
      </c>
      <c r="AT59" s="266">
        <v>0</v>
      </c>
      <c r="AU59" s="267">
        <v>0</v>
      </c>
      <c r="AV59" s="259">
        <f t="shared" si="101"/>
        <v>0</v>
      </c>
      <c r="AW59" s="259"/>
      <c r="AX59" s="259"/>
      <c r="AY59" s="265">
        <f t="shared" si="87"/>
        <v>0</v>
      </c>
      <c r="AZ59" s="259">
        <f t="shared" si="88"/>
        <v>0</v>
      </c>
      <c r="BA59" s="259">
        <f t="shared" si="89"/>
        <v>0</v>
      </c>
      <c r="BB59" s="430">
        <f t="shared" si="90"/>
        <v>0</v>
      </c>
      <c r="BC59" s="259"/>
      <c r="BD59" s="259"/>
      <c r="BE59" s="259"/>
      <c r="BF59" s="259"/>
      <c r="BG59" s="259"/>
      <c r="BH59" s="259"/>
      <c r="BI59" s="259"/>
      <c r="BJ59" s="259"/>
      <c r="BK59" s="259"/>
      <c r="BL59" s="265">
        <f t="shared" si="91"/>
        <v>0</v>
      </c>
      <c r="BM59" s="268">
        <f t="shared" si="92"/>
        <v>0</v>
      </c>
      <c r="BO59" s="259">
        <f t="shared" si="106"/>
        <v>0</v>
      </c>
      <c r="BP59" s="259">
        <f t="shared" si="107"/>
        <v>0</v>
      </c>
      <c r="BQ59" s="259">
        <f t="shared" si="108"/>
        <v>0</v>
      </c>
      <c r="BR59" s="265">
        <f t="shared" si="109"/>
        <v>0</v>
      </c>
    </row>
    <row r="60" spans="1:70">
      <c r="A60" s="243">
        <f t="shared" si="102"/>
        <v>58</v>
      </c>
      <c r="B60" s="257"/>
      <c r="C60" s="257"/>
      <c r="D60" s="257"/>
      <c r="E60" s="257"/>
      <c r="F60" s="258"/>
      <c r="G60" s="259"/>
      <c r="H60" s="259"/>
      <c r="I60" s="259"/>
      <c r="J60" s="259"/>
      <c r="K60" s="259"/>
      <c r="L60" s="260" t="s">
        <v>52</v>
      </c>
      <c r="M60" s="257"/>
      <c r="N60" s="261"/>
      <c r="O60" s="262" t="str">
        <f t="shared" si="78"/>
        <v>0 ans, 0 mois, 0 jours</v>
      </c>
      <c r="P60" s="259">
        <f t="shared" si="79"/>
        <v>0</v>
      </c>
      <c r="Q60" s="217" t="str">
        <f t="shared" si="31"/>
        <v>MAO1-1.I</v>
      </c>
      <c r="R60" s="217" t="str">
        <f t="shared" si="32"/>
        <v>MANŒUVRE ORDINAIRE</v>
      </c>
      <c r="S60" s="258" t="str">
        <f t="shared" si="80"/>
        <v>MANŒUVRE</v>
      </c>
      <c r="T60" s="217" t="str">
        <f>+VLOOKUP($Q60,Categorie!$I:$P,3,0)</f>
        <v>MANŒUVRE ORDINAIRE (MO), Echellon 1, Classe 1</v>
      </c>
      <c r="U60" s="259">
        <f t="shared" si="77"/>
        <v>0</v>
      </c>
      <c r="V60" s="263">
        <v>0</v>
      </c>
      <c r="W60" s="263">
        <v>0</v>
      </c>
      <c r="X60" s="263">
        <v>0</v>
      </c>
      <c r="Y60" s="263">
        <v>0</v>
      </c>
      <c r="Z60" s="259">
        <f t="shared" si="93"/>
        <v>0</v>
      </c>
      <c r="AA60" s="259">
        <f t="shared" si="94"/>
        <v>0</v>
      </c>
      <c r="AB60" s="259">
        <f t="shared" ref="AB60:AB91" si="110">+IF(DATEDIF(F60, N60, "md")=0,(DATEDIF(F60, N60, "ym"))*1.5,(DATEDIF(F60, N60, "ym")+1)*1.5)</f>
        <v>0</v>
      </c>
      <c r="AC60" s="264">
        <f t="shared" si="103"/>
        <v>0</v>
      </c>
      <c r="AD60" s="264"/>
      <c r="AE60" s="263">
        <f t="shared" si="54"/>
        <v>0</v>
      </c>
      <c r="AF60" s="263">
        <v>0</v>
      </c>
      <c r="AG60" s="259">
        <f t="shared" si="104"/>
        <v>0</v>
      </c>
      <c r="AH60" s="259">
        <f t="shared" si="42"/>
        <v>0</v>
      </c>
      <c r="AI60" s="259">
        <f t="shared" si="95"/>
        <v>0</v>
      </c>
      <c r="AJ60" s="259">
        <f t="shared" si="105"/>
        <v>0</v>
      </c>
      <c r="AK60" s="259">
        <f t="shared" si="96"/>
        <v>0</v>
      </c>
      <c r="AL60" s="259">
        <f t="shared" si="97"/>
        <v>0</v>
      </c>
      <c r="AM60" s="259">
        <f t="shared" si="98"/>
        <v>0</v>
      </c>
      <c r="AN60" s="259">
        <f t="shared" si="99"/>
        <v>0</v>
      </c>
      <c r="AO60" s="259">
        <f t="shared" si="100"/>
        <v>0</v>
      </c>
      <c r="AP60" s="247">
        <f t="shared" si="36"/>
        <v>0</v>
      </c>
      <c r="AQ60" s="265">
        <f t="shared" si="39"/>
        <v>0</v>
      </c>
      <c r="AR60" s="259">
        <f t="shared" si="52"/>
        <v>0</v>
      </c>
      <c r="AS60" s="259">
        <f t="shared" si="53"/>
        <v>0</v>
      </c>
      <c r="AT60" s="266">
        <v>0</v>
      </c>
      <c r="AU60" s="267">
        <v>0</v>
      </c>
      <c r="AV60" s="259">
        <f t="shared" si="101"/>
        <v>0</v>
      </c>
      <c r="AW60" s="259"/>
      <c r="AX60" s="259"/>
      <c r="AY60" s="265">
        <f t="shared" si="87"/>
        <v>0</v>
      </c>
      <c r="AZ60" s="259">
        <f t="shared" si="88"/>
        <v>0</v>
      </c>
      <c r="BA60" s="259">
        <f t="shared" si="89"/>
        <v>0</v>
      </c>
      <c r="BB60" s="430">
        <f t="shared" si="90"/>
        <v>0</v>
      </c>
      <c r="BC60" s="259"/>
      <c r="BD60" s="259"/>
      <c r="BE60" s="259"/>
      <c r="BF60" s="259"/>
      <c r="BG60" s="259"/>
      <c r="BH60" s="259"/>
      <c r="BI60" s="259"/>
      <c r="BJ60" s="259"/>
      <c r="BK60" s="259"/>
      <c r="BL60" s="265">
        <f t="shared" si="91"/>
        <v>0</v>
      </c>
      <c r="BM60" s="268">
        <f t="shared" si="92"/>
        <v>0</v>
      </c>
      <c r="BO60" s="259">
        <f t="shared" si="106"/>
        <v>0</v>
      </c>
      <c r="BP60" s="259">
        <f t="shared" si="107"/>
        <v>0</v>
      </c>
      <c r="BQ60" s="259">
        <f t="shared" si="108"/>
        <v>0</v>
      </c>
      <c r="BR60" s="265">
        <f t="shared" si="109"/>
        <v>0</v>
      </c>
    </row>
    <row r="61" spans="1:70">
      <c r="A61" s="243">
        <f t="shared" si="102"/>
        <v>59</v>
      </c>
      <c r="B61" s="257"/>
      <c r="C61" s="257"/>
      <c r="D61" s="257"/>
      <c r="E61" s="257"/>
      <c r="F61" s="258"/>
      <c r="G61" s="259"/>
      <c r="H61" s="259"/>
      <c r="I61" s="259"/>
      <c r="J61" s="259"/>
      <c r="K61" s="259"/>
      <c r="L61" s="260" t="s">
        <v>52</v>
      </c>
      <c r="M61" s="257"/>
      <c r="N61" s="261"/>
      <c r="O61" s="262" t="str">
        <f t="shared" si="78"/>
        <v>0 ans, 0 mois, 0 jours</v>
      </c>
      <c r="P61" s="259">
        <f t="shared" si="79"/>
        <v>0</v>
      </c>
      <c r="Q61" s="217" t="str">
        <f t="shared" si="31"/>
        <v>MAO1-1.I</v>
      </c>
      <c r="R61" s="217" t="str">
        <f t="shared" si="32"/>
        <v>MANŒUVRE ORDINAIRE</v>
      </c>
      <c r="S61" s="258" t="str">
        <f t="shared" si="80"/>
        <v>MANŒUVRE</v>
      </c>
      <c r="T61" s="217" t="str">
        <f>+VLOOKUP($Q61,Categorie!$I:$P,3,0)</f>
        <v>MANŒUVRE ORDINAIRE (MO), Echellon 1, Classe 1</v>
      </c>
      <c r="U61" s="259">
        <f t="shared" si="77"/>
        <v>0</v>
      </c>
      <c r="V61" s="263">
        <v>0</v>
      </c>
      <c r="W61" s="263">
        <v>0</v>
      </c>
      <c r="X61" s="263">
        <v>0</v>
      </c>
      <c r="Y61" s="263">
        <v>0</v>
      </c>
      <c r="Z61" s="259">
        <f t="shared" si="93"/>
        <v>0</v>
      </c>
      <c r="AA61" s="259">
        <f t="shared" si="94"/>
        <v>0</v>
      </c>
      <c r="AB61" s="259">
        <f t="shared" si="110"/>
        <v>0</v>
      </c>
      <c r="AC61" s="264">
        <f t="shared" si="103"/>
        <v>0</v>
      </c>
      <c r="AD61" s="264"/>
      <c r="AE61" s="263">
        <f t="shared" si="54"/>
        <v>0</v>
      </c>
      <c r="AF61" s="263">
        <v>0</v>
      </c>
      <c r="AG61" s="259">
        <f t="shared" si="104"/>
        <v>0</v>
      </c>
      <c r="AH61" s="259">
        <f t="shared" si="42"/>
        <v>0</v>
      </c>
      <c r="AI61" s="259">
        <f t="shared" si="95"/>
        <v>0</v>
      </c>
      <c r="AJ61" s="259">
        <f t="shared" si="105"/>
        <v>0</v>
      </c>
      <c r="AK61" s="259">
        <f t="shared" si="96"/>
        <v>0</v>
      </c>
      <c r="AL61" s="259">
        <f t="shared" si="97"/>
        <v>0</v>
      </c>
      <c r="AM61" s="259">
        <f t="shared" si="98"/>
        <v>0</v>
      </c>
      <c r="AN61" s="259">
        <f t="shared" si="99"/>
        <v>0</v>
      </c>
      <c r="AO61" s="259">
        <f t="shared" si="100"/>
        <v>0</v>
      </c>
      <c r="AP61" s="247">
        <f t="shared" si="36"/>
        <v>0</v>
      </c>
      <c r="AQ61" s="265">
        <f t="shared" si="39"/>
        <v>0</v>
      </c>
      <c r="AR61" s="259">
        <f t="shared" ref="AR61:AR92" si="111">+I61/26*(AE61+AU61)</f>
        <v>0</v>
      </c>
      <c r="AS61" s="259">
        <f t="shared" ref="AS61:AS92" si="112">+H61/26*V61</f>
        <v>0</v>
      </c>
      <c r="AT61" s="266">
        <v>0</v>
      </c>
      <c r="AU61" s="267">
        <v>0</v>
      </c>
      <c r="AV61" s="259">
        <f t="shared" si="101"/>
        <v>0</v>
      </c>
      <c r="AW61" s="259"/>
      <c r="AX61" s="259"/>
      <c r="AY61" s="265">
        <f t="shared" si="87"/>
        <v>0</v>
      </c>
      <c r="AZ61" s="259">
        <f t="shared" si="88"/>
        <v>0</v>
      </c>
      <c r="BA61" s="259">
        <f t="shared" si="89"/>
        <v>0</v>
      </c>
      <c r="BB61" s="430">
        <f t="shared" si="90"/>
        <v>0</v>
      </c>
      <c r="BC61" s="259"/>
      <c r="BD61" s="259"/>
      <c r="BE61" s="259"/>
      <c r="BF61" s="259"/>
      <c r="BG61" s="259"/>
      <c r="BH61" s="259"/>
      <c r="BI61" s="259"/>
      <c r="BJ61" s="259"/>
      <c r="BK61" s="259"/>
      <c r="BL61" s="265">
        <f t="shared" si="91"/>
        <v>0</v>
      </c>
      <c r="BM61" s="268">
        <f t="shared" si="92"/>
        <v>0</v>
      </c>
      <c r="BO61" s="259">
        <f t="shared" si="106"/>
        <v>0</v>
      </c>
      <c r="BP61" s="259">
        <f t="shared" si="107"/>
        <v>0</v>
      </c>
      <c r="BQ61" s="259">
        <f t="shared" si="108"/>
        <v>0</v>
      </c>
      <c r="BR61" s="265">
        <f t="shared" si="109"/>
        <v>0</v>
      </c>
    </row>
    <row r="62" spans="1:70">
      <c r="A62" s="243">
        <f t="shared" si="102"/>
        <v>60</v>
      </c>
      <c r="B62" s="257"/>
      <c r="C62" s="257"/>
      <c r="D62" s="257"/>
      <c r="E62" s="257"/>
      <c r="F62" s="258"/>
      <c r="G62" s="259"/>
      <c r="H62" s="259"/>
      <c r="I62" s="259"/>
      <c r="J62" s="259"/>
      <c r="K62" s="259"/>
      <c r="L62" s="260" t="s">
        <v>52</v>
      </c>
      <c r="M62" s="257"/>
      <c r="N62" s="261"/>
      <c r="O62" s="262" t="str">
        <f t="shared" si="78"/>
        <v>0 ans, 0 mois, 0 jours</v>
      </c>
      <c r="P62" s="259">
        <f t="shared" si="79"/>
        <v>0</v>
      </c>
      <c r="Q62" s="217" t="str">
        <f t="shared" si="31"/>
        <v>MAO1-1.I</v>
      </c>
      <c r="R62" s="217" t="str">
        <f t="shared" si="32"/>
        <v>MANŒUVRE ORDINAIRE</v>
      </c>
      <c r="S62" s="258" t="str">
        <f t="shared" si="80"/>
        <v>MANŒUVRE</v>
      </c>
      <c r="T62" s="217" t="str">
        <f>+VLOOKUP($Q62,Categorie!$I:$P,3,0)</f>
        <v>MANŒUVRE ORDINAIRE (MO), Echellon 1, Classe 1</v>
      </c>
      <c r="U62" s="259">
        <f t="shared" si="77"/>
        <v>0</v>
      </c>
      <c r="V62" s="263">
        <v>0</v>
      </c>
      <c r="W62" s="263">
        <v>0</v>
      </c>
      <c r="X62" s="263">
        <v>0</v>
      </c>
      <c r="Y62" s="263">
        <v>0</v>
      </c>
      <c r="Z62" s="259">
        <f t="shared" si="93"/>
        <v>0</v>
      </c>
      <c r="AA62" s="259">
        <f t="shared" si="94"/>
        <v>0</v>
      </c>
      <c r="AB62" s="259">
        <f t="shared" si="110"/>
        <v>0</v>
      </c>
      <c r="AC62" s="264">
        <f t="shared" si="103"/>
        <v>0</v>
      </c>
      <c r="AD62" s="264"/>
      <c r="AE62" s="263">
        <f t="shared" si="54"/>
        <v>0</v>
      </c>
      <c r="AF62" s="263">
        <v>0</v>
      </c>
      <c r="AG62" s="259">
        <f t="shared" si="104"/>
        <v>0</v>
      </c>
      <c r="AH62" s="259">
        <f t="shared" si="42"/>
        <v>0</v>
      </c>
      <c r="AI62" s="259">
        <f t="shared" si="95"/>
        <v>0</v>
      </c>
      <c r="AJ62" s="259">
        <f t="shared" si="105"/>
        <v>0</v>
      </c>
      <c r="AK62" s="259">
        <f t="shared" si="96"/>
        <v>0</v>
      </c>
      <c r="AL62" s="259">
        <f t="shared" si="97"/>
        <v>0</v>
      </c>
      <c r="AM62" s="259">
        <f t="shared" si="98"/>
        <v>0</v>
      </c>
      <c r="AN62" s="259">
        <f t="shared" si="99"/>
        <v>0</v>
      </c>
      <c r="AO62" s="259">
        <f t="shared" si="100"/>
        <v>0</v>
      </c>
      <c r="AP62" s="247">
        <f t="shared" si="36"/>
        <v>0</v>
      </c>
      <c r="AQ62" s="265">
        <f t="shared" si="39"/>
        <v>0</v>
      </c>
      <c r="AR62" s="259">
        <f t="shared" si="111"/>
        <v>0</v>
      </c>
      <c r="AS62" s="259">
        <f t="shared" si="112"/>
        <v>0</v>
      </c>
      <c r="AT62" s="266">
        <v>0</v>
      </c>
      <c r="AU62" s="267">
        <v>0</v>
      </c>
      <c r="AV62" s="259">
        <f t="shared" si="101"/>
        <v>0</v>
      </c>
      <c r="AW62" s="259"/>
      <c r="AX62" s="259"/>
      <c r="AY62" s="265">
        <f t="shared" si="87"/>
        <v>0</v>
      </c>
      <c r="AZ62" s="259">
        <f t="shared" si="88"/>
        <v>0</v>
      </c>
      <c r="BA62" s="259">
        <f t="shared" si="89"/>
        <v>0</v>
      </c>
      <c r="BB62" s="430">
        <f t="shared" si="90"/>
        <v>0</v>
      </c>
      <c r="BC62" s="259"/>
      <c r="BD62" s="259"/>
      <c r="BE62" s="259"/>
      <c r="BF62" s="259"/>
      <c r="BG62" s="259"/>
      <c r="BH62" s="259"/>
      <c r="BI62" s="259"/>
      <c r="BJ62" s="259"/>
      <c r="BK62" s="259"/>
      <c r="BL62" s="265">
        <f t="shared" si="91"/>
        <v>0</v>
      </c>
      <c r="BM62" s="268">
        <f t="shared" si="92"/>
        <v>0</v>
      </c>
      <c r="BO62" s="259">
        <f t="shared" si="106"/>
        <v>0</v>
      </c>
      <c r="BP62" s="259">
        <f t="shared" si="107"/>
        <v>0</v>
      </c>
      <c r="BQ62" s="259">
        <f t="shared" si="108"/>
        <v>0</v>
      </c>
      <c r="BR62" s="265">
        <f t="shared" si="109"/>
        <v>0</v>
      </c>
    </row>
    <row r="63" spans="1:70">
      <c r="A63" s="243">
        <f t="shared" si="102"/>
        <v>61</v>
      </c>
      <c r="B63" s="257"/>
      <c r="C63" s="257"/>
      <c r="D63" s="257"/>
      <c r="E63" s="257"/>
      <c r="F63" s="258"/>
      <c r="G63" s="259"/>
      <c r="H63" s="259"/>
      <c r="I63" s="259"/>
      <c r="J63" s="259"/>
      <c r="K63" s="259"/>
      <c r="L63" s="260" t="s">
        <v>52</v>
      </c>
      <c r="M63" s="257"/>
      <c r="N63" s="261"/>
      <c r="O63" s="262" t="str">
        <f t="shared" si="78"/>
        <v>0 ans, 0 mois, 0 jours</v>
      </c>
      <c r="P63" s="259">
        <f t="shared" si="79"/>
        <v>0</v>
      </c>
      <c r="Q63" s="217" t="str">
        <f t="shared" si="31"/>
        <v>MAO1-1.I</v>
      </c>
      <c r="R63" s="217" t="str">
        <f t="shared" si="32"/>
        <v>MANŒUVRE ORDINAIRE</v>
      </c>
      <c r="S63" s="258" t="str">
        <f t="shared" si="80"/>
        <v>MANŒUVRE</v>
      </c>
      <c r="T63" s="217" t="str">
        <f>+VLOOKUP($Q63,Categorie!$I:$P,3,0)</f>
        <v>MANŒUVRE ORDINAIRE (MO), Echellon 1, Classe 1</v>
      </c>
      <c r="U63" s="259">
        <f t="shared" si="77"/>
        <v>0</v>
      </c>
      <c r="V63" s="263">
        <v>0</v>
      </c>
      <c r="W63" s="263">
        <v>0</v>
      </c>
      <c r="X63" s="263">
        <v>0</v>
      </c>
      <c r="Y63" s="263">
        <v>0</v>
      </c>
      <c r="Z63" s="259">
        <f t="shared" si="93"/>
        <v>0</v>
      </c>
      <c r="AA63" s="259">
        <f t="shared" si="94"/>
        <v>0</v>
      </c>
      <c r="AB63" s="259">
        <f t="shared" si="110"/>
        <v>0</v>
      </c>
      <c r="AC63" s="264">
        <f t="shared" si="103"/>
        <v>0</v>
      </c>
      <c r="AD63" s="264"/>
      <c r="AE63" s="263">
        <f t="shared" ref="AE63:AE94" si="113">SUM(V63:AC63)</f>
        <v>0</v>
      </c>
      <c r="AF63" s="263">
        <v>0</v>
      </c>
      <c r="AG63" s="259">
        <f t="shared" si="104"/>
        <v>0</v>
      </c>
      <c r="AH63" s="259">
        <f t="shared" si="42"/>
        <v>0</v>
      </c>
      <c r="AI63" s="259">
        <f t="shared" si="95"/>
        <v>0</v>
      </c>
      <c r="AJ63" s="259">
        <f t="shared" si="105"/>
        <v>0</v>
      </c>
      <c r="AK63" s="259">
        <f t="shared" si="96"/>
        <v>0</v>
      </c>
      <c r="AL63" s="259">
        <f t="shared" si="97"/>
        <v>0</v>
      </c>
      <c r="AM63" s="259">
        <f t="shared" si="98"/>
        <v>0</v>
      </c>
      <c r="AN63" s="259">
        <f t="shared" si="99"/>
        <v>0</v>
      </c>
      <c r="AO63" s="259">
        <f t="shared" si="100"/>
        <v>0</v>
      </c>
      <c r="AP63" s="247">
        <f t="shared" si="36"/>
        <v>0</v>
      </c>
      <c r="AQ63" s="265">
        <f t="shared" si="39"/>
        <v>0</v>
      </c>
      <c r="AR63" s="259">
        <f t="shared" si="111"/>
        <v>0</v>
      </c>
      <c r="AS63" s="259">
        <f t="shared" si="112"/>
        <v>0</v>
      </c>
      <c r="AT63" s="266">
        <v>0</v>
      </c>
      <c r="AU63" s="267">
        <v>0</v>
      </c>
      <c r="AV63" s="259">
        <f t="shared" si="101"/>
        <v>0</v>
      </c>
      <c r="AW63" s="259"/>
      <c r="AX63" s="259"/>
      <c r="AY63" s="265">
        <f t="shared" si="87"/>
        <v>0</v>
      </c>
      <c r="AZ63" s="259">
        <f t="shared" si="88"/>
        <v>0</v>
      </c>
      <c r="BA63" s="259">
        <f t="shared" si="89"/>
        <v>0</v>
      </c>
      <c r="BB63" s="430">
        <f t="shared" si="90"/>
        <v>0</v>
      </c>
      <c r="BC63" s="259"/>
      <c r="BD63" s="259"/>
      <c r="BE63" s="259"/>
      <c r="BF63" s="259"/>
      <c r="BG63" s="259"/>
      <c r="BH63" s="259"/>
      <c r="BI63" s="259"/>
      <c r="BJ63" s="259"/>
      <c r="BK63" s="259"/>
      <c r="BL63" s="265">
        <f t="shared" si="91"/>
        <v>0</v>
      </c>
      <c r="BM63" s="268">
        <f t="shared" si="92"/>
        <v>0</v>
      </c>
      <c r="BO63" s="259">
        <f t="shared" si="106"/>
        <v>0</v>
      </c>
      <c r="BP63" s="259">
        <f t="shared" si="107"/>
        <v>0</v>
      </c>
      <c r="BQ63" s="259">
        <f t="shared" si="108"/>
        <v>0</v>
      </c>
      <c r="BR63" s="265">
        <f t="shared" si="109"/>
        <v>0</v>
      </c>
    </row>
    <row r="64" spans="1:70">
      <c r="A64" s="243">
        <f t="shared" si="102"/>
        <v>62</v>
      </c>
      <c r="B64" s="257"/>
      <c r="C64" s="257"/>
      <c r="D64" s="257"/>
      <c r="E64" s="257"/>
      <c r="F64" s="258"/>
      <c r="G64" s="259"/>
      <c r="H64" s="259"/>
      <c r="I64" s="259"/>
      <c r="J64" s="259"/>
      <c r="K64" s="259"/>
      <c r="L64" s="260" t="s">
        <v>52</v>
      </c>
      <c r="M64" s="257"/>
      <c r="N64" s="261"/>
      <c r="O64" s="262" t="str">
        <f t="shared" si="78"/>
        <v>0 ans, 0 mois, 0 jours</v>
      </c>
      <c r="P64" s="259">
        <f t="shared" si="79"/>
        <v>0</v>
      </c>
      <c r="Q64" s="217" t="str">
        <f t="shared" si="31"/>
        <v>MAO1-1.I</v>
      </c>
      <c r="R64" s="217" t="str">
        <f t="shared" si="32"/>
        <v>MANŒUVRE ORDINAIRE</v>
      </c>
      <c r="S64" s="258" t="str">
        <f t="shared" si="80"/>
        <v>MANŒUVRE</v>
      </c>
      <c r="T64" s="217" t="str">
        <f>+VLOOKUP($Q64,Categorie!$I:$P,3,0)</f>
        <v>MANŒUVRE ORDINAIRE (MO), Echellon 1, Classe 1</v>
      </c>
      <c r="U64" s="259">
        <f t="shared" si="77"/>
        <v>0</v>
      </c>
      <c r="V64" s="263">
        <v>0</v>
      </c>
      <c r="W64" s="263">
        <v>0</v>
      </c>
      <c r="X64" s="263">
        <v>0</v>
      </c>
      <c r="Y64" s="263">
        <v>0</v>
      </c>
      <c r="Z64" s="259">
        <f t="shared" si="93"/>
        <v>0</v>
      </c>
      <c r="AA64" s="259">
        <f t="shared" si="94"/>
        <v>0</v>
      </c>
      <c r="AB64" s="259">
        <f t="shared" si="110"/>
        <v>0</v>
      </c>
      <c r="AC64" s="264">
        <f t="shared" si="103"/>
        <v>0</v>
      </c>
      <c r="AD64" s="264"/>
      <c r="AE64" s="263">
        <f t="shared" si="113"/>
        <v>0</v>
      </c>
      <c r="AF64" s="263">
        <v>0</v>
      </c>
      <c r="AG64" s="259">
        <f t="shared" si="104"/>
        <v>0</v>
      </c>
      <c r="AH64" s="259">
        <f t="shared" si="42"/>
        <v>0</v>
      </c>
      <c r="AI64" s="259">
        <f t="shared" si="95"/>
        <v>0</v>
      </c>
      <c r="AJ64" s="259">
        <f t="shared" si="105"/>
        <v>0</v>
      </c>
      <c r="AK64" s="259">
        <f t="shared" si="96"/>
        <v>0</v>
      </c>
      <c r="AL64" s="259">
        <f t="shared" si="97"/>
        <v>0</v>
      </c>
      <c r="AM64" s="259">
        <f t="shared" si="98"/>
        <v>0</v>
      </c>
      <c r="AN64" s="259">
        <f t="shared" si="99"/>
        <v>0</v>
      </c>
      <c r="AO64" s="259">
        <f t="shared" si="100"/>
        <v>0</v>
      </c>
      <c r="AP64" s="247">
        <f t="shared" si="36"/>
        <v>0</v>
      </c>
      <c r="AQ64" s="265">
        <f t="shared" si="39"/>
        <v>0</v>
      </c>
      <c r="AR64" s="259">
        <f t="shared" si="111"/>
        <v>0</v>
      </c>
      <c r="AS64" s="259">
        <f t="shared" si="112"/>
        <v>0</v>
      </c>
      <c r="AT64" s="266">
        <v>0</v>
      </c>
      <c r="AU64" s="267">
        <v>0</v>
      </c>
      <c r="AV64" s="259">
        <f t="shared" si="101"/>
        <v>0</v>
      </c>
      <c r="AW64" s="259"/>
      <c r="AX64" s="259"/>
      <c r="AY64" s="265">
        <f t="shared" si="87"/>
        <v>0</v>
      </c>
      <c r="AZ64" s="259">
        <f t="shared" si="88"/>
        <v>0</v>
      </c>
      <c r="BA64" s="259">
        <f t="shared" si="89"/>
        <v>0</v>
      </c>
      <c r="BB64" s="430">
        <f t="shared" si="90"/>
        <v>0</v>
      </c>
      <c r="BC64" s="259"/>
      <c r="BD64" s="259"/>
      <c r="BE64" s="259"/>
      <c r="BF64" s="259"/>
      <c r="BG64" s="259"/>
      <c r="BH64" s="259"/>
      <c r="BI64" s="259"/>
      <c r="BJ64" s="259"/>
      <c r="BK64" s="259"/>
      <c r="BL64" s="265">
        <f t="shared" si="91"/>
        <v>0</v>
      </c>
      <c r="BM64" s="268">
        <f t="shared" si="92"/>
        <v>0</v>
      </c>
      <c r="BO64" s="259">
        <f t="shared" si="106"/>
        <v>0</v>
      </c>
      <c r="BP64" s="259">
        <f t="shared" si="107"/>
        <v>0</v>
      </c>
      <c r="BQ64" s="259">
        <f t="shared" si="108"/>
        <v>0</v>
      </c>
      <c r="BR64" s="265">
        <f t="shared" si="109"/>
        <v>0</v>
      </c>
    </row>
    <row r="65" spans="1:70">
      <c r="A65" s="243">
        <f t="shared" si="102"/>
        <v>63</v>
      </c>
      <c r="B65" s="257"/>
      <c r="C65" s="257"/>
      <c r="D65" s="257"/>
      <c r="E65" s="257"/>
      <c r="F65" s="258"/>
      <c r="G65" s="259"/>
      <c r="H65" s="259"/>
      <c r="I65" s="259"/>
      <c r="J65" s="259"/>
      <c r="K65" s="259"/>
      <c r="L65" s="260" t="s">
        <v>52</v>
      </c>
      <c r="M65" s="257"/>
      <c r="N65" s="261"/>
      <c r="O65" s="262" t="str">
        <f t="shared" si="78"/>
        <v>0 ans, 0 mois, 0 jours</v>
      </c>
      <c r="P65" s="259">
        <f t="shared" si="79"/>
        <v>0</v>
      </c>
      <c r="Q65" s="217" t="str">
        <f t="shared" si="31"/>
        <v>MAO1-1.I</v>
      </c>
      <c r="R65" s="217" t="str">
        <f t="shared" si="32"/>
        <v>MANŒUVRE ORDINAIRE</v>
      </c>
      <c r="S65" s="258" t="str">
        <f t="shared" si="80"/>
        <v>MANŒUVRE</v>
      </c>
      <c r="T65" s="217" t="str">
        <f>+VLOOKUP($Q65,Categorie!$I:$P,3,0)</f>
        <v>MANŒUVRE ORDINAIRE (MO), Echellon 1, Classe 1</v>
      </c>
      <c r="U65" s="259">
        <f t="shared" si="77"/>
        <v>0</v>
      </c>
      <c r="V65" s="263">
        <v>0</v>
      </c>
      <c r="W65" s="263">
        <v>0</v>
      </c>
      <c r="X65" s="263">
        <v>0</v>
      </c>
      <c r="Y65" s="263">
        <v>0</v>
      </c>
      <c r="Z65" s="259">
        <f t="shared" si="93"/>
        <v>0</v>
      </c>
      <c r="AA65" s="259">
        <f t="shared" si="94"/>
        <v>0</v>
      </c>
      <c r="AB65" s="259">
        <f t="shared" si="110"/>
        <v>0</v>
      </c>
      <c r="AC65" s="264">
        <f t="shared" si="103"/>
        <v>0</v>
      </c>
      <c r="AD65" s="264"/>
      <c r="AE65" s="263">
        <f t="shared" si="113"/>
        <v>0</v>
      </c>
      <c r="AF65" s="263">
        <v>0</v>
      </c>
      <c r="AG65" s="259">
        <f t="shared" si="104"/>
        <v>0</v>
      </c>
      <c r="AH65" s="259">
        <f t="shared" si="42"/>
        <v>0</v>
      </c>
      <c r="AI65" s="259">
        <f t="shared" si="95"/>
        <v>0</v>
      </c>
      <c r="AJ65" s="259">
        <f t="shared" si="105"/>
        <v>0</v>
      </c>
      <c r="AK65" s="259">
        <f t="shared" si="96"/>
        <v>0</v>
      </c>
      <c r="AL65" s="259">
        <f t="shared" si="97"/>
        <v>0</v>
      </c>
      <c r="AM65" s="259">
        <f t="shared" si="98"/>
        <v>0</v>
      </c>
      <c r="AN65" s="259">
        <f t="shared" si="99"/>
        <v>0</v>
      </c>
      <c r="AO65" s="259">
        <f t="shared" si="100"/>
        <v>0</v>
      </c>
      <c r="AP65" s="247">
        <f t="shared" si="36"/>
        <v>0</v>
      </c>
      <c r="AQ65" s="265">
        <f t="shared" si="39"/>
        <v>0</v>
      </c>
      <c r="AR65" s="259">
        <f t="shared" si="111"/>
        <v>0</v>
      </c>
      <c r="AS65" s="259">
        <f t="shared" si="112"/>
        <v>0</v>
      </c>
      <c r="AT65" s="266">
        <v>0</v>
      </c>
      <c r="AU65" s="267">
        <v>0</v>
      </c>
      <c r="AV65" s="259">
        <f t="shared" si="101"/>
        <v>0</v>
      </c>
      <c r="AW65" s="259"/>
      <c r="AX65" s="259"/>
      <c r="AY65" s="265">
        <f t="shared" si="87"/>
        <v>0</v>
      </c>
      <c r="AZ65" s="259">
        <f t="shared" si="88"/>
        <v>0</v>
      </c>
      <c r="BA65" s="259">
        <f t="shared" si="89"/>
        <v>0</v>
      </c>
      <c r="BB65" s="430">
        <f t="shared" si="90"/>
        <v>0</v>
      </c>
      <c r="BC65" s="259"/>
      <c r="BD65" s="259"/>
      <c r="BE65" s="259"/>
      <c r="BF65" s="259"/>
      <c r="BG65" s="259"/>
      <c r="BH65" s="259"/>
      <c r="BI65" s="259"/>
      <c r="BJ65" s="259"/>
      <c r="BK65" s="259"/>
      <c r="BL65" s="265">
        <f t="shared" si="91"/>
        <v>0</v>
      </c>
      <c r="BM65" s="268">
        <f t="shared" si="92"/>
        <v>0</v>
      </c>
      <c r="BO65" s="259">
        <f t="shared" si="106"/>
        <v>0</v>
      </c>
      <c r="BP65" s="259">
        <f t="shared" si="107"/>
        <v>0</v>
      </c>
      <c r="BQ65" s="259">
        <f t="shared" si="108"/>
        <v>0</v>
      </c>
      <c r="BR65" s="265">
        <f t="shared" si="109"/>
        <v>0</v>
      </c>
    </row>
    <row r="66" spans="1:70">
      <c r="A66" s="243">
        <f t="shared" si="102"/>
        <v>64</v>
      </c>
      <c r="B66" s="257"/>
      <c r="C66" s="257"/>
      <c r="D66" s="257"/>
      <c r="E66" s="257"/>
      <c r="F66" s="258"/>
      <c r="G66" s="259"/>
      <c r="H66" s="259"/>
      <c r="I66" s="259"/>
      <c r="J66" s="259"/>
      <c r="K66" s="259"/>
      <c r="L66" s="260" t="s">
        <v>52</v>
      </c>
      <c r="M66" s="257"/>
      <c r="N66" s="261"/>
      <c r="O66" s="262" t="str">
        <f t="shared" si="78"/>
        <v>0 ans, 0 mois, 0 jours</v>
      </c>
      <c r="P66" s="259">
        <f t="shared" si="79"/>
        <v>0</v>
      </c>
      <c r="Q66" s="217" t="str">
        <f t="shared" si="31"/>
        <v>MAO1-1.I</v>
      </c>
      <c r="R66" s="217" t="str">
        <f t="shared" si="32"/>
        <v>MANŒUVRE ORDINAIRE</v>
      </c>
      <c r="S66" s="258" t="str">
        <f t="shared" si="80"/>
        <v>MANŒUVRE</v>
      </c>
      <c r="T66" s="217" t="str">
        <f>+VLOOKUP($Q66,Categorie!$I:$P,3,0)</f>
        <v>MANŒUVRE ORDINAIRE (MO), Echellon 1, Classe 1</v>
      </c>
      <c r="U66" s="259">
        <f t="shared" si="77"/>
        <v>0</v>
      </c>
      <c r="V66" s="263">
        <v>0</v>
      </c>
      <c r="W66" s="263">
        <v>0</v>
      </c>
      <c r="X66" s="263">
        <v>0</v>
      </c>
      <c r="Y66" s="263">
        <v>0</v>
      </c>
      <c r="Z66" s="259">
        <f t="shared" si="93"/>
        <v>0</v>
      </c>
      <c r="AA66" s="259">
        <f t="shared" si="94"/>
        <v>0</v>
      </c>
      <c r="AB66" s="259">
        <f t="shared" si="110"/>
        <v>0</v>
      </c>
      <c r="AC66" s="264">
        <f t="shared" si="103"/>
        <v>0</v>
      </c>
      <c r="AD66" s="264"/>
      <c r="AE66" s="263">
        <f t="shared" si="113"/>
        <v>0</v>
      </c>
      <c r="AF66" s="263">
        <v>0</v>
      </c>
      <c r="AG66" s="259">
        <f t="shared" si="104"/>
        <v>0</v>
      </c>
      <c r="AH66" s="259">
        <f t="shared" si="42"/>
        <v>0</v>
      </c>
      <c r="AI66" s="259">
        <f t="shared" si="95"/>
        <v>0</v>
      </c>
      <c r="AJ66" s="259">
        <f t="shared" si="105"/>
        <v>0</v>
      </c>
      <c r="AK66" s="259">
        <f t="shared" si="96"/>
        <v>0</v>
      </c>
      <c r="AL66" s="259">
        <f t="shared" si="97"/>
        <v>0</v>
      </c>
      <c r="AM66" s="259">
        <f t="shared" si="98"/>
        <v>0</v>
      </c>
      <c r="AN66" s="259">
        <f t="shared" si="99"/>
        <v>0</v>
      </c>
      <c r="AO66" s="259">
        <f t="shared" si="100"/>
        <v>0</v>
      </c>
      <c r="AP66" s="247">
        <f t="shared" si="36"/>
        <v>0</v>
      </c>
      <c r="AQ66" s="265">
        <f t="shared" si="39"/>
        <v>0</v>
      </c>
      <c r="AR66" s="259">
        <f t="shared" si="111"/>
        <v>0</v>
      </c>
      <c r="AS66" s="259">
        <f t="shared" si="112"/>
        <v>0</v>
      </c>
      <c r="AT66" s="266">
        <v>0</v>
      </c>
      <c r="AU66" s="267">
        <v>0</v>
      </c>
      <c r="AV66" s="259">
        <f t="shared" si="101"/>
        <v>0</v>
      </c>
      <c r="AW66" s="259"/>
      <c r="AX66" s="259"/>
      <c r="AY66" s="265">
        <f t="shared" si="87"/>
        <v>0</v>
      </c>
      <c r="AZ66" s="259">
        <f t="shared" si="88"/>
        <v>0</v>
      </c>
      <c r="BA66" s="259">
        <f t="shared" si="89"/>
        <v>0</v>
      </c>
      <c r="BB66" s="430">
        <f t="shared" si="90"/>
        <v>0</v>
      </c>
      <c r="BC66" s="259"/>
      <c r="BD66" s="259"/>
      <c r="BE66" s="259"/>
      <c r="BF66" s="259"/>
      <c r="BG66" s="259"/>
      <c r="BH66" s="259"/>
      <c r="BI66" s="259"/>
      <c r="BJ66" s="259"/>
      <c r="BK66" s="259"/>
      <c r="BL66" s="265">
        <f t="shared" si="91"/>
        <v>0</v>
      </c>
      <c r="BM66" s="268">
        <f t="shared" si="92"/>
        <v>0</v>
      </c>
      <c r="BO66" s="259">
        <f t="shared" si="106"/>
        <v>0</v>
      </c>
      <c r="BP66" s="259">
        <f t="shared" si="107"/>
        <v>0</v>
      </c>
      <c r="BQ66" s="259">
        <f t="shared" si="108"/>
        <v>0</v>
      </c>
      <c r="BR66" s="265">
        <f t="shared" si="109"/>
        <v>0</v>
      </c>
    </row>
    <row r="67" spans="1:70">
      <c r="A67" s="243">
        <f t="shared" si="102"/>
        <v>65</v>
      </c>
      <c r="B67" s="257"/>
      <c r="C67" s="257"/>
      <c r="D67" s="257"/>
      <c r="E67" s="257"/>
      <c r="F67" s="258"/>
      <c r="G67" s="259"/>
      <c r="H67" s="259"/>
      <c r="I67" s="259"/>
      <c r="J67" s="259"/>
      <c r="K67" s="259"/>
      <c r="L67" s="260" t="s">
        <v>52</v>
      </c>
      <c r="M67" s="257"/>
      <c r="N67" s="261"/>
      <c r="O67" s="262" t="str">
        <f t="shared" si="78"/>
        <v>0 ans, 0 mois, 0 jours</v>
      </c>
      <c r="P67" s="259">
        <f t="shared" si="79"/>
        <v>0</v>
      </c>
      <c r="Q67" s="217" t="str">
        <f t="shared" si="31"/>
        <v>MAO1-1.I</v>
      </c>
      <c r="R67" s="217" t="str">
        <f t="shared" si="32"/>
        <v>MANŒUVRE ORDINAIRE</v>
      </c>
      <c r="S67" s="258" t="str">
        <f t="shared" si="80"/>
        <v>MANŒUVRE</v>
      </c>
      <c r="T67" s="217" t="str">
        <f>+VLOOKUP($Q67,Categorie!$I:$P,3,0)</f>
        <v>MANŒUVRE ORDINAIRE (MO), Echellon 1, Classe 1</v>
      </c>
      <c r="U67" s="259">
        <f t="shared" si="77"/>
        <v>0</v>
      </c>
      <c r="V67" s="263">
        <v>0</v>
      </c>
      <c r="W67" s="263">
        <v>0</v>
      </c>
      <c r="X67" s="263">
        <v>0</v>
      </c>
      <c r="Y67" s="263">
        <v>0</v>
      </c>
      <c r="Z67" s="259">
        <f t="shared" si="93"/>
        <v>0</v>
      </c>
      <c r="AA67" s="259">
        <f t="shared" si="94"/>
        <v>0</v>
      </c>
      <c r="AB67" s="259">
        <f t="shared" si="110"/>
        <v>0</v>
      </c>
      <c r="AC67" s="264">
        <f t="shared" si="103"/>
        <v>0</v>
      </c>
      <c r="AD67" s="264"/>
      <c r="AE67" s="263">
        <f t="shared" si="113"/>
        <v>0</v>
      </c>
      <c r="AF67" s="263">
        <v>0</v>
      </c>
      <c r="AG67" s="259">
        <f t="shared" si="104"/>
        <v>0</v>
      </c>
      <c r="AH67" s="259">
        <f t="shared" si="42"/>
        <v>0</v>
      </c>
      <c r="AI67" s="259">
        <f t="shared" si="95"/>
        <v>0</v>
      </c>
      <c r="AJ67" s="259">
        <f t="shared" si="105"/>
        <v>0</v>
      </c>
      <c r="AK67" s="259">
        <f t="shared" si="96"/>
        <v>0</v>
      </c>
      <c r="AL67" s="259">
        <f t="shared" si="97"/>
        <v>0</v>
      </c>
      <c r="AM67" s="259">
        <f t="shared" si="98"/>
        <v>0</v>
      </c>
      <c r="AN67" s="259">
        <f t="shared" si="99"/>
        <v>0</v>
      </c>
      <c r="AO67" s="259">
        <f t="shared" si="100"/>
        <v>0</v>
      </c>
      <c r="AP67" s="247">
        <f t="shared" si="36"/>
        <v>0</v>
      </c>
      <c r="AQ67" s="265">
        <f t="shared" si="39"/>
        <v>0</v>
      </c>
      <c r="AR67" s="259">
        <f t="shared" si="111"/>
        <v>0</v>
      </c>
      <c r="AS67" s="259">
        <f t="shared" si="112"/>
        <v>0</v>
      </c>
      <c r="AT67" s="266">
        <v>0</v>
      </c>
      <c r="AU67" s="267">
        <v>0</v>
      </c>
      <c r="AV67" s="259">
        <f t="shared" si="101"/>
        <v>0</v>
      </c>
      <c r="AW67" s="259"/>
      <c r="AX67" s="259"/>
      <c r="AY67" s="265">
        <f t="shared" si="87"/>
        <v>0</v>
      </c>
      <c r="AZ67" s="259">
        <f t="shared" si="88"/>
        <v>0</v>
      </c>
      <c r="BA67" s="259">
        <f t="shared" si="89"/>
        <v>0</v>
      </c>
      <c r="BB67" s="430">
        <f t="shared" si="90"/>
        <v>0</v>
      </c>
      <c r="BC67" s="259"/>
      <c r="BD67" s="259"/>
      <c r="BE67" s="259"/>
      <c r="BF67" s="259"/>
      <c r="BG67" s="259"/>
      <c r="BH67" s="259"/>
      <c r="BI67" s="259"/>
      <c r="BJ67" s="259"/>
      <c r="BK67" s="259"/>
      <c r="BL67" s="265">
        <f t="shared" si="91"/>
        <v>0</v>
      </c>
      <c r="BM67" s="268">
        <f t="shared" si="92"/>
        <v>0</v>
      </c>
      <c r="BO67" s="259">
        <f t="shared" si="106"/>
        <v>0</v>
      </c>
      <c r="BP67" s="259">
        <f t="shared" si="107"/>
        <v>0</v>
      </c>
      <c r="BQ67" s="259">
        <f t="shared" si="108"/>
        <v>0</v>
      </c>
      <c r="BR67" s="265">
        <f t="shared" si="109"/>
        <v>0</v>
      </c>
    </row>
    <row r="68" spans="1:70">
      <c r="A68" s="243">
        <f t="shared" si="102"/>
        <v>66</v>
      </c>
      <c r="B68" s="257"/>
      <c r="C68" s="257"/>
      <c r="D68" s="257"/>
      <c r="E68" s="257"/>
      <c r="F68" s="258"/>
      <c r="G68" s="259"/>
      <c r="H68" s="259"/>
      <c r="I68" s="259"/>
      <c r="J68" s="259"/>
      <c r="K68" s="259"/>
      <c r="L68" s="260" t="s">
        <v>52</v>
      </c>
      <c r="M68" s="257"/>
      <c r="N68" s="261"/>
      <c r="O68" s="262" t="str">
        <f t="shared" si="78"/>
        <v>0 ans, 0 mois, 0 jours</v>
      </c>
      <c r="P68" s="259">
        <f t="shared" si="79"/>
        <v>0</v>
      </c>
      <c r="Q68" s="217" t="str">
        <f t="shared" ref="Q68:Q109" si="114">IF($P68&lt;=5,"MAO1-1.I",IF(AND($P68&gt;5,$P68&lt;=5.8),"MAL1-2.I",IF(AND($P68&gt;5.8,$P68&lt;=6.65),"TSP0-3.II",IF(AND($P68&gt;6.65,$P68&lt;=7.7),"TSQ1-4.III",IF(AND($P68&gt;7.7,$P68&lt;=8.9),"TSQ2-5.III",IF(AND($P68&gt;8.9,$P68&lt;=10.3),"TSQ3-6.III",IF(AND($P68&gt;10.3,$P68&lt;=11.85),"TRQ1-7.IV",IF(AND($P68&gt;11.85,$P68&lt;=13.7),"TRQ2-8.IV",IF(AND($P68&gt;13.7,$P68&lt;=15.85),"THQ0-9.V",IF(AND($P68&gt;15.85,$P68&lt;=18.3),"MAT1-10.M",IF(AND($P68&gt;18.3,$P68&lt;=21.1),"MAT2-11.M",IF(AND($P68&gt;21.1,$P68&lt;=24.4),"MAT3-12.M",IF(AND($P68&gt;24.4,$P68&lt;=28.2),"MAT4-13.M",IF(AND($P68&gt;28.2,$P68&lt;=32.55),"CAC1-14.CC",IF(AND($P68&gt;32.55,$P68&lt;=37.6),"CAC2-15.CC",IF(AND($P68&gt;37.6,$P68&lt;=43.4),"CAC3-16.CC",IF(AND($P68&gt;43.4,$P68&lt;=50),"CAC4-17.CC",IF($P68&gt;50,"CAD"))))))))))))))))))</f>
        <v>MAO1-1.I</v>
      </c>
      <c r="R68" s="217" t="str">
        <f t="shared" ref="R68:R109" si="115">IF($P68&lt;=5,"MANŒUVRE ORDINAIRE",IF(AND($P68&gt;5,$P68&lt;=5.8),"MANOEUVRE LOURD",IF(AND($P68&gt;5.8,$P68&lt;=6.65),"TRAVAILLEUR SPECIALISE",IF(AND($P68&gt;6.65,$P68&lt;=10.3),"TRAVAILLEUR SEMI QUALIFIE",IF(AND($P68&gt;10.3,$P68&lt;=13.7),"TRAVAILLEUR QUALIFIE",IF(AND($P68&gt;13.7,$P68&lt;=15.85),"TRAVAILLEUR HAUTEMENT QUALIFIE",IF(AND($P68&gt;15.85,$P68&lt;=28.2),"MAITRISE",IF(AND($P68&gt;28.2,$P68&lt;=50),"CADRE DE COLLABORATION",IF($P68&gt;50,"CADRE DE DIRECTION")))))))))</f>
        <v>MANŒUVRE ORDINAIRE</v>
      </c>
      <c r="S68" s="258" t="str">
        <f t="shared" si="80"/>
        <v>MANŒUVRE</v>
      </c>
      <c r="T68" s="217" t="str">
        <f>+VLOOKUP($Q68,Categorie!$I:$P,3,0)</f>
        <v>MANŒUVRE ORDINAIRE (MO), Echellon 1, Classe 1</v>
      </c>
      <c r="U68" s="259">
        <f t="shared" si="77"/>
        <v>0</v>
      </c>
      <c r="V68" s="263">
        <v>0</v>
      </c>
      <c r="W68" s="263">
        <v>0</v>
      </c>
      <c r="X68" s="263">
        <v>0</v>
      </c>
      <c r="Y68" s="263">
        <v>0</v>
      </c>
      <c r="Z68" s="259">
        <f t="shared" si="93"/>
        <v>0</v>
      </c>
      <c r="AA68" s="259">
        <f t="shared" si="94"/>
        <v>0</v>
      </c>
      <c r="AB68" s="259">
        <f t="shared" si="110"/>
        <v>0</v>
      </c>
      <c r="AC68" s="264">
        <f t="shared" si="103"/>
        <v>0</v>
      </c>
      <c r="AD68" s="264"/>
      <c r="AE68" s="263">
        <f t="shared" si="113"/>
        <v>0</v>
      </c>
      <c r="AF68" s="263">
        <v>0</v>
      </c>
      <c r="AG68" s="259">
        <f t="shared" si="104"/>
        <v>0</v>
      </c>
      <c r="AH68" s="259">
        <f t="shared" si="42"/>
        <v>0</v>
      </c>
      <c r="AI68" s="259">
        <f t="shared" si="95"/>
        <v>0</v>
      </c>
      <c r="AJ68" s="259">
        <f t="shared" si="105"/>
        <v>0</v>
      </c>
      <c r="AK68" s="259">
        <f t="shared" si="96"/>
        <v>0</v>
      </c>
      <c r="AL68" s="259">
        <f t="shared" si="97"/>
        <v>0</v>
      </c>
      <c r="AM68" s="259">
        <f t="shared" si="98"/>
        <v>0</v>
      </c>
      <c r="AN68" s="259">
        <f t="shared" si="99"/>
        <v>0</v>
      </c>
      <c r="AO68" s="259">
        <f t="shared" si="100"/>
        <v>0</v>
      </c>
      <c r="AP68" s="247">
        <f t="shared" ref="AP68:AP109" si="116">+K68</f>
        <v>0</v>
      </c>
      <c r="AQ68" s="265">
        <f t="shared" si="39"/>
        <v>0</v>
      </c>
      <c r="AR68" s="259">
        <f t="shared" si="111"/>
        <v>0</v>
      </c>
      <c r="AS68" s="259">
        <f t="shared" si="112"/>
        <v>0</v>
      </c>
      <c r="AT68" s="266">
        <v>0</v>
      </c>
      <c r="AU68" s="267">
        <v>0</v>
      </c>
      <c r="AV68" s="259">
        <f t="shared" si="101"/>
        <v>0</v>
      </c>
      <c r="AW68" s="259"/>
      <c r="AX68" s="259"/>
      <c r="AY68" s="265">
        <f t="shared" si="87"/>
        <v>0</v>
      </c>
      <c r="AZ68" s="259">
        <f t="shared" si="88"/>
        <v>0</v>
      </c>
      <c r="BA68" s="259">
        <f t="shared" si="89"/>
        <v>0</v>
      </c>
      <c r="BB68" s="430">
        <f t="shared" si="90"/>
        <v>0</v>
      </c>
      <c r="BC68" s="259"/>
      <c r="BD68" s="259"/>
      <c r="BE68" s="259"/>
      <c r="BF68" s="259"/>
      <c r="BG68" s="259"/>
      <c r="BH68" s="259"/>
      <c r="BI68" s="259"/>
      <c r="BJ68" s="259"/>
      <c r="BK68" s="259"/>
      <c r="BL68" s="265">
        <f t="shared" si="91"/>
        <v>0</v>
      </c>
      <c r="BM68" s="268">
        <f t="shared" si="92"/>
        <v>0</v>
      </c>
      <c r="BO68" s="259">
        <f t="shared" si="106"/>
        <v>0</v>
      </c>
      <c r="BP68" s="259">
        <f t="shared" si="107"/>
        <v>0</v>
      </c>
      <c r="BQ68" s="259">
        <f t="shared" si="108"/>
        <v>0</v>
      </c>
      <c r="BR68" s="265">
        <f t="shared" si="109"/>
        <v>0</v>
      </c>
    </row>
    <row r="69" spans="1:70">
      <c r="A69" s="243">
        <f t="shared" si="102"/>
        <v>67</v>
      </c>
      <c r="B69" s="257"/>
      <c r="C69" s="257"/>
      <c r="D69" s="257"/>
      <c r="E69" s="257"/>
      <c r="F69" s="258"/>
      <c r="G69" s="259"/>
      <c r="H69" s="259"/>
      <c r="I69" s="259"/>
      <c r="J69" s="259"/>
      <c r="K69" s="259"/>
      <c r="L69" s="260" t="s">
        <v>52</v>
      </c>
      <c r="M69" s="257"/>
      <c r="N69" s="261"/>
      <c r="O69" s="262" t="str">
        <f t="shared" si="78"/>
        <v>0 ans, 0 mois, 0 jours</v>
      </c>
      <c r="P69" s="259">
        <f t="shared" si="79"/>
        <v>0</v>
      </c>
      <c r="Q69" s="217" t="str">
        <f t="shared" si="114"/>
        <v>MAO1-1.I</v>
      </c>
      <c r="R69" s="217" t="str">
        <f t="shared" si="115"/>
        <v>MANŒUVRE ORDINAIRE</v>
      </c>
      <c r="S69" s="258" t="str">
        <f t="shared" si="80"/>
        <v>MANŒUVRE</v>
      </c>
      <c r="T69" s="217" t="str">
        <f>+VLOOKUP($Q69,Categorie!$I:$P,3,0)</f>
        <v>MANŒUVRE ORDINAIRE (MO), Echellon 1, Classe 1</v>
      </c>
      <c r="U69" s="259">
        <f t="shared" ref="U69:U100" si="117">+DATEDIF(F69,N69,"y")</f>
        <v>0</v>
      </c>
      <c r="V69" s="263">
        <v>0</v>
      </c>
      <c r="W69" s="263">
        <v>0</v>
      </c>
      <c r="X69" s="263">
        <v>0</v>
      </c>
      <c r="Y69" s="263">
        <v>0</v>
      </c>
      <c r="Z69" s="259">
        <f t="shared" si="93"/>
        <v>0</v>
      </c>
      <c r="AA69" s="259">
        <f t="shared" si="94"/>
        <v>0</v>
      </c>
      <c r="AB69" s="259">
        <f t="shared" si="110"/>
        <v>0</v>
      </c>
      <c r="AC69" s="264">
        <f t="shared" si="103"/>
        <v>0</v>
      </c>
      <c r="AD69" s="264"/>
      <c r="AE69" s="263">
        <f t="shared" si="113"/>
        <v>0</v>
      </c>
      <c r="AF69" s="263">
        <v>0</v>
      </c>
      <c r="AG69" s="259">
        <f t="shared" si="104"/>
        <v>0</v>
      </c>
      <c r="AH69" s="259">
        <f t="shared" si="42"/>
        <v>0</v>
      </c>
      <c r="AI69" s="259">
        <f t="shared" si="95"/>
        <v>0</v>
      </c>
      <c r="AJ69" s="259">
        <f t="shared" si="105"/>
        <v>0</v>
      </c>
      <c r="AK69" s="259">
        <f t="shared" si="96"/>
        <v>0</v>
      </c>
      <c r="AL69" s="259">
        <f t="shared" si="97"/>
        <v>0</v>
      </c>
      <c r="AM69" s="259">
        <f t="shared" si="98"/>
        <v>0</v>
      </c>
      <c r="AN69" s="259">
        <f t="shared" si="99"/>
        <v>0</v>
      </c>
      <c r="AO69" s="259">
        <f t="shared" si="100"/>
        <v>0</v>
      </c>
      <c r="AP69" s="247">
        <f t="shared" si="116"/>
        <v>0</v>
      </c>
      <c r="AQ69" s="265">
        <f t="shared" si="39"/>
        <v>0</v>
      </c>
      <c r="AR69" s="259">
        <f t="shared" si="111"/>
        <v>0</v>
      </c>
      <c r="AS69" s="259">
        <f t="shared" si="112"/>
        <v>0</v>
      </c>
      <c r="AT69" s="266">
        <v>0</v>
      </c>
      <c r="AU69" s="267">
        <v>0</v>
      </c>
      <c r="AV69" s="259">
        <f t="shared" si="101"/>
        <v>0</v>
      </c>
      <c r="AW69" s="259"/>
      <c r="AX69" s="259"/>
      <c r="AY69" s="265">
        <f t="shared" si="87"/>
        <v>0</v>
      </c>
      <c r="AZ69" s="259">
        <f t="shared" si="88"/>
        <v>0</v>
      </c>
      <c r="BA69" s="259">
        <f t="shared" si="89"/>
        <v>0</v>
      </c>
      <c r="BB69" s="430">
        <f t="shared" si="90"/>
        <v>0</v>
      </c>
      <c r="BC69" s="259"/>
      <c r="BD69" s="259"/>
      <c r="BE69" s="259"/>
      <c r="BF69" s="259"/>
      <c r="BG69" s="259"/>
      <c r="BH69" s="259"/>
      <c r="BI69" s="259"/>
      <c r="BJ69" s="259"/>
      <c r="BK69" s="259"/>
      <c r="BL69" s="265">
        <f t="shared" si="91"/>
        <v>0</v>
      </c>
      <c r="BM69" s="268">
        <f t="shared" si="92"/>
        <v>0</v>
      </c>
      <c r="BO69" s="259">
        <f t="shared" si="106"/>
        <v>0</v>
      </c>
      <c r="BP69" s="259">
        <f t="shared" si="107"/>
        <v>0</v>
      </c>
      <c r="BQ69" s="259">
        <f t="shared" si="108"/>
        <v>0</v>
      </c>
      <c r="BR69" s="265">
        <f t="shared" si="109"/>
        <v>0</v>
      </c>
    </row>
    <row r="70" spans="1:70">
      <c r="A70" s="243">
        <f t="shared" si="102"/>
        <v>68</v>
      </c>
      <c r="B70" s="257"/>
      <c r="C70" s="257"/>
      <c r="D70" s="257"/>
      <c r="E70" s="257"/>
      <c r="F70" s="258"/>
      <c r="G70" s="259"/>
      <c r="H70" s="259"/>
      <c r="I70" s="259"/>
      <c r="J70" s="259"/>
      <c r="K70" s="259"/>
      <c r="L70" s="260" t="s">
        <v>52</v>
      </c>
      <c r="M70" s="257"/>
      <c r="N70" s="261"/>
      <c r="O70" s="262" t="str">
        <f t="shared" si="78"/>
        <v>0 ans, 0 mois, 0 jours</v>
      </c>
      <c r="P70" s="259">
        <f t="shared" si="79"/>
        <v>0</v>
      </c>
      <c r="Q70" s="217" t="str">
        <f t="shared" si="114"/>
        <v>MAO1-1.I</v>
      </c>
      <c r="R70" s="217" t="str">
        <f t="shared" si="115"/>
        <v>MANŒUVRE ORDINAIRE</v>
      </c>
      <c r="S70" s="258" t="str">
        <f t="shared" si="80"/>
        <v>MANŒUVRE</v>
      </c>
      <c r="T70" s="217" t="str">
        <f>+VLOOKUP($Q70,Categorie!$I:$P,3,0)</f>
        <v>MANŒUVRE ORDINAIRE (MO), Echellon 1, Classe 1</v>
      </c>
      <c r="U70" s="259">
        <f t="shared" si="117"/>
        <v>0</v>
      </c>
      <c r="V70" s="263">
        <v>0</v>
      </c>
      <c r="W70" s="263">
        <v>0</v>
      </c>
      <c r="X70" s="263">
        <v>0</v>
      </c>
      <c r="Y70" s="263">
        <v>0</v>
      </c>
      <c r="Z70" s="259">
        <f t="shared" si="93"/>
        <v>0</v>
      </c>
      <c r="AA70" s="259">
        <f t="shared" si="94"/>
        <v>0</v>
      </c>
      <c r="AB70" s="259">
        <f t="shared" si="110"/>
        <v>0</v>
      </c>
      <c r="AC70" s="264">
        <f t="shared" si="103"/>
        <v>0</v>
      </c>
      <c r="AD70" s="264"/>
      <c r="AE70" s="263">
        <f t="shared" si="113"/>
        <v>0</v>
      </c>
      <c r="AF70" s="263">
        <v>0</v>
      </c>
      <c r="AG70" s="259">
        <f t="shared" si="104"/>
        <v>0</v>
      </c>
      <c r="AH70" s="259">
        <f t="shared" si="42"/>
        <v>0</v>
      </c>
      <c r="AI70" s="259">
        <f t="shared" si="95"/>
        <v>0</v>
      </c>
      <c r="AJ70" s="259">
        <f t="shared" si="105"/>
        <v>0</v>
      </c>
      <c r="AK70" s="259">
        <f t="shared" si="96"/>
        <v>0</v>
      </c>
      <c r="AL70" s="259">
        <f t="shared" si="97"/>
        <v>0</v>
      </c>
      <c r="AM70" s="259">
        <f t="shared" si="98"/>
        <v>0</v>
      </c>
      <c r="AN70" s="259">
        <f t="shared" si="99"/>
        <v>0</v>
      </c>
      <c r="AO70" s="259">
        <f t="shared" si="100"/>
        <v>0</v>
      </c>
      <c r="AP70" s="247">
        <f t="shared" si="116"/>
        <v>0</v>
      </c>
      <c r="AQ70" s="265">
        <f t="shared" si="39"/>
        <v>0</v>
      </c>
      <c r="AR70" s="259">
        <f t="shared" si="111"/>
        <v>0</v>
      </c>
      <c r="AS70" s="259">
        <f t="shared" si="112"/>
        <v>0</v>
      </c>
      <c r="AT70" s="266">
        <v>0</v>
      </c>
      <c r="AU70" s="267">
        <v>0</v>
      </c>
      <c r="AV70" s="259">
        <f t="shared" si="101"/>
        <v>0</v>
      </c>
      <c r="AW70" s="259"/>
      <c r="AX70" s="259"/>
      <c r="AY70" s="265">
        <f t="shared" si="87"/>
        <v>0</v>
      </c>
      <c r="AZ70" s="259">
        <f t="shared" si="88"/>
        <v>0</v>
      </c>
      <c r="BA70" s="259">
        <f t="shared" si="89"/>
        <v>0</v>
      </c>
      <c r="BB70" s="430">
        <f t="shared" si="90"/>
        <v>0</v>
      </c>
      <c r="BC70" s="259"/>
      <c r="BD70" s="259"/>
      <c r="BE70" s="259"/>
      <c r="BF70" s="259"/>
      <c r="BG70" s="259"/>
      <c r="BH70" s="259"/>
      <c r="BI70" s="259"/>
      <c r="BJ70" s="259"/>
      <c r="BK70" s="259"/>
      <c r="BL70" s="265">
        <f t="shared" si="91"/>
        <v>0</v>
      </c>
      <c r="BM70" s="268">
        <f t="shared" si="92"/>
        <v>0</v>
      </c>
      <c r="BO70" s="259">
        <f t="shared" si="106"/>
        <v>0</v>
      </c>
      <c r="BP70" s="259">
        <f t="shared" si="107"/>
        <v>0</v>
      </c>
      <c r="BQ70" s="259">
        <f t="shared" si="108"/>
        <v>0</v>
      </c>
      <c r="BR70" s="265">
        <f t="shared" si="109"/>
        <v>0</v>
      </c>
    </row>
    <row r="71" spans="1:70">
      <c r="A71" s="243">
        <f t="shared" si="102"/>
        <v>69</v>
      </c>
      <c r="B71" s="257"/>
      <c r="C71" s="257"/>
      <c r="D71" s="257"/>
      <c r="E71" s="257"/>
      <c r="F71" s="258"/>
      <c r="G71" s="259"/>
      <c r="H71" s="259"/>
      <c r="I71" s="259"/>
      <c r="J71" s="259"/>
      <c r="K71" s="259"/>
      <c r="L71" s="260" t="s">
        <v>52</v>
      </c>
      <c r="M71" s="257"/>
      <c r="N71" s="261"/>
      <c r="O71" s="262" t="str">
        <f t="shared" si="78"/>
        <v>0 ans, 0 mois, 0 jours</v>
      </c>
      <c r="P71" s="259">
        <f t="shared" si="79"/>
        <v>0</v>
      </c>
      <c r="Q71" s="217" t="str">
        <f t="shared" si="114"/>
        <v>MAO1-1.I</v>
      </c>
      <c r="R71" s="217" t="str">
        <f t="shared" si="115"/>
        <v>MANŒUVRE ORDINAIRE</v>
      </c>
      <c r="S71" s="258" t="str">
        <f t="shared" si="80"/>
        <v>MANŒUVRE</v>
      </c>
      <c r="T71" s="217" t="str">
        <f>+VLOOKUP($Q71,Categorie!$I:$P,3,0)</f>
        <v>MANŒUVRE ORDINAIRE (MO), Echellon 1, Classe 1</v>
      </c>
      <c r="U71" s="259">
        <f t="shared" si="117"/>
        <v>0</v>
      </c>
      <c r="V71" s="263">
        <v>0</v>
      </c>
      <c r="W71" s="263">
        <v>0</v>
      </c>
      <c r="X71" s="263">
        <v>0</v>
      </c>
      <c r="Y71" s="263">
        <v>0</v>
      </c>
      <c r="Z71" s="259">
        <f t="shared" si="93"/>
        <v>0</v>
      </c>
      <c r="AA71" s="259">
        <f t="shared" si="94"/>
        <v>0</v>
      </c>
      <c r="AB71" s="259">
        <f t="shared" si="110"/>
        <v>0</v>
      </c>
      <c r="AC71" s="264">
        <f t="shared" si="103"/>
        <v>0</v>
      </c>
      <c r="AD71" s="264"/>
      <c r="AE71" s="263">
        <f t="shared" si="113"/>
        <v>0</v>
      </c>
      <c r="AF71" s="263">
        <v>0</v>
      </c>
      <c r="AG71" s="259">
        <f t="shared" si="104"/>
        <v>0</v>
      </c>
      <c r="AH71" s="259">
        <f t="shared" si="42"/>
        <v>0</v>
      </c>
      <c r="AI71" s="259">
        <f t="shared" si="95"/>
        <v>0</v>
      </c>
      <c r="AJ71" s="259">
        <f t="shared" si="105"/>
        <v>0</v>
      </c>
      <c r="AK71" s="259">
        <f t="shared" si="96"/>
        <v>0</v>
      </c>
      <c r="AL71" s="259">
        <f t="shared" si="97"/>
        <v>0</v>
      </c>
      <c r="AM71" s="259">
        <f t="shared" si="98"/>
        <v>0</v>
      </c>
      <c r="AN71" s="259">
        <f t="shared" si="99"/>
        <v>0</v>
      </c>
      <c r="AO71" s="259">
        <f t="shared" si="100"/>
        <v>0</v>
      </c>
      <c r="AP71" s="247">
        <f t="shared" si="116"/>
        <v>0</v>
      </c>
      <c r="AQ71" s="265">
        <f t="shared" si="39"/>
        <v>0</v>
      </c>
      <c r="AR71" s="259">
        <f t="shared" si="111"/>
        <v>0</v>
      </c>
      <c r="AS71" s="259">
        <f t="shared" si="112"/>
        <v>0</v>
      </c>
      <c r="AT71" s="266">
        <v>0</v>
      </c>
      <c r="AU71" s="267">
        <v>0</v>
      </c>
      <c r="AV71" s="259">
        <f t="shared" si="101"/>
        <v>0</v>
      </c>
      <c r="AW71" s="259"/>
      <c r="AX71" s="259"/>
      <c r="AY71" s="265">
        <f t="shared" si="87"/>
        <v>0</v>
      </c>
      <c r="AZ71" s="259">
        <f t="shared" si="88"/>
        <v>0</v>
      </c>
      <c r="BA71" s="259">
        <f t="shared" si="89"/>
        <v>0</v>
      </c>
      <c r="BB71" s="430">
        <f t="shared" si="90"/>
        <v>0</v>
      </c>
      <c r="BC71" s="259"/>
      <c r="BD71" s="259"/>
      <c r="BE71" s="259"/>
      <c r="BF71" s="259"/>
      <c r="BG71" s="259"/>
      <c r="BH71" s="259"/>
      <c r="BI71" s="259"/>
      <c r="BJ71" s="259"/>
      <c r="BK71" s="259"/>
      <c r="BL71" s="265">
        <f t="shared" si="91"/>
        <v>0</v>
      </c>
      <c r="BM71" s="268">
        <f t="shared" si="92"/>
        <v>0</v>
      </c>
      <c r="BO71" s="259">
        <f t="shared" si="106"/>
        <v>0</v>
      </c>
      <c r="BP71" s="259">
        <f t="shared" si="107"/>
        <v>0</v>
      </c>
      <c r="BQ71" s="259">
        <f t="shared" si="108"/>
        <v>0</v>
      </c>
      <c r="BR71" s="265">
        <f t="shared" si="109"/>
        <v>0</v>
      </c>
    </row>
    <row r="72" spans="1:70">
      <c r="A72" s="243">
        <f t="shared" si="102"/>
        <v>70</v>
      </c>
      <c r="B72" s="257"/>
      <c r="C72" s="257"/>
      <c r="D72" s="257"/>
      <c r="E72" s="257"/>
      <c r="F72" s="258"/>
      <c r="G72" s="259"/>
      <c r="H72" s="259"/>
      <c r="I72" s="259"/>
      <c r="J72" s="259"/>
      <c r="K72" s="259"/>
      <c r="L72" s="260" t="s">
        <v>52</v>
      </c>
      <c r="M72" s="257"/>
      <c r="N72" s="261"/>
      <c r="O72" s="262" t="str">
        <f t="shared" si="78"/>
        <v>0 ans, 0 mois, 0 jours</v>
      </c>
      <c r="P72" s="259">
        <f t="shared" si="79"/>
        <v>0</v>
      </c>
      <c r="Q72" s="217" t="str">
        <f t="shared" si="114"/>
        <v>MAO1-1.I</v>
      </c>
      <c r="R72" s="217" t="str">
        <f t="shared" si="115"/>
        <v>MANŒUVRE ORDINAIRE</v>
      </c>
      <c r="S72" s="258" t="str">
        <f t="shared" si="80"/>
        <v>MANŒUVRE</v>
      </c>
      <c r="T72" s="217" t="str">
        <f>+VLOOKUP($Q72,Categorie!$I:$P,3,0)</f>
        <v>MANŒUVRE ORDINAIRE (MO), Echellon 1, Classe 1</v>
      </c>
      <c r="U72" s="259">
        <f t="shared" si="117"/>
        <v>0</v>
      </c>
      <c r="V72" s="263">
        <v>0</v>
      </c>
      <c r="W72" s="263">
        <v>0</v>
      </c>
      <c r="X72" s="263">
        <v>0</v>
      </c>
      <c r="Y72" s="263">
        <v>0</v>
      </c>
      <c r="Z72" s="259">
        <f t="shared" si="93"/>
        <v>0</v>
      </c>
      <c r="AA72" s="259">
        <f t="shared" si="94"/>
        <v>0</v>
      </c>
      <c r="AB72" s="259">
        <f t="shared" si="110"/>
        <v>0</v>
      </c>
      <c r="AC72" s="264">
        <f t="shared" si="103"/>
        <v>0</v>
      </c>
      <c r="AD72" s="264"/>
      <c r="AE72" s="263">
        <f t="shared" si="113"/>
        <v>0</v>
      </c>
      <c r="AF72" s="263">
        <v>0</v>
      </c>
      <c r="AG72" s="259">
        <f t="shared" si="104"/>
        <v>0</v>
      </c>
      <c r="AH72" s="259">
        <f t="shared" si="42"/>
        <v>0</v>
      </c>
      <c r="AI72" s="259">
        <f t="shared" si="95"/>
        <v>0</v>
      </c>
      <c r="AJ72" s="259">
        <f t="shared" si="105"/>
        <v>0</v>
      </c>
      <c r="AK72" s="259">
        <f t="shared" si="96"/>
        <v>0</v>
      </c>
      <c r="AL72" s="259">
        <f t="shared" si="97"/>
        <v>0</v>
      </c>
      <c r="AM72" s="259">
        <f t="shared" si="98"/>
        <v>0</v>
      </c>
      <c r="AN72" s="259">
        <f t="shared" si="99"/>
        <v>0</v>
      </c>
      <c r="AO72" s="259">
        <f t="shared" si="100"/>
        <v>0</v>
      </c>
      <c r="AP72" s="247">
        <f t="shared" si="116"/>
        <v>0</v>
      </c>
      <c r="AQ72" s="265">
        <f t="shared" si="39"/>
        <v>0</v>
      </c>
      <c r="AR72" s="259">
        <f t="shared" si="111"/>
        <v>0</v>
      </c>
      <c r="AS72" s="259">
        <f t="shared" si="112"/>
        <v>0</v>
      </c>
      <c r="AT72" s="266">
        <v>0</v>
      </c>
      <c r="AU72" s="267">
        <v>0</v>
      </c>
      <c r="AV72" s="259">
        <f t="shared" si="101"/>
        <v>0</v>
      </c>
      <c r="AW72" s="259"/>
      <c r="AX72" s="259"/>
      <c r="AY72" s="265">
        <f t="shared" si="87"/>
        <v>0</v>
      </c>
      <c r="AZ72" s="259">
        <f t="shared" si="88"/>
        <v>0</v>
      </c>
      <c r="BA72" s="259">
        <f t="shared" si="89"/>
        <v>0</v>
      </c>
      <c r="BB72" s="430">
        <f t="shared" si="90"/>
        <v>0</v>
      </c>
      <c r="BC72" s="259"/>
      <c r="BD72" s="259"/>
      <c r="BE72" s="259"/>
      <c r="BF72" s="259"/>
      <c r="BG72" s="259"/>
      <c r="BH72" s="259"/>
      <c r="BI72" s="259"/>
      <c r="BJ72" s="259"/>
      <c r="BK72" s="259"/>
      <c r="BL72" s="265">
        <f t="shared" si="91"/>
        <v>0</v>
      </c>
      <c r="BM72" s="268">
        <f t="shared" si="92"/>
        <v>0</v>
      </c>
      <c r="BO72" s="259">
        <f t="shared" si="106"/>
        <v>0</v>
      </c>
      <c r="BP72" s="259">
        <f t="shared" si="107"/>
        <v>0</v>
      </c>
      <c r="BQ72" s="259">
        <f t="shared" si="108"/>
        <v>0</v>
      </c>
      <c r="BR72" s="265">
        <f t="shared" si="109"/>
        <v>0</v>
      </c>
    </row>
    <row r="73" spans="1:70">
      <c r="A73" s="243">
        <f t="shared" si="102"/>
        <v>71</v>
      </c>
      <c r="B73" s="257"/>
      <c r="C73" s="257"/>
      <c r="D73" s="257"/>
      <c r="E73" s="257"/>
      <c r="F73" s="258"/>
      <c r="G73" s="259"/>
      <c r="H73" s="259"/>
      <c r="I73" s="259"/>
      <c r="J73" s="259"/>
      <c r="K73" s="259"/>
      <c r="L73" s="260" t="s">
        <v>52</v>
      </c>
      <c r="M73" s="257"/>
      <c r="N73" s="261"/>
      <c r="O73" s="262" t="str">
        <f t="shared" si="78"/>
        <v>0 ans, 0 mois, 0 jours</v>
      </c>
      <c r="P73" s="259">
        <f t="shared" si="79"/>
        <v>0</v>
      </c>
      <c r="Q73" s="217" t="str">
        <f t="shared" si="114"/>
        <v>MAO1-1.I</v>
      </c>
      <c r="R73" s="217" t="str">
        <f t="shared" si="115"/>
        <v>MANŒUVRE ORDINAIRE</v>
      </c>
      <c r="S73" s="258" t="str">
        <f t="shared" si="80"/>
        <v>MANŒUVRE</v>
      </c>
      <c r="T73" s="217" t="str">
        <f>+VLOOKUP($Q73,Categorie!$I:$P,3,0)</f>
        <v>MANŒUVRE ORDINAIRE (MO), Echellon 1, Classe 1</v>
      </c>
      <c r="U73" s="259">
        <f t="shared" si="117"/>
        <v>0</v>
      </c>
      <c r="V73" s="263">
        <v>0</v>
      </c>
      <c r="W73" s="263">
        <v>0</v>
      </c>
      <c r="X73" s="263">
        <v>0</v>
      </c>
      <c r="Y73" s="263">
        <v>0</v>
      </c>
      <c r="Z73" s="259">
        <f t="shared" si="93"/>
        <v>0</v>
      </c>
      <c r="AA73" s="259">
        <f t="shared" si="94"/>
        <v>0</v>
      </c>
      <c r="AB73" s="259">
        <f t="shared" si="110"/>
        <v>0</v>
      </c>
      <c r="AC73" s="264">
        <f t="shared" si="103"/>
        <v>0</v>
      </c>
      <c r="AD73" s="264"/>
      <c r="AE73" s="263">
        <f t="shared" si="113"/>
        <v>0</v>
      </c>
      <c r="AF73" s="263">
        <v>0</v>
      </c>
      <c r="AG73" s="259">
        <f t="shared" si="104"/>
        <v>0</v>
      </c>
      <c r="AH73" s="259">
        <f t="shared" si="42"/>
        <v>0</v>
      </c>
      <c r="AI73" s="259">
        <f t="shared" si="95"/>
        <v>0</v>
      </c>
      <c r="AJ73" s="259">
        <f t="shared" si="105"/>
        <v>0</v>
      </c>
      <c r="AK73" s="259">
        <f t="shared" si="96"/>
        <v>0</v>
      </c>
      <c r="AL73" s="259">
        <f t="shared" si="97"/>
        <v>0</v>
      </c>
      <c r="AM73" s="259">
        <f t="shared" si="98"/>
        <v>0</v>
      </c>
      <c r="AN73" s="259">
        <f t="shared" si="99"/>
        <v>0</v>
      </c>
      <c r="AO73" s="259">
        <f t="shared" si="100"/>
        <v>0</v>
      </c>
      <c r="AP73" s="247">
        <f t="shared" si="116"/>
        <v>0</v>
      </c>
      <c r="AQ73" s="265">
        <f t="shared" si="39"/>
        <v>0</v>
      </c>
      <c r="AR73" s="259">
        <f t="shared" si="111"/>
        <v>0</v>
      </c>
      <c r="AS73" s="259">
        <f t="shared" si="112"/>
        <v>0</v>
      </c>
      <c r="AT73" s="266">
        <v>0</v>
      </c>
      <c r="AU73" s="267">
        <v>0</v>
      </c>
      <c r="AV73" s="259">
        <f t="shared" si="101"/>
        <v>0</v>
      </c>
      <c r="AW73" s="259"/>
      <c r="AX73" s="259"/>
      <c r="AY73" s="265">
        <f t="shared" si="87"/>
        <v>0</v>
      </c>
      <c r="AZ73" s="259">
        <f t="shared" si="88"/>
        <v>0</v>
      </c>
      <c r="BA73" s="259">
        <f t="shared" si="89"/>
        <v>0</v>
      </c>
      <c r="BB73" s="430">
        <f t="shared" si="90"/>
        <v>0</v>
      </c>
      <c r="BC73" s="259"/>
      <c r="BD73" s="259"/>
      <c r="BE73" s="259"/>
      <c r="BF73" s="259"/>
      <c r="BG73" s="259"/>
      <c r="BH73" s="259"/>
      <c r="BI73" s="259"/>
      <c r="BJ73" s="259"/>
      <c r="BK73" s="259"/>
      <c r="BL73" s="265">
        <f t="shared" si="91"/>
        <v>0</v>
      </c>
      <c r="BM73" s="268">
        <f t="shared" si="92"/>
        <v>0</v>
      </c>
      <c r="BO73" s="259">
        <f t="shared" si="106"/>
        <v>0</v>
      </c>
      <c r="BP73" s="259">
        <f t="shared" si="107"/>
        <v>0</v>
      </c>
      <c r="BQ73" s="259">
        <f t="shared" si="108"/>
        <v>0</v>
      </c>
      <c r="BR73" s="265">
        <f t="shared" si="109"/>
        <v>0</v>
      </c>
    </row>
    <row r="74" spans="1:70">
      <c r="A74" s="243">
        <f t="shared" si="102"/>
        <v>72</v>
      </c>
      <c r="B74" s="257"/>
      <c r="C74" s="257"/>
      <c r="D74" s="257"/>
      <c r="E74" s="257"/>
      <c r="F74" s="258"/>
      <c r="G74" s="259"/>
      <c r="H74" s="259"/>
      <c r="I74" s="259"/>
      <c r="J74" s="259"/>
      <c r="K74" s="259"/>
      <c r="L74" s="260" t="s">
        <v>52</v>
      </c>
      <c r="M74" s="257"/>
      <c r="N74" s="261"/>
      <c r="O74" s="262" t="str">
        <f t="shared" si="78"/>
        <v>0 ans, 0 mois, 0 jours</v>
      </c>
      <c r="P74" s="259">
        <f t="shared" si="79"/>
        <v>0</v>
      </c>
      <c r="Q74" s="217" t="str">
        <f t="shared" si="114"/>
        <v>MAO1-1.I</v>
      </c>
      <c r="R74" s="217" t="str">
        <f t="shared" si="115"/>
        <v>MANŒUVRE ORDINAIRE</v>
      </c>
      <c r="S74" s="258" t="str">
        <f t="shared" si="80"/>
        <v>MANŒUVRE</v>
      </c>
      <c r="T74" s="217" t="str">
        <f>+VLOOKUP($Q74,Categorie!$I:$P,3,0)</f>
        <v>MANŒUVRE ORDINAIRE (MO), Echellon 1, Classe 1</v>
      </c>
      <c r="U74" s="259">
        <f t="shared" si="117"/>
        <v>0</v>
      </c>
      <c r="V74" s="263">
        <v>0</v>
      </c>
      <c r="W74" s="263">
        <v>0</v>
      </c>
      <c r="X74" s="263">
        <v>0</v>
      </c>
      <c r="Y74" s="263">
        <v>0</v>
      </c>
      <c r="Z74" s="259">
        <f t="shared" si="93"/>
        <v>0</v>
      </c>
      <c r="AA74" s="259">
        <f t="shared" si="94"/>
        <v>0</v>
      </c>
      <c r="AB74" s="259">
        <f t="shared" si="110"/>
        <v>0</v>
      </c>
      <c r="AC74" s="264">
        <f t="shared" si="103"/>
        <v>0</v>
      </c>
      <c r="AD74" s="264"/>
      <c r="AE74" s="263">
        <f t="shared" si="113"/>
        <v>0</v>
      </c>
      <c r="AF74" s="263">
        <v>0</v>
      </c>
      <c r="AG74" s="259">
        <f t="shared" si="104"/>
        <v>0</v>
      </c>
      <c r="AH74" s="259">
        <f t="shared" si="42"/>
        <v>0</v>
      </c>
      <c r="AI74" s="259">
        <f t="shared" si="95"/>
        <v>0</v>
      </c>
      <c r="AJ74" s="259">
        <f t="shared" si="105"/>
        <v>0</v>
      </c>
      <c r="AK74" s="259">
        <f t="shared" si="96"/>
        <v>0</v>
      </c>
      <c r="AL74" s="259">
        <f t="shared" si="97"/>
        <v>0</v>
      </c>
      <c r="AM74" s="259">
        <f t="shared" si="98"/>
        <v>0</v>
      </c>
      <c r="AN74" s="259">
        <f t="shared" si="99"/>
        <v>0</v>
      </c>
      <c r="AO74" s="259">
        <f t="shared" si="100"/>
        <v>0</v>
      </c>
      <c r="AP74" s="247">
        <f t="shared" si="116"/>
        <v>0</v>
      </c>
      <c r="AQ74" s="265">
        <f t="shared" si="39"/>
        <v>0</v>
      </c>
      <c r="AR74" s="259">
        <f t="shared" si="111"/>
        <v>0</v>
      </c>
      <c r="AS74" s="259">
        <f t="shared" si="112"/>
        <v>0</v>
      </c>
      <c r="AT74" s="266">
        <v>0</v>
      </c>
      <c r="AU74" s="267">
        <v>0</v>
      </c>
      <c r="AV74" s="259">
        <f t="shared" si="101"/>
        <v>0</v>
      </c>
      <c r="AW74" s="259"/>
      <c r="AX74" s="259"/>
      <c r="AY74" s="265">
        <f t="shared" si="87"/>
        <v>0</v>
      </c>
      <c r="AZ74" s="259">
        <f t="shared" si="88"/>
        <v>0</v>
      </c>
      <c r="BA74" s="259">
        <f t="shared" si="89"/>
        <v>0</v>
      </c>
      <c r="BB74" s="430">
        <f t="shared" si="90"/>
        <v>0</v>
      </c>
      <c r="BC74" s="259"/>
      <c r="BD74" s="259"/>
      <c r="BE74" s="259"/>
      <c r="BF74" s="259"/>
      <c r="BG74" s="259"/>
      <c r="BH74" s="259"/>
      <c r="BI74" s="259"/>
      <c r="BJ74" s="259"/>
      <c r="BK74" s="259"/>
      <c r="BL74" s="265">
        <f t="shared" si="91"/>
        <v>0</v>
      </c>
      <c r="BM74" s="268">
        <f t="shared" si="92"/>
        <v>0</v>
      </c>
      <c r="BO74" s="259">
        <f t="shared" si="106"/>
        <v>0</v>
      </c>
      <c r="BP74" s="259">
        <f t="shared" si="107"/>
        <v>0</v>
      </c>
      <c r="BQ74" s="259">
        <f t="shared" si="108"/>
        <v>0</v>
      </c>
      <c r="BR74" s="265">
        <f t="shared" si="109"/>
        <v>0</v>
      </c>
    </row>
    <row r="75" spans="1:70">
      <c r="A75" s="243">
        <f t="shared" si="102"/>
        <v>73</v>
      </c>
      <c r="B75" s="257"/>
      <c r="C75" s="257"/>
      <c r="D75" s="257"/>
      <c r="E75" s="257"/>
      <c r="F75" s="258"/>
      <c r="G75" s="259"/>
      <c r="H75" s="259"/>
      <c r="I75" s="259"/>
      <c r="J75" s="259"/>
      <c r="K75" s="259"/>
      <c r="L75" s="260" t="s">
        <v>52</v>
      </c>
      <c r="M75" s="257"/>
      <c r="N75" s="261"/>
      <c r="O75" s="262" t="str">
        <f t="shared" si="78"/>
        <v>0 ans, 0 mois, 0 jours</v>
      </c>
      <c r="P75" s="259">
        <f t="shared" si="79"/>
        <v>0</v>
      </c>
      <c r="Q75" s="217" t="str">
        <f t="shared" si="114"/>
        <v>MAO1-1.I</v>
      </c>
      <c r="R75" s="217" t="str">
        <f t="shared" si="115"/>
        <v>MANŒUVRE ORDINAIRE</v>
      </c>
      <c r="S75" s="258" t="str">
        <f t="shared" si="80"/>
        <v>MANŒUVRE</v>
      </c>
      <c r="T75" s="217" t="str">
        <f>+VLOOKUP($Q75,Categorie!$I:$P,3,0)</f>
        <v>MANŒUVRE ORDINAIRE (MO), Echellon 1, Classe 1</v>
      </c>
      <c r="U75" s="259">
        <f t="shared" si="117"/>
        <v>0</v>
      </c>
      <c r="V75" s="263">
        <v>0</v>
      </c>
      <c r="W75" s="263">
        <v>0</v>
      </c>
      <c r="X75" s="263">
        <v>0</v>
      </c>
      <c r="Y75" s="263">
        <v>0</v>
      </c>
      <c r="Z75" s="259">
        <f t="shared" si="93"/>
        <v>0</v>
      </c>
      <c r="AA75" s="259">
        <f t="shared" si="94"/>
        <v>0</v>
      </c>
      <c r="AB75" s="259">
        <f t="shared" si="110"/>
        <v>0</v>
      </c>
      <c r="AC75" s="264">
        <f t="shared" si="103"/>
        <v>0</v>
      </c>
      <c r="AD75" s="264"/>
      <c r="AE75" s="263">
        <f t="shared" si="113"/>
        <v>0</v>
      </c>
      <c r="AF75" s="263">
        <v>0</v>
      </c>
      <c r="AG75" s="259">
        <f t="shared" si="104"/>
        <v>0</v>
      </c>
      <c r="AH75" s="259">
        <f t="shared" si="42"/>
        <v>0</v>
      </c>
      <c r="AI75" s="259">
        <f t="shared" si="95"/>
        <v>0</v>
      </c>
      <c r="AJ75" s="259">
        <f t="shared" si="105"/>
        <v>0</v>
      </c>
      <c r="AK75" s="259">
        <f t="shared" si="96"/>
        <v>0</v>
      </c>
      <c r="AL75" s="259">
        <f t="shared" si="97"/>
        <v>0</v>
      </c>
      <c r="AM75" s="259">
        <f t="shared" si="98"/>
        <v>0</v>
      </c>
      <c r="AN75" s="259">
        <f t="shared" si="99"/>
        <v>0</v>
      </c>
      <c r="AO75" s="259">
        <f t="shared" si="100"/>
        <v>0</v>
      </c>
      <c r="AP75" s="247">
        <f t="shared" si="116"/>
        <v>0</v>
      </c>
      <c r="AQ75" s="265">
        <f t="shared" si="39"/>
        <v>0</v>
      </c>
      <c r="AR75" s="259">
        <f t="shared" si="111"/>
        <v>0</v>
      </c>
      <c r="AS75" s="259">
        <f t="shared" si="112"/>
        <v>0</v>
      </c>
      <c r="AT75" s="266">
        <v>0</v>
      </c>
      <c r="AU75" s="267">
        <v>0</v>
      </c>
      <c r="AV75" s="259">
        <f t="shared" si="101"/>
        <v>0</v>
      </c>
      <c r="AW75" s="259"/>
      <c r="AX75" s="259"/>
      <c r="AY75" s="265">
        <f t="shared" si="87"/>
        <v>0</v>
      </c>
      <c r="AZ75" s="259">
        <f t="shared" si="88"/>
        <v>0</v>
      </c>
      <c r="BA75" s="259">
        <f t="shared" si="89"/>
        <v>0</v>
      </c>
      <c r="BB75" s="430">
        <f t="shared" si="90"/>
        <v>0</v>
      </c>
      <c r="BC75" s="259"/>
      <c r="BD75" s="259"/>
      <c r="BE75" s="259"/>
      <c r="BF75" s="259"/>
      <c r="BG75" s="259"/>
      <c r="BH75" s="259"/>
      <c r="BI75" s="259"/>
      <c r="BJ75" s="259"/>
      <c r="BK75" s="259"/>
      <c r="BL75" s="265">
        <f t="shared" si="91"/>
        <v>0</v>
      </c>
      <c r="BM75" s="268">
        <f t="shared" si="92"/>
        <v>0</v>
      </c>
      <c r="BO75" s="259">
        <f t="shared" si="106"/>
        <v>0</v>
      </c>
      <c r="BP75" s="259">
        <f t="shared" si="107"/>
        <v>0</v>
      </c>
      <c r="BQ75" s="259">
        <f t="shared" si="108"/>
        <v>0</v>
      </c>
      <c r="BR75" s="265">
        <f t="shared" si="109"/>
        <v>0</v>
      </c>
    </row>
    <row r="76" spans="1:70">
      <c r="A76" s="243">
        <f t="shared" si="102"/>
        <v>74</v>
      </c>
      <c r="B76" s="257"/>
      <c r="C76" s="257"/>
      <c r="D76" s="257"/>
      <c r="E76" s="257"/>
      <c r="F76" s="258"/>
      <c r="G76" s="259"/>
      <c r="H76" s="259"/>
      <c r="I76" s="259"/>
      <c r="J76" s="259"/>
      <c r="K76" s="259"/>
      <c r="L76" s="260" t="s">
        <v>52</v>
      </c>
      <c r="M76" s="257"/>
      <c r="N76" s="261"/>
      <c r="O76" s="262" t="str">
        <f t="shared" si="78"/>
        <v>0 ans, 0 mois, 0 jours</v>
      </c>
      <c r="P76" s="259">
        <f t="shared" si="79"/>
        <v>0</v>
      </c>
      <c r="Q76" s="217" t="str">
        <f t="shared" si="114"/>
        <v>MAO1-1.I</v>
      </c>
      <c r="R76" s="217" t="str">
        <f t="shared" si="115"/>
        <v>MANŒUVRE ORDINAIRE</v>
      </c>
      <c r="S76" s="258" t="str">
        <f t="shared" si="80"/>
        <v>MANŒUVRE</v>
      </c>
      <c r="T76" s="217" t="str">
        <f>+VLOOKUP($Q76,Categorie!$I:$P,3,0)</f>
        <v>MANŒUVRE ORDINAIRE (MO), Echellon 1, Classe 1</v>
      </c>
      <c r="U76" s="259">
        <f t="shared" si="117"/>
        <v>0</v>
      </c>
      <c r="V76" s="263">
        <v>0</v>
      </c>
      <c r="W76" s="263">
        <v>0</v>
      </c>
      <c r="X76" s="263">
        <v>0</v>
      </c>
      <c r="Y76" s="263">
        <v>0</v>
      </c>
      <c r="Z76" s="259">
        <f t="shared" si="93"/>
        <v>0</v>
      </c>
      <c r="AA76" s="259">
        <f t="shared" si="94"/>
        <v>0</v>
      </c>
      <c r="AB76" s="259">
        <f t="shared" si="110"/>
        <v>0</v>
      </c>
      <c r="AC76" s="264">
        <f t="shared" si="103"/>
        <v>0</v>
      </c>
      <c r="AD76" s="264"/>
      <c r="AE76" s="263">
        <f t="shared" si="113"/>
        <v>0</v>
      </c>
      <c r="AF76" s="263">
        <v>0</v>
      </c>
      <c r="AG76" s="259">
        <f t="shared" si="104"/>
        <v>0</v>
      </c>
      <c r="AH76" s="259">
        <f t="shared" si="42"/>
        <v>0</v>
      </c>
      <c r="AI76" s="259">
        <f t="shared" si="95"/>
        <v>0</v>
      </c>
      <c r="AJ76" s="259">
        <f t="shared" si="105"/>
        <v>0</v>
      </c>
      <c r="AK76" s="259">
        <f t="shared" si="96"/>
        <v>0</v>
      </c>
      <c r="AL76" s="259">
        <f t="shared" si="97"/>
        <v>0</v>
      </c>
      <c r="AM76" s="259">
        <f t="shared" si="98"/>
        <v>0</v>
      </c>
      <c r="AN76" s="259">
        <f t="shared" si="99"/>
        <v>0</v>
      </c>
      <c r="AO76" s="259">
        <f t="shared" si="100"/>
        <v>0</v>
      </c>
      <c r="AP76" s="247">
        <f t="shared" si="116"/>
        <v>0</v>
      </c>
      <c r="AQ76" s="265">
        <f t="shared" si="39"/>
        <v>0</v>
      </c>
      <c r="AR76" s="259">
        <f t="shared" si="111"/>
        <v>0</v>
      </c>
      <c r="AS76" s="259">
        <f t="shared" si="112"/>
        <v>0</v>
      </c>
      <c r="AT76" s="266">
        <v>0</v>
      </c>
      <c r="AU76" s="267">
        <v>0</v>
      </c>
      <c r="AV76" s="259">
        <f t="shared" si="101"/>
        <v>0</v>
      </c>
      <c r="AW76" s="259"/>
      <c r="AX76" s="259"/>
      <c r="AY76" s="265">
        <f t="shared" si="87"/>
        <v>0</v>
      </c>
      <c r="AZ76" s="259">
        <f t="shared" si="88"/>
        <v>0</v>
      </c>
      <c r="BA76" s="259">
        <f t="shared" si="89"/>
        <v>0</v>
      </c>
      <c r="BB76" s="430">
        <f t="shared" si="90"/>
        <v>0</v>
      </c>
      <c r="BC76" s="259"/>
      <c r="BD76" s="259"/>
      <c r="BE76" s="259"/>
      <c r="BF76" s="259"/>
      <c r="BG76" s="259"/>
      <c r="BH76" s="259"/>
      <c r="BI76" s="259"/>
      <c r="BJ76" s="259"/>
      <c r="BK76" s="259"/>
      <c r="BL76" s="265">
        <f t="shared" si="91"/>
        <v>0</v>
      </c>
      <c r="BM76" s="268">
        <f t="shared" si="92"/>
        <v>0</v>
      </c>
      <c r="BO76" s="259">
        <f t="shared" si="106"/>
        <v>0</v>
      </c>
      <c r="BP76" s="259">
        <f t="shared" si="107"/>
        <v>0</v>
      </c>
      <c r="BQ76" s="259">
        <f t="shared" si="108"/>
        <v>0</v>
      </c>
      <c r="BR76" s="265">
        <f t="shared" si="109"/>
        <v>0</v>
      </c>
    </row>
    <row r="77" spans="1:70">
      <c r="A77" s="243">
        <f t="shared" si="102"/>
        <v>75</v>
      </c>
      <c r="B77" s="257"/>
      <c r="C77" s="257"/>
      <c r="D77" s="257"/>
      <c r="E77" s="257"/>
      <c r="F77" s="258"/>
      <c r="G77" s="259"/>
      <c r="H77" s="259"/>
      <c r="I77" s="259"/>
      <c r="J77" s="259"/>
      <c r="K77" s="259"/>
      <c r="L77" s="260" t="s">
        <v>52</v>
      </c>
      <c r="M77" s="257"/>
      <c r="N77" s="261"/>
      <c r="O77" s="262" t="str">
        <f t="shared" si="78"/>
        <v>0 ans, 0 mois, 0 jours</v>
      </c>
      <c r="P77" s="259">
        <f t="shared" si="79"/>
        <v>0</v>
      </c>
      <c r="Q77" s="217" t="str">
        <f t="shared" si="114"/>
        <v>MAO1-1.I</v>
      </c>
      <c r="R77" s="217" t="str">
        <f t="shared" si="115"/>
        <v>MANŒUVRE ORDINAIRE</v>
      </c>
      <c r="S77" s="258" t="str">
        <f t="shared" si="80"/>
        <v>MANŒUVRE</v>
      </c>
      <c r="T77" s="217" t="str">
        <f>+VLOOKUP($Q77,Categorie!$I:$P,3,0)</f>
        <v>MANŒUVRE ORDINAIRE (MO), Echellon 1, Classe 1</v>
      </c>
      <c r="U77" s="259">
        <f t="shared" si="117"/>
        <v>0</v>
      </c>
      <c r="V77" s="263">
        <v>0</v>
      </c>
      <c r="W77" s="263">
        <v>0</v>
      </c>
      <c r="X77" s="263">
        <v>0</v>
      </c>
      <c r="Y77" s="263">
        <v>0</v>
      </c>
      <c r="Z77" s="259">
        <f t="shared" si="93"/>
        <v>0</v>
      </c>
      <c r="AA77" s="259">
        <f t="shared" si="94"/>
        <v>0</v>
      </c>
      <c r="AB77" s="259">
        <f t="shared" si="110"/>
        <v>0</v>
      </c>
      <c r="AC77" s="264">
        <f t="shared" si="103"/>
        <v>0</v>
      </c>
      <c r="AD77" s="264"/>
      <c r="AE77" s="263">
        <f t="shared" si="113"/>
        <v>0</v>
      </c>
      <c r="AF77" s="263">
        <v>0</v>
      </c>
      <c r="AG77" s="259">
        <f t="shared" si="104"/>
        <v>0</v>
      </c>
      <c r="AH77" s="259">
        <f t="shared" si="42"/>
        <v>0</v>
      </c>
      <c r="AI77" s="259">
        <f t="shared" si="95"/>
        <v>0</v>
      </c>
      <c r="AJ77" s="259">
        <f t="shared" si="105"/>
        <v>0</v>
      </c>
      <c r="AK77" s="259">
        <f t="shared" si="96"/>
        <v>0</v>
      </c>
      <c r="AL77" s="259">
        <f t="shared" si="97"/>
        <v>0</v>
      </c>
      <c r="AM77" s="259">
        <f t="shared" si="98"/>
        <v>0</v>
      </c>
      <c r="AN77" s="259">
        <f t="shared" si="99"/>
        <v>0</v>
      </c>
      <c r="AO77" s="259">
        <f t="shared" si="100"/>
        <v>0</v>
      </c>
      <c r="AP77" s="247">
        <f t="shared" si="116"/>
        <v>0</v>
      </c>
      <c r="AQ77" s="265">
        <f t="shared" ref="AQ77:AQ109" si="118">SUM(AG77:AP77)</f>
        <v>0</v>
      </c>
      <c r="AR77" s="259">
        <f t="shared" si="111"/>
        <v>0</v>
      </c>
      <c r="AS77" s="259">
        <f t="shared" si="112"/>
        <v>0</v>
      </c>
      <c r="AT77" s="266">
        <v>0</v>
      </c>
      <c r="AU77" s="267">
        <v>0</v>
      </c>
      <c r="AV77" s="259">
        <f t="shared" si="101"/>
        <v>0</v>
      </c>
      <c r="AW77" s="259"/>
      <c r="AX77" s="259"/>
      <c r="AY77" s="265">
        <f t="shared" si="87"/>
        <v>0</v>
      </c>
      <c r="AZ77" s="259">
        <f t="shared" si="88"/>
        <v>0</v>
      </c>
      <c r="BA77" s="259">
        <f t="shared" si="89"/>
        <v>0</v>
      </c>
      <c r="BB77" s="430">
        <f t="shared" si="90"/>
        <v>0</v>
      </c>
      <c r="BC77" s="259"/>
      <c r="BD77" s="259"/>
      <c r="BE77" s="259"/>
      <c r="BF77" s="259"/>
      <c r="BG77" s="259"/>
      <c r="BH77" s="259"/>
      <c r="BI77" s="259"/>
      <c r="BJ77" s="259"/>
      <c r="BK77" s="259"/>
      <c r="BL77" s="265">
        <f t="shared" si="91"/>
        <v>0</v>
      </c>
      <c r="BM77" s="268">
        <f t="shared" si="92"/>
        <v>0</v>
      </c>
      <c r="BO77" s="259">
        <f t="shared" si="106"/>
        <v>0</v>
      </c>
      <c r="BP77" s="259">
        <f t="shared" si="107"/>
        <v>0</v>
      </c>
      <c r="BQ77" s="259">
        <f t="shared" si="108"/>
        <v>0</v>
      </c>
      <c r="BR77" s="265">
        <f t="shared" si="109"/>
        <v>0</v>
      </c>
    </row>
    <row r="78" spans="1:70">
      <c r="A78" s="243">
        <f t="shared" si="102"/>
        <v>76</v>
      </c>
      <c r="B78" s="257"/>
      <c r="C78" s="257"/>
      <c r="D78" s="257"/>
      <c r="E78" s="257"/>
      <c r="F78" s="258"/>
      <c r="G78" s="259"/>
      <c r="H78" s="259"/>
      <c r="I78" s="259"/>
      <c r="J78" s="259"/>
      <c r="K78" s="259"/>
      <c r="L78" s="260" t="s">
        <v>52</v>
      </c>
      <c r="M78" s="257"/>
      <c r="N78" s="261"/>
      <c r="O78" s="262" t="str">
        <f t="shared" si="78"/>
        <v>0 ans, 0 mois, 0 jours</v>
      </c>
      <c r="P78" s="259">
        <f t="shared" si="79"/>
        <v>0</v>
      </c>
      <c r="Q78" s="217" t="str">
        <f t="shared" si="114"/>
        <v>MAO1-1.I</v>
      </c>
      <c r="R78" s="217" t="str">
        <f t="shared" si="115"/>
        <v>MANŒUVRE ORDINAIRE</v>
      </c>
      <c r="S78" s="258" t="str">
        <f t="shared" si="80"/>
        <v>MANŒUVRE</v>
      </c>
      <c r="T78" s="217" t="str">
        <f>+VLOOKUP($Q78,Categorie!$I:$P,3,0)</f>
        <v>MANŒUVRE ORDINAIRE (MO), Echellon 1, Classe 1</v>
      </c>
      <c r="U78" s="259">
        <f t="shared" si="117"/>
        <v>0</v>
      </c>
      <c r="V78" s="263">
        <v>0</v>
      </c>
      <c r="W78" s="263">
        <v>0</v>
      </c>
      <c r="X78" s="263">
        <v>0</v>
      </c>
      <c r="Y78" s="263">
        <v>0</v>
      </c>
      <c r="Z78" s="259">
        <f t="shared" si="93"/>
        <v>0</v>
      </c>
      <c r="AA78" s="259">
        <f t="shared" si="94"/>
        <v>0</v>
      </c>
      <c r="AB78" s="259">
        <f t="shared" si="110"/>
        <v>0</v>
      </c>
      <c r="AC78" s="264">
        <f t="shared" si="103"/>
        <v>0</v>
      </c>
      <c r="AD78" s="264"/>
      <c r="AE78" s="263">
        <f t="shared" si="113"/>
        <v>0</v>
      </c>
      <c r="AF78" s="263">
        <v>0</v>
      </c>
      <c r="AG78" s="259">
        <f t="shared" si="104"/>
        <v>0</v>
      </c>
      <c r="AH78" s="259">
        <f t="shared" si="42"/>
        <v>0</v>
      </c>
      <c r="AI78" s="259">
        <f t="shared" si="95"/>
        <v>0</v>
      </c>
      <c r="AJ78" s="259">
        <f t="shared" si="105"/>
        <v>0</v>
      </c>
      <c r="AK78" s="259">
        <f t="shared" si="96"/>
        <v>0</v>
      </c>
      <c r="AL78" s="259">
        <f t="shared" si="97"/>
        <v>0</v>
      </c>
      <c r="AM78" s="259">
        <f t="shared" si="98"/>
        <v>0</v>
      </c>
      <c r="AN78" s="259">
        <f t="shared" si="99"/>
        <v>0</v>
      </c>
      <c r="AO78" s="259">
        <f t="shared" si="100"/>
        <v>0</v>
      </c>
      <c r="AP78" s="247">
        <f t="shared" si="116"/>
        <v>0</v>
      </c>
      <c r="AQ78" s="265">
        <f t="shared" si="118"/>
        <v>0</v>
      </c>
      <c r="AR78" s="259">
        <f t="shared" si="111"/>
        <v>0</v>
      </c>
      <c r="AS78" s="259">
        <f t="shared" si="112"/>
        <v>0</v>
      </c>
      <c r="AT78" s="266">
        <v>0</v>
      </c>
      <c r="AU78" s="267">
        <v>0</v>
      </c>
      <c r="AV78" s="259">
        <f t="shared" si="101"/>
        <v>0</v>
      </c>
      <c r="AW78" s="259"/>
      <c r="AX78" s="259"/>
      <c r="AY78" s="265">
        <f t="shared" si="87"/>
        <v>0</v>
      </c>
      <c r="AZ78" s="259">
        <f t="shared" si="88"/>
        <v>0</v>
      </c>
      <c r="BA78" s="259">
        <f t="shared" si="89"/>
        <v>0</v>
      </c>
      <c r="BB78" s="430">
        <f t="shared" si="90"/>
        <v>0</v>
      </c>
      <c r="BC78" s="259"/>
      <c r="BD78" s="259"/>
      <c r="BE78" s="259"/>
      <c r="BF78" s="259"/>
      <c r="BG78" s="259"/>
      <c r="BH78" s="259"/>
      <c r="BI78" s="259"/>
      <c r="BJ78" s="259"/>
      <c r="BK78" s="259"/>
      <c r="BL78" s="265">
        <f t="shared" si="91"/>
        <v>0</v>
      </c>
      <c r="BM78" s="268">
        <f t="shared" si="92"/>
        <v>0</v>
      </c>
      <c r="BO78" s="259">
        <f t="shared" si="106"/>
        <v>0</v>
      </c>
      <c r="BP78" s="259">
        <f t="shared" si="107"/>
        <v>0</v>
      </c>
      <c r="BQ78" s="259">
        <f t="shared" si="108"/>
        <v>0</v>
      </c>
      <c r="BR78" s="265">
        <f t="shared" si="109"/>
        <v>0</v>
      </c>
    </row>
    <row r="79" spans="1:70">
      <c r="A79" s="243">
        <f t="shared" si="102"/>
        <v>77</v>
      </c>
      <c r="B79" s="257"/>
      <c r="C79" s="257"/>
      <c r="D79" s="257"/>
      <c r="E79" s="257"/>
      <c r="F79" s="258"/>
      <c r="G79" s="259"/>
      <c r="H79" s="259"/>
      <c r="I79" s="259"/>
      <c r="J79" s="259"/>
      <c r="K79" s="259"/>
      <c r="L79" s="260" t="s">
        <v>52</v>
      </c>
      <c r="M79" s="257"/>
      <c r="N79" s="261"/>
      <c r="O79" s="262" t="str">
        <f t="shared" si="78"/>
        <v>0 ans, 0 mois, 0 jours</v>
      </c>
      <c r="P79" s="259">
        <f t="shared" si="79"/>
        <v>0</v>
      </c>
      <c r="Q79" s="217" t="str">
        <f t="shared" si="114"/>
        <v>MAO1-1.I</v>
      </c>
      <c r="R79" s="217" t="str">
        <f t="shared" si="115"/>
        <v>MANŒUVRE ORDINAIRE</v>
      </c>
      <c r="S79" s="258" t="str">
        <f t="shared" si="80"/>
        <v>MANŒUVRE</v>
      </c>
      <c r="T79" s="217" t="str">
        <f>+VLOOKUP($Q79,Categorie!$I:$P,3,0)</f>
        <v>MANŒUVRE ORDINAIRE (MO), Echellon 1, Classe 1</v>
      </c>
      <c r="U79" s="259">
        <f t="shared" si="117"/>
        <v>0</v>
      </c>
      <c r="V79" s="263">
        <v>0</v>
      </c>
      <c r="W79" s="263">
        <v>0</v>
      </c>
      <c r="X79" s="263">
        <v>0</v>
      </c>
      <c r="Y79" s="263">
        <v>0</v>
      </c>
      <c r="Z79" s="259">
        <f t="shared" si="93"/>
        <v>0</v>
      </c>
      <c r="AA79" s="259">
        <f t="shared" si="94"/>
        <v>0</v>
      </c>
      <c r="AB79" s="259">
        <f t="shared" si="110"/>
        <v>0</v>
      </c>
      <c r="AC79" s="264">
        <f t="shared" si="103"/>
        <v>0</v>
      </c>
      <c r="AD79" s="264"/>
      <c r="AE79" s="263">
        <f t="shared" si="113"/>
        <v>0</v>
      </c>
      <c r="AF79" s="263">
        <v>0</v>
      </c>
      <c r="AG79" s="259">
        <f t="shared" si="104"/>
        <v>0</v>
      </c>
      <c r="AH79" s="259">
        <f t="shared" si="42"/>
        <v>0</v>
      </c>
      <c r="AI79" s="259">
        <f t="shared" si="95"/>
        <v>0</v>
      </c>
      <c r="AJ79" s="259">
        <f t="shared" si="105"/>
        <v>0</v>
      </c>
      <c r="AK79" s="259">
        <f t="shared" si="96"/>
        <v>0</v>
      </c>
      <c r="AL79" s="259">
        <f t="shared" si="97"/>
        <v>0</v>
      </c>
      <c r="AM79" s="259">
        <f t="shared" si="98"/>
        <v>0</v>
      </c>
      <c r="AN79" s="259">
        <f t="shared" si="99"/>
        <v>0</v>
      </c>
      <c r="AO79" s="259">
        <f t="shared" si="100"/>
        <v>0</v>
      </c>
      <c r="AP79" s="247">
        <f t="shared" si="116"/>
        <v>0</v>
      </c>
      <c r="AQ79" s="265">
        <f t="shared" si="118"/>
        <v>0</v>
      </c>
      <c r="AR79" s="259">
        <f t="shared" si="111"/>
        <v>0</v>
      </c>
      <c r="AS79" s="259">
        <f t="shared" si="112"/>
        <v>0</v>
      </c>
      <c r="AT79" s="266">
        <v>0</v>
      </c>
      <c r="AU79" s="267">
        <v>0</v>
      </c>
      <c r="AV79" s="259">
        <f t="shared" si="101"/>
        <v>0</v>
      </c>
      <c r="AW79" s="259"/>
      <c r="AX79" s="259"/>
      <c r="AY79" s="265">
        <f t="shared" si="87"/>
        <v>0</v>
      </c>
      <c r="AZ79" s="259">
        <f t="shared" si="88"/>
        <v>0</v>
      </c>
      <c r="BA79" s="259">
        <f t="shared" si="89"/>
        <v>0</v>
      </c>
      <c r="BB79" s="430">
        <f t="shared" si="90"/>
        <v>0</v>
      </c>
      <c r="BC79" s="259"/>
      <c r="BD79" s="259"/>
      <c r="BE79" s="259"/>
      <c r="BF79" s="259"/>
      <c r="BG79" s="259"/>
      <c r="BH79" s="259"/>
      <c r="BI79" s="259"/>
      <c r="BJ79" s="259"/>
      <c r="BK79" s="259"/>
      <c r="BL79" s="265">
        <f t="shared" si="91"/>
        <v>0</v>
      </c>
      <c r="BM79" s="268">
        <f t="shared" si="92"/>
        <v>0</v>
      </c>
      <c r="BO79" s="259">
        <f t="shared" si="106"/>
        <v>0</v>
      </c>
      <c r="BP79" s="259">
        <f t="shared" si="107"/>
        <v>0</v>
      </c>
      <c r="BQ79" s="259">
        <f t="shared" si="108"/>
        <v>0</v>
      </c>
      <c r="BR79" s="265">
        <f t="shared" si="109"/>
        <v>0</v>
      </c>
    </row>
    <row r="80" spans="1:70">
      <c r="A80" s="243">
        <f t="shared" si="102"/>
        <v>78</v>
      </c>
      <c r="B80" s="257"/>
      <c r="C80" s="257"/>
      <c r="D80" s="257"/>
      <c r="E80" s="257"/>
      <c r="F80" s="258"/>
      <c r="G80" s="259"/>
      <c r="H80" s="259"/>
      <c r="I80" s="259"/>
      <c r="J80" s="259"/>
      <c r="K80" s="259"/>
      <c r="L80" s="260" t="s">
        <v>52</v>
      </c>
      <c r="M80" s="257"/>
      <c r="N80" s="261"/>
      <c r="O80" s="262" t="str">
        <f t="shared" si="78"/>
        <v>0 ans, 0 mois, 0 jours</v>
      </c>
      <c r="P80" s="259">
        <f t="shared" si="79"/>
        <v>0</v>
      </c>
      <c r="Q80" s="217" t="str">
        <f t="shared" si="114"/>
        <v>MAO1-1.I</v>
      </c>
      <c r="R80" s="217" t="str">
        <f t="shared" si="115"/>
        <v>MANŒUVRE ORDINAIRE</v>
      </c>
      <c r="S80" s="258" t="str">
        <f t="shared" si="80"/>
        <v>MANŒUVRE</v>
      </c>
      <c r="T80" s="217" t="str">
        <f>+VLOOKUP($Q80,Categorie!$I:$P,3,0)</f>
        <v>MANŒUVRE ORDINAIRE (MO), Echellon 1, Classe 1</v>
      </c>
      <c r="U80" s="259">
        <f t="shared" si="117"/>
        <v>0</v>
      </c>
      <c r="V80" s="263">
        <v>0</v>
      </c>
      <c r="W80" s="263">
        <v>0</v>
      </c>
      <c r="X80" s="263">
        <v>0</v>
      </c>
      <c r="Y80" s="263">
        <v>0</v>
      </c>
      <c r="Z80" s="259">
        <f t="shared" si="93"/>
        <v>0</v>
      </c>
      <c r="AA80" s="259">
        <f t="shared" si="94"/>
        <v>0</v>
      </c>
      <c r="AB80" s="259">
        <f t="shared" si="110"/>
        <v>0</v>
      </c>
      <c r="AC80" s="264">
        <f t="shared" si="103"/>
        <v>0</v>
      </c>
      <c r="AD80" s="264"/>
      <c r="AE80" s="263">
        <f t="shared" si="113"/>
        <v>0</v>
      </c>
      <c r="AF80" s="263">
        <v>0</v>
      </c>
      <c r="AG80" s="259">
        <f t="shared" si="104"/>
        <v>0</v>
      </c>
      <c r="AH80" s="259">
        <f t="shared" si="42"/>
        <v>0</v>
      </c>
      <c r="AI80" s="259">
        <f t="shared" si="95"/>
        <v>0</v>
      </c>
      <c r="AJ80" s="259">
        <f t="shared" si="105"/>
        <v>0</v>
      </c>
      <c r="AK80" s="259">
        <f t="shared" si="96"/>
        <v>0</v>
      </c>
      <c r="AL80" s="259">
        <f t="shared" si="97"/>
        <v>0</v>
      </c>
      <c r="AM80" s="259">
        <f t="shared" si="98"/>
        <v>0</v>
      </c>
      <c r="AN80" s="259">
        <f t="shared" si="99"/>
        <v>0</v>
      </c>
      <c r="AO80" s="259">
        <f t="shared" si="100"/>
        <v>0</v>
      </c>
      <c r="AP80" s="247">
        <f t="shared" si="116"/>
        <v>0</v>
      </c>
      <c r="AQ80" s="265">
        <f t="shared" si="118"/>
        <v>0</v>
      </c>
      <c r="AR80" s="259">
        <f t="shared" si="111"/>
        <v>0</v>
      </c>
      <c r="AS80" s="259">
        <f t="shared" si="112"/>
        <v>0</v>
      </c>
      <c r="AT80" s="266">
        <v>0</v>
      </c>
      <c r="AU80" s="267">
        <v>0</v>
      </c>
      <c r="AV80" s="259">
        <f t="shared" si="101"/>
        <v>0</v>
      </c>
      <c r="AW80" s="259"/>
      <c r="AX80" s="259"/>
      <c r="AY80" s="265">
        <f t="shared" si="87"/>
        <v>0</v>
      </c>
      <c r="AZ80" s="259">
        <f t="shared" si="88"/>
        <v>0</v>
      </c>
      <c r="BA80" s="259">
        <f t="shared" si="89"/>
        <v>0</v>
      </c>
      <c r="BB80" s="430">
        <f t="shared" si="90"/>
        <v>0</v>
      </c>
      <c r="BC80" s="259"/>
      <c r="BD80" s="259"/>
      <c r="BE80" s="259"/>
      <c r="BF80" s="259"/>
      <c r="BG80" s="259"/>
      <c r="BH80" s="259"/>
      <c r="BI80" s="259"/>
      <c r="BJ80" s="259"/>
      <c r="BK80" s="259"/>
      <c r="BL80" s="265">
        <f t="shared" si="91"/>
        <v>0</v>
      </c>
      <c r="BM80" s="268">
        <f t="shared" si="92"/>
        <v>0</v>
      </c>
      <c r="BO80" s="259">
        <f t="shared" si="106"/>
        <v>0</v>
      </c>
      <c r="BP80" s="259">
        <f t="shared" si="107"/>
        <v>0</v>
      </c>
      <c r="BQ80" s="259">
        <f t="shared" si="108"/>
        <v>0</v>
      </c>
      <c r="BR80" s="265">
        <f t="shared" si="109"/>
        <v>0</v>
      </c>
    </row>
    <row r="81" spans="1:70">
      <c r="A81" s="243">
        <f t="shared" si="102"/>
        <v>79</v>
      </c>
      <c r="B81" s="257"/>
      <c r="C81" s="257"/>
      <c r="D81" s="257"/>
      <c r="E81" s="257"/>
      <c r="F81" s="258"/>
      <c r="G81" s="259"/>
      <c r="H81" s="259"/>
      <c r="I81" s="259"/>
      <c r="J81" s="259"/>
      <c r="K81" s="259"/>
      <c r="L81" s="260" t="s">
        <v>52</v>
      </c>
      <c r="M81" s="257"/>
      <c r="N81" s="261"/>
      <c r="O81" s="262" t="str">
        <f t="shared" si="78"/>
        <v>0 ans, 0 mois, 0 jours</v>
      </c>
      <c r="P81" s="259">
        <f t="shared" si="79"/>
        <v>0</v>
      </c>
      <c r="Q81" s="217" t="str">
        <f t="shared" si="114"/>
        <v>MAO1-1.I</v>
      </c>
      <c r="R81" s="217" t="str">
        <f t="shared" si="115"/>
        <v>MANŒUVRE ORDINAIRE</v>
      </c>
      <c r="S81" s="258" t="str">
        <f t="shared" si="80"/>
        <v>MANŒUVRE</v>
      </c>
      <c r="T81" s="217" t="str">
        <f>+VLOOKUP($Q81,Categorie!$I:$P,3,0)</f>
        <v>MANŒUVRE ORDINAIRE (MO), Echellon 1, Classe 1</v>
      </c>
      <c r="U81" s="259">
        <f t="shared" si="117"/>
        <v>0</v>
      </c>
      <c r="V81" s="263">
        <v>0</v>
      </c>
      <c r="W81" s="263">
        <v>0</v>
      </c>
      <c r="X81" s="263">
        <v>0</v>
      </c>
      <c r="Y81" s="263">
        <v>0</v>
      </c>
      <c r="Z81" s="259">
        <f t="shared" ref="Z81:Z109" si="119">IF(L81="SANS PREAVIS",0,+IF(L81="AVEC PREAVIS",IF($S81="MANŒUVRE",14+7*$U81,IF($S81="SEMI-QUALIFIE",14+7*$U81,IF($S81="HAUTEMENT QUALIFIE",14+7*$U81,IF($S81="AGENT DE MAITRISE",26+9*$U81,IF($S81="CADRE DE COLLABORATION",78+16*$U81,IF($S81="CADRE DE DIRECTION",78+16*$U81,)))))),IF($S81="MANŒUVRE",14+7*$U81,IF($S81="SEMI-QUALIFIE",14+7*$U81,IF($S81="HAUTEMENT QUALIFIE",14+7*$U81,IF($S81="AGENT DE MAITRISE",26+9*$U81,IF($S81="CADRE DE COLLABORATION",78+16*$U81,IF($S81="CADRE DE DIRECTION",78+16*$U81,)))))))/2)</f>
        <v>0</v>
      </c>
      <c r="AA81" s="259">
        <f t="shared" ref="AA81:AA109" si="120">+IF(L81="AVEC PREAVIS",(Z81*26)/(26*12),0)</f>
        <v>0</v>
      </c>
      <c r="AB81" s="259">
        <f t="shared" si="110"/>
        <v>0</v>
      </c>
      <c r="AC81" s="264">
        <f t="shared" si="103"/>
        <v>0</v>
      </c>
      <c r="AD81" s="264"/>
      <c r="AE81" s="263">
        <f t="shared" si="113"/>
        <v>0</v>
      </c>
      <c r="AF81" s="263">
        <v>0</v>
      </c>
      <c r="AG81" s="259">
        <f t="shared" si="104"/>
        <v>0</v>
      </c>
      <c r="AH81" s="259">
        <f t="shared" ref="AH81:AH109" si="121">ROUND($W81/26*1.1*(G81),2)</f>
        <v>0</v>
      </c>
      <c r="AI81" s="259">
        <f t="shared" ref="AI81:AI109" si="122">+(P81*X81)</f>
        <v>0</v>
      </c>
      <c r="AJ81" s="259">
        <f t="shared" si="105"/>
        <v>0</v>
      </c>
      <c r="AK81" s="259">
        <f t="shared" ref="AK81:AK109" si="123">+(P81*AB81)+(P81*AA81)</f>
        <v>0</v>
      </c>
      <c r="AL81" s="259">
        <f t="shared" ref="AL81:AL109" si="124">+(P81*AF81)/3*2</f>
        <v>0</v>
      </c>
      <c r="AM81" s="259">
        <f t="shared" ref="AM81:AM109" si="125">+P81*Z81</f>
        <v>0</v>
      </c>
      <c r="AN81" s="259">
        <f t="shared" ref="AN81:AN109" si="126">+P81*AC81</f>
        <v>0</v>
      </c>
      <c r="AO81" s="259">
        <f t="shared" ref="AO81:AO109" si="127">+J81</f>
        <v>0</v>
      </c>
      <c r="AP81" s="247">
        <f t="shared" si="116"/>
        <v>0</v>
      </c>
      <c r="AQ81" s="265">
        <f t="shared" si="118"/>
        <v>0</v>
      </c>
      <c r="AR81" s="259">
        <f t="shared" si="111"/>
        <v>0</v>
      </c>
      <c r="AS81" s="259">
        <f t="shared" si="112"/>
        <v>0</v>
      </c>
      <c r="AT81" s="266">
        <v>0</v>
      </c>
      <c r="AU81" s="267">
        <v>0</v>
      </c>
      <c r="AV81" s="259">
        <f t="shared" ref="AV81:AV109" si="128">+P81*AU81*AT81</f>
        <v>0</v>
      </c>
      <c r="AW81" s="259"/>
      <c r="AX81" s="259"/>
      <c r="AY81" s="265">
        <f t="shared" si="87"/>
        <v>0</v>
      </c>
      <c r="AZ81" s="259">
        <f t="shared" si="88"/>
        <v>0</v>
      </c>
      <c r="BA81" s="259">
        <f t="shared" si="89"/>
        <v>0</v>
      </c>
      <c r="BB81" s="430">
        <f t="shared" si="90"/>
        <v>0</v>
      </c>
      <c r="BC81" s="259"/>
      <c r="BD81" s="259"/>
      <c r="BE81" s="259"/>
      <c r="BF81" s="259"/>
      <c r="BG81" s="259"/>
      <c r="BH81" s="259"/>
      <c r="BI81" s="259"/>
      <c r="BJ81" s="259"/>
      <c r="BK81" s="259"/>
      <c r="BL81" s="265">
        <f t="shared" si="91"/>
        <v>0</v>
      </c>
      <c r="BM81" s="268">
        <f t="shared" si="92"/>
        <v>0</v>
      </c>
      <c r="BO81" s="259">
        <f t="shared" si="106"/>
        <v>0</v>
      </c>
      <c r="BP81" s="259">
        <f t="shared" si="107"/>
        <v>0</v>
      </c>
      <c r="BQ81" s="259">
        <f t="shared" si="108"/>
        <v>0</v>
      </c>
      <c r="BR81" s="265">
        <f t="shared" si="109"/>
        <v>0</v>
      </c>
    </row>
    <row r="82" spans="1:70">
      <c r="A82" s="243">
        <f t="shared" si="102"/>
        <v>80</v>
      </c>
      <c r="B82" s="257"/>
      <c r="C82" s="257"/>
      <c r="D82" s="257"/>
      <c r="E82" s="257"/>
      <c r="F82" s="258"/>
      <c r="G82" s="259"/>
      <c r="H82" s="259"/>
      <c r="I82" s="259"/>
      <c r="J82" s="259"/>
      <c r="K82" s="259"/>
      <c r="L82" s="260" t="s">
        <v>52</v>
      </c>
      <c r="M82" s="257"/>
      <c r="N82" s="261"/>
      <c r="O82" s="262" t="str">
        <f t="shared" si="78"/>
        <v>0 ans, 0 mois, 0 jours</v>
      </c>
      <c r="P82" s="259">
        <f t="shared" si="79"/>
        <v>0</v>
      </c>
      <c r="Q82" s="217" t="str">
        <f t="shared" si="114"/>
        <v>MAO1-1.I</v>
      </c>
      <c r="R82" s="217" t="str">
        <f t="shared" si="115"/>
        <v>MANŒUVRE ORDINAIRE</v>
      </c>
      <c r="S82" s="258" t="str">
        <f t="shared" si="80"/>
        <v>MANŒUVRE</v>
      </c>
      <c r="T82" s="217" t="str">
        <f>+VLOOKUP($Q82,Categorie!$I:$P,3,0)</f>
        <v>MANŒUVRE ORDINAIRE (MO), Echellon 1, Classe 1</v>
      </c>
      <c r="U82" s="259">
        <f t="shared" si="117"/>
        <v>0</v>
      </c>
      <c r="V82" s="263">
        <v>0</v>
      </c>
      <c r="W82" s="263">
        <v>0</v>
      </c>
      <c r="X82" s="263">
        <v>0</v>
      </c>
      <c r="Y82" s="263">
        <v>0</v>
      </c>
      <c r="Z82" s="259">
        <f t="shared" si="119"/>
        <v>0</v>
      </c>
      <c r="AA82" s="259">
        <f t="shared" si="120"/>
        <v>0</v>
      </c>
      <c r="AB82" s="259">
        <f t="shared" si="110"/>
        <v>0</v>
      </c>
      <c r="AC82" s="264">
        <f t="shared" si="103"/>
        <v>0</v>
      </c>
      <c r="AD82" s="264"/>
      <c r="AE82" s="263">
        <f t="shared" si="113"/>
        <v>0</v>
      </c>
      <c r="AF82" s="263">
        <v>0</v>
      </c>
      <c r="AG82" s="259">
        <f t="shared" ref="AG82:AG109" si="129">P82*V82</f>
        <v>0</v>
      </c>
      <c r="AH82" s="259">
        <f t="shared" si="121"/>
        <v>0</v>
      </c>
      <c r="AI82" s="259">
        <f t="shared" si="122"/>
        <v>0</v>
      </c>
      <c r="AJ82" s="259">
        <f t="shared" si="105"/>
        <v>0</v>
      </c>
      <c r="AK82" s="259">
        <f t="shared" si="123"/>
        <v>0</v>
      </c>
      <c r="AL82" s="259">
        <f t="shared" si="124"/>
        <v>0</v>
      </c>
      <c r="AM82" s="259">
        <f t="shared" si="125"/>
        <v>0</v>
      </c>
      <c r="AN82" s="259">
        <f t="shared" si="126"/>
        <v>0</v>
      </c>
      <c r="AO82" s="259">
        <f t="shared" si="127"/>
        <v>0</v>
      </c>
      <c r="AP82" s="247">
        <f t="shared" si="116"/>
        <v>0</v>
      </c>
      <c r="AQ82" s="265">
        <f t="shared" si="118"/>
        <v>0</v>
      </c>
      <c r="AR82" s="259">
        <f t="shared" si="111"/>
        <v>0</v>
      </c>
      <c r="AS82" s="259">
        <f t="shared" si="112"/>
        <v>0</v>
      </c>
      <c r="AT82" s="266">
        <v>0</v>
      </c>
      <c r="AU82" s="267">
        <v>0</v>
      </c>
      <c r="AV82" s="259">
        <f t="shared" si="128"/>
        <v>0</v>
      </c>
      <c r="AW82" s="259"/>
      <c r="AX82" s="259"/>
      <c r="AY82" s="265">
        <f t="shared" si="87"/>
        <v>0</v>
      </c>
      <c r="AZ82" s="259">
        <f t="shared" si="88"/>
        <v>0</v>
      </c>
      <c r="BA82" s="259">
        <f t="shared" si="89"/>
        <v>0</v>
      </c>
      <c r="BB82" s="430">
        <f t="shared" si="90"/>
        <v>0</v>
      </c>
      <c r="BC82" s="259"/>
      <c r="BD82" s="259"/>
      <c r="BE82" s="259"/>
      <c r="BF82" s="259"/>
      <c r="BG82" s="259"/>
      <c r="BH82" s="259"/>
      <c r="BI82" s="259"/>
      <c r="BJ82" s="259"/>
      <c r="BK82" s="259"/>
      <c r="BL82" s="265">
        <f t="shared" si="91"/>
        <v>0</v>
      </c>
      <c r="BM82" s="268">
        <f t="shared" si="92"/>
        <v>0</v>
      </c>
      <c r="BO82" s="259">
        <f t="shared" si="106"/>
        <v>0</v>
      </c>
      <c r="BP82" s="259">
        <f t="shared" si="107"/>
        <v>0</v>
      </c>
      <c r="BQ82" s="259">
        <f t="shared" si="108"/>
        <v>0</v>
      </c>
      <c r="BR82" s="265">
        <f t="shared" si="109"/>
        <v>0</v>
      </c>
    </row>
    <row r="83" spans="1:70">
      <c r="A83" s="243">
        <f t="shared" si="102"/>
        <v>81</v>
      </c>
      <c r="B83" s="257"/>
      <c r="C83" s="257"/>
      <c r="D83" s="257"/>
      <c r="E83" s="257"/>
      <c r="F83" s="258"/>
      <c r="G83" s="259"/>
      <c r="H83" s="259"/>
      <c r="I83" s="259"/>
      <c r="J83" s="259"/>
      <c r="K83" s="259"/>
      <c r="L83" s="260" t="s">
        <v>52</v>
      </c>
      <c r="M83" s="257"/>
      <c r="N83" s="261"/>
      <c r="O83" s="262" t="str">
        <f t="shared" si="78"/>
        <v>0 ans, 0 mois, 0 jours</v>
      </c>
      <c r="P83" s="259">
        <f t="shared" si="79"/>
        <v>0</v>
      </c>
      <c r="Q83" s="217" t="str">
        <f t="shared" si="114"/>
        <v>MAO1-1.I</v>
      </c>
      <c r="R83" s="217" t="str">
        <f t="shared" si="115"/>
        <v>MANŒUVRE ORDINAIRE</v>
      </c>
      <c r="S83" s="258" t="str">
        <f t="shared" si="80"/>
        <v>MANŒUVRE</v>
      </c>
      <c r="T83" s="217" t="str">
        <f>+VLOOKUP($Q83,Categorie!$I:$P,3,0)</f>
        <v>MANŒUVRE ORDINAIRE (MO), Echellon 1, Classe 1</v>
      </c>
      <c r="U83" s="259">
        <f t="shared" si="117"/>
        <v>0</v>
      </c>
      <c r="V83" s="263">
        <v>0</v>
      </c>
      <c r="W83" s="263">
        <v>0</v>
      </c>
      <c r="X83" s="263">
        <v>0</v>
      </c>
      <c r="Y83" s="263">
        <v>0</v>
      </c>
      <c r="Z83" s="259">
        <f t="shared" si="119"/>
        <v>0</v>
      </c>
      <c r="AA83" s="259">
        <f t="shared" si="120"/>
        <v>0</v>
      </c>
      <c r="AB83" s="259">
        <f t="shared" si="110"/>
        <v>0</v>
      </c>
      <c r="AC83" s="264">
        <f t="shared" si="103"/>
        <v>0</v>
      </c>
      <c r="AD83" s="264"/>
      <c r="AE83" s="263">
        <f t="shared" si="113"/>
        <v>0</v>
      </c>
      <c r="AF83" s="263">
        <v>0</v>
      </c>
      <c r="AG83" s="259">
        <f t="shared" si="129"/>
        <v>0</v>
      </c>
      <c r="AH83" s="259">
        <f t="shared" si="121"/>
        <v>0</v>
      </c>
      <c r="AI83" s="259">
        <f t="shared" si="122"/>
        <v>0</v>
      </c>
      <c r="AJ83" s="259">
        <f t="shared" si="105"/>
        <v>0</v>
      </c>
      <c r="AK83" s="259">
        <f t="shared" si="123"/>
        <v>0</v>
      </c>
      <c r="AL83" s="259">
        <f t="shared" si="124"/>
        <v>0</v>
      </c>
      <c r="AM83" s="259">
        <f t="shared" si="125"/>
        <v>0</v>
      </c>
      <c r="AN83" s="259">
        <f t="shared" si="126"/>
        <v>0</v>
      </c>
      <c r="AO83" s="259">
        <f t="shared" si="127"/>
        <v>0</v>
      </c>
      <c r="AP83" s="247">
        <f t="shared" si="116"/>
        <v>0</v>
      </c>
      <c r="AQ83" s="265">
        <f t="shared" si="118"/>
        <v>0</v>
      </c>
      <c r="AR83" s="259">
        <f t="shared" si="111"/>
        <v>0</v>
      </c>
      <c r="AS83" s="259">
        <f t="shared" si="112"/>
        <v>0</v>
      </c>
      <c r="AT83" s="266">
        <v>0</v>
      </c>
      <c r="AU83" s="267">
        <v>0</v>
      </c>
      <c r="AV83" s="259">
        <f t="shared" si="128"/>
        <v>0</v>
      </c>
      <c r="AW83" s="259"/>
      <c r="AX83" s="259"/>
      <c r="AY83" s="265">
        <f t="shared" si="87"/>
        <v>0</v>
      </c>
      <c r="AZ83" s="259">
        <f t="shared" si="88"/>
        <v>0</v>
      </c>
      <c r="BA83" s="259">
        <f t="shared" si="89"/>
        <v>0</v>
      </c>
      <c r="BB83" s="430">
        <f t="shared" si="90"/>
        <v>0</v>
      </c>
      <c r="BC83" s="259"/>
      <c r="BD83" s="259"/>
      <c r="BE83" s="259"/>
      <c r="BF83" s="259"/>
      <c r="BG83" s="259"/>
      <c r="BH83" s="259"/>
      <c r="BI83" s="259"/>
      <c r="BJ83" s="259"/>
      <c r="BK83" s="259"/>
      <c r="BL83" s="265">
        <f t="shared" si="91"/>
        <v>0</v>
      </c>
      <c r="BM83" s="268">
        <f t="shared" si="92"/>
        <v>0</v>
      </c>
      <c r="BO83" s="259">
        <f t="shared" si="106"/>
        <v>0</v>
      </c>
      <c r="BP83" s="259">
        <f t="shared" si="107"/>
        <v>0</v>
      </c>
      <c r="BQ83" s="259">
        <f t="shared" si="108"/>
        <v>0</v>
      </c>
      <c r="BR83" s="265">
        <f t="shared" si="109"/>
        <v>0</v>
      </c>
    </row>
    <row r="84" spans="1:70">
      <c r="A84" s="243">
        <f t="shared" si="102"/>
        <v>82</v>
      </c>
      <c r="B84" s="257"/>
      <c r="C84" s="257"/>
      <c r="D84" s="257"/>
      <c r="E84" s="257"/>
      <c r="F84" s="258"/>
      <c r="G84" s="259"/>
      <c r="H84" s="259"/>
      <c r="I84" s="259"/>
      <c r="J84" s="259"/>
      <c r="K84" s="259"/>
      <c r="L84" s="260" t="s">
        <v>52</v>
      </c>
      <c r="M84" s="257"/>
      <c r="N84" s="261"/>
      <c r="O84" s="262" t="str">
        <f t="shared" si="78"/>
        <v>0 ans, 0 mois, 0 jours</v>
      </c>
      <c r="P84" s="259">
        <f t="shared" si="79"/>
        <v>0</v>
      </c>
      <c r="Q84" s="217" t="str">
        <f t="shared" si="114"/>
        <v>MAO1-1.I</v>
      </c>
      <c r="R84" s="217" t="str">
        <f t="shared" si="115"/>
        <v>MANŒUVRE ORDINAIRE</v>
      </c>
      <c r="S84" s="258" t="str">
        <f t="shared" si="80"/>
        <v>MANŒUVRE</v>
      </c>
      <c r="T84" s="217" t="str">
        <f>+VLOOKUP($Q84,Categorie!$I:$P,3,0)</f>
        <v>MANŒUVRE ORDINAIRE (MO), Echellon 1, Classe 1</v>
      </c>
      <c r="U84" s="259">
        <f t="shared" si="117"/>
        <v>0</v>
      </c>
      <c r="V84" s="263">
        <v>0</v>
      </c>
      <c r="W84" s="263">
        <v>0</v>
      </c>
      <c r="X84" s="263">
        <v>0</v>
      </c>
      <c r="Y84" s="263">
        <v>0</v>
      </c>
      <c r="Z84" s="259">
        <f t="shared" si="119"/>
        <v>0</v>
      </c>
      <c r="AA84" s="259">
        <f t="shared" si="120"/>
        <v>0</v>
      </c>
      <c r="AB84" s="259">
        <f t="shared" si="110"/>
        <v>0</v>
      </c>
      <c r="AC84" s="264">
        <f t="shared" si="103"/>
        <v>0</v>
      </c>
      <c r="AD84" s="264"/>
      <c r="AE84" s="263">
        <f t="shared" si="113"/>
        <v>0</v>
      </c>
      <c r="AF84" s="263">
        <v>0</v>
      </c>
      <c r="AG84" s="259">
        <f t="shared" si="129"/>
        <v>0</v>
      </c>
      <c r="AH84" s="259">
        <f t="shared" si="121"/>
        <v>0</v>
      </c>
      <c r="AI84" s="259">
        <f t="shared" si="122"/>
        <v>0</v>
      </c>
      <c r="AJ84" s="259">
        <f t="shared" si="105"/>
        <v>0</v>
      </c>
      <c r="AK84" s="259">
        <f t="shared" si="123"/>
        <v>0</v>
      </c>
      <c r="AL84" s="259">
        <f t="shared" si="124"/>
        <v>0</v>
      </c>
      <c r="AM84" s="259">
        <f t="shared" si="125"/>
        <v>0</v>
      </c>
      <c r="AN84" s="259">
        <f t="shared" si="126"/>
        <v>0</v>
      </c>
      <c r="AO84" s="259">
        <f t="shared" si="127"/>
        <v>0</v>
      </c>
      <c r="AP84" s="247">
        <f t="shared" si="116"/>
        <v>0</v>
      </c>
      <c r="AQ84" s="265">
        <f t="shared" si="118"/>
        <v>0</v>
      </c>
      <c r="AR84" s="259">
        <f t="shared" si="111"/>
        <v>0</v>
      </c>
      <c r="AS84" s="259">
        <f t="shared" si="112"/>
        <v>0</v>
      </c>
      <c r="AT84" s="266">
        <v>0</v>
      </c>
      <c r="AU84" s="267">
        <v>0</v>
      </c>
      <c r="AV84" s="259">
        <f t="shared" si="128"/>
        <v>0</v>
      </c>
      <c r="AW84" s="259"/>
      <c r="AX84" s="259"/>
      <c r="AY84" s="265">
        <f t="shared" si="87"/>
        <v>0</v>
      </c>
      <c r="AZ84" s="259">
        <f t="shared" si="88"/>
        <v>0</v>
      </c>
      <c r="BA84" s="259">
        <f t="shared" si="89"/>
        <v>0</v>
      </c>
      <c r="BB84" s="430">
        <f t="shared" si="90"/>
        <v>0</v>
      </c>
      <c r="BC84" s="259"/>
      <c r="BD84" s="259"/>
      <c r="BE84" s="259"/>
      <c r="BF84" s="259"/>
      <c r="BG84" s="259"/>
      <c r="BH84" s="259"/>
      <c r="BI84" s="259"/>
      <c r="BJ84" s="259"/>
      <c r="BK84" s="259"/>
      <c r="BL84" s="265">
        <f t="shared" si="91"/>
        <v>0</v>
      </c>
      <c r="BM84" s="268">
        <f t="shared" si="92"/>
        <v>0</v>
      </c>
      <c r="BO84" s="259">
        <f t="shared" si="106"/>
        <v>0</v>
      </c>
      <c r="BP84" s="259">
        <f t="shared" si="107"/>
        <v>0</v>
      </c>
      <c r="BQ84" s="259">
        <f t="shared" si="108"/>
        <v>0</v>
      </c>
      <c r="BR84" s="265">
        <f t="shared" si="109"/>
        <v>0</v>
      </c>
    </row>
    <row r="85" spans="1:70">
      <c r="A85" s="243">
        <f t="shared" si="102"/>
        <v>83</v>
      </c>
      <c r="B85" s="257"/>
      <c r="C85" s="257"/>
      <c r="D85" s="257"/>
      <c r="E85" s="257"/>
      <c r="F85" s="258"/>
      <c r="G85" s="259"/>
      <c r="H85" s="259"/>
      <c r="I85" s="259"/>
      <c r="J85" s="259"/>
      <c r="K85" s="259"/>
      <c r="L85" s="260" t="s">
        <v>52</v>
      </c>
      <c r="M85" s="257"/>
      <c r="N85" s="261"/>
      <c r="O85" s="262" t="str">
        <f t="shared" si="78"/>
        <v>0 ans, 0 mois, 0 jours</v>
      </c>
      <c r="P85" s="259">
        <f t="shared" si="79"/>
        <v>0</v>
      </c>
      <c r="Q85" s="217" t="str">
        <f t="shared" si="114"/>
        <v>MAO1-1.I</v>
      </c>
      <c r="R85" s="217" t="str">
        <f t="shared" si="115"/>
        <v>MANŒUVRE ORDINAIRE</v>
      </c>
      <c r="S85" s="258" t="str">
        <f t="shared" si="80"/>
        <v>MANŒUVRE</v>
      </c>
      <c r="T85" s="217" t="str">
        <f>+VLOOKUP($Q85,Categorie!$I:$P,3,0)</f>
        <v>MANŒUVRE ORDINAIRE (MO), Echellon 1, Classe 1</v>
      </c>
      <c r="U85" s="259">
        <f t="shared" si="117"/>
        <v>0</v>
      </c>
      <c r="V85" s="263">
        <v>0</v>
      </c>
      <c r="W85" s="263">
        <v>0</v>
      </c>
      <c r="X85" s="263">
        <v>0</v>
      </c>
      <c r="Y85" s="263">
        <v>0</v>
      </c>
      <c r="Z85" s="259">
        <f t="shared" si="119"/>
        <v>0</v>
      </c>
      <c r="AA85" s="259">
        <f t="shared" si="120"/>
        <v>0</v>
      </c>
      <c r="AB85" s="259">
        <f t="shared" si="110"/>
        <v>0</v>
      </c>
      <c r="AC85" s="264">
        <f t="shared" si="103"/>
        <v>0</v>
      </c>
      <c r="AD85" s="264"/>
      <c r="AE85" s="263">
        <f t="shared" si="113"/>
        <v>0</v>
      </c>
      <c r="AF85" s="263">
        <v>0</v>
      </c>
      <c r="AG85" s="259">
        <f t="shared" si="129"/>
        <v>0</v>
      </c>
      <c r="AH85" s="259">
        <f t="shared" si="121"/>
        <v>0</v>
      </c>
      <c r="AI85" s="259">
        <f t="shared" si="122"/>
        <v>0</v>
      </c>
      <c r="AJ85" s="259">
        <f t="shared" si="105"/>
        <v>0</v>
      </c>
      <c r="AK85" s="259">
        <f t="shared" si="123"/>
        <v>0</v>
      </c>
      <c r="AL85" s="259">
        <f t="shared" si="124"/>
        <v>0</v>
      </c>
      <c r="AM85" s="259">
        <f t="shared" si="125"/>
        <v>0</v>
      </c>
      <c r="AN85" s="259">
        <f t="shared" si="126"/>
        <v>0</v>
      </c>
      <c r="AO85" s="259">
        <f t="shared" si="127"/>
        <v>0</v>
      </c>
      <c r="AP85" s="247">
        <f t="shared" si="116"/>
        <v>0</v>
      </c>
      <c r="AQ85" s="265">
        <f t="shared" si="118"/>
        <v>0</v>
      </c>
      <c r="AR85" s="259">
        <f t="shared" si="111"/>
        <v>0</v>
      </c>
      <c r="AS85" s="259">
        <f t="shared" si="112"/>
        <v>0</v>
      </c>
      <c r="AT85" s="266">
        <v>0</v>
      </c>
      <c r="AU85" s="267">
        <v>0</v>
      </c>
      <c r="AV85" s="259">
        <f t="shared" si="128"/>
        <v>0</v>
      </c>
      <c r="AW85" s="259"/>
      <c r="AX85" s="259"/>
      <c r="AY85" s="265">
        <f t="shared" si="87"/>
        <v>0</v>
      </c>
      <c r="AZ85" s="259">
        <f t="shared" si="88"/>
        <v>0</v>
      </c>
      <c r="BA85" s="259">
        <f t="shared" si="89"/>
        <v>0</v>
      </c>
      <c r="BB85" s="430">
        <f t="shared" si="90"/>
        <v>0</v>
      </c>
      <c r="BC85" s="259"/>
      <c r="BD85" s="259"/>
      <c r="BE85" s="259"/>
      <c r="BF85" s="259"/>
      <c r="BG85" s="259"/>
      <c r="BH85" s="259"/>
      <c r="BI85" s="259"/>
      <c r="BJ85" s="259"/>
      <c r="BK85" s="259"/>
      <c r="BL85" s="265">
        <f t="shared" si="91"/>
        <v>0</v>
      </c>
      <c r="BM85" s="268">
        <f t="shared" si="92"/>
        <v>0</v>
      </c>
      <c r="BO85" s="259">
        <f t="shared" si="106"/>
        <v>0</v>
      </c>
      <c r="BP85" s="259">
        <f t="shared" si="107"/>
        <v>0</v>
      </c>
      <c r="BQ85" s="259">
        <f t="shared" si="108"/>
        <v>0</v>
      </c>
      <c r="BR85" s="265">
        <f t="shared" si="109"/>
        <v>0</v>
      </c>
    </row>
    <row r="86" spans="1:70">
      <c r="A86" s="243">
        <f t="shared" si="102"/>
        <v>84</v>
      </c>
      <c r="B86" s="257"/>
      <c r="C86" s="257"/>
      <c r="D86" s="257"/>
      <c r="E86" s="257"/>
      <c r="F86" s="258"/>
      <c r="G86" s="259"/>
      <c r="H86" s="259"/>
      <c r="I86" s="259"/>
      <c r="J86" s="259"/>
      <c r="K86" s="259"/>
      <c r="L86" s="260" t="s">
        <v>52</v>
      </c>
      <c r="M86" s="257"/>
      <c r="N86" s="261"/>
      <c r="O86" s="262" t="str">
        <f t="shared" si="78"/>
        <v>0 ans, 0 mois, 0 jours</v>
      </c>
      <c r="P86" s="259">
        <f t="shared" si="79"/>
        <v>0</v>
      </c>
      <c r="Q86" s="217" t="str">
        <f t="shared" si="114"/>
        <v>MAO1-1.I</v>
      </c>
      <c r="R86" s="217" t="str">
        <f t="shared" si="115"/>
        <v>MANŒUVRE ORDINAIRE</v>
      </c>
      <c r="S86" s="258" t="str">
        <f t="shared" si="80"/>
        <v>MANŒUVRE</v>
      </c>
      <c r="T86" s="217" t="str">
        <f>+VLOOKUP($Q86,Categorie!$I:$P,3,0)</f>
        <v>MANŒUVRE ORDINAIRE (MO), Echellon 1, Classe 1</v>
      </c>
      <c r="U86" s="259">
        <f t="shared" si="117"/>
        <v>0</v>
      </c>
      <c r="V86" s="263">
        <v>0</v>
      </c>
      <c r="W86" s="263">
        <v>0</v>
      </c>
      <c r="X86" s="263">
        <v>0</v>
      </c>
      <c r="Y86" s="263">
        <v>0</v>
      </c>
      <c r="Z86" s="259">
        <f t="shared" si="119"/>
        <v>0</v>
      </c>
      <c r="AA86" s="259">
        <f t="shared" si="120"/>
        <v>0</v>
      </c>
      <c r="AB86" s="259">
        <f t="shared" si="110"/>
        <v>0</v>
      </c>
      <c r="AC86" s="264">
        <f t="shared" si="103"/>
        <v>0</v>
      </c>
      <c r="AD86" s="264"/>
      <c r="AE86" s="263">
        <f t="shared" si="113"/>
        <v>0</v>
      </c>
      <c r="AF86" s="263">
        <v>0</v>
      </c>
      <c r="AG86" s="259">
        <f t="shared" si="129"/>
        <v>0</v>
      </c>
      <c r="AH86" s="259">
        <f t="shared" si="121"/>
        <v>0</v>
      </c>
      <c r="AI86" s="259">
        <f t="shared" si="122"/>
        <v>0</v>
      </c>
      <c r="AJ86" s="259">
        <f t="shared" si="105"/>
        <v>0</v>
      </c>
      <c r="AK86" s="259">
        <f t="shared" si="123"/>
        <v>0</v>
      </c>
      <c r="AL86" s="259">
        <f t="shared" si="124"/>
        <v>0</v>
      </c>
      <c r="AM86" s="259">
        <f t="shared" si="125"/>
        <v>0</v>
      </c>
      <c r="AN86" s="259">
        <f t="shared" si="126"/>
        <v>0</v>
      </c>
      <c r="AO86" s="259">
        <f t="shared" si="127"/>
        <v>0</v>
      </c>
      <c r="AP86" s="247">
        <f t="shared" si="116"/>
        <v>0</v>
      </c>
      <c r="AQ86" s="265">
        <f t="shared" si="118"/>
        <v>0</v>
      </c>
      <c r="AR86" s="259">
        <f t="shared" si="111"/>
        <v>0</v>
      </c>
      <c r="AS86" s="259">
        <f t="shared" si="112"/>
        <v>0</v>
      </c>
      <c r="AT86" s="266">
        <v>0</v>
      </c>
      <c r="AU86" s="267">
        <v>0</v>
      </c>
      <c r="AV86" s="259">
        <f t="shared" si="128"/>
        <v>0</v>
      </c>
      <c r="AW86" s="259"/>
      <c r="AX86" s="259"/>
      <c r="AY86" s="265">
        <f t="shared" si="87"/>
        <v>0</v>
      </c>
      <c r="AZ86" s="259">
        <f t="shared" si="88"/>
        <v>0</v>
      </c>
      <c r="BA86" s="259">
        <f t="shared" si="89"/>
        <v>0</v>
      </c>
      <c r="BB86" s="430">
        <f t="shared" si="90"/>
        <v>0</v>
      </c>
      <c r="BC86" s="259"/>
      <c r="BD86" s="259"/>
      <c r="BE86" s="259"/>
      <c r="BF86" s="259"/>
      <c r="BG86" s="259"/>
      <c r="BH86" s="259"/>
      <c r="BI86" s="259"/>
      <c r="BJ86" s="259"/>
      <c r="BK86" s="259"/>
      <c r="BL86" s="265">
        <f t="shared" si="91"/>
        <v>0</v>
      </c>
      <c r="BM86" s="268">
        <f t="shared" si="92"/>
        <v>0</v>
      </c>
      <c r="BO86" s="259">
        <f t="shared" si="106"/>
        <v>0</v>
      </c>
      <c r="BP86" s="259">
        <f t="shared" si="107"/>
        <v>0</v>
      </c>
      <c r="BQ86" s="259">
        <f t="shared" si="108"/>
        <v>0</v>
      </c>
      <c r="BR86" s="265">
        <f t="shared" si="109"/>
        <v>0</v>
      </c>
    </row>
    <row r="87" spans="1:70">
      <c r="A87" s="243">
        <f t="shared" si="102"/>
        <v>85</v>
      </c>
      <c r="B87" s="257"/>
      <c r="C87" s="257"/>
      <c r="D87" s="257"/>
      <c r="E87" s="257"/>
      <c r="F87" s="258"/>
      <c r="G87" s="259"/>
      <c r="H87" s="259"/>
      <c r="I87" s="259"/>
      <c r="J87" s="259"/>
      <c r="K87" s="259"/>
      <c r="L87" s="260" t="s">
        <v>52</v>
      </c>
      <c r="M87" s="257"/>
      <c r="N87" s="261"/>
      <c r="O87" s="262" t="str">
        <f t="shared" si="78"/>
        <v>0 ans, 0 mois, 0 jours</v>
      </c>
      <c r="P87" s="259">
        <f t="shared" si="79"/>
        <v>0</v>
      </c>
      <c r="Q87" s="217" t="str">
        <f t="shared" si="114"/>
        <v>MAO1-1.I</v>
      </c>
      <c r="R87" s="217" t="str">
        <f t="shared" si="115"/>
        <v>MANŒUVRE ORDINAIRE</v>
      </c>
      <c r="S87" s="258" t="str">
        <f t="shared" si="80"/>
        <v>MANŒUVRE</v>
      </c>
      <c r="T87" s="217" t="str">
        <f>+VLOOKUP($Q87,Categorie!$I:$P,3,0)</f>
        <v>MANŒUVRE ORDINAIRE (MO), Echellon 1, Classe 1</v>
      </c>
      <c r="U87" s="259">
        <f t="shared" si="117"/>
        <v>0</v>
      </c>
      <c r="V87" s="263">
        <v>0</v>
      </c>
      <c r="W87" s="263">
        <v>0</v>
      </c>
      <c r="X87" s="263">
        <v>0</v>
      </c>
      <c r="Y87" s="263">
        <v>0</v>
      </c>
      <c r="Z87" s="259">
        <f t="shared" si="119"/>
        <v>0</v>
      </c>
      <c r="AA87" s="259">
        <f t="shared" si="120"/>
        <v>0</v>
      </c>
      <c r="AB87" s="259">
        <f t="shared" si="110"/>
        <v>0</v>
      </c>
      <c r="AC87" s="264">
        <f t="shared" si="103"/>
        <v>0</v>
      </c>
      <c r="AD87" s="264"/>
      <c r="AE87" s="263">
        <f t="shared" si="113"/>
        <v>0</v>
      </c>
      <c r="AF87" s="263">
        <v>0</v>
      </c>
      <c r="AG87" s="259">
        <f t="shared" si="129"/>
        <v>0</v>
      </c>
      <c r="AH87" s="259">
        <f t="shared" si="121"/>
        <v>0</v>
      </c>
      <c r="AI87" s="259">
        <f t="shared" si="122"/>
        <v>0</v>
      </c>
      <c r="AJ87" s="259">
        <f t="shared" si="105"/>
        <v>0</v>
      </c>
      <c r="AK87" s="259">
        <f t="shared" si="123"/>
        <v>0</v>
      </c>
      <c r="AL87" s="259">
        <f t="shared" si="124"/>
        <v>0</v>
      </c>
      <c r="AM87" s="259">
        <f t="shared" si="125"/>
        <v>0</v>
      </c>
      <c r="AN87" s="259">
        <f t="shared" si="126"/>
        <v>0</v>
      </c>
      <c r="AO87" s="259">
        <f t="shared" si="127"/>
        <v>0</v>
      </c>
      <c r="AP87" s="247">
        <f t="shared" si="116"/>
        <v>0</v>
      </c>
      <c r="AQ87" s="265">
        <f t="shared" si="118"/>
        <v>0</v>
      </c>
      <c r="AR87" s="259">
        <f t="shared" si="111"/>
        <v>0</v>
      </c>
      <c r="AS87" s="259">
        <f t="shared" si="112"/>
        <v>0</v>
      </c>
      <c r="AT87" s="266">
        <v>0</v>
      </c>
      <c r="AU87" s="267">
        <v>0</v>
      </c>
      <c r="AV87" s="259">
        <f t="shared" si="128"/>
        <v>0</v>
      </c>
      <c r="AW87" s="259"/>
      <c r="AX87" s="259"/>
      <c r="AY87" s="265">
        <f t="shared" si="87"/>
        <v>0</v>
      </c>
      <c r="AZ87" s="259">
        <f t="shared" si="88"/>
        <v>0</v>
      </c>
      <c r="BA87" s="259">
        <f t="shared" si="89"/>
        <v>0</v>
      </c>
      <c r="BB87" s="430">
        <f t="shared" si="90"/>
        <v>0</v>
      </c>
      <c r="BC87" s="259"/>
      <c r="BD87" s="259"/>
      <c r="BE87" s="259"/>
      <c r="BF87" s="259"/>
      <c r="BG87" s="259"/>
      <c r="BH87" s="259"/>
      <c r="BI87" s="259"/>
      <c r="BJ87" s="259"/>
      <c r="BK87" s="259"/>
      <c r="BL87" s="265">
        <f t="shared" si="91"/>
        <v>0</v>
      </c>
      <c r="BM87" s="268">
        <f t="shared" si="92"/>
        <v>0</v>
      </c>
      <c r="BO87" s="259">
        <f t="shared" si="106"/>
        <v>0</v>
      </c>
      <c r="BP87" s="259">
        <f t="shared" si="107"/>
        <v>0</v>
      </c>
      <c r="BQ87" s="259">
        <f t="shared" si="108"/>
        <v>0</v>
      </c>
      <c r="BR87" s="265">
        <f t="shared" si="109"/>
        <v>0</v>
      </c>
    </row>
    <row r="88" spans="1:70">
      <c r="A88" s="243">
        <f t="shared" si="102"/>
        <v>86</v>
      </c>
      <c r="B88" s="257"/>
      <c r="C88" s="257"/>
      <c r="D88" s="257"/>
      <c r="E88" s="257"/>
      <c r="F88" s="258"/>
      <c r="G88" s="259"/>
      <c r="H88" s="259"/>
      <c r="I88" s="259"/>
      <c r="J88" s="259"/>
      <c r="K88" s="259"/>
      <c r="L88" s="260" t="s">
        <v>52</v>
      </c>
      <c r="M88" s="257"/>
      <c r="N88" s="261"/>
      <c r="O88" s="262" t="str">
        <f t="shared" si="78"/>
        <v>0 ans, 0 mois, 0 jours</v>
      </c>
      <c r="P88" s="259">
        <f t="shared" si="79"/>
        <v>0</v>
      </c>
      <c r="Q88" s="217" t="str">
        <f t="shared" si="114"/>
        <v>MAO1-1.I</v>
      </c>
      <c r="R88" s="217" t="str">
        <f t="shared" si="115"/>
        <v>MANŒUVRE ORDINAIRE</v>
      </c>
      <c r="S88" s="258" t="str">
        <f t="shared" si="80"/>
        <v>MANŒUVRE</v>
      </c>
      <c r="T88" s="217" t="str">
        <f>+VLOOKUP($Q88,Categorie!$I:$P,3,0)</f>
        <v>MANŒUVRE ORDINAIRE (MO), Echellon 1, Classe 1</v>
      </c>
      <c r="U88" s="259">
        <f t="shared" si="117"/>
        <v>0</v>
      </c>
      <c r="V88" s="263">
        <v>0</v>
      </c>
      <c r="W88" s="263">
        <v>0</v>
      </c>
      <c r="X88" s="263">
        <v>0</v>
      </c>
      <c r="Y88" s="263">
        <v>0</v>
      </c>
      <c r="Z88" s="259">
        <f t="shared" si="119"/>
        <v>0</v>
      </c>
      <c r="AA88" s="259">
        <f t="shared" si="120"/>
        <v>0</v>
      </c>
      <c r="AB88" s="259">
        <f t="shared" si="110"/>
        <v>0</v>
      </c>
      <c r="AC88" s="264">
        <f t="shared" si="103"/>
        <v>0</v>
      </c>
      <c r="AD88" s="264"/>
      <c r="AE88" s="263">
        <f t="shared" si="113"/>
        <v>0</v>
      </c>
      <c r="AF88" s="263">
        <v>0</v>
      </c>
      <c r="AG88" s="259">
        <f t="shared" si="129"/>
        <v>0</v>
      </c>
      <c r="AH88" s="259">
        <f t="shared" si="121"/>
        <v>0</v>
      </c>
      <c r="AI88" s="259">
        <f t="shared" si="122"/>
        <v>0</v>
      </c>
      <c r="AJ88" s="259">
        <f t="shared" si="105"/>
        <v>0</v>
      </c>
      <c r="AK88" s="259">
        <f t="shared" si="123"/>
        <v>0</v>
      </c>
      <c r="AL88" s="259">
        <f t="shared" si="124"/>
        <v>0</v>
      </c>
      <c r="AM88" s="259">
        <f t="shared" si="125"/>
        <v>0</v>
      </c>
      <c r="AN88" s="259">
        <f t="shared" si="126"/>
        <v>0</v>
      </c>
      <c r="AO88" s="259">
        <f t="shared" si="127"/>
        <v>0</v>
      </c>
      <c r="AP88" s="247">
        <f t="shared" si="116"/>
        <v>0</v>
      </c>
      <c r="AQ88" s="265">
        <f t="shared" si="118"/>
        <v>0</v>
      </c>
      <c r="AR88" s="259">
        <f t="shared" si="111"/>
        <v>0</v>
      </c>
      <c r="AS88" s="259">
        <f t="shared" si="112"/>
        <v>0</v>
      </c>
      <c r="AT88" s="266">
        <v>0</v>
      </c>
      <c r="AU88" s="267">
        <v>0</v>
      </c>
      <c r="AV88" s="259">
        <f t="shared" si="128"/>
        <v>0</v>
      </c>
      <c r="AW88" s="259"/>
      <c r="AX88" s="259"/>
      <c r="AY88" s="265">
        <f t="shared" si="87"/>
        <v>0</v>
      </c>
      <c r="AZ88" s="259">
        <f t="shared" si="88"/>
        <v>0</v>
      </c>
      <c r="BA88" s="259">
        <f t="shared" si="89"/>
        <v>0</v>
      </c>
      <c r="BB88" s="430">
        <f t="shared" si="90"/>
        <v>0</v>
      </c>
      <c r="BC88" s="259"/>
      <c r="BD88" s="259"/>
      <c r="BE88" s="259"/>
      <c r="BF88" s="259"/>
      <c r="BG88" s="259"/>
      <c r="BH88" s="259"/>
      <c r="BI88" s="259"/>
      <c r="BJ88" s="259"/>
      <c r="BK88" s="259"/>
      <c r="BL88" s="265">
        <f t="shared" si="91"/>
        <v>0</v>
      </c>
      <c r="BM88" s="268">
        <f t="shared" si="92"/>
        <v>0</v>
      </c>
      <c r="BO88" s="259">
        <f t="shared" si="106"/>
        <v>0</v>
      </c>
      <c r="BP88" s="259">
        <f t="shared" si="107"/>
        <v>0</v>
      </c>
      <c r="BQ88" s="259">
        <f t="shared" si="108"/>
        <v>0</v>
      </c>
      <c r="BR88" s="265">
        <f t="shared" si="109"/>
        <v>0</v>
      </c>
    </row>
    <row r="89" spans="1:70">
      <c r="A89" s="243">
        <f t="shared" si="102"/>
        <v>87</v>
      </c>
      <c r="B89" s="257"/>
      <c r="C89" s="257"/>
      <c r="D89" s="257"/>
      <c r="E89" s="257"/>
      <c r="F89" s="258"/>
      <c r="G89" s="259"/>
      <c r="H89" s="259"/>
      <c r="I89" s="259"/>
      <c r="J89" s="259"/>
      <c r="K89" s="259"/>
      <c r="L89" s="260" t="s">
        <v>52</v>
      </c>
      <c r="M89" s="257"/>
      <c r="N89" s="261"/>
      <c r="O89" s="262" t="str">
        <f t="shared" si="78"/>
        <v>0 ans, 0 mois, 0 jours</v>
      </c>
      <c r="P89" s="259">
        <f t="shared" si="79"/>
        <v>0</v>
      </c>
      <c r="Q89" s="217" t="str">
        <f t="shared" si="114"/>
        <v>MAO1-1.I</v>
      </c>
      <c r="R89" s="217" t="str">
        <f t="shared" si="115"/>
        <v>MANŒUVRE ORDINAIRE</v>
      </c>
      <c r="S89" s="258" t="str">
        <f t="shared" si="80"/>
        <v>MANŒUVRE</v>
      </c>
      <c r="T89" s="217" t="str">
        <f>+VLOOKUP($Q89,Categorie!$I:$P,3,0)</f>
        <v>MANŒUVRE ORDINAIRE (MO), Echellon 1, Classe 1</v>
      </c>
      <c r="U89" s="259">
        <f t="shared" si="117"/>
        <v>0</v>
      </c>
      <c r="V89" s="263">
        <v>0</v>
      </c>
      <c r="W89" s="263">
        <v>0</v>
      </c>
      <c r="X89" s="263">
        <v>0</v>
      </c>
      <c r="Y89" s="263">
        <v>0</v>
      </c>
      <c r="Z89" s="259">
        <f t="shared" si="119"/>
        <v>0</v>
      </c>
      <c r="AA89" s="259">
        <f t="shared" si="120"/>
        <v>0</v>
      </c>
      <c r="AB89" s="259">
        <f t="shared" si="110"/>
        <v>0</v>
      </c>
      <c r="AC89" s="264">
        <f t="shared" si="103"/>
        <v>0</v>
      </c>
      <c r="AD89" s="264"/>
      <c r="AE89" s="263">
        <f t="shared" si="113"/>
        <v>0</v>
      </c>
      <c r="AF89" s="263">
        <v>0</v>
      </c>
      <c r="AG89" s="259">
        <f t="shared" si="129"/>
        <v>0</v>
      </c>
      <c r="AH89" s="259">
        <f t="shared" si="121"/>
        <v>0</v>
      </c>
      <c r="AI89" s="259">
        <f t="shared" si="122"/>
        <v>0</v>
      </c>
      <c r="AJ89" s="259">
        <f t="shared" si="105"/>
        <v>0</v>
      </c>
      <c r="AK89" s="259">
        <f t="shared" si="123"/>
        <v>0</v>
      </c>
      <c r="AL89" s="259">
        <f t="shared" si="124"/>
        <v>0</v>
      </c>
      <c r="AM89" s="259">
        <f t="shared" si="125"/>
        <v>0</v>
      </c>
      <c r="AN89" s="259">
        <f t="shared" si="126"/>
        <v>0</v>
      </c>
      <c r="AO89" s="259">
        <f t="shared" si="127"/>
        <v>0</v>
      </c>
      <c r="AP89" s="247">
        <f t="shared" si="116"/>
        <v>0</v>
      </c>
      <c r="AQ89" s="265">
        <f t="shared" si="118"/>
        <v>0</v>
      </c>
      <c r="AR89" s="259">
        <f t="shared" si="111"/>
        <v>0</v>
      </c>
      <c r="AS89" s="259">
        <f t="shared" si="112"/>
        <v>0</v>
      </c>
      <c r="AT89" s="266">
        <v>0</v>
      </c>
      <c r="AU89" s="267">
        <v>0</v>
      </c>
      <c r="AV89" s="259">
        <f t="shared" si="128"/>
        <v>0</v>
      </c>
      <c r="AW89" s="259"/>
      <c r="AX89" s="259"/>
      <c r="AY89" s="265">
        <f t="shared" si="87"/>
        <v>0</v>
      </c>
      <c r="AZ89" s="259">
        <f t="shared" si="88"/>
        <v>0</v>
      </c>
      <c r="BA89" s="259">
        <f t="shared" si="89"/>
        <v>0</v>
      </c>
      <c r="BB89" s="430">
        <f t="shared" si="90"/>
        <v>0</v>
      </c>
      <c r="BC89" s="259"/>
      <c r="BD89" s="259"/>
      <c r="BE89" s="259"/>
      <c r="BF89" s="259"/>
      <c r="BG89" s="259"/>
      <c r="BH89" s="259"/>
      <c r="BI89" s="259"/>
      <c r="BJ89" s="259"/>
      <c r="BK89" s="259"/>
      <c r="BL89" s="265">
        <f t="shared" si="91"/>
        <v>0</v>
      </c>
      <c r="BM89" s="268">
        <f t="shared" si="92"/>
        <v>0</v>
      </c>
      <c r="BO89" s="259">
        <f t="shared" si="106"/>
        <v>0</v>
      </c>
      <c r="BP89" s="259">
        <f t="shared" si="107"/>
        <v>0</v>
      </c>
      <c r="BQ89" s="259">
        <f t="shared" si="108"/>
        <v>0</v>
      </c>
      <c r="BR89" s="265">
        <f t="shared" si="109"/>
        <v>0</v>
      </c>
    </row>
    <row r="90" spans="1:70">
      <c r="A90" s="243">
        <f t="shared" si="102"/>
        <v>88</v>
      </c>
      <c r="B90" s="257"/>
      <c r="C90" s="257"/>
      <c r="D90" s="257"/>
      <c r="E90" s="257"/>
      <c r="F90" s="258"/>
      <c r="G90" s="259"/>
      <c r="H90" s="259"/>
      <c r="I90" s="259"/>
      <c r="J90" s="259"/>
      <c r="K90" s="259"/>
      <c r="L90" s="260" t="s">
        <v>52</v>
      </c>
      <c r="M90" s="257"/>
      <c r="N90" s="261"/>
      <c r="O90" s="262" t="str">
        <f t="shared" si="78"/>
        <v>0 ans, 0 mois, 0 jours</v>
      </c>
      <c r="P90" s="259">
        <f t="shared" si="79"/>
        <v>0</v>
      </c>
      <c r="Q90" s="217" t="str">
        <f t="shared" si="114"/>
        <v>MAO1-1.I</v>
      </c>
      <c r="R90" s="217" t="str">
        <f t="shared" si="115"/>
        <v>MANŒUVRE ORDINAIRE</v>
      </c>
      <c r="S90" s="258" t="str">
        <f t="shared" si="80"/>
        <v>MANŒUVRE</v>
      </c>
      <c r="T90" s="217" t="str">
        <f>+VLOOKUP($Q90,Categorie!$I:$P,3,0)</f>
        <v>MANŒUVRE ORDINAIRE (MO), Echellon 1, Classe 1</v>
      </c>
      <c r="U90" s="259">
        <f t="shared" si="117"/>
        <v>0</v>
      </c>
      <c r="V90" s="263">
        <v>0</v>
      </c>
      <c r="W90" s="263">
        <v>0</v>
      </c>
      <c r="X90" s="263">
        <v>0</v>
      </c>
      <c r="Y90" s="263">
        <v>0</v>
      </c>
      <c r="Z90" s="259">
        <f t="shared" si="119"/>
        <v>0</v>
      </c>
      <c r="AA90" s="259">
        <f t="shared" si="120"/>
        <v>0</v>
      </c>
      <c r="AB90" s="259">
        <f t="shared" si="110"/>
        <v>0</v>
      </c>
      <c r="AC90" s="264">
        <f t="shared" si="103"/>
        <v>0</v>
      </c>
      <c r="AD90" s="264"/>
      <c r="AE90" s="263">
        <f t="shared" si="113"/>
        <v>0</v>
      </c>
      <c r="AF90" s="263">
        <v>0</v>
      </c>
      <c r="AG90" s="259">
        <f t="shared" si="129"/>
        <v>0</v>
      </c>
      <c r="AH90" s="259">
        <f t="shared" si="121"/>
        <v>0</v>
      </c>
      <c r="AI90" s="259">
        <f t="shared" si="122"/>
        <v>0</v>
      </c>
      <c r="AJ90" s="259">
        <f t="shared" si="105"/>
        <v>0</v>
      </c>
      <c r="AK90" s="259">
        <f t="shared" si="123"/>
        <v>0</v>
      </c>
      <c r="AL90" s="259">
        <f t="shared" si="124"/>
        <v>0</v>
      </c>
      <c r="AM90" s="259">
        <f t="shared" si="125"/>
        <v>0</v>
      </c>
      <c r="AN90" s="259">
        <f t="shared" si="126"/>
        <v>0</v>
      </c>
      <c r="AO90" s="259">
        <f t="shared" si="127"/>
        <v>0</v>
      </c>
      <c r="AP90" s="247">
        <f t="shared" si="116"/>
        <v>0</v>
      </c>
      <c r="AQ90" s="265">
        <f t="shared" si="118"/>
        <v>0</v>
      </c>
      <c r="AR90" s="259">
        <f t="shared" si="111"/>
        <v>0</v>
      </c>
      <c r="AS90" s="259">
        <f t="shared" si="112"/>
        <v>0</v>
      </c>
      <c r="AT90" s="266">
        <v>0</v>
      </c>
      <c r="AU90" s="267">
        <v>0</v>
      </c>
      <c r="AV90" s="259">
        <f t="shared" si="128"/>
        <v>0</v>
      </c>
      <c r="AW90" s="259"/>
      <c r="AX90" s="259"/>
      <c r="AY90" s="265">
        <f t="shared" si="87"/>
        <v>0</v>
      </c>
      <c r="AZ90" s="259">
        <f t="shared" si="88"/>
        <v>0</v>
      </c>
      <c r="BA90" s="259">
        <f t="shared" si="89"/>
        <v>0</v>
      </c>
      <c r="BB90" s="430">
        <f t="shared" si="90"/>
        <v>0</v>
      </c>
      <c r="BC90" s="259"/>
      <c r="BD90" s="259"/>
      <c r="BE90" s="259"/>
      <c r="BF90" s="259"/>
      <c r="BG90" s="259"/>
      <c r="BH90" s="259"/>
      <c r="BI90" s="259"/>
      <c r="BJ90" s="259"/>
      <c r="BK90" s="259"/>
      <c r="BL90" s="265">
        <f t="shared" si="91"/>
        <v>0</v>
      </c>
      <c r="BM90" s="268">
        <f t="shared" si="92"/>
        <v>0</v>
      </c>
      <c r="BO90" s="259">
        <f t="shared" si="106"/>
        <v>0</v>
      </c>
      <c r="BP90" s="259">
        <f t="shared" si="107"/>
        <v>0</v>
      </c>
      <c r="BQ90" s="259">
        <f t="shared" si="108"/>
        <v>0</v>
      </c>
      <c r="BR90" s="265">
        <f t="shared" si="109"/>
        <v>0</v>
      </c>
    </row>
    <row r="91" spans="1:70">
      <c r="A91" s="243">
        <f t="shared" si="102"/>
        <v>89</v>
      </c>
      <c r="B91" s="257"/>
      <c r="C91" s="257"/>
      <c r="D91" s="257"/>
      <c r="E91" s="257"/>
      <c r="F91" s="258"/>
      <c r="G91" s="259"/>
      <c r="H91" s="259"/>
      <c r="I91" s="259"/>
      <c r="J91" s="259"/>
      <c r="K91" s="259"/>
      <c r="L91" s="260" t="s">
        <v>52</v>
      </c>
      <c r="M91" s="257"/>
      <c r="N91" s="261"/>
      <c r="O91" s="262" t="str">
        <f t="shared" si="78"/>
        <v>0 ans, 0 mois, 0 jours</v>
      </c>
      <c r="P91" s="259">
        <f t="shared" si="79"/>
        <v>0</v>
      </c>
      <c r="Q91" s="217" t="str">
        <f t="shared" si="114"/>
        <v>MAO1-1.I</v>
      </c>
      <c r="R91" s="217" t="str">
        <f t="shared" si="115"/>
        <v>MANŒUVRE ORDINAIRE</v>
      </c>
      <c r="S91" s="258" t="str">
        <f t="shared" si="80"/>
        <v>MANŒUVRE</v>
      </c>
      <c r="T91" s="217" t="str">
        <f>+VLOOKUP($Q91,Categorie!$I:$P,3,0)</f>
        <v>MANŒUVRE ORDINAIRE (MO), Echellon 1, Classe 1</v>
      </c>
      <c r="U91" s="259">
        <f t="shared" si="117"/>
        <v>0</v>
      </c>
      <c r="V91" s="263">
        <v>0</v>
      </c>
      <c r="W91" s="263">
        <v>0</v>
      </c>
      <c r="X91" s="263">
        <v>0</v>
      </c>
      <c r="Y91" s="263">
        <v>0</v>
      </c>
      <c r="Z91" s="259">
        <f t="shared" si="119"/>
        <v>0</v>
      </c>
      <c r="AA91" s="259">
        <f t="shared" si="120"/>
        <v>0</v>
      </c>
      <c r="AB91" s="259">
        <f t="shared" si="110"/>
        <v>0</v>
      </c>
      <c r="AC91" s="264">
        <f t="shared" si="103"/>
        <v>0</v>
      </c>
      <c r="AD91" s="264"/>
      <c r="AE91" s="263">
        <f t="shared" si="113"/>
        <v>0</v>
      </c>
      <c r="AF91" s="263">
        <v>0</v>
      </c>
      <c r="AG91" s="259">
        <f t="shared" si="129"/>
        <v>0</v>
      </c>
      <c r="AH91" s="259">
        <f t="shared" si="121"/>
        <v>0</v>
      </c>
      <c r="AI91" s="259">
        <f t="shared" si="122"/>
        <v>0</v>
      </c>
      <c r="AJ91" s="259">
        <f t="shared" si="105"/>
        <v>0</v>
      </c>
      <c r="AK91" s="259">
        <f t="shared" si="123"/>
        <v>0</v>
      </c>
      <c r="AL91" s="259">
        <f t="shared" si="124"/>
        <v>0</v>
      </c>
      <c r="AM91" s="259">
        <f t="shared" si="125"/>
        <v>0</v>
      </c>
      <c r="AN91" s="259">
        <f t="shared" si="126"/>
        <v>0</v>
      </c>
      <c r="AO91" s="259">
        <f t="shared" si="127"/>
        <v>0</v>
      </c>
      <c r="AP91" s="247">
        <f t="shared" si="116"/>
        <v>0</v>
      </c>
      <c r="AQ91" s="265">
        <f t="shared" si="118"/>
        <v>0</v>
      </c>
      <c r="AR91" s="259">
        <f t="shared" si="111"/>
        <v>0</v>
      </c>
      <c r="AS91" s="259">
        <f t="shared" si="112"/>
        <v>0</v>
      </c>
      <c r="AT91" s="266">
        <v>0</v>
      </c>
      <c r="AU91" s="267">
        <v>0</v>
      </c>
      <c r="AV91" s="259">
        <f t="shared" si="128"/>
        <v>0</v>
      </c>
      <c r="AW91" s="259"/>
      <c r="AX91" s="259"/>
      <c r="AY91" s="265">
        <f t="shared" si="87"/>
        <v>0</v>
      </c>
      <c r="AZ91" s="259">
        <f t="shared" si="88"/>
        <v>0</v>
      </c>
      <c r="BA91" s="259">
        <f t="shared" si="89"/>
        <v>0</v>
      </c>
      <c r="BB91" s="430">
        <f t="shared" si="90"/>
        <v>0</v>
      </c>
      <c r="BC91" s="259"/>
      <c r="BD91" s="259"/>
      <c r="BE91" s="259"/>
      <c r="BF91" s="259"/>
      <c r="BG91" s="259"/>
      <c r="BH91" s="259"/>
      <c r="BI91" s="259"/>
      <c r="BJ91" s="259"/>
      <c r="BK91" s="259"/>
      <c r="BL91" s="265">
        <f t="shared" si="91"/>
        <v>0</v>
      </c>
      <c r="BM91" s="268">
        <f t="shared" si="92"/>
        <v>0</v>
      </c>
      <c r="BO91" s="259">
        <f t="shared" si="106"/>
        <v>0</v>
      </c>
      <c r="BP91" s="259">
        <f t="shared" si="107"/>
        <v>0</v>
      </c>
      <c r="BQ91" s="259">
        <f t="shared" si="108"/>
        <v>0</v>
      </c>
      <c r="BR91" s="265">
        <f t="shared" si="109"/>
        <v>0</v>
      </c>
    </row>
    <row r="92" spans="1:70">
      <c r="A92" s="243">
        <f t="shared" si="102"/>
        <v>90</v>
      </c>
      <c r="B92" s="257"/>
      <c r="C92" s="257"/>
      <c r="D92" s="257"/>
      <c r="E92" s="257"/>
      <c r="F92" s="258"/>
      <c r="G92" s="259"/>
      <c r="H92" s="259"/>
      <c r="I92" s="259"/>
      <c r="J92" s="259"/>
      <c r="K92" s="259"/>
      <c r="L92" s="260" t="s">
        <v>52</v>
      </c>
      <c r="M92" s="257"/>
      <c r="N92" s="261"/>
      <c r="O92" s="262" t="str">
        <f t="shared" si="78"/>
        <v>0 ans, 0 mois, 0 jours</v>
      </c>
      <c r="P92" s="259">
        <f t="shared" si="79"/>
        <v>0</v>
      </c>
      <c r="Q92" s="217" t="str">
        <f t="shared" si="114"/>
        <v>MAO1-1.I</v>
      </c>
      <c r="R92" s="217" t="str">
        <f t="shared" si="115"/>
        <v>MANŒUVRE ORDINAIRE</v>
      </c>
      <c r="S92" s="258" t="str">
        <f t="shared" si="80"/>
        <v>MANŒUVRE</v>
      </c>
      <c r="T92" s="217" t="str">
        <f>+VLOOKUP($Q92,Categorie!$I:$P,3,0)</f>
        <v>MANŒUVRE ORDINAIRE (MO), Echellon 1, Classe 1</v>
      </c>
      <c r="U92" s="259">
        <f t="shared" si="117"/>
        <v>0</v>
      </c>
      <c r="V92" s="263">
        <v>0</v>
      </c>
      <c r="W92" s="263">
        <v>0</v>
      </c>
      <c r="X92" s="263">
        <v>0</v>
      </c>
      <c r="Y92" s="263">
        <v>0</v>
      </c>
      <c r="Z92" s="259">
        <f t="shared" si="119"/>
        <v>0</v>
      </c>
      <c r="AA92" s="259">
        <f t="shared" si="120"/>
        <v>0</v>
      </c>
      <c r="AB92" s="259">
        <f t="shared" ref="AB92:AB109" si="130">+IF(DATEDIF(F92, N92, "md")=0,(DATEDIF(F92, N92, "ym"))*1.5,(DATEDIF(F92, N92, "ym")+1)*1.5)</f>
        <v>0</v>
      </c>
      <c r="AC92" s="264">
        <f t="shared" si="103"/>
        <v>0</v>
      </c>
      <c r="AD92" s="264"/>
      <c r="AE92" s="263">
        <f t="shared" si="113"/>
        <v>0</v>
      </c>
      <c r="AF92" s="263">
        <v>0</v>
      </c>
      <c r="AG92" s="259">
        <f t="shared" si="129"/>
        <v>0</v>
      </c>
      <c r="AH92" s="259">
        <f t="shared" si="121"/>
        <v>0</v>
      </c>
      <c r="AI92" s="259">
        <f t="shared" si="122"/>
        <v>0</v>
      </c>
      <c r="AJ92" s="259">
        <f t="shared" si="105"/>
        <v>0</v>
      </c>
      <c r="AK92" s="259">
        <f t="shared" si="123"/>
        <v>0</v>
      </c>
      <c r="AL92" s="259">
        <f t="shared" si="124"/>
        <v>0</v>
      </c>
      <c r="AM92" s="259">
        <f t="shared" si="125"/>
        <v>0</v>
      </c>
      <c r="AN92" s="259">
        <f t="shared" si="126"/>
        <v>0</v>
      </c>
      <c r="AO92" s="259">
        <f t="shared" si="127"/>
        <v>0</v>
      </c>
      <c r="AP92" s="247">
        <f t="shared" si="116"/>
        <v>0</v>
      </c>
      <c r="AQ92" s="265">
        <f t="shared" si="118"/>
        <v>0</v>
      </c>
      <c r="AR92" s="259">
        <f t="shared" si="111"/>
        <v>0</v>
      </c>
      <c r="AS92" s="259">
        <f t="shared" si="112"/>
        <v>0</v>
      </c>
      <c r="AT92" s="266">
        <v>0</v>
      </c>
      <c r="AU92" s="267">
        <v>0</v>
      </c>
      <c r="AV92" s="259">
        <f t="shared" si="128"/>
        <v>0</v>
      </c>
      <c r="AW92" s="259"/>
      <c r="AX92" s="259"/>
      <c r="AY92" s="265">
        <f t="shared" si="87"/>
        <v>0</v>
      </c>
      <c r="AZ92" s="259">
        <f t="shared" si="88"/>
        <v>0</v>
      </c>
      <c r="BA92" s="259">
        <f t="shared" si="89"/>
        <v>0</v>
      </c>
      <c r="BB92" s="430">
        <f t="shared" si="90"/>
        <v>0</v>
      </c>
      <c r="BC92" s="259"/>
      <c r="BD92" s="259"/>
      <c r="BE92" s="259"/>
      <c r="BF92" s="259"/>
      <c r="BG92" s="259"/>
      <c r="BH92" s="259"/>
      <c r="BI92" s="259"/>
      <c r="BJ92" s="259"/>
      <c r="BK92" s="259"/>
      <c r="BL92" s="265">
        <f t="shared" si="91"/>
        <v>0</v>
      </c>
      <c r="BM92" s="268">
        <f t="shared" si="92"/>
        <v>0</v>
      </c>
      <c r="BO92" s="259">
        <f t="shared" si="106"/>
        <v>0</v>
      </c>
      <c r="BP92" s="259">
        <f t="shared" si="107"/>
        <v>0</v>
      </c>
      <c r="BQ92" s="259">
        <f t="shared" si="108"/>
        <v>0</v>
      </c>
      <c r="BR92" s="265">
        <f t="shared" si="109"/>
        <v>0</v>
      </c>
    </row>
    <row r="93" spans="1:70">
      <c r="A93" s="243">
        <f t="shared" si="102"/>
        <v>91</v>
      </c>
      <c r="B93" s="257"/>
      <c r="C93" s="257"/>
      <c r="D93" s="257"/>
      <c r="E93" s="257"/>
      <c r="F93" s="258"/>
      <c r="G93" s="259"/>
      <c r="H93" s="259"/>
      <c r="I93" s="259"/>
      <c r="J93" s="259"/>
      <c r="K93" s="259"/>
      <c r="L93" s="260" t="s">
        <v>52</v>
      </c>
      <c r="M93" s="257"/>
      <c r="N93" s="261"/>
      <c r="O93" s="262" t="str">
        <f t="shared" si="78"/>
        <v>0 ans, 0 mois, 0 jours</v>
      </c>
      <c r="P93" s="259">
        <f t="shared" si="79"/>
        <v>0</v>
      </c>
      <c r="Q93" s="217" t="str">
        <f t="shared" si="114"/>
        <v>MAO1-1.I</v>
      </c>
      <c r="R93" s="217" t="str">
        <f t="shared" si="115"/>
        <v>MANŒUVRE ORDINAIRE</v>
      </c>
      <c r="S93" s="258" t="str">
        <f t="shared" si="80"/>
        <v>MANŒUVRE</v>
      </c>
      <c r="T93" s="217" t="str">
        <f>+VLOOKUP($Q93,Categorie!$I:$P,3,0)</f>
        <v>MANŒUVRE ORDINAIRE (MO), Echellon 1, Classe 1</v>
      </c>
      <c r="U93" s="259">
        <f t="shared" si="117"/>
        <v>0</v>
      </c>
      <c r="V93" s="263">
        <v>0</v>
      </c>
      <c r="W93" s="263">
        <v>0</v>
      </c>
      <c r="X93" s="263">
        <v>0</v>
      </c>
      <c r="Y93" s="263">
        <v>0</v>
      </c>
      <c r="Z93" s="259">
        <f t="shared" si="119"/>
        <v>0</v>
      </c>
      <c r="AA93" s="259">
        <f t="shared" si="120"/>
        <v>0</v>
      </c>
      <c r="AB93" s="259">
        <f t="shared" si="130"/>
        <v>0</v>
      </c>
      <c r="AC93" s="264">
        <f t="shared" si="103"/>
        <v>0</v>
      </c>
      <c r="AD93" s="264"/>
      <c r="AE93" s="263">
        <f t="shared" si="113"/>
        <v>0</v>
      </c>
      <c r="AF93" s="263">
        <v>0</v>
      </c>
      <c r="AG93" s="259">
        <f t="shared" si="129"/>
        <v>0</v>
      </c>
      <c r="AH93" s="259">
        <f t="shared" si="121"/>
        <v>0</v>
      </c>
      <c r="AI93" s="259">
        <f t="shared" si="122"/>
        <v>0</v>
      </c>
      <c r="AJ93" s="259">
        <f t="shared" si="105"/>
        <v>0</v>
      </c>
      <c r="AK93" s="259">
        <f t="shared" si="123"/>
        <v>0</v>
      </c>
      <c r="AL93" s="259">
        <f t="shared" si="124"/>
        <v>0</v>
      </c>
      <c r="AM93" s="259">
        <f t="shared" si="125"/>
        <v>0</v>
      </c>
      <c r="AN93" s="259">
        <f t="shared" si="126"/>
        <v>0</v>
      </c>
      <c r="AO93" s="259">
        <f t="shared" si="127"/>
        <v>0</v>
      </c>
      <c r="AP93" s="247">
        <f t="shared" si="116"/>
        <v>0</v>
      </c>
      <c r="AQ93" s="265">
        <f t="shared" si="118"/>
        <v>0</v>
      </c>
      <c r="AR93" s="259">
        <f t="shared" ref="AR93:AR109" si="131">+I93/26*(AE93+AU93)</f>
        <v>0</v>
      </c>
      <c r="AS93" s="259">
        <f t="shared" ref="AS93:AS109" si="132">+H93/26*V93</f>
        <v>0</v>
      </c>
      <c r="AT93" s="266">
        <v>0</v>
      </c>
      <c r="AU93" s="267">
        <v>0</v>
      </c>
      <c r="AV93" s="259">
        <f t="shared" si="128"/>
        <v>0</v>
      </c>
      <c r="AW93" s="259"/>
      <c r="AX93" s="259"/>
      <c r="AY93" s="265">
        <f t="shared" si="87"/>
        <v>0</v>
      </c>
      <c r="AZ93" s="259">
        <f t="shared" si="88"/>
        <v>0</v>
      </c>
      <c r="BA93" s="259">
        <f t="shared" si="89"/>
        <v>0</v>
      </c>
      <c r="BB93" s="430">
        <f t="shared" si="90"/>
        <v>0</v>
      </c>
      <c r="BC93" s="259"/>
      <c r="BD93" s="259"/>
      <c r="BE93" s="259"/>
      <c r="BF93" s="259"/>
      <c r="BG93" s="259"/>
      <c r="BH93" s="259"/>
      <c r="BI93" s="259"/>
      <c r="BJ93" s="259"/>
      <c r="BK93" s="259"/>
      <c r="BL93" s="265">
        <f t="shared" si="91"/>
        <v>0</v>
      </c>
      <c r="BM93" s="268">
        <f t="shared" si="92"/>
        <v>0</v>
      </c>
      <c r="BO93" s="259">
        <f t="shared" si="106"/>
        <v>0</v>
      </c>
      <c r="BP93" s="259">
        <f t="shared" si="107"/>
        <v>0</v>
      </c>
      <c r="BQ93" s="259">
        <f t="shared" si="108"/>
        <v>0</v>
      </c>
      <c r="BR93" s="265">
        <f t="shared" si="109"/>
        <v>0</v>
      </c>
    </row>
    <row r="94" spans="1:70">
      <c r="A94" s="243">
        <f t="shared" si="102"/>
        <v>92</v>
      </c>
      <c r="B94" s="257"/>
      <c r="C94" s="257"/>
      <c r="D94" s="257"/>
      <c r="E94" s="257"/>
      <c r="F94" s="258"/>
      <c r="G94" s="259"/>
      <c r="H94" s="259"/>
      <c r="I94" s="259"/>
      <c r="J94" s="259"/>
      <c r="K94" s="259"/>
      <c r="L94" s="260" t="s">
        <v>52</v>
      </c>
      <c r="M94" s="257"/>
      <c r="N94" s="261"/>
      <c r="O94" s="262" t="str">
        <f t="shared" si="78"/>
        <v>0 ans, 0 mois, 0 jours</v>
      </c>
      <c r="P94" s="259">
        <f t="shared" si="79"/>
        <v>0</v>
      </c>
      <c r="Q94" s="217" t="str">
        <f t="shared" si="114"/>
        <v>MAO1-1.I</v>
      </c>
      <c r="R94" s="217" t="str">
        <f t="shared" si="115"/>
        <v>MANŒUVRE ORDINAIRE</v>
      </c>
      <c r="S94" s="258" t="str">
        <f t="shared" si="80"/>
        <v>MANŒUVRE</v>
      </c>
      <c r="T94" s="217" t="str">
        <f>+VLOOKUP($Q94,Categorie!$I:$P,3,0)</f>
        <v>MANŒUVRE ORDINAIRE (MO), Echellon 1, Classe 1</v>
      </c>
      <c r="U94" s="259">
        <f t="shared" si="117"/>
        <v>0</v>
      </c>
      <c r="V94" s="263">
        <v>0</v>
      </c>
      <c r="W94" s="263">
        <v>0</v>
      </c>
      <c r="X94" s="263">
        <v>0</v>
      </c>
      <c r="Y94" s="263">
        <v>0</v>
      </c>
      <c r="Z94" s="259">
        <f t="shared" si="119"/>
        <v>0</v>
      </c>
      <c r="AA94" s="259">
        <f t="shared" si="120"/>
        <v>0</v>
      </c>
      <c r="AB94" s="259">
        <f t="shared" si="130"/>
        <v>0</v>
      </c>
      <c r="AC94" s="264">
        <f t="shared" si="103"/>
        <v>0</v>
      </c>
      <c r="AD94" s="264"/>
      <c r="AE94" s="263">
        <f t="shared" si="113"/>
        <v>0</v>
      </c>
      <c r="AF94" s="263">
        <v>0</v>
      </c>
      <c r="AG94" s="259">
        <f t="shared" si="129"/>
        <v>0</v>
      </c>
      <c r="AH94" s="259">
        <f t="shared" si="121"/>
        <v>0</v>
      </c>
      <c r="AI94" s="259">
        <f t="shared" si="122"/>
        <v>0</v>
      </c>
      <c r="AJ94" s="259">
        <f t="shared" si="105"/>
        <v>0</v>
      </c>
      <c r="AK94" s="259">
        <f t="shared" si="123"/>
        <v>0</v>
      </c>
      <c r="AL94" s="259">
        <f t="shared" si="124"/>
        <v>0</v>
      </c>
      <c r="AM94" s="259">
        <f t="shared" si="125"/>
        <v>0</v>
      </c>
      <c r="AN94" s="259">
        <f t="shared" si="126"/>
        <v>0</v>
      </c>
      <c r="AO94" s="259">
        <f t="shared" si="127"/>
        <v>0</v>
      </c>
      <c r="AP94" s="247">
        <f t="shared" si="116"/>
        <v>0</v>
      </c>
      <c r="AQ94" s="265">
        <f t="shared" si="118"/>
        <v>0</v>
      </c>
      <c r="AR94" s="259">
        <f t="shared" si="131"/>
        <v>0</v>
      </c>
      <c r="AS94" s="259">
        <f t="shared" si="132"/>
        <v>0</v>
      </c>
      <c r="AT94" s="266">
        <v>0</v>
      </c>
      <c r="AU94" s="267">
        <v>0</v>
      </c>
      <c r="AV94" s="259">
        <f t="shared" si="128"/>
        <v>0</v>
      </c>
      <c r="AW94" s="259"/>
      <c r="AX94" s="259"/>
      <c r="AY94" s="265">
        <f t="shared" si="87"/>
        <v>0</v>
      </c>
      <c r="AZ94" s="259">
        <f t="shared" si="88"/>
        <v>0</v>
      </c>
      <c r="BA94" s="259">
        <f t="shared" si="89"/>
        <v>0</v>
      </c>
      <c r="BB94" s="430">
        <f t="shared" si="90"/>
        <v>0</v>
      </c>
      <c r="BC94" s="259"/>
      <c r="BD94" s="259"/>
      <c r="BE94" s="259"/>
      <c r="BF94" s="259"/>
      <c r="BG94" s="259"/>
      <c r="BH94" s="259"/>
      <c r="BI94" s="259"/>
      <c r="BJ94" s="259"/>
      <c r="BK94" s="259"/>
      <c r="BL94" s="265">
        <f t="shared" si="91"/>
        <v>0</v>
      </c>
      <c r="BM94" s="268">
        <f t="shared" si="92"/>
        <v>0</v>
      </c>
      <c r="BO94" s="259">
        <f t="shared" si="106"/>
        <v>0</v>
      </c>
      <c r="BP94" s="259">
        <f t="shared" si="107"/>
        <v>0</v>
      </c>
      <c r="BQ94" s="259">
        <f t="shared" si="108"/>
        <v>0</v>
      </c>
      <c r="BR94" s="265">
        <f t="shared" si="109"/>
        <v>0</v>
      </c>
    </row>
    <row r="95" spans="1:70">
      <c r="A95" s="243">
        <f t="shared" si="102"/>
        <v>93</v>
      </c>
      <c r="B95" s="257"/>
      <c r="C95" s="257"/>
      <c r="D95" s="257"/>
      <c r="E95" s="257"/>
      <c r="F95" s="258"/>
      <c r="G95" s="259"/>
      <c r="H95" s="259"/>
      <c r="I95" s="259"/>
      <c r="J95" s="259"/>
      <c r="K95" s="259"/>
      <c r="L95" s="260" t="s">
        <v>52</v>
      </c>
      <c r="M95" s="257"/>
      <c r="N95" s="261"/>
      <c r="O95" s="262" t="str">
        <f t="shared" si="78"/>
        <v>0 ans, 0 mois, 0 jours</v>
      </c>
      <c r="P95" s="259">
        <f t="shared" si="79"/>
        <v>0</v>
      </c>
      <c r="Q95" s="217" t="str">
        <f t="shared" si="114"/>
        <v>MAO1-1.I</v>
      </c>
      <c r="R95" s="217" t="str">
        <f t="shared" si="115"/>
        <v>MANŒUVRE ORDINAIRE</v>
      </c>
      <c r="S95" s="258" t="str">
        <f t="shared" si="80"/>
        <v>MANŒUVRE</v>
      </c>
      <c r="T95" s="217" t="str">
        <f>+VLOOKUP($Q95,Categorie!$I:$P,3,0)</f>
        <v>MANŒUVRE ORDINAIRE (MO), Echellon 1, Classe 1</v>
      </c>
      <c r="U95" s="259">
        <f t="shared" si="117"/>
        <v>0</v>
      </c>
      <c r="V95" s="263">
        <v>0</v>
      </c>
      <c r="W95" s="263">
        <v>0</v>
      </c>
      <c r="X95" s="263">
        <v>0</v>
      </c>
      <c r="Y95" s="263">
        <v>0</v>
      </c>
      <c r="Z95" s="259">
        <f t="shared" si="119"/>
        <v>0</v>
      </c>
      <c r="AA95" s="259">
        <f t="shared" si="120"/>
        <v>0</v>
      </c>
      <c r="AB95" s="259">
        <f t="shared" si="130"/>
        <v>0</v>
      </c>
      <c r="AC95" s="264">
        <f t="shared" si="103"/>
        <v>0</v>
      </c>
      <c r="AD95" s="264"/>
      <c r="AE95" s="263">
        <f t="shared" ref="AE95:AE109" si="133">SUM(V95:AC95)</f>
        <v>0</v>
      </c>
      <c r="AF95" s="263">
        <v>0</v>
      </c>
      <c r="AG95" s="259">
        <f t="shared" si="129"/>
        <v>0</v>
      </c>
      <c r="AH95" s="259">
        <f t="shared" si="121"/>
        <v>0</v>
      </c>
      <c r="AI95" s="259">
        <f t="shared" si="122"/>
        <v>0</v>
      </c>
      <c r="AJ95" s="259">
        <f t="shared" si="105"/>
        <v>0</v>
      </c>
      <c r="AK95" s="259">
        <f t="shared" si="123"/>
        <v>0</v>
      </c>
      <c r="AL95" s="259">
        <f t="shared" si="124"/>
        <v>0</v>
      </c>
      <c r="AM95" s="259">
        <f t="shared" si="125"/>
        <v>0</v>
      </c>
      <c r="AN95" s="259">
        <f t="shared" si="126"/>
        <v>0</v>
      </c>
      <c r="AO95" s="259">
        <f t="shared" si="127"/>
        <v>0</v>
      </c>
      <c r="AP95" s="247">
        <f t="shared" si="116"/>
        <v>0</v>
      </c>
      <c r="AQ95" s="265">
        <f t="shared" si="118"/>
        <v>0</v>
      </c>
      <c r="AR95" s="259">
        <f t="shared" si="131"/>
        <v>0</v>
      </c>
      <c r="AS95" s="259">
        <f t="shared" si="132"/>
        <v>0</v>
      </c>
      <c r="AT95" s="266">
        <v>0</v>
      </c>
      <c r="AU95" s="267">
        <v>0</v>
      </c>
      <c r="AV95" s="259">
        <f t="shared" si="128"/>
        <v>0</v>
      </c>
      <c r="AW95" s="259"/>
      <c r="AX95" s="259"/>
      <c r="AY95" s="265">
        <f t="shared" si="87"/>
        <v>0</v>
      </c>
      <c r="AZ95" s="259">
        <f t="shared" si="88"/>
        <v>0</v>
      </c>
      <c r="BA95" s="259">
        <f t="shared" si="89"/>
        <v>0</v>
      </c>
      <c r="BB95" s="430">
        <f t="shared" si="90"/>
        <v>0</v>
      </c>
      <c r="BC95" s="259"/>
      <c r="BD95" s="259"/>
      <c r="BE95" s="259"/>
      <c r="BF95" s="259"/>
      <c r="BG95" s="259"/>
      <c r="BH95" s="259"/>
      <c r="BI95" s="259"/>
      <c r="BJ95" s="259"/>
      <c r="BK95" s="259"/>
      <c r="BL95" s="265">
        <f t="shared" si="91"/>
        <v>0</v>
      </c>
      <c r="BM95" s="268">
        <f t="shared" si="92"/>
        <v>0</v>
      </c>
      <c r="BO95" s="259">
        <f t="shared" si="106"/>
        <v>0</v>
      </c>
      <c r="BP95" s="259">
        <f t="shared" si="107"/>
        <v>0</v>
      </c>
      <c r="BQ95" s="259">
        <f t="shared" si="108"/>
        <v>0</v>
      </c>
      <c r="BR95" s="265">
        <f t="shared" si="109"/>
        <v>0</v>
      </c>
    </row>
    <row r="96" spans="1:70">
      <c r="A96" s="243">
        <f t="shared" si="102"/>
        <v>94</v>
      </c>
      <c r="B96" s="257"/>
      <c r="C96" s="257"/>
      <c r="D96" s="257"/>
      <c r="E96" s="257"/>
      <c r="F96" s="258"/>
      <c r="G96" s="259"/>
      <c r="H96" s="259"/>
      <c r="I96" s="259"/>
      <c r="J96" s="259"/>
      <c r="K96" s="259"/>
      <c r="L96" s="260" t="s">
        <v>52</v>
      </c>
      <c r="M96" s="257"/>
      <c r="N96" s="261"/>
      <c r="O96" s="262" t="str">
        <f t="shared" si="78"/>
        <v>0 ans, 0 mois, 0 jours</v>
      </c>
      <c r="P96" s="259">
        <f t="shared" si="79"/>
        <v>0</v>
      </c>
      <c r="Q96" s="217" t="str">
        <f t="shared" si="114"/>
        <v>MAO1-1.I</v>
      </c>
      <c r="R96" s="217" t="str">
        <f t="shared" si="115"/>
        <v>MANŒUVRE ORDINAIRE</v>
      </c>
      <c r="S96" s="258" t="str">
        <f t="shared" si="80"/>
        <v>MANŒUVRE</v>
      </c>
      <c r="T96" s="217" t="str">
        <f>+VLOOKUP($Q96,Categorie!$I:$P,3,0)</f>
        <v>MANŒUVRE ORDINAIRE (MO), Echellon 1, Classe 1</v>
      </c>
      <c r="U96" s="259">
        <f t="shared" si="117"/>
        <v>0</v>
      </c>
      <c r="V96" s="263">
        <v>0</v>
      </c>
      <c r="W96" s="263">
        <v>0</v>
      </c>
      <c r="X96" s="263">
        <v>0</v>
      </c>
      <c r="Y96" s="263">
        <v>0</v>
      </c>
      <c r="Z96" s="259">
        <f t="shared" si="119"/>
        <v>0</v>
      </c>
      <c r="AA96" s="259">
        <f t="shared" si="120"/>
        <v>0</v>
      </c>
      <c r="AB96" s="259">
        <f t="shared" si="130"/>
        <v>0</v>
      </c>
      <c r="AC96" s="264">
        <f t="shared" si="103"/>
        <v>0</v>
      </c>
      <c r="AD96" s="264"/>
      <c r="AE96" s="263">
        <f t="shared" si="133"/>
        <v>0</v>
      </c>
      <c r="AF96" s="263">
        <v>0</v>
      </c>
      <c r="AG96" s="259">
        <f t="shared" si="129"/>
        <v>0</v>
      </c>
      <c r="AH96" s="259">
        <f t="shared" si="121"/>
        <v>0</v>
      </c>
      <c r="AI96" s="259">
        <f t="shared" si="122"/>
        <v>0</v>
      </c>
      <c r="AJ96" s="259">
        <f t="shared" si="105"/>
        <v>0</v>
      </c>
      <c r="AK96" s="259">
        <f t="shared" si="123"/>
        <v>0</v>
      </c>
      <c r="AL96" s="259">
        <f t="shared" si="124"/>
        <v>0</v>
      </c>
      <c r="AM96" s="259">
        <f t="shared" si="125"/>
        <v>0</v>
      </c>
      <c r="AN96" s="259">
        <f t="shared" si="126"/>
        <v>0</v>
      </c>
      <c r="AO96" s="259">
        <f t="shared" si="127"/>
        <v>0</v>
      </c>
      <c r="AP96" s="247">
        <f t="shared" si="116"/>
        <v>0</v>
      </c>
      <c r="AQ96" s="265">
        <f t="shared" si="118"/>
        <v>0</v>
      </c>
      <c r="AR96" s="259">
        <f t="shared" si="131"/>
        <v>0</v>
      </c>
      <c r="AS96" s="259">
        <f t="shared" si="132"/>
        <v>0</v>
      </c>
      <c r="AT96" s="266">
        <v>0</v>
      </c>
      <c r="AU96" s="267">
        <v>0</v>
      </c>
      <c r="AV96" s="259">
        <f t="shared" si="128"/>
        <v>0</v>
      </c>
      <c r="AW96" s="259"/>
      <c r="AX96" s="259"/>
      <c r="AY96" s="265">
        <f t="shared" si="87"/>
        <v>0</v>
      </c>
      <c r="AZ96" s="259">
        <f t="shared" si="88"/>
        <v>0</v>
      </c>
      <c r="BA96" s="259">
        <f t="shared" si="89"/>
        <v>0</v>
      </c>
      <c r="BB96" s="430">
        <f t="shared" si="90"/>
        <v>0</v>
      </c>
      <c r="BC96" s="259"/>
      <c r="BD96" s="259"/>
      <c r="BE96" s="259"/>
      <c r="BF96" s="259"/>
      <c r="BG96" s="259"/>
      <c r="BH96" s="259"/>
      <c r="BI96" s="259"/>
      <c r="BJ96" s="259"/>
      <c r="BK96" s="259"/>
      <c r="BL96" s="265">
        <f t="shared" si="91"/>
        <v>0</v>
      </c>
      <c r="BM96" s="268">
        <f t="shared" si="92"/>
        <v>0</v>
      </c>
      <c r="BO96" s="259">
        <f t="shared" si="106"/>
        <v>0</v>
      </c>
      <c r="BP96" s="259">
        <f t="shared" si="107"/>
        <v>0</v>
      </c>
      <c r="BQ96" s="259">
        <f t="shared" si="108"/>
        <v>0</v>
      </c>
      <c r="BR96" s="265">
        <f t="shared" si="109"/>
        <v>0</v>
      </c>
    </row>
    <row r="97" spans="1:70">
      <c r="A97" s="243">
        <f t="shared" si="102"/>
        <v>95</v>
      </c>
      <c r="B97" s="257"/>
      <c r="C97" s="257"/>
      <c r="D97" s="257"/>
      <c r="E97" s="257"/>
      <c r="F97" s="258"/>
      <c r="G97" s="259"/>
      <c r="H97" s="259"/>
      <c r="I97" s="259"/>
      <c r="J97" s="259"/>
      <c r="K97" s="259"/>
      <c r="L97" s="260" t="s">
        <v>52</v>
      </c>
      <c r="M97" s="257"/>
      <c r="N97" s="261"/>
      <c r="O97" s="262" t="str">
        <f t="shared" si="78"/>
        <v>0 ans, 0 mois, 0 jours</v>
      </c>
      <c r="P97" s="259">
        <f t="shared" si="79"/>
        <v>0</v>
      </c>
      <c r="Q97" s="217" t="str">
        <f t="shared" si="114"/>
        <v>MAO1-1.I</v>
      </c>
      <c r="R97" s="217" t="str">
        <f t="shared" si="115"/>
        <v>MANŒUVRE ORDINAIRE</v>
      </c>
      <c r="S97" s="258" t="str">
        <f t="shared" si="80"/>
        <v>MANŒUVRE</v>
      </c>
      <c r="T97" s="217" t="str">
        <f>+VLOOKUP($Q97,Categorie!$I:$P,3,0)</f>
        <v>MANŒUVRE ORDINAIRE (MO), Echellon 1, Classe 1</v>
      </c>
      <c r="U97" s="259">
        <f t="shared" si="117"/>
        <v>0</v>
      </c>
      <c r="V97" s="263">
        <v>0</v>
      </c>
      <c r="W97" s="263">
        <v>0</v>
      </c>
      <c r="X97" s="263">
        <v>0</v>
      </c>
      <c r="Y97" s="263">
        <v>0</v>
      </c>
      <c r="Z97" s="259">
        <f t="shared" si="119"/>
        <v>0</v>
      </c>
      <c r="AA97" s="259">
        <f t="shared" si="120"/>
        <v>0</v>
      </c>
      <c r="AB97" s="259">
        <f t="shared" si="130"/>
        <v>0</v>
      </c>
      <c r="AC97" s="264">
        <f t="shared" si="103"/>
        <v>0</v>
      </c>
      <c r="AD97" s="264"/>
      <c r="AE97" s="263">
        <f t="shared" si="133"/>
        <v>0</v>
      </c>
      <c r="AF97" s="263">
        <v>0</v>
      </c>
      <c r="AG97" s="259">
        <f t="shared" si="129"/>
        <v>0</v>
      </c>
      <c r="AH97" s="259">
        <f t="shared" si="121"/>
        <v>0</v>
      </c>
      <c r="AI97" s="259">
        <f t="shared" si="122"/>
        <v>0</v>
      </c>
      <c r="AJ97" s="259">
        <f t="shared" si="105"/>
        <v>0</v>
      </c>
      <c r="AK97" s="259">
        <f t="shared" si="123"/>
        <v>0</v>
      </c>
      <c r="AL97" s="259">
        <f t="shared" si="124"/>
        <v>0</v>
      </c>
      <c r="AM97" s="259">
        <f t="shared" si="125"/>
        <v>0</v>
      </c>
      <c r="AN97" s="259">
        <f t="shared" si="126"/>
        <v>0</v>
      </c>
      <c r="AO97" s="259">
        <f t="shared" si="127"/>
        <v>0</v>
      </c>
      <c r="AP97" s="247">
        <f t="shared" si="116"/>
        <v>0</v>
      </c>
      <c r="AQ97" s="265">
        <f t="shared" si="118"/>
        <v>0</v>
      </c>
      <c r="AR97" s="259">
        <f t="shared" si="131"/>
        <v>0</v>
      </c>
      <c r="AS97" s="259">
        <f t="shared" si="132"/>
        <v>0</v>
      </c>
      <c r="AT97" s="266">
        <v>0</v>
      </c>
      <c r="AU97" s="267">
        <v>0</v>
      </c>
      <c r="AV97" s="259">
        <f t="shared" si="128"/>
        <v>0</v>
      </c>
      <c r="AW97" s="259"/>
      <c r="AX97" s="259"/>
      <c r="AY97" s="265">
        <f t="shared" si="87"/>
        <v>0</v>
      </c>
      <c r="AZ97" s="259">
        <f t="shared" si="88"/>
        <v>0</v>
      </c>
      <c r="BA97" s="259">
        <f t="shared" si="89"/>
        <v>0</v>
      </c>
      <c r="BB97" s="430">
        <f t="shared" si="90"/>
        <v>0</v>
      </c>
      <c r="BC97" s="259"/>
      <c r="BD97" s="259"/>
      <c r="BE97" s="259"/>
      <c r="BF97" s="259"/>
      <c r="BG97" s="259"/>
      <c r="BH97" s="259"/>
      <c r="BI97" s="259"/>
      <c r="BJ97" s="259"/>
      <c r="BK97" s="259"/>
      <c r="BL97" s="265">
        <f t="shared" si="91"/>
        <v>0</v>
      </c>
      <c r="BM97" s="268">
        <f t="shared" si="92"/>
        <v>0</v>
      </c>
      <c r="BO97" s="259">
        <f t="shared" si="106"/>
        <v>0</v>
      </c>
      <c r="BP97" s="259">
        <f t="shared" si="107"/>
        <v>0</v>
      </c>
      <c r="BQ97" s="259">
        <f t="shared" si="108"/>
        <v>0</v>
      </c>
      <c r="BR97" s="265">
        <f t="shared" si="109"/>
        <v>0</v>
      </c>
    </row>
    <row r="98" spans="1:70">
      <c r="A98" s="243">
        <f t="shared" si="102"/>
        <v>96</v>
      </c>
      <c r="B98" s="257"/>
      <c r="C98" s="257"/>
      <c r="D98" s="257"/>
      <c r="E98" s="257"/>
      <c r="F98" s="258"/>
      <c r="G98" s="259"/>
      <c r="H98" s="259"/>
      <c r="I98" s="259"/>
      <c r="J98" s="259"/>
      <c r="K98" s="259"/>
      <c r="L98" s="260" t="s">
        <v>52</v>
      </c>
      <c r="M98" s="257"/>
      <c r="N98" s="261"/>
      <c r="O98" s="262" t="str">
        <f t="shared" si="78"/>
        <v>0 ans, 0 mois, 0 jours</v>
      </c>
      <c r="P98" s="259">
        <f t="shared" si="79"/>
        <v>0</v>
      </c>
      <c r="Q98" s="217" t="str">
        <f t="shared" si="114"/>
        <v>MAO1-1.I</v>
      </c>
      <c r="R98" s="217" t="str">
        <f t="shared" si="115"/>
        <v>MANŒUVRE ORDINAIRE</v>
      </c>
      <c r="S98" s="258" t="str">
        <f t="shared" si="80"/>
        <v>MANŒUVRE</v>
      </c>
      <c r="T98" s="217" t="str">
        <f>+VLOOKUP($Q98,Categorie!$I:$P,3,0)</f>
        <v>MANŒUVRE ORDINAIRE (MO), Echellon 1, Classe 1</v>
      </c>
      <c r="U98" s="259">
        <f t="shared" si="117"/>
        <v>0</v>
      </c>
      <c r="V98" s="263">
        <v>0</v>
      </c>
      <c r="W98" s="263">
        <v>0</v>
      </c>
      <c r="X98" s="263">
        <v>0</v>
      </c>
      <c r="Y98" s="263">
        <v>0</v>
      </c>
      <c r="Z98" s="259">
        <f t="shared" si="119"/>
        <v>0</v>
      </c>
      <c r="AA98" s="259">
        <f t="shared" si="120"/>
        <v>0</v>
      </c>
      <c r="AB98" s="259">
        <f t="shared" si="130"/>
        <v>0</v>
      </c>
      <c r="AC98" s="264">
        <f t="shared" si="103"/>
        <v>0</v>
      </c>
      <c r="AD98" s="264"/>
      <c r="AE98" s="263">
        <f t="shared" si="133"/>
        <v>0</v>
      </c>
      <c r="AF98" s="263">
        <v>0</v>
      </c>
      <c r="AG98" s="259">
        <f t="shared" si="129"/>
        <v>0</v>
      </c>
      <c r="AH98" s="259">
        <f t="shared" si="121"/>
        <v>0</v>
      </c>
      <c r="AI98" s="259">
        <f t="shared" si="122"/>
        <v>0</v>
      </c>
      <c r="AJ98" s="259">
        <f t="shared" si="105"/>
        <v>0</v>
      </c>
      <c r="AK98" s="259">
        <f t="shared" si="123"/>
        <v>0</v>
      </c>
      <c r="AL98" s="259">
        <f t="shared" si="124"/>
        <v>0</v>
      </c>
      <c r="AM98" s="259">
        <f t="shared" si="125"/>
        <v>0</v>
      </c>
      <c r="AN98" s="259">
        <f t="shared" si="126"/>
        <v>0</v>
      </c>
      <c r="AO98" s="259">
        <f t="shared" si="127"/>
        <v>0</v>
      </c>
      <c r="AP98" s="247">
        <f t="shared" si="116"/>
        <v>0</v>
      </c>
      <c r="AQ98" s="265">
        <f t="shared" si="118"/>
        <v>0</v>
      </c>
      <c r="AR98" s="259">
        <f t="shared" si="131"/>
        <v>0</v>
      </c>
      <c r="AS98" s="259">
        <f t="shared" si="132"/>
        <v>0</v>
      </c>
      <c r="AT98" s="266">
        <v>0</v>
      </c>
      <c r="AU98" s="267">
        <v>0</v>
      </c>
      <c r="AV98" s="259">
        <f t="shared" si="128"/>
        <v>0</v>
      </c>
      <c r="AW98" s="259"/>
      <c r="AX98" s="259"/>
      <c r="AY98" s="265">
        <f t="shared" si="87"/>
        <v>0</v>
      </c>
      <c r="AZ98" s="259">
        <f t="shared" si="88"/>
        <v>0</v>
      </c>
      <c r="BA98" s="259">
        <f t="shared" si="89"/>
        <v>0</v>
      </c>
      <c r="BB98" s="430">
        <f t="shared" si="90"/>
        <v>0</v>
      </c>
      <c r="BC98" s="259"/>
      <c r="BD98" s="259"/>
      <c r="BE98" s="259"/>
      <c r="BF98" s="259"/>
      <c r="BG98" s="259"/>
      <c r="BH98" s="259"/>
      <c r="BI98" s="259"/>
      <c r="BJ98" s="259"/>
      <c r="BK98" s="259"/>
      <c r="BL98" s="265">
        <f t="shared" si="91"/>
        <v>0</v>
      </c>
      <c r="BM98" s="268">
        <f t="shared" si="92"/>
        <v>0</v>
      </c>
      <c r="BO98" s="259">
        <f t="shared" si="106"/>
        <v>0</v>
      </c>
      <c r="BP98" s="259">
        <f t="shared" si="107"/>
        <v>0</v>
      </c>
      <c r="BQ98" s="259">
        <f t="shared" si="108"/>
        <v>0</v>
      </c>
      <c r="BR98" s="265">
        <f t="shared" si="109"/>
        <v>0</v>
      </c>
    </row>
    <row r="99" spans="1:70">
      <c r="A99" s="243">
        <f t="shared" si="102"/>
        <v>97</v>
      </c>
      <c r="B99" s="257"/>
      <c r="C99" s="257"/>
      <c r="D99" s="257"/>
      <c r="E99" s="257"/>
      <c r="F99" s="258"/>
      <c r="G99" s="259"/>
      <c r="H99" s="259"/>
      <c r="I99" s="259"/>
      <c r="J99" s="259"/>
      <c r="K99" s="259"/>
      <c r="L99" s="260" t="s">
        <v>52</v>
      </c>
      <c r="M99" s="257"/>
      <c r="N99" s="261"/>
      <c r="O99" s="262" t="str">
        <f t="shared" si="78"/>
        <v>0 ans, 0 mois, 0 jours</v>
      </c>
      <c r="P99" s="259">
        <f t="shared" si="79"/>
        <v>0</v>
      </c>
      <c r="Q99" s="217" t="str">
        <f t="shared" si="114"/>
        <v>MAO1-1.I</v>
      </c>
      <c r="R99" s="217" t="str">
        <f t="shared" si="115"/>
        <v>MANŒUVRE ORDINAIRE</v>
      </c>
      <c r="S99" s="258" t="str">
        <f t="shared" si="80"/>
        <v>MANŒUVRE</v>
      </c>
      <c r="T99" s="217" t="str">
        <f>+VLOOKUP($Q99,Categorie!$I:$P,3,0)</f>
        <v>MANŒUVRE ORDINAIRE (MO), Echellon 1, Classe 1</v>
      </c>
      <c r="U99" s="259">
        <f t="shared" si="117"/>
        <v>0</v>
      </c>
      <c r="V99" s="263">
        <v>0</v>
      </c>
      <c r="W99" s="263">
        <v>0</v>
      </c>
      <c r="X99" s="263">
        <v>0</v>
      </c>
      <c r="Y99" s="263">
        <v>0</v>
      </c>
      <c r="Z99" s="259">
        <f t="shared" si="119"/>
        <v>0</v>
      </c>
      <c r="AA99" s="259">
        <f t="shared" si="120"/>
        <v>0</v>
      </c>
      <c r="AB99" s="259">
        <f t="shared" si="130"/>
        <v>0</v>
      </c>
      <c r="AC99" s="264">
        <f t="shared" si="103"/>
        <v>0</v>
      </c>
      <c r="AD99" s="264"/>
      <c r="AE99" s="263">
        <f t="shared" si="133"/>
        <v>0</v>
      </c>
      <c r="AF99" s="263">
        <v>0</v>
      </c>
      <c r="AG99" s="259">
        <f t="shared" si="129"/>
        <v>0</v>
      </c>
      <c r="AH99" s="259">
        <f t="shared" si="121"/>
        <v>0</v>
      </c>
      <c r="AI99" s="259">
        <f t="shared" si="122"/>
        <v>0</v>
      </c>
      <c r="AJ99" s="259">
        <f t="shared" si="105"/>
        <v>0</v>
      </c>
      <c r="AK99" s="259">
        <f t="shared" si="123"/>
        <v>0</v>
      </c>
      <c r="AL99" s="259">
        <f t="shared" si="124"/>
        <v>0</v>
      </c>
      <c r="AM99" s="259">
        <f t="shared" si="125"/>
        <v>0</v>
      </c>
      <c r="AN99" s="259">
        <f t="shared" si="126"/>
        <v>0</v>
      </c>
      <c r="AO99" s="259">
        <f t="shared" si="127"/>
        <v>0</v>
      </c>
      <c r="AP99" s="247">
        <f t="shared" si="116"/>
        <v>0</v>
      </c>
      <c r="AQ99" s="265">
        <f t="shared" si="118"/>
        <v>0</v>
      </c>
      <c r="AR99" s="259">
        <f t="shared" si="131"/>
        <v>0</v>
      </c>
      <c r="AS99" s="259">
        <f t="shared" si="132"/>
        <v>0</v>
      </c>
      <c r="AT99" s="266">
        <v>0</v>
      </c>
      <c r="AU99" s="267">
        <v>0</v>
      </c>
      <c r="AV99" s="259">
        <f t="shared" si="128"/>
        <v>0</v>
      </c>
      <c r="AW99" s="259"/>
      <c r="AX99" s="259"/>
      <c r="AY99" s="265">
        <f t="shared" si="87"/>
        <v>0</v>
      </c>
      <c r="AZ99" s="259">
        <f t="shared" si="88"/>
        <v>0</v>
      </c>
      <c r="BA99" s="259">
        <f t="shared" si="89"/>
        <v>0</v>
      </c>
      <c r="BB99" s="430">
        <f t="shared" si="90"/>
        <v>0</v>
      </c>
      <c r="BC99" s="259"/>
      <c r="BD99" s="259"/>
      <c r="BE99" s="259"/>
      <c r="BF99" s="259"/>
      <c r="BG99" s="259"/>
      <c r="BH99" s="259"/>
      <c r="BI99" s="259"/>
      <c r="BJ99" s="259"/>
      <c r="BK99" s="259"/>
      <c r="BL99" s="265">
        <f t="shared" si="91"/>
        <v>0</v>
      </c>
      <c r="BM99" s="268">
        <f t="shared" si="92"/>
        <v>0</v>
      </c>
      <c r="BO99" s="259">
        <f t="shared" si="106"/>
        <v>0</v>
      </c>
      <c r="BP99" s="259">
        <f t="shared" si="107"/>
        <v>0</v>
      </c>
      <c r="BQ99" s="259">
        <f t="shared" si="108"/>
        <v>0</v>
      </c>
      <c r="BR99" s="265">
        <f t="shared" si="109"/>
        <v>0</v>
      </c>
    </row>
    <row r="100" spans="1:70">
      <c r="A100" s="243">
        <f t="shared" si="102"/>
        <v>98</v>
      </c>
      <c r="B100" s="257"/>
      <c r="C100" s="257"/>
      <c r="D100" s="257"/>
      <c r="E100" s="257"/>
      <c r="F100" s="258"/>
      <c r="G100" s="259"/>
      <c r="H100" s="259"/>
      <c r="I100" s="259"/>
      <c r="J100" s="259"/>
      <c r="K100" s="259"/>
      <c r="L100" s="260" t="s">
        <v>52</v>
      </c>
      <c r="M100" s="257"/>
      <c r="N100" s="261"/>
      <c r="O100" s="262" t="str">
        <f t="shared" si="78"/>
        <v>0 ans, 0 mois, 0 jours</v>
      </c>
      <c r="P100" s="259">
        <f t="shared" si="79"/>
        <v>0</v>
      </c>
      <c r="Q100" s="217" t="str">
        <f t="shared" si="114"/>
        <v>MAO1-1.I</v>
      </c>
      <c r="R100" s="217" t="str">
        <f t="shared" si="115"/>
        <v>MANŒUVRE ORDINAIRE</v>
      </c>
      <c r="S100" s="258" t="str">
        <f t="shared" si="80"/>
        <v>MANŒUVRE</v>
      </c>
      <c r="T100" s="217" t="str">
        <f>+VLOOKUP($Q100,Categorie!$I:$P,3,0)</f>
        <v>MANŒUVRE ORDINAIRE (MO), Echellon 1, Classe 1</v>
      </c>
      <c r="U100" s="259">
        <f t="shared" si="117"/>
        <v>0</v>
      </c>
      <c r="V100" s="263">
        <v>0</v>
      </c>
      <c r="W100" s="263">
        <v>0</v>
      </c>
      <c r="X100" s="263">
        <v>0</v>
      </c>
      <c r="Y100" s="263">
        <v>0</v>
      </c>
      <c r="Z100" s="259">
        <f t="shared" si="119"/>
        <v>0</v>
      </c>
      <c r="AA100" s="259">
        <f t="shared" si="120"/>
        <v>0</v>
      </c>
      <c r="AB100" s="259">
        <f t="shared" si="130"/>
        <v>0</v>
      </c>
      <c r="AC100" s="264">
        <f t="shared" si="103"/>
        <v>0</v>
      </c>
      <c r="AD100" s="264"/>
      <c r="AE100" s="263">
        <f t="shared" si="133"/>
        <v>0</v>
      </c>
      <c r="AF100" s="263">
        <v>0</v>
      </c>
      <c r="AG100" s="259">
        <f t="shared" si="129"/>
        <v>0</v>
      </c>
      <c r="AH100" s="259">
        <f t="shared" si="121"/>
        <v>0</v>
      </c>
      <c r="AI100" s="259">
        <f t="shared" si="122"/>
        <v>0</v>
      </c>
      <c r="AJ100" s="259">
        <f t="shared" si="105"/>
        <v>0</v>
      </c>
      <c r="AK100" s="259">
        <f t="shared" si="123"/>
        <v>0</v>
      </c>
      <c r="AL100" s="259">
        <f t="shared" si="124"/>
        <v>0</v>
      </c>
      <c r="AM100" s="259">
        <f t="shared" si="125"/>
        <v>0</v>
      </c>
      <c r="AN100" s="259">
        <f t="shared" si="126"/>
        <v>0</v>
      </c>
      <c r="AO100" s="259">
        <f t="shared" si="127"/>
        <v>0</v>
      </c>
      <c r="AP100" s="247">
        <f t="shared" si="116"/>
        <v>0</v>
      </c>
      <c r="AQ100" s="265">
        <f t="shared" si="118"/>
        <v>0</v>
      </c>
      <c r="AR100" s="259">
        <f t="shared" si="131"/>
        <v>0</v>
      </c>
      <c r="AS100" s="259">
        <f t="shared" si="132"/>
        <v>0</v>
      </c>
      <c r="AT100" s="266">
        <v>0</v>
      </c>
      <c r="AU100" s="267">
        <v>0</v>
      </c>
      <c r="AV100" s="259">
        <f t="shared" si="128"/>
        <v>0</v>
      </c>
      <c r="AW100" s="259"/>
      <c r="AX100" s="259"/>
      <c r="AY100" s="265">
        <f t="shared" si="87"/>
        <v>0</v>
      </c>
      <c r="AZ100" s="259">
        <f t="shared" si="88"/>
        <v>0</v>
      </c>
      <c r="BA100" s="259">
        <f t="shared" si="89"/>
        <v>0</v>
      </c>
      <c r="BB100" s="430">
        <f t="shared" si="90"/>
        <v>0</v>
      </c>
      <c r="BC100" s="259"/>
      <c r="BD100" s="259"/>
      <c r="BE100" s="259"/>
      <c r="BF100" s="259"/>
      <c r="BG100" s="259"/>
      <c r="BH100" s="259"/>
      <c r="BI100" s="259"/>
      <c r="BJ100" s="259"/>
      <c r="BK100" s="259"/>
      <c r="BL100" s="265">
        <f t="shared" si="91"/>
        <v>0</v>
      </c>
      <c r="BM100" s="268">
        <f t="shared" si="92"/>
        <v>0</v>
      </c>
      <c r="BO100" s="259">
        <f t="shared" si="106"/>
        <v>0</v>
      </c>
      <c r="BP100" s="259">
        <f t="shared" si="107"/>
        <v>0</v>
      </c>
      <c r="BQ100" s="259">
        <f t="shared" si="108"/>
        <v>0</v>
      </c>
      <c r="BR100" s="265">
        <f t="shared" si="109"/>
        <v>0</v>
      </c>
    </row>
    <row r="101" spans="1:70">
      <c r="A101" s="243">
        <f t="shared" si="102"/>
        <v>99</v>
      </c>
      <c r="B101" s="257"/>
      <c r="C101" s="257"/>
      <c r="D101" s="257"/>
      <c r="E101" s="257"/>
      <c r="F101" s="258"/>
      <c r="G101" s="259"/>
      <c r="H101" s="259"/>
      <c r="I101" s="259"/>
      <c r="J101" s="259"/>
      <c r="K101" s="259"/>
      <c r="L101" s="260" t="s">
        <v>52</v>
      </c>
      <c r="M101" s="257"/>
      <c r="N101" s="261"/>
      <c r="O101" s="262" t="str">
        <f t="shared" si="78"/>
        <v>0 ans, 0 mois, 0 jours</v>
      </c>
      <c r="P101" s="259">
        <f t="shared" si="79"/>
        <v>0</v>
      </c>
      <c r="Q101" s="217" t="str">
        <f t="shared" si="114"/>
        <v>MAO1-1.I</v>
      </c>
      <c r="R101" s="217" t="str">
        <f t="shared" si="115"/>
        <v>MANŒUVRE ORDINAIRE</v>
      </c>
      <c r="S101" s="258" t="str">
        <f t="shared" si="80"/>
        <v>MANŒUVRE</v>
      </c>
      <c r="T101" s="217" t="str">
        <f>+VLOOKUP($Q101,Categorie!$I:$P,3,0)</f>
        <v>MANŒUVRE ORDINAIRE (MO), Echellon 1, Classe 1</v>
      </c>
      <c r="U101" s="259">
        <f t="shared" ref="U101:U109" si="134">+DATEDIF(F101,N101,"y")</f>
        <v>0</v>
      </c>
      <c r="V101" s="263">
        <v>0</v>
      </c>
      <c r="W101" s="263">
        <v>0</v>
      </c>
      <c r="X101" s="263">
        <v>0</v>
      </c>
      <c r="Y101" s="263">
        <v>0</v>
      </c>
      <c r="Z101" s="259">
        <f t="shared" si="119"/>
        <v>0</v>
      </c>
      <c r="AA101" s="259">
        <f t="shared" si="120"/>
        <v>0</v>
      </c>
      <c r="AB101" s="259">
        <f t="shared" si="130"/>
        <v>0</v>
      </c>
      <c r="AC101" s="264">
        <f t="shared" si="103"/>
        <v>0</v>
      </c>
      <c r="AD101" s="264"/>
      <c r="AE101" s="263">
        <f t="shared" si="133"/>
        <v>0</v>
      </c>
      <c r="AF101" s="263">
        <v>0</v>
      </c>
      <c r="AG101" s="259">
        <f t="shared" si="129"/>
        <v>0</v>
      </c>
      <c r="AH101" s="259">
        <f t="shared" si="121"/>
        <v>0</v>
      </c>
      <c r="AI101" s="259">
        <f t="shared" si="122"/>
        <v>0</v>
      </c>
      <c r="AJ101" s="259">
        <f t="shared" si="105"/>
        <v>0</v>
      </c>
      <c r="AK101" s="259">
        <f t="shared" si="123"/>
        <v>0</v>
      </c>
      <c r="AL101" s="259">
        <f t="shared" si="124"/>
        <v>0</v>
      </c>
      <c r="AM101" s="259">
        <f t="shared" si="125"/>
        <v>0</v>
      </c>
      <c r="AN101" s="259">
        <f t="shared" si="126"/>
        <v>0</v>
      </c>
      <c r="AO101" s="259">
        <f t="shared" si="127"/>
        <v>0</v>
      </c>
      <c r="AP101" s="247">
        <f t="shared" si="116"/>
        <v>0</v>
      </c>
      <c r="AQ101" s="265">
        <f t="shared" si="118"/>
        <v>0</v>
      </c>
      <c r="AR101" s="259">
        <f t="shared" si="131"/>
        <v>0</v>
      </c>
      <c r="AS101" s="259">
        <f t="shared" si="132"/>
        <v>0</v>
      </c>
      <c r="AT101" s="266">
        <v>0</v>
      </c>
      <c r="AU101" s="267">
        <v>0</v>
      </c>
      <c r="AV101" s="259">
        <f t="shared" si="128"/>
        <v>0</v>
      </c>
      <c r="AW101" s="259"/>
      <c r="AX101" s="259"/>
      <c r="AY101" s="265">
        <f t="shared" si="87"/>
        <v>0</v>
      </c>
      <c r="AZ101" s="259">
        <f t="shared" si="88"/>
        <v>0</v>
      </c>
      <c r="BA101" s="259">
        <f t="shared" si="89"/>
        <v>0</v>
      </c>
      <c r="BB101" s="430">
        <f t="shared" si="90"/>
        <v>0</v>
      </c>
      <c r="BC101" s="259"/>
      <c r="BD101" s="259"/>
      <c r="BE101" s="259"/>
      <c r="BF101" s="259"/>
      <c r="BG101" s="259"/>
      <c r="BH101" s="259"/>
      <c r="BI101" s="259"/>
      <c r="BJ101" s="259"/>
      <c r="BK101" s="259"/>
      <c r="BL101" s="265">
        <f t="shared" si="91"/>
        <v>0</v>
      </c>
      <c r="BM101" s="268">
        <f t="shared" si="92"/>
        <v>0</v>
      </c>
      <c r="BO101" s="259">
        <f t="shared" si="106"/>
        <v>0</v>
      </c>
      <c r="BP101" s="259">
        <f t="shared" si="107"/>
        <v>0</v>
      </c>
      <c r="BQ101" s="259">
        <f t="shared" si="108"/>
        <v>0</v>
      </c>
      <c r="BR101" s="265">
        <f t="shared" si="109"/>
        <v>0</v>
      </c>
    </row>
    <row r="102" spans="1:70">
      <c r="A102" s="243">
        <f t="shared" si="102"/>
        <v>100</v>
      </c>
      <c r="B102" s="257"/>
      <c r="C102" s="257"/>
      <c r="D102" s="257"/>
      <c r="E102" s="257"/>
      <c r="F102" s="258"/>
      <c r="G102" s="259"/>
      <c r="H102" s="259"/>
      <c r="I102" s="259"/>
      <c r="J102" s="259"/>
      <c r="K102" s="259"/>
      <c r="L102" s="260" t="s">
        <v>52</v>
      </c>
      <c r="M102" s="257"/>
      <c r="N102" s="261"/>
      <c r="O102" s="262" t="str">
        <f t="shared" ref="O102:O109" si="135">DATEDIF(F102, N102, "y") &amp;" ans, "&amp;DATEDIF(F102, N102, "ym") &amp;" mois, " &amp;DATEDIF(F102, N102, "md") &amp;" jours"</f>
        <v>0 ans, 0 mois, 0 jours</v>
      </c>
      <c r="P102" s="259">
        <f t="shared" ref="P102:P109" si="136">+G102/26</f>
        <v>0</v>
      </c>
      <c r="Q102" s="217" t="str">
        <f t="shared" si="114"/>
        <v>MAO1-1.I</v>
      </c>
      <c r="R102" s="217" t="str">
        <f t="shared" si="115"/>
        <v>MANŒUVRE ORDINAIRE</v>
      </c>
      <c r="S102" s="258" t="str">
        <f t="shared" ref="S102:S109" si="137">IF($P102&lt;=5.39,"MANŒUVRE",IF(AND($P102&gt;5.39,$P102&lt;=7.1),"SEMI-QUALIFIE",IF(AND($P102&gt;7.1,$P102&lt;=8.61),"HAUTEMENT QUALIFIE",IF(AND($P102&gt;8.61,$P102&lt;=19.39),"AGENT DE MAITRISE",IF(AND($P102&gt;19.39,$P102&lt;=64.65),"CADRE DE COLLABORATION",IF($P102&gt;64.65,"CADRE DE DIRECTION"))))))</f>
        <v>MANŒUVRE</v>
      </c>
      <c r="T102" s="217" t="str">
        <f>+VLOOKUP($Q102,Categorie!$I:$P,3,0)</f>
        <v>MANŒUVRE ORDINAIRE (MO), Echellon 1, Classe 1</v>
      </c>
      <c r="U102" s="259">
        <f t="shared" si="134"/>
        <v>0</v>
      </c>
      <c r="V102" s="263">
        <v>0</v>
      </c>
      <c r="W102" s="263">
        <v>0</v>
      </c>
      <c r="X102" s="263">
        <v>0</v>
      </c>
      <c r="Y102" s="263">
        <v>0</v>
      </c>
      <c r="Z102" s="259">
        <f t="shared" si="119"/>
        <v>0</v>
      </c>
      <c r="AA102" s="259">
        <f t="shared" si="120"/>
        <v>0</v>
      </c>
      <c r="AB102" s="259">
        <f t="shared" si="130"/>
        <v>0</v>
      </c>
      <c r="AC102" s="264">
        <f t="shared" si="103"/>
        <v>0</v>
      </c>
      <c r="AD102" s="264"/>
      <c r="AE102" s="263">
        <f t="shared" si="133"/>
        <v>0</v>
      </c>
      <c r="AF102" s="263">
        <v>0</v>
      </c>
      <c r="AG102" s="259">
        <f t="shared" si="129"/>
        <v>0</v>
      </c>
      <c r="AH102" s="259">
        <f t="shared" si="121"/>
        <v>0</v>
      </c>
      <c r="AI102" s="259">
        <f t="shared" si="122"/>
        <v>0</v>
      </c>
      <c r="AJ102" s="259">
        <f t="shared" si="105"/>
        <v>0</v>
      </c>
      <c r="AK102" s="259">
        <f t="shared" si="123"/>
        <v>0</v>
      </c>
      <c r="AL102" s="259">
        <f t="shared" si="124"/>
        <v>0</v>
      </c>
      <c r="AM102" s="259">
        <f t="shared" si="125"/>
        <v>0</v>
      </c>
      <c r="AN102" s="259">
        <f t="shared" si="126"/>
        <v>0</v>
      </c>
      <c r="AO102" s="259">
        <f t="shared" si="127"/>
        <v>0</v>
      </c>
      <c r="AP102" s="247">
        <f t="shared" si="116"/>
        <v>0</v>
      </c>
      <c r="AQ102" s="265">
        <f t="shared" si="118"/>
        <v>0</v>
      </c>
      <c r="AR102" s="259">
        <f t="shared" si="131"/>
        <v>0</v>
      </c>
      <c r="AS102" s="259">
        <f t="shared" si="132"/>
        <v>0</v>
      </c>
      <c r="AT102" s="266">
        <v>0</v>
      </c>
      <c r="AU102" s="267">
        <v>0</v>
      </c>
      <c r="AV102" s="259">
        <f t="shared" si="128"/>
        <v>0</v>
      </c>
      <c r="AW102" s="259"/>
      <c r="AX102" s="259"/>
      <c r="AY102" s="265">
        <f t="shared" ref="AY102:AY109" si="138">+AQ102+AR102+AS102+AX102+AV102</f>
        <v>0</v>
      </c>
      <c r="AZ102" s="259">
        <f t="shared" ref="AZ102:AZ109" si="139">+AQ102*0.05</f>
        <v>0</v>
      </c>
      <c r="BA102" s="259">
        <f t="shared" ref="BA102:BA109" si="140">+(AQ102-AZ102)*0.1</f>
        <v>0</v>
      </c>
      <c r="BB102" s="430">
        <f t="shared" ref="BB102:BB109" si="141">+AY102-AZ102-BA102</f>
        <v>0</v>
      </c>
      <c r="BC102" s="259"/>
      <c r="BD102" s="259"/>
      <c r="BE102" s="259"/>
      <c r="BF102" s="259"/>
      <c r="BG102" s="259"/>
      <c r="BH102" s="259"/>
      <c r="BI102" s="259"/>
      <c r="BJ102" s="259"/>
      <c r="BK102" s="259"/>
      <c r="BL102" s="265">
        <f t="shared" ref="BL102:BL109" si="142">SUM(BC102:BK102)</f>
        <v>0</v>
      </c>
      <c r="BM102" s="268">
        <f t="shared" ref="BM102:BM109" si="143">+BB102-BL102</f>
        <v>0</v>
      </c>
      <c r="BO102" s="259">
        <f t="shared" si="106"/>
        <v>0</v>
      </c>
      <c r="BP102" s="259">
        <f t="shared" si="107"/>
        <v>0</v>
      </c>
      <c r="BQ102" s="259">
        <f t="shared" si="108"/>
        <v>0</v>
      </c>
      <c r="BR102" s="265">
        <f t="shared" si="109"/>
        <v>0</v>
      </c>
    </row>
    <row r="103" spans="1:70">
      <c r="A103" s="243">
        <f t="shared" si="102"/>
        <v>101</v>
      </c>
      <c r="B103" s="257"/>
      <c r="C103" s="257"/>
      <c r="D103" s="257"/>
      <c r="E103" s="257"/>
      <c r="F103" s="258"/>
      <c r="G103" s="259"/>
      <c r="H103" s="259"/>
      <c r="I103" s="259"/>
      <c r="J103" s="259"/>
      <c r="K103" s="259"/>
      <c r="L103" s="260" t="s">
        <v>52</v>
      </c>
      <c r="M103" s="257"/>
      <c r="N103" s="261"/>
      <c r="O103" s="262" t="str">
        <f t="shared" si="135"/>
        <v>0 ans, 0 mois, 0 jours</v>
      </c>
      <c r="P103" s="259">
        <f t="shared" si="136"/>
        <v>0</v>
      </c>
      <c r="Q103" s="217" t="str">
        <f t="shared" si="114"/>
        <v>MAO1-1.I</v>
      </c>
      <c r="R103" s="217" t="str">
        <f t="shared" si="115"/>
        <v>MANŒUVRE ORDINAIRE</v>
      </c>
      <c r="S103" s="258" t="str">
        <f t="shared" si="137"/>
        <v>MANŒUVRE</v>
      </c>
      <c r="T103" s="217" t="str">
        <f>+VLOOKUP($Q103,Categorie!$I:$P,3,0)</f>
        <v>MANŒUVRE ORDINAIRE (MO), Echellon 1, Classe 1</v>
      </c>
      <c r="U103" s="259">
        <f t="shared" si="134"/>
        <v>0</v>
      </c>
      <c r="V103" s="263">
        <v>0</v>
      </c>
      <c r="W103" s="263">
        <v>0</v>
      </c>
      <c r="X103" s="263">
        <v>0</v>
      </c>
      <c r="Y103" s="263">
        <v>0</v>
      </c>
      <c r="Z103" s="259">
        <f t="shared" si="119"/>
        <v>0</v>
      </c>
      <c r="AA103" s="259">
        <f t="shared" si="120"/>
        <v>0</v>
      </c>
      <c r="AB103" s="259">
        <f t="shared" si="130"/>
        <v>0</v>
      </c>
      <c r="AC103" s="264">
        <f t="shared" si="103"/>
        <v>0</v>
      </c>
      <c r="AD103" s="264"/>
      <c r="AE103" s="263">
        <f t="shared" si="133"/>
        <v>0</v>
      </c>
      <c r="AF103" s="263">
        <v>0</v>
      </c>
      <c r="AG103" s="259">
        <f t="shared" si="129"/>
        <v>0</v>
      </c>
      <c r="AH103" s="259">
        <f t="shared" si="121"/>
        <v>0</v>
      </c>
      <c r="AI103" s="259">
        <f t="shared" si="122"/>
        <v>0</v>
      </c>
      <c r="AJ103" s="259">
        <f t="shared" si="105"/>
        <v>0</v>
      </c>
      <c r="AK103" s="259">
        <f t="shared" si="123"/>
        <v>0</v>
      </c>
      <c r="AL103" s="259">
        <f t="shared" si="124"/>
        <v>0</v>
      </c>
      <c r="AM103" s="259">
        <f t="shared" si="125"/>
        <v>0</v>
      </c>
      <c r="AN103" s="259">
        <f t="shared" si="126"/>
        <v>0</v>
      </c>
      <c r="AO103" s="259">
        <f t="shared" si="127"/>
        <v>0</v>
      </c>
      <c r="AP103" s="247">
        <f t="shared" si="116"/>
        <v>0</v>
      </c>
      <c r="AQ103" s="265">
        <f t="shared" si="118"/>
        <v>0</v>
      </c>
      <c r="AR103" s="259">
        <f t="shared" si="131"/>
        <v>0</v>
      </c>
      <c r="AS103" s="259">
        <f t="shared" si="132"/>
        <v>0</v>
      </c>
      <c r="AT103" s="266">
        <v>0</v>
      </c>
      <c r="AU103" s="267">
        <v>0</v>
      </c>
      <c r="AV103" s="259">
        <f t="shared" si="128"/>
        <v>0</v>
      </c>
      <c r="AW103" s="259"/>
      <c r="AX103" s="259"/>
      <c r="AY103" s="265">
        <f t="shared" si="138"/>
        <v>0</v>
      </c>
      <c r="AZ103" s="259">
        <f t="shared" si="139"/>
        <v>0</v>
      </c>
      <c r="BA103" s="259">
        <f t="shared" si="140"/>
        <v>0</v>
      </c>
      <c r="BB103" s="430">
        <f t="shared" si="141"/>
        <v>0</v>
      </c>
      <c r="BC103" s="259"/>
      <c r="BD103" s="259"/>
      <c r="BE103" s="259"/>
      <c r="BF103" s="259"/>
      <c r="BG103" s="259"/>
      <c r="BH103" s="259"/>
      <c r="BI103" s="259"/>
      <c r="BJ103" s="259"/>
      <c r="BK103" s="259"/>
      <c r="BL103" s="265">
        <f t="shared" si="142"/>
        <v>0</v>
      </c>
      <c r="BM103" s="268">
        <f t="shared" si="143"/>
        <v>0</v>
      </c>
      <c r="BO103" s="259">
        <f t="shared" si="106"/>
        <v>0</v>
      </c>
      <c r="BP103" s="259">
        <f t="shared" si="107"/>
        <v>0</v>
      </c>
      <c r="BQ103" s="259">
        <f t="shared" si="108"/>
        <v>0</v>
      </c>
      <c r="BR103" s="265">
        <f t="shared" si="109"/>
        <v>0</v>
      </c>
    </row>
    <row r="104" spans="1:70">
      <c r="A104" s="243">
        <f t="shared" si="102"/>
        <v>102</v>
      </c>
      <c r="B104" s="257"/>
      <c r="C104" s="257"/>
      <c r="D104" s="257"/>
      <c r="E104" s="257"/>
      <c r="F104" s="258"/>
      <c r="G104" s="259"/>
      <c r="H104" s="259"/>
      <c r="I104" s="259"/>
      <c r="J104" s="259"/>
      <c r="K104" s="259"/>
      <c r="L104" s="260" t="s">
        <v>52</v>
      </c>
      <c r="M104" s="257"/>
      <c r="N104" s="261"/>
      <c r="O104" s="262" t="str">
        <f t="shared" si="135"/>
        <v>0 ans, 0 mois, 0 jours</v>
      </c>
      <c r="P104" s="259">
        <f t="shared" si="136"/>
        <v>0</v>
      </c>
      <c r="Q104" s="217" t="str">
        <f t="shared" si="114"/>
        <v>MAO1-1.I</v>
      </c>
      <c r="R104" s="217" t="str">
        <f t="shared" si="115"/>
        <v>MANŒUVRE ORDINAIRE</v>
      </c>
      <c r="S104" s="258" t="str">
        <f t="shared" si="137"/>
        <v>MANŒUVRE</v>
      </c>
      <c r="T104" s="217" t="str">
        <f>+VLOOKUP($Q104,Categorie!$I:$P,3,0)</f>
        <v>MANŒUVRE ORDINAIRE (MO), Echellon 1, Classe 1</v>
      </c>
      <c r="U104" s="259">
        <f t="shared" si="134"/>
        <v>0</v>
      </c>
      <c r="V104" s="263">
        <v>0</v>
      </c>
      <c r="W104" s="263">
        <v>0</v>
      </c>
      <c r="X104" s="263">
        <v>0</v>
      </c>
      <c r="Y104" s="263">
        <v>0</v>
      </c>
      <c r="Z104" s="259">
        <f t="shared" si="119"/>
        <v>0</v>
      </c>
      <c r="AA104" s="259">
        <f t="shared" si="120"/>
        <v>0</v>
      </c>
      <c r="AB104" s="259">
        <f t="shared" si="130"/>
        <v>0</v>
      </c>
      <c r="AC104" s="264">
        <f t="shared" si="103"/>
        <v>0</v>
      </c>
      <c r="AD104" s="264"/>
      <c r="AE104" s="263">
        <f t="shared" si="133"/>
        <v>0</v>
      </c>
      <c r="AF104" s="263">
        <v>0</v>
      </c>
      <c r="AG104" s="259">
        <f t="shared" si="129"/>
        <v>0</v>
      </c>
      <c r="AH104" s="259">
        <f t="shared" si="121"/>
        <v>0</v>
      </c>
      <c r="AI104" s="259">
        <f t="shared" si="122"/>
        <v>0</v>
      </c>
      <c r="AJ104" s="259">
        <f t="shared" si="105"/>
        <v>0</v>
      </c>
      <c r="AK104" s="259">
        <f t="shared" si="123"/>
        <v>0</v>
      </c>
      <c r="AL104" s="259">
        <f t="shared" si="124"/>
        <v>0</v>
      </c>
      <c r="AM104" s="259">
        <f t="shared" si="125"/>
        <v>0</v>
      </c>
      <c r="AN104" s="259">
        <f t="shared" si="126"/>
        <v>0</v>
      </c>
      <c r="AO104" s="259">
        <f t="shared" si="127"/>
        <v>0</v>
      </c>
      <c r="AP104" s="247">
        <f t="shared" si="116"/>
        <v>0</v>
      </c>
      <c r="AQ104" s="265">
        <f t="shared" si="118"/>
        <v>0</v>
      </c>
      <c r="AR104" s="259">
        <f t="shared" si="131"/>
        <v>0</v>
      </c>
      <c r="AS104" s="259">
        <f t="shared" si="132"/>
        <v>0</v>
      </c>
      <c r="AT104" s="266">
        <v>0</v>
      </c>
      <c r="AU104" s="267">
        <v>0</v>
      </c>
      <c r="AV104" s="259">
        <f t="shared" si="128"/>
        <v>0</v>
      </c>
      <c r="AW104" s="259"/>
      <c r="AX104" s="259"/>
      <c r="AY104" s="265">
        <f t="shared" si="138"/>
        <v>0</v>
      </c>
      <c r="AZ104" s="259">
        <f t="shared" si="139"/>
        <v>0</v>
      </c>
      <c r="BA104" s="259">
        <f t="shared" si="140"/>
        <v>0</v>
      </c>
      <c r="BB104" s="430">
        <f t="shared" si="141"/>
        <v>0</v>
      </c>
      <c r="BC104" s="259"/>
      <c r="BD104" s="259"/>
      <c r="BE104" s="259"/>
      <c r="BF104" s="259"/>
      <c r="BG104" s="259"/>
      <c r="BH104" s="259"/>
      <c r="BI104" s="259"/>
      <c r="BJ104" s="259"/>
      <c r="BK104" s="259"/>
      <c r="BL104" s="265">
        <f t="shared" si="142"/>
        <v>0</v>
      </c>
      <c r="BM104" s="268">
        <f t="shared" si="143"/>
        <v>0</v>
      </c>
      <c r="BO104" s="259">
        <f t="shared" si="106"/>
        <v>0</v>
      </c>
      <c r="BP104" s="259">
        <f t="shared" si="107"/>
        <v>0</v>
      </c>
      <c r="BQ104" s="259">
        <f t="shared" si="108"/>
        <v>0</v>
      </c>
      <c r="BR104" s="265">
        <f t="shared" si="109"/>
        <v>0</v>
      </c>
    </row>
    <row r="105" spans="1:70">
      <c r="A105" s="243">
        <f t="shared" si="102"/>
        <v>103</v>
      </c>
      <c r="B105" s="257"/>
      <c r="C105" s="257"/>
      <c r="D105" s="257"/>
      <c r="E105" s="257"/>
      <c r="F105" s="258"/>
      <c r="G105" s="259"/>
      <c r="H105" s="259"/>
      <c r="I105" s="259"/>
      <c r="J105" s="259"/>
      <c r="K105" s="259"/>
      <c r="L105" s="260" t="s">
        <v>52</v>
      </c>
      <c r="M105" s="257"/>
      <c r="N105" s="261"/>
      <c r="O105" s="262" t="str">
        <f t="shared" si="135"/>
        <v>0 ans, 0 mois, 0 jours</v>
      </c>
      <c r="P105" s="259">
        <f t="shared" si="136"/>
        <v>0</v>
      </c>
      <c r="Q105" s="217" t="str">
        <f t="shared" si="114"/>
        <v>MAO1-1.I</v>
      </c>
      <c r="R105" s="217" t="str">
        <f t="shared" si="115"/>
        <v>MANŒUVRE ORDINAIRE</v>
      </c>
      <c r="S105" s="258" t="str">
        <f t="shared" si="137"/>
        <v>MANŒUVRE</v>
      </c>
      <c r="T105" s="217" t="str">
        <f>+VLOOKUP($Q105,Categorie!$I:$P,3,0)</f>
        <v>MANŒUVRE ORDINAIRE (MO), Echellon 1, Classe 1</v>
      </c>
      <c r="U105" s="259">
        <f t="shared" si="134"/>
        <v>0</v>
      </c>
      <c r="V105" s="263">
        <v>0</v>
      </c>
      <c r="W105" s="263">
        <v>0</v>
      </c>
      <c r="X105" s="263">
        <v>0</v>
      </c>
      <c r="Y105" s="263">
        <v>0</v>
      </c>
      <c r="Z105" s="259">
        <f t="shared" si="119"/>
        <v>0</v>
      </c>
      <c r="AA105" s="259">
        <f t="shared" si="120"/>
        <v>0</v>
      </c>
      <c r="AB105" s="259">
        <f t="shared" si="130"/>
        <v>0</v>
      </c>
      <c r="AC105" s="264">
        <f t="shared" si="103"/>
        <v>0</v>
      </c>
      <c r="AD105" s="264"/>
      <c r="AE105" s="263">
        <f t="shared" si="133"/>
        <v>0</v>
      </c>
      <c r="AF105" s="263">
        <v>0</v>
      </c>
      <c r="AG105" s="259">
        <f t="shared" si="129"/>
        <v>0</v>
      </c>
      <c r="AH105" s="259">
        <f t="shared" si="121"/>
        <v>0</v>
      </c>
      <c r="AI105" s="259">
        <f t="shared" si="122"/>
        <v>0</v>
      </c>
      <c r="AJ105" s="259">
        <f t="shared" si="105"/>
        <v>0</v>
      </c>
      <c r="AK105" s="259">
        <f t="shared" si="123"/>
        <v>0</v>
      </c>
      <c r="AL105" s="259">
        <f t="shared" si="124"/>
        <v>0</v>
      </c>
      <c r="AM105" s="259">
        <f t="shared" si="125"/>
        <v>0</v>
      </c>
      <c r="AN105" s="259">
        <f t="shared" si="126"/>
        <v>0</v>
      </c>
      <c r="AO105" s="259">
        <f t="shared" si="127"/>
        <v>0</v>
      </c>
      <c r="AP105" s="247">
        <f t="shared" si="116"/>
        <v>0</v>
      </c>
      <c r="AQ105" s="265">
        <f t="shared" si="118"/>
        <v>0</v>
      </c>
      <c r="AR105" s="259">
        <f t="shared" si="131"/>
        <v>0</v>
      </c>
      <c r="AS105" s="259">
        <f t="shared" si="132"/>
        <v>0</v>
      </c>
      <c r="AT105" s="266">
        <v>0</v>
      </c>
      <c r="AU105" s="267">
        <v>0</v>
      </c>
      <c r="AV105" s="259">
        <f t="shared" si="128"/>
        <v>0</v>
      </c>
      <c r="AW105" s="259"/>
      <c r="AX105" s="259"/>
      <c r="AY105" s="265">
        <f t="shared" si="138"/>
        <v>0</v>
      </c>
      <c r="AZ105" s="259">
        <f t="shared" si="139"/>
        <v>0</v>
      </c>
      <c r="BA105" s="259">
        <f t="shared" si="140"/>
        <v>0</v>
      </c>
      <c r="BB105" s="430">
        <f t="shared" si="141"/>
        <v>0</v>
      </c>
      <c r="BC105" s="259"/>
      <c r="BD105" s="259"/>
      <c r="BE105" s="259"/>
      <c r="BF105" s="259"/>
      <c r="BG105" s="259"/>
      <c r="BH105" s="259"/>
      <c r="BI105" s="259"/>
      <c r="BJ105" s="259"/>
      <c r="BK105" s="259"/>
      <c r="BL105" s="265">
        <f t="shared" si="142"/>
        <v>0</v>
      </c>
      <c r="BM105" s="268">
        <f t="shared" si="143"/>
        <v>0</v>
      </c>
      <c r="BO105" s="259">
        <f t="shared" si="106"/>
        <v>0</v>
      </c>
      <c r="BP105" s="259">
        <f t="shared" si="107"/>
        <v>0</v>
      </c>
      <c r="BQ105" s="259">
        <f t="shared" si="108"/>
        <v>0</v>
      </c>
      <c r="BR105" s="265">
        <f t="shared" si="109"/>
        <v>0</v>
      </c>
    </row>
    <row r="106" spans="1:70">
      <c r="A106" s="243">
        <f t="shared" si="102"/>
        <v>104</v>
      </c>
      <c r="B106" s="257"/>
      <c r="C106" s="257"/>
      <c r="D106" s="257"/>
      <c r="E106" s="257"/>
      <c r="F106" s="258"/>
      <c r="G106" s="259"/>
      <c r="H106" s="259"/>
      <c r="I106" s="259"/>
      <c r="J106" s="259"/>
      <c r="K106" s="259"/>
      <c r="L106" s="260" t="s">
        <v>52</v>
      </c>
      <c r="M106" s="257"/>
      <c r="N106" s="261"/>
      <c r="O106" s="262" t="str">
        <f t="shared" si="135"/>
        <v>0 ans, 0 mois, 0 jours</v>
      </c>
      <c r="P106" s="259">
        <f t="shared" si="136"/>
        <v>0</v>
      </c>
      <c r="Q106" s="217" t="str">
        <f t="shared" si="114"/>
        <v>MAO1-1.I</v>
      </c>
      <c r="R106" s="217" t="str">
        <f t="shared" si="115"/>
        <v>MANŒUVRE ORDINAIRE</v>
      </c>
      <c r="S106" s="258" t="str">
        <f t="shared" si="137"/>
        <v>MANŒUVRE</v>
      </c>
      <c r="T106" s="217" t="str">
        <f>+VLOOKUP($Q106,Categorie!$I:$P,3,0)</f>
        <v>MANŒUVRE ORDINAIRE (MO), Echellon 1, Classe 1</v>
      </c>
      <c r="U106" s="259">
        <f t="shared" si="134"/>
        <v>0</v>
      </c>
      <c r="V106" s="263">
        <v>0</v>
      </c>
      <c r="W106" s="263">
        <v>0</v>
      </c>
      <c r="X106" s="263">
        <v>0</v>
      </c>
      <c r="Y106" s="263">
        <v>0</v>
      </c>
      <c r="Z106" s="259">
        <f t="shared" si="119"/>
        <v>0</v>
      </c>
      <c r="AA106" s="259">
        <f t="shared" si="120"/>
        <v>0</v>
      </c>
      <c r="AB106" s="259">
        <f t="shared" si="130"/>
        <v>0</v>
      </c>
      <c r="AC106" s="264">
        <f t="shared" si="103"/>
        <v>0</v>
      </c>
      <c r="AD106" s="264"/>
      <c r="AE106" s="263">
        <f t="shared" si="133"/>
        <v>0</v>
      </c>
      <c r="AF106" s="263">
        <v>0</v>
      </c>
      <c r="AG106" s="259">
        <f t="shared" si="129"/>
        <v>0</v>
      </c>
      <c r="AH106" s="259">
        <f t="shared" si="121"/>
        <v>0</v>
      </c>
      <c r="AI106" s="259">
        <f t="shared" si="122"/>
        <v>0</v>
      </c>
      <c r="AJ106" s="259">
        <f t="shared" si="105"/>
        <v>0</v>
      </c>
      <c r="AK106" s="259">
        <f t="shared" si="123"/>
        <v>0</v>
      </c>
      <c r="AL106" s="259">
        <f t="shared" si="124"/>
        <v>0</v>
      </c>
      <c r="AM106" s="259">
        <f t="shared" si="125"/>
        <v>0</v>
      </c>
      <c r="AN106" s="259">
        <f t="shared" si="126"/>
        <v>0</v>
      </c>
      <c r="AO106" s="259">
        <f t="shared" si="127"/>
        <v>0</v>
      </c>
      <c r="AP106" s="247">
        <f t="shared" si="116"/>
        <v>0</v>
      </c>
      <c r="AQ106" s="265">
        <f t="shared" si="118"/>
        <v>0</v>
      </c>
      <c r="AR106" s="259">
        <f t="shared" si="131"/>
        <v>0</v>
      </c>
      <c r="AS106" s="259">
        <f t="shared" si="132"/>
        <v>0</v>
      </c>
      <c r="AT106" s="266">
        <v>0</v>
      </c>
      <c r="AU106" s="267">
        <v>0</v>
      </c>
      <c r="AV106" s="259">
        <f t="shared" si="128"/>
        <v>0</v>
      </c>
      <c r="AW106" s="259"/>
      <c r="AX106" s="259"/>
      <c r="AY106" s="265">
        <f t="shared" si="138"/>
        <v>0</v>
      </c>
      <c r="AZ106" s="259">
        <f t="shared" si="139"/>
        <v>0</v>
      </c>
      <c r="BA106" s="259">
        <f t="shared" si="140"/>
        <v>0</v>
      </c>
      <c r="BB106" s="430">
        <f t="shared" si="141"/>
        <v>0</v>
      </c>
      <c r="BC106" s="259"/>
      <c r="BD106" s="259"/>
      <c r="BE106" s="259"/>
      <c r="BF106" s="259"/>
      <c r="BG106" s="259"/>
      <c r="BH106" s="259"/>
      <c r="BI106" s="259"/>
      <c r="BJ106" s="259"/>
      <c r="BK106" s="259"/>
      <c r="BL106" s="265">
        <f t="shared" si="142"/>
        <v>0</v>
      </c>
      <c r="BM106" s="268">
        <f t="shared" si="143"/>
        <v>0</v>
      </c>
      <c r="BO106" s="259">
        <f t="shared" si="106"/>
        <v>0</v>
      </c>
      <c r="BP106" s="259">
        <f t="shared" si="107"/>
        <v>0</v>
      </c>
      <c r="BQ106" s="259">
        <f t="shared" si="108"/>
        <v>0</v>
      </c>
      <c r="BR106" s="265">
        <f t="shared" si="109"/>
        <v>0</v>
      </c>
    </row>
    <row r="107" spans="1:70">
      <c r="A107" s="243">
        <f t="shared" si="102"/>
        <v>105</v>
      </c>
      <c r="B107" s="257"/>
      <c r="C107" s="257"/>
      <c r="D107" s="257"/>
      <c r="E107" s="257"/>
      <c r="F107" s="258"/>
      <c r="G107" s="259"/>
      <c r="H107" s="259"/>
      <c r="I107" s="259"/>
      <c r="J107" s="259"/>
      <c r="K107" s="259"/>
      <c r="L107" s="260" t="s">
        <v>52</v>
      </c>
      <c r="M107" s="257"/>
      <c r="N107" s="261"/>
      <c r="O107" s="262" t="str">
        <f t="shared" si="135"/>
        <v>0 ans, 0 mois, 0 jours</v>
      </c>
      <c r="P107" s="259">
        <f t="shared" si="136"/>
        <v>0</v>
      </c>
      <c r="Q107" s="217" t="str">
        <f t="shared" si="114"/>
        <v>MAO1-1.I</v>
      </c>
      <c r="R107" s="217" t="str">
        <f t="shared" si="115"/>
        <v>MANŒUVRE ORDINAIRE</v>
      </c>
      <c r="S107" s="258" t="str">
        <f t="shared" si="137"/>
        <v>MANŒUVRE</v>
      </c>
      <c r="T107" s="217" t="str">
        <f>+VLOOKUP($Q107,Categorie!$I:$P,3,0)</f>
        <v>MANŒUVRE ORDINAIRE (MO), Echellon 1, Classe 1</v>
      </c>
      <c r="U107" s="259">
        <f t="shared" si="134"/>
        <v>0</v>
      </c>
      <c r="V107" s="263">
        <v>0</v>
      </c>
      <c r="W107" s="263">
        <v>0</v>
      </c>
      <c r="X107" s="263">
        <v>0</v>
      </c>
      <c r="Y107" s="263">
        <v>0</v>
      </c>
      <c r="Z107" s="259">
        <f t="shared" si="119"/>
        <v>0</v>
      </c>
      <c r="AA107" s="259">
        <f t="shared" si="120"/>
        <v>0</v>
      </c>
      <c r="AB107" s="259">
        <f t="shared" si="130"/>
        <v>0</v>
      </c>
      <c r="AC107" s="264">
        <f t="shared" si="103"/>
        <v>0</v>
      </c>
      <c r="AD107" s="264"/>
      <c r="AE107" s="263">
        <f t="shared" si="133"/>
        <v>0</v>
      </c>
      <c r="AF107" s="263">
        <v>0</v>
      </c>
      <c r="AG107" s="259">
        <f t="shared" si="129"/>
        <v>0</v>
      </c>
      <c r="AH107" s="259">
        <f t="shared" si="121"/>
        <v>0</v>
      </c>
      <c r="AI107" s="259">
        <f t="shared" si="122"/>
        <v>0</v>
      </c>
      <c r="AJ107" s="259">
        <f t="shared" si="105"/>
        <v>0</v>
      </c>
      <c r="AK107" s="259">
        <f t="shared" si="123"/>
        <v>0</v>
      </c>
      <c r="AL107" s="259">
        <f t="shared" si="124"/>
        <v>0</v>
      </c>
      <c r="AM107" s="259">
        <f t="shared" si="125"/>
        <v>0</v>
      </c>
      <c r="AN107" s="259">
        <f t="shared" si="126"/>
        <v>0</v>
      </c>
      <c r="AO107" s="259">
        <f t="shared" si="127"/>
        <v>0</v>
      </c>
      <c r="AP107" s="247">
        <f t="shared" si="116"/>
        <v>0</v>
      </c>
      <c r="AQ107" s="265">
        <f t="shared" si="118"/>
        <v>0</v>
      </c>
      <c r="AR107" s="259">
        <f t="shared" si="131"/>
        <v>0</v>
      </c>
      <c r="AS107" s="259">
        <f t="shared" si="132"/>
        <v>0</v>
      </c>
      <c r="AT107" s="266">
        <v>0</v>
      </c>
      <c r="AU107" s="267">
        <v>0</v>
      </c>
      <c r="AV107" s="259">
        <f t="shared" si="128"/>
        <v>0</v>
      </c>
      <c r="AW107" s="259"/>
      <c r="AX107" s="259"/>
      <c r="AY107" s="265">
        <f t="shared" si="138"/>
        <v>0</v>
      </c>
      <c r="AZ107" s="259">
        <f t="shared" si="139"/>
        <v>0</v>
      </c>
      <c r="BA107" s="259">
        <f t="shared" si="140"/>
        <v>0</v>
      </c>
      <c r="BB107" s="430">
        <f t="shared" si="141"/>
        <v>0</v>
      </c>
      <c r="BC107" s="259"/>
      <c r="BD107" s="259"/>
      <c r="BE107" s="259"/>
      <c r="BF107" s="259"/>
      <c r="BG107" s="259"/>
      <c r="BH107" s="259"/>
      <c r="BI107" s="259"/>
      <c r="BJ107" s="259"/>
      <c r="BK107" s="259"/>
      <c r="BL107" s="265">
        <f t="shared" si="142"/>
        <v>0</v>
      </c>
      <c r="BM107" s="268">
        <f t="shared" si="143"/>
        <v>0</v>
      </c>
      <c r="BO107" s="259">
        <f t="shared" si="106"/>
        <v>0</v>
      </c>
      <c r="BP107" s="259">
        <f t="shared" si="107"/>
        <v>0</v>
      </c>
      <c r="BQ107" s="259">
        <f t="shared" si="108"/>
        <v>0</v>
      </c>
      <c r="BR107" s="265">
        <f t="shared" si="109"/>
        <v>0</v>
      </c>
    </row>
    <row r="108" spans="1:70">
      <c r="A108" s="243">
        <f t="shared" si="102"/>
        <v>106</v>
      </c>
      <c r="B108" s="257"/>
      <c r="C108" s="257"/>
      <c r="D108" s="257"/>
      <c r="E108" s="257"/>
      <c r="F108" s="258"/>
      <c r="G108" s="259"/>
      <c r="H108" s="259"/>
      <c r="I108" s="259"/>
      <c r="J108" s="259"/>
      <c r="K108" s="259"/>
      <c r="L108" s="260" t="s">
        <v>52</v>
      </c>
      <c r="M108" s="257"/>
      <c r="N108" s="261"/>
      <c r="O108" s="262" t="str">
        <f t="shared" si="135"/>
        <v>0 ans, 0 mois, 0 jours</v>
      </c>
      <c r="P108" s="259">
        <f t="shared" si="136"/>
        <v>0</v>
      </c>
      <c r="Q108" s="217" t="str">
        <f t="shared" si="114"/>
        <v>MAO1-1.I</v>
      </c>
      <c r="R108" s="217" t="str">
        <f t="shared" si="115"/>
        <v>MANŒUVRE ORDINAIRE</v>
      </c>
      <c r="S108" s="258" t="str">
        <f t="shared" si="137"/>
        <v>MANŒUVRE</v>
      </c>
      <c r="T108" s="217" t="str">
        <f>+VLOOKUP($Q108,Categorie!$I:$P,3,0)</f>
        <v>MANŒUVRE ORDINAIRE (MO), Echellon 1, Classe 1</v>
      </c>
      <c r="U108" s="259">
        <f t="shared" si="134"/>
        <v>0</v>
      </c>
      <c r="V108" s="263">
        <v>0</v>
      </c>
      <c r="W108" s="263">
        <v>0</v>
      </c>
      <c r="X108" s="263">
        <v>0</v>
      </c>
      <c r="Y108" s="263">
        <v>0</v>
      </c>
      <c r="Z108" s="259">
        <f t="shared" si="119"/>
        <v>0</v>
      </c>
      <c r="AA108" s="259">
        <f t="shared" si="120"/>
        <v>0</v>
      </c>
      <c r="AB108" s="259">
        <f t="shared" si="130"/>
        <v>0</v>
      </c>
      <c r="AC108" s="264">
        <f t="shared" si="103"/>
        <v>0</v>
      </c>
      <c r="AD108" s="264"/>
      <c r="AE108" s="263">
        <f t="shared" si="133"/>
        <v>0</v>
      </c>
      <c r="AF108" s="263">
        <v>0</v>
      </c>
      <c r="AG108" s="259">
        <f t="shared" si="129"/>
        <v>0</v>
      </c>
      <c r="AH108" s="259">
        <f t="shared" si="121"/>
        <v>0</v>
      </c>
      <c r="AI108" s="259">
        <f t="shared" si="122"/>
        <v>0</v>
      </c>
      <c r="AJ108" s="259">
        <f t="shared" si="105"/>
        <v>0</v>
      </c>
      <c r="AK108" s="259">
        <f t="shared" si="123"/>
        <v>0</v>
      </c>
      <c r="AL108" s="259">
        <f t="shared" si="124"/>
        <v>0</v>
      </c>
      <c r="AM108" s="259">
        <f t="shared" si="125"/>
        <v>0</v>
      </c>
      <c r="AN108" s="259">
        <f t="shared" si="126"/>
        <v>0</v>
      </c>
      <c r="AO108" s="259">
        <f t="shared" si="127"/>
        <v>0</v>
      </c>
      <c r="AP108" s="247">
        <f t="shared" si="116"/>
        <v>0</v>
      </c>
      <c r="AQ108" s="265">
        <f t="shared" si="118"/>
        <v>0</v>
      </c>
      <c r="AR108" s="259">
        <f t="shared" si="131"/>
        <v>0</v>
      </c>
      <c r="AS108" s="259">
        <f t="shared" si="132"/>
        <v>0</v>
      </c>
      <c r="AT108" s="266">
        <v>0</v>
      </c>
      <c r="AU108" s="267">
        <v>0</v>
      </c>
      <c r="AV108" s="259">
        <f t="shared" si="128"/>
        <v>0</v>
      </c>
      <c r="AW108" s="259"/>
      <c r="AX108" s="259"/>
      <c r="AY108" s="265">
        <f t="shared" si="138"/>
        <v>0</v>
      </c>
      <c r="AZ108" s="259">
        <f t="shared" si="139"/>
        <v>0</v>
      </c>
      <c r="BA108" s="259">
        <f t="shared" si="140"/>
        <v>0</v>
      </c>
      <c r="BB108" s="430">
        <f t="shared" si="141"/>
        <v>0</v>
      </c>
      <c r="BC108" s="259"/>
      <c r="BD108" s="259"/>
      <c r="BE108" s="259"/>
      <c r="BF108" s="259"/>
      <c r="BG108" s="259"/>
      <c r="BH108" s="259"/>
      <c r="BI108" s="259"/>
      <c r="BJ108" s="259"/>
      <c r="BK108" s="259"/>
      <c r="BL108" s="265">
        <f t="shared" si="142"/>
        <v>0</v>
      </c>
      <c r="BM108" s="268">
        <f t="shared" si="143"/>
        <v>0</v>
      </c>
      <c r="BO108" s="259">
        <f t="shared" si="106"/>
        <v>0</v>
      </c>
      <c r="BP108" s="259">
        <f t="shared" si="107"/>
        <v>0</v>
      </c>
      <c r="BQ108" s="259">
        <f t="shared" si="108"/>
        <v>0</v>
      </c>
      <c r="BR108" s="265">
        <f t="shared" si="109"/>
        <v>0</v>
      </c>
    </row>
    <row r="109" spans="1:70">
      <c r="A109" s="243">
        <f t="shared" si="102"/>
        <v>107</v>
      </c>
      <c r="B109" s="257"/>
      <c r="C109" s="257"/>
      <c r="D109" s="257"/>
      <c r="E109" s="257"/>
      <c r="F109" s="258"/>
      <c r="G109" s="259"/>
      <c r="H109" s="259"/>
      <c r="I109" s="259"/>
      <c r="J109" s="259"/>
      <c r="K109" s="259"/>
      <c r="L109" s="260" t="s">
        <v>52</v>
      </c>
      <c r="M109" s="257"/>
      <c r="N109" s="261"/>
      <c r="O109" s="262" t="str">
        <f t="shared" si="135"/>
        <v>0 ans, 0 mois, 0 jours</v>
      </c>
      <c r="P109" s="259">
        <f t="shared" si="136"/>
        <v>0</v>
      </c>
      <c r="Q109" s="217" t="str">
        <f t="shared" si="114"/>
        <v>MAO1-1.I</v>
      </c>
      <c r="R109" s="217" t="str">
        <f t="shared" si="115"/>
        <v>MANŒUVRE ORDINAIRE</v>
      </c>
      <c r="S109" s="258" t="str">
        <f t="shared" si="137"/>
        <v>MANŒUVRE</v>
      </c>
      <c r="T109" s="217" t="str">
        <f>+VLOOKUP($Q109,Categorie!$I:$P,3,0)</f>
        <v>MANŒUVRE ORDINAIRE (MO), Echellon 1, Classe 1</v>
      </c>
      <c r="U109" s="259">
        <f t="shared" si="134"/>
        <v>0</v>
      </c>
      <c r="V109" s="263">
        <v>0</v>
      </c>
      <c r="W109" s="263">
        <v>0</v>
      </c>
      <c r="X109" s="263">
        <v>0</v>
      </c>
      <c r="Y109" s="263">
        <v>0</v>
      </c>
      <c r="Z109" s="259">
        <f t="shared" si="119"/>
        <v>0</v>
      </c>
      <c r="AA109" s="259">
        <f t="shared" si="120"/>
        <v>0</v>
      </c>
      <c r="AB109" s="259">
        <f t="shared" si="130"/>
        <v>0</v>
      </c>
      <c r="AC109" s="264">
        <f t="shared" si="103"/>
        <v>0</v>
      </c>
      <c r="AD109" s="264"/>
      <c r="AE109" s="263">
        <f t="shared" si="133"/>
        <v>0</v>
      </c>
      <c r="AF109" s="263">
        <v>0</v>
      </c>
      <c r="AG109" s="259">
        <f t="shared" si="129"/>
        <v>0</v>
      </c>
      <c r="AH109" s="259">
        <f t="shared" si="121"/>
        <v>0</v>
      </c>
      <c r="AI109" s="259">
        <f t="shared" si="122"/>
        <v>0</v>
      </c>
      <c r="AJ109" s="259">
        <f t="shared" si="105"/>
        <v>0</v>
      </c>
      <c r="AK109" s="259">
        <f t="shared" si="123"/>
        <v>0</v>
      </c>
      <c r="AL109" s="259">
        <f t="shared" si="124"/>
        <v>0</v>
      </c>
      <c r="AM109" s="259">
        <f t="shared" si="125"/>
        <v>0</v>
      </c>
      <c r="AN109" s="259">
        <f t="shared" si="126"/>
        <v>0</v>
      </c>
      <c r="AO109" s="259">
        <f t="shared" si="127"/>
        <v>0</v>
      </c>
      <c r="AP109" s="247">
        <f t="shared" si="116"/>
        <v>0</v>
      </c>
      <c r="AQ109" s="265">
        <f t="shared" si="118"/>
        <v>0</v>
      </c>
      <c r="AR109" s="259">
        <f t="shared" si="131"/>
        <v>0</v>
      </c>
      <c r="AS109" s="259">
        <f t="shared" si="132"/>
        <v>0</v>
      </c>
      <c r="AT109" s="266">
        <v>0</v>
      </c>
      <c r="AU109" s="267">
        <v>0</v>
      </c>
      <c r="AV109" s="259">
        <f t="shared" si="128"/>
        <v>0</v>
      </c>
      <c r="AW109" s="259"/>
      <c r="AX109" s="259"/>
      <c r="AY109" s="265">
        <f t="shared" si="138"/>
        <v>0</v>
      </c>
      <c r="AZ109" s="259">
        <f t="shared" si="139"/>
        <v>0</v>
      </c>
      <c r="BA109" s="259">
        <f t="shared" si="140"/>
        <v>0</v>
      </c>
      <c r="BB109" s="430">
        <f t="shared" si="141"/>
        <v>0</v>
      </c>
      <c r="BC109" s="259"/>
      <c r="BD109" s="259"/>
      <c r="BE109" s="259"/>
      <c r="BF109" s="259"/>
      <c r="BG109" s="259"/>
      <c r="BH109" s="259"/>
      <c r="BI109" s="259"/>
      <c r="BJ109" s="259"/>
      <c r="BK109" s="259"/>
      <c r="BL109" s="265">
        <f t="shared" si="142"/>
        <v>0</v>
      </c>
      <c r="BM109" s="268">
        <f t="shared" si="143"/>
        <v>0</v>
      </c>
      <c r="BO109" s="259">
        <f t="shared" si="106"/>
        <v>0</v>
      </c>
      <c r="BP109" s="259">
        <f t="shared" si="107"/>
        <v>0</v>
      </c>
      <c r="BQ109" s="259">
        <f t="shared" si="108"/>
        <v>0</v>
      </c>
      <c r="BR109" s="265">
        <f t="shared" si="109"/>
        <v>0</v>
      </c>
    </row>
  </sheetData>
  <autoFilter ref="A2:BM11" xr:uid="{00000000-0009-0000-0000-000001000000}"/>
  <phoneticPr fontId="60" type="noConversion"/>
  <dataValidations count="1">
    <dataValidation type="list" allowBlank="1" showInputMessage="1" showErrorMessage="1" sqref="L3:L109" xr:uid="{00000000-0002-0000-0100-000000000000}">
      <formula1>A$1:A$2</formula1>
    </dataValidation>
  </dataValidations>
  <pageMargins left="0.70866141732283472" right="0.70866141732283472" top="0.74803149606299213" bottom="0.74803149606299213" header="0.31496062992125984" footer="0.31496062992125984"/>
  <pageSetup paperSize="9" scale="54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  <pageSetUpPr fitToPage="1"/>
  </sheetPr>
  <dimension ref="A1:Y336"/>
  <sheetViews>
    <sheetView showGridLines="0" view="pageBreakPreview" zoomScale="80" zoomScaleNormal="62" zoomScaleSheetLayoutView="80" workbookViewId="0">
      <pane xSplit="2" ySplit="16" topLeftCell="H17" activePane="bottomRight" state="frozen"/>
      <selection activeCell="Q29" sqref="Q29"/>
      <selection pane="topRight" activeCell="Q29" sqref="Q29"/>
      <selection pane="bottomLeft" activeCell="Q29" sqref="Q29"/>
      <selection pane="bottomRight" activeCell="V36" sqref="V36"/>
    </sheetView>
  </sheetViews>
  <sheetFormatPr defaultColWidth="41.7109375" defaultRowHeight="17.25" outlineLevelRow="1"/>
  <cols>
    <col min="1" max="1" width="49.28515625" style="274" customWidth="1"/>
    <col min="2" max="2" width="17.42578125" style="274" bestFit="1" customWidth="1"/>
    <col min="3" max="3" width="27.5703125" style="274" customWidth="1"/>
    <col min="4" max="4" width="28.28515625" style="275" customWidth="1"/>
    <col min="5" max="5" width="14.85546875" style="275" customWidth="1"/>
    <col min="6" max="6" width="18" style="275" customWidth="1"/>
    <col min="7" max="7" width="14.5703125" style="274" customWidth="1"/>
    <col min="8" max="8" width="19.85546875" style="275" bestFit="1" customWidth="1"/>
    <col min="9" max="9" width="18.5703125" style="275" customWidth="1"/>
    <col min="10" max="10" width="19.5703125" style="275" customWidth="1"/>
    <col min="11" max="11" width="20.42578125" style="275" customWidth="1"/>
    <col min="12" max="12" width="21.7109375" style="275" customWidth="1"/>
    <col min="13" max="13" width="15.28515625" style="275" bestFit="1" customWidth="1"/>
    <col min="14" max="14" width="20" style="275" bestFit="1" customWidth="1"/>
    <col min="15" max="15" width="17.42578125" style="275" customWidth="1"/>
    <col min="16" max="18" width="20.42578125" style="275" customWidth="1"/>
    <col min="19" max="19" width="17" style="275" customWidth="1"/>
    <col min="20" max="20" width="37" style="274" customWidth="1"/>
    <col min="21" max="21" width="25.28515625" style="274" customWidth="1"/>
    <col min="22" max="22" width="7.42578125" style="274" customWidth="1"/>
    <col min="23" max="23" width="19.42578125" style="274" customWidth="1"/>
    <col min="24" max="24" width="19.28515625" style="274" bestFit="1" customWidth="1"/>
    <col min="25" max="25" width="23" style="274" bestFit="1" customWidth="1"/>
    <col min="26" max="16384" width="41.7109375" style="274"/>
  </cols>
  <sheetData>
    <row r="1" spans="1:25" ht="28.5" customHeight="1">
      <c r="A1" s="273" t="s">
        <v>61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</row>
    <row r="2" spans="1:25" ht="20.25" customHeight="1" outlineLevel="1">
      <c r="D2" s="316">
        <v>39</v>
      </c>
      <c r="E2" s="315"/>
      <c r="F2" s="315"/>
    </row>
    <row r="3" spans="1:25">
      <c r="C3" s="274" t="s">
        <v>115</v>
      </c>
      <c r="D3" s="317" t="str">
        <f>+VLOOKUP($D$2,'DECOMPTES Finaux'!$A:$BM,2,0)</f>
        <v>L0039</v>
      </c>
      <c r="E3" s="315"/>
      <c r="F3" s="315"/>
      <c r="G3" s="317"/>
      <c r="S3" s="277"/>
    </row>
    <row r="4" spans="1:25">
      <c r="C4" s="274" t="s">
        <v>63</v>
      </c>
      <c r="D4" s="317">
        <f>+VLOOKUP($D$2,'DECOMPTES Finaux'!$A:$BM,3,0)</f>
        <v>0</v>
      </c>
      <c r="E4" s="315"/>
      <c r="F4" s="315"/>
      <c r="G4" s="317"/>
      <c r="H4" s="278"/>
      <c r="I4" s="278"/>
    </row>
    <row r="5" spans="1:25">
      <c r="C5" s="274" t="s">
        <v>64</v>
      </c>
      <c r="E5" s="318">
        <f>+VLOOKUP($D$2,'DECOMPTES Finaux'!$A:$BM,6,0)</f>
        <v>43356</v>
      </c>
      <c r="F5" s="318"/>
      <c r="K5" s="317"/>
      <c r="L5" s="317"/>
      <c r="M5" s="317"/>
      <c r="N5" s="317"/>
      <c r="O5" s="317"/>
      <c r="P5" s="317"/>
      <c r="R5" s="317"/>
    </row>
    <row r="6" spans="1:25">
      <c r="C6" s="274" t="s">
        <v>65</v>
      </c>
      <c r="E6" s="318">
        <f>+VLOOKUP($D$2,'DECOMPTES Finaux'!$A:$BM,14,0)</f>
        <v>45337</v>
      </c>
      <c r="F6" s="318"/>
      <c r="K6" s="317"/>
      <c r="L6" s="317"/>
      <c r="M6" s="317"/>
      <c r="N6" s="317"/>
      <c r="O6" s="317"/>
      <c r="P6" s="317"/>
      <c r="R6" s="317"/>
    </row>
    <row r="7" spans="1:25">
      <c r="C7" s="274" t="s">
        <v>66</v>
      </c>
      <c r="E7" s="274" t="str">
        <f>+VLOOKUP($D$2,'DECOMPTES Finaux'!$A:$BM,4,0)</f>
        <v>HEVEA</v>
      </c>
      <c r="K7" s="274"/>
      <c r="L7" s="274"/>
      <c r="R7" s="274"/>
    </row>
    <row r="8" spans="1:25">
      <c r="C8" s="274" t="s">
        <v>67</v>
      </c>
      <c r="E8" s="274" t="str">
        <f>+VLOOKUP($D$2,'DECOMPTES Finaux'!$A:$BM,5,0)</f>
        <v>WAITER</v>
      </c>
      <c r="K8" s="274"/>
      <c r="L8" s="274"/>
      <c r="M8" s="277"/>
      <c r="N8" s="277"/>
      <c r="O8" s="277"/>
      <c r="P8" s="277"/>
      <c r="R8" s="274"/>
    </row>
    <row r="9" spans="1:25">
      <c r="C9" s="274" t="s">
        <v>68</v>
      </c>
      <c r="E9" s="274" t="str">
        <f>+VLOOKUP($D$2,'DECOMPTES Finaux'!$A:$BM,15,0)</f>
        <v>5 ans, 5 mois, 2 jours</v>
      </c>
      <c r="G9" s="319"/>
    </row>
    <row r="10" spans="1:25">
      <c r="C10" s="274" t="s">
        <v>69</v>
      </c>
      <c r="E10" s="313">
        <f>+VLOOKUP($D$2,'DECOMPTES Finaux'!$A:$BM,13,0)</f>
        <v>216</v>
      </c>
      <c r="G10" s="319"/>
      <c r="M10" s="279"/>
      <c r="N10" s="279"/>
      <c r="O10" s="279"/>
      <c r="P10" s="279"/>
    </row>
    <row r="11" spans="1:25" ht="35.25" customHeight="1">
      <c r="C11" s="274" t="s">
        <v>70</v>
      </c>
      <c r="E11" s="274" t="str">
        <f>+VLOOKUP($D$2,'DECOMPTES Finaux'!$A:$BM,18,0)</f>
        <v>TRAVAILLEUR SPECIALISE</v>
      </c>
      <c r="G11" s="275"/>
      <c r="M11" s="279"/>
      <c r="N11" s="279"/>
      <c r="O11" s="279"/>
      <c r="P11" s="279"/>
    </row>
    <row r="12" spans="1:25" ht="18" thickBot="1">
      <c r="G12" s="319"/>
      <c r="H12" s="319"/>
      <c r="I12" s="319"/>
      <c r="J12" s="319"/>
      <c r="K12" s="319"/>
      <c r="L12" s="319"/>
      <c r="M12" s="279"/>
      <c r="N12" s="279"/>
      <c r="O12" s="279"/>
      <c r="P12" s="279"/>
      <c r="W12" s="320" t="s">
        <v>72</v>
      </c>
    </row>
    <row r="13" spans="1:25" ht="18" hidden="1" outlineLevel="1" thickBot="1">
      <c r="C13" s="321">
        <v>511110</v>
      </c>
      <c r="D13" s="321"/>
      <c r="E13" s="322"/>
      <c r="F13" s="322"/>
      <c r="G13" s="323">
        <v>523610</v>
      </c>
      <c r="H13" s="323"/>
      <c r="I13" s="324"/>
      <c r="J13" s="324"/>
      <c r="K13" s="325">
        <v>523310</v>
      </c>
      <c r="L13" s="325">
        <v>517110</v>
      </c>
      <c r="M13" s="325">
        <v>517210</v>
      </c>
      <c r="N13" s="325"/>
      <c r="O13" s="325">
        <v>541310</v>
      </c>
      <c r="P13" s="325">
        <v>541510</v>
      </c>
      <c r="Q13" s="326">
        <v>541410</v>
      </c>
      <c r="S13" s="326">
        <v>237130</v>
      </c>
      <c r="T13" s="326">
        <v>237150</v>
      </c>
      <c r="U13" s="326">
        <v>231110</v>
      </c>
      <c r="W13" s="327" t="s">
        <v>72</v>
      </c>
    </row>
    <row r="14" spans="1:25" s="373" customFormat="1" ht="39.6" customHeight="1" collapsed="1">
      <c r="C14" s="280" t="s">
        <v>73</v>
      </c>
      <c r="D14" s="281"/>
      <c r="E14" s="280" t="s">
        <v>151</v>
      </c>
      <c r="F14" s="281"/>
      <c r="G14" s="451" t="s">
        <v>22</v>
      </c>
      <c r="H14" s="281"/>
      <c r="I14" s="282" t="s">
        <v>155</v>
      </c>
      <c r="J14" s="283" t="s">
        <v>24</v>
      </c>
      <c r="K14" s="284" t="s">
        <v>12</v>
      </c>
      <c r="L14" s="285" t="s">
        <v>25</v>
      </c>
      <c r="M14" s="286" t="s">
        <v>26</v>
      </c>
      <c r="N14" s="381" t="s">
        <v>27</v>
      </c>
      <c r="O14" s="284" t="s">
        <v>28</v>
      </c>
      <c r="P14" s="285" t="s">
        <v>29</v>
      </c>
      <c r="Q14" s="287" t="s">
        <v>74</v>
      </c>
      <c r="R14" s="284" t="s">
        <v>35</v>
      </c>
      <c r="S14" s="288" t="s">
        <v>36</v>
      </c>
      <c r="T14" s="288" t="s">
        <v>37</v>
      </c>
      <c r="U14" s="288" t="s">
        <v>48</v>
      </c>
      <c r="W14" s="288" t="s">
        <v>146</v>
      </c>
      <c r="X14" s="288" t="s">
        <v>157</v>
      </c>
      <c r="Y14" s="288" t="s">
        <v>76</v>
      </c>
    </row>
    <row r="15" spans="1:25" s="276" customFormat="1" ht="29.45" customHeight="1" thickBot="1">
      <c r="C15" s="289" t="s">
        <v>53</v>
      </c>
      <c r="D15" s="290" t="s">
        <v>54</v>
      </c>
      <c r="E15" s="289" t="s">
        <v>53</v>
      </c>
      <c r="F15" s="291" t="s">
        <v>54</v>
      </c>
      <c r="G15" s="452" t="s">
        <v>53</v>
      </c>
      <c r="H15" s="291" t="s">
        <v>54</v>
      </c>
      <c r="I15" s="291" t="s">
        <v>54</v>
      </c>
      <c r="J15" s="291"/>
      <c r="K15" s="292" t="s">
        <v>54</v>
      </c>
      <c r="L15" s="293" t="s">
        <v>54</v>
      </c>
      <c r="M15" s="294" t="s">
        <v>54</v>
      </c>
      <c r="N15" s="382" t="s">
        <v>54</v>
      </c>
      <c r="O15" s="292" t="s">
        <v>54</v>
      </c>
      <c r="P15" s="293" t="s">
        <v>54</v>
      </c>
      <c r="Q15" s="291" t="s">
        <v>54</v>
      </c>
      <c r="R15" s="292"/>
      <c r="S15" s="293" t="s">
        <v>54</v>
      </c>
      <c r="T15" s="293" t="s">
        <v>54</v>
      </c>
      <c r="U15" s="293" t="s">
        <v>54</v>
      </c>
      <c r="W15" s="293" t="s">
        <v>54</v>
      </c>
      <c r="X15" s="293" t="s">
        <v>54</v>
      </c>
      <c r="Y15" s="293" t="s">
        <v>54</v>
      </c>
    </row>
    <row r="16" spans="1:25" s="373" customFormat="1" ht="48" customHeight="1" thickBot="1">
      <c r="A16" s="295" t="s">
        <v>77</v>
      </c>
      <c r="B16" s="296"/>
      <c r="C16" s="297" t="s">
        <v>78</v>
      </c>
      <c r="D16" s="298" t="s">
        <v>55</v>
      </c>
      <c r="E16" s="297" t="s">
        <v>78</v>
      </c>
      <c r="F16" s="298" t="s">
        <v>55</v>
      </c>
      <c r="G16" s="453" t="s">
        <v>78</v>
      </c>
      <c r="H16" s="298" t="s">
        <v>55</v>
      </c>
      <c r="I16" s="298" t="s">
        <v>55</v>
      </c>
      <c r="J16" s="299" t="s">
        <v>55</v>
      </c>
      <c r="K16" s="300" t="s">
        <v>55</v>
      </c>
      <c r="L16" s="301"/>
      <c r="M16" s="302"/>
      <c r="N16" s="383" t="s">
        <v>55</v>
      </c>
      <c r="O16" s="303" t="s">
        <v>55</v>
      </c>
      <c r="P16" s="301"/>
      <c r="Q16" s="301" t="s">
        <v>55</v>
      </c>
      <c r="R16" s="377" t="s">
        <v>55</v>
      </c>
      <c r="S16" s="301" t="s">
        <v>55</v>
      </c>
      <c r="T16" s="301" t="s">
        <v>55</v>
      </c>
      <c r="U16" s="301" t="s">
        <v>55</v>
      </c>
      <c r="W16" s="301" t="s">
        <v>55</v>
      </c>
      <c r="X16" s="301" t="s">
        <v>55</v>
      </c>
      <c r="Y16" s="301" t="s">
        <v>55</v>
      </c>
    </row>
    <row r="17" spans="1:25" ht="28.15" customHeight="1">
      <c r="A17" s="328" t="s">
        <v>79</v>
      </c>
      <c r="B17" s="329">
        <f>+VLOOKUP($D$2,'DECOMPTES Finaux'!$A:$BM,7,0)</f>
        <v>172.9</v>
      </c>
      <c r="C17" s="330">
        <f>+VLOOKUP($D$2,'DECOMPTES Finaux'!$A:$BM,22,0)</f>
        <v>0</v>
      </c>
      <c r="D17" s="331">
        <f>+B17/26*C17</f>
        <v>0</v>
      </c>
      <c r="E17" s="456">
        <f>+VLOOKUP($D$2,'DECOMPTES Finaux'!$A:$BM,23,0)</f>
        <v>0</v>
      </c>
      <c r="F17" s="457">
        <f>ROUND(B17/26*1.25*E17,2)</f>
        <v>0</v>
      </c>
      <c r="G17" s="330">
        <f>+VLOOKUP($D$2,'DECOMPTES Finaux'!$A:$BM,24,0)</f>
        <v>4</v>
      </c>
      <c r="H17" s="331">
        <f>+$B$17/26*G17</f>
        <v>26.6</v>
      </c>
      <c r="J17" s="332"/>
      <c r="K17" s="332"/>
      <c r="L17" s="333"/>
      <c r="M17" s="334"/>
      <c r="N17" s="384"/>
      <c r="O17" s="335"/>
      <c r="P17" s="333"/>
      <c r="Q17" s="336"/>
      <c r="R17" s="378"/>
      <c r="S17" s="337"/>
      <c r="T17" s="337"/>
      <c r="U17" s="337"/>
      <c r="W17" s="337"/>
      <c r="X17" s="337"/>
      <c r="Y17" s="337"/>
    </row>
    <row r="18" spans="1:25" ht="28.15" customHeight="1">
      <c r="A18" s="338" t="s">
        <v>16</v>
      </c>
      <c r="B18" s="339">
        <f>+VLOOKUP($D$2,'DECOMPTES Finaux'!$A:$BM,27,0)</f>
        <v>0</v>
      </c>
      <c r="C18" s="304"/>
      <c r="D18" s="331"/>
      <c r="E18" s="341"/>
      <c r="F18" s="331"/>
      <c r="G18" s="454"/>
      <c r="H18" s="331">
        <f>+$B$17/26*B18</f>
        <v>0</v>
      </c>
      <c r="I18" s="331"/>
      <c r="J18" s="331"/>
      <c r="K18" s="331"/>
      <c r="L18" s="340"/>
      <c r="M18" s="341"/>
      <c r="N18" s="384"/>
      <c r="O18" s="335"/>
      <c r="P18" s="340"/>
      <c r="Q18" s="342"/>
      <c r="R18" s="379"/>
      <c r="S18" s="343"/>
      <c r="T18" s="343"/>
      <c r="U18" s="343"/>
      <c r="W18" s="343"/>
      <c r="X18" s="343"/>
      <c r="Y18" s="343"/>
    </row>
    <row r="19" spans="1:25" ht="28.15" customHeight="1">
      <c r="A19" s="338" t="s">
        <v>17</v>
      </c>
      <c r="B19" s="339">
        <f>+VLOOKUP($D$2,'DECOMPTES Finaux'!$A:$BM,28,0)</f>
        <v>0</v>
      </c>
      <c r="C19" s="304"/>
      <c r="D19" s="331"/>
      <c r="E19" s="341"/>
      <c r="F19" s="331"/>
      <c r="G19" s="454"/>
      <c r="H19" s="331">
        <f>+$B$17/26*B19</f>
        <v>0</v>
      </c>
      <c r="I19" s="331"/>
      <c r="J19" s="331"/>
      <c r="K19" s="331"/>
      <c r="L19" s="340"/>
      <c r="M19" s="341"/>
      <c r="N19" s="384"/>
      <c r="O19" s="335"/>
      <c r="P19" s="340"/>
      <c r="Q19" s="342"/>
      <c r="R19" s="379"/>
      <c r="S19" s="343"/>
      <c r="T19" s="343"/>
      <c r="U19" s="343"/>
      <c r="W19" s="343"/>
      <c r="X19" s="343"/>
      <c r="Y19" s="343"/>
    </row>
    <row r="20" spans="1:25" ht="28.15" customHeight="1">
      <c r="A20" s="338" t="s">
        <v>15</v>
      </c>
      <c r="B20" s="433">
        <f>+VLOOKUP($D$2,'DECOMPTES Finaux'!$A:$BM,26,0)</f>
        <v>0</v>
      </c>
      <c r="C20" s="304"/>
      <c r="D20" s="331"/>
      <c r="E20" s="341"/>
      <c r="F20" s="331"/>
      <c r="G20" s="454"/>
      <c r="H20" s="331"/>
      <c r="I20" s="331"/>
      <c r="J20" s="331"/>
      <c r="K20" s="331">
        <f>+$B$17/26*B20</f>
        <v>0</v>
      </c>
      <c r="L20" s="340"/>
      <c r="M20" s="341"/>
      <c r="N20" s="384"/>
      <c r="O20" s="335"/>
      <c r="P20" s="340"/>
      <c r="Q20" s="342"/>
      <c r="R20" s="379"/>
      <c r="S20" s="343"/>
      <c r="T20" s="343"/>
      <c r="U20" s="343"/>
      <c r="W20" s="343"/>
      <c r="X20" s="343"/>
      <c r="Y20" s="343"/>
    </row>
    <row r="21" spans="1:25" ht="28.15" customHeight="1">
      <c r="A21" s="338" t="s">
        <v>18</v>
      </c>
      <c r="B21" s="431">
        <f>+VLOOKUP($D$2,'DECOMPTES Finaux'!$A:$BM,29,0)</f>
        <v>4.333333333333333</v>
      </c>
      <c r="C21" s="304"/>
      <c r="D21" s="331"/>
      <c r="E21" s="341"/>
      <c r="F21" s="331"/>
      <c r="G21" s="454"/>
      <c r="H21" s="331"/>
      <c r="I21" s="331"/>
      <c r="J21" s="331"/>
      <c r="K21" s="331"/>
      <c r="L21" s="340">
        <f>+B21*B17/26</f>
        <v>28.816666666666666</v>
      </c>
      <c r="M21" s="341"/>
      <c r="N21" s="384"/>
      <c r="O21" s="335"/>
      <c r="P21" s="340"/>
      <c r="Q21" s="342"/>
      <c r="R21" s="379"/>
      <c r="S21" s="343"/>
      <c r="T21" s="343"/>
      <c r="U21" s="343"/>
      <c r="W21" s="343"/>
      <c r="X21" s="343"/>
      <c r="Y21" s="343"/>
    </row>
    <row r="22" spans="1:25" ht="28.15" customHeight="1">
      <c r="A22" s="432" t="s">
        <v>154</v>
      </c>
      <c r="B22" s="431">
        <f>+VLOOKUP($D$2,'DECOMPTES Finaux'!$A:$BM,25,0)</f>
        <v>0</v>
      </c>
      <c r="C22" s="304"/>
      <c r="D22" s="331"/>
      <c r="E22" s="341"/>
      <c r="F22" s="331"/>
      <c r="G22" s="454"/>
      <c r="H22" s="331"/>
      <c r="I22" s="331">
        <f>+B17/26*B22</f>
        <v>0</v>
      </c>
      <c r="J22" s="331"/>
      <c r="K22" s="331"/>
      <c r="L22" s="340"/>
      <c r="M22" s="341"/>
      <c r="N22" s="384"/>
      <c r="O22" s="335"/>
      <c r="P22" s="340"/>
      <c r="Q22" s="342"/>
      <c r="R22" s="379"/>
      <c r="S22" s="343"/>
      <c r="T22" s="343"/>
      <c r="U22" s="343"/>
      <c r="W22" s="343"/>
      <c r="X22" s="343"/>
      <c r="Y22" s="343"/>
    </row>
    <row r="23" spans="1:25" ht="28.15" customHeight="1">
      <c r="A23" s="432" t="s">
        <v>19</v>
      </c>
      <c r="B23" s="434">
        <f>SUM(B18:B22)+C17+G17+E17</f>
        <v>8.3333333333333321</v>
      </c>
      <c r="C23" s="304"/>
      <c r="D23" s="331"/>
      <c r="E23" s="341"/>
      <c r="F23" s="331"/>
      <c r="G23" s="454"/>
      <c r="H23" s="331"/>
      <c r="I23" s="331"/>
      <c r="J23" s="331"/>
      <c r="K23" s="331"/>
      <c r="L23" s="340"/>
      <c r="M23" s="341"/>
      <c r="N23" s="384"/>
      <c r="O23" s="335"/>
      <c r="P23" s="340"/>
      <c r="Q23" s="342"/>
      <c r="R23" s="379"/>
      <c r="S23" s="343"/>
      <c r="T23" s="343"/>
      <c r="U23" s="343"/>
      <c r="W23" s="343"/>
      <c r="X23" s="343"/>
      <c r="Y23" s="343"/>
    </row>
    <row r="24" spans="1:25" ht="28.15" customHeight="1">
      <c r="A24" s="338" t="s">
        <v>24</v>
      </c>
      <c r="B24" s="434">
        <f>+VLOOKUP($D$2,'DECOMPTES Finaux'!$A:$BM,32,0)</f>
        <v>0</v>
      </c>
      <c r="C24" s="304"/>
      <c r="D24" s="331"/>
      <c r="E24" s="341"/>
      <c r="F24" s="331"/>
      <c r="G24" s="454"/>
      <c r="H24" s="331"/>
      <c r="I24" s="331"/>
      <c r="J24" s="331">
        <f>(B17/26)*B24*(2/3)</f>
        <v>0</v>
      </c>
      <c r="K24" s="331"/>
      <c r="L24" s="340"/>
      <c r="M24" s="341"/>
      <c r="N24" s="384"/>
      <c r="O24" s="335"/>
      <c r="P24" s="340"/>
      <c r="Q24" s="342"/>
      <c r="R24" s="379"/>
      <c r="S24" s="343"/>
      <c r="T24" s="343"/>
      <c r="U24" s="343"/>
      <c r="W24" s="343"/>
      <c r="X24" s="343"/>
      <c r="Y24" s="343"/>
    </row>
    <row r="25" spans="1:25" ht="28.15" customHeight="1">
      <c r="A25" s="338" t="s">
        <v>80</v>
      </c>
      <c r="B25" s="460">
        <f>+VLOOKUP($D$2,'DECOMPTES Finaux'!$A:$BM,9,0)</f>
        <v>27.1</v>
      </c>
      <c r="C25" s="304"/>
      <c r="D25" s="331"/>
      <c r="E25" s="341"/>
      <c r="F25" s="331"/>
      <c r="G25" s="454"/>
      <c r="H25" s="331"/>
      <c r="I25" s="331"/>
      <c r="J25" s="331"/>
      <c r="K25" s="331"/>
      <c r="L25" s="340"/>
      <c r="M25" s="341"/>
      <c r="N25" s="384"/>
      <c r="O25" s="335">
        <f>+B25/26*(B23)</f>
        <v>8.6858974358974361</v>
      </c>
      <c r="P25" s="340"/>
      <c r="Q25" s="342"/>
      <c r="R25" s="379"/>
      <c r="S25" s="343"/>
      <c r="T25" s="343"/>
      <c r="U25" s="343"/>
      <c r="W25" s="343"/>
      <c r="X25" s="343"/>
      <c r="Y25" s="343"/>
    </row>
    <row r="26" spans="1:25" ht="28.15" customHeight="1">
      <c r="A26" s="338" t="s">
        <v>81</v>
      </c>
      <c r="B26" s="460">
        <f>+VLOOKUP($D$2,'DECOMPTES Finaux'!$A:$BM,8,0)</f>
        <v>60</v>
      </c>
      <c r="C26" s="304"/>
      <c r="D26" s="331"/>
      <c r="E26" s="341"/>
      <c r="F26" s="331"/>
      <c r="G26" s="454"/>
      <c r="H26" s="331"/>
      <c r="I26" s="331"/>
      <c r="J26" s="331"/>
      <c r="K26" s="331"/>
      <c r="L26" s="340"/>
      <c r="M26" s="341"/>
      <c r="N26" s="384"/>
      <c r="O26" s="335"/>
      <c r="P26" s="340">
        <f>+B26*(C17+E17)/26</f>
        <v>0</v>
      </c>
      <c r="Q26" s="342"/>
      <c r="R26" s="379"/>
      <c r="S26" s="343"/>
      <c r="T26" s="343"/>
      <c r="U26" s="343"/>
      <c r="W26" s="343"/>
      <c r="X26" s="343"/>
      <c r="Y26" s="343"/>
    </row>
    <row r="27" spans="1:25" ht="28.15" customHeight="1">
      <c r="A27" s="338" t="s">
        <v>26</v>
      </c>
      <c r="B27" s="460">
        <f>+VLOOKUP($D$2,'DECOMPTES Finaux'!$A:$BM,10,0)</f>
        <v>0</v>
      </c>
      <c r="C27" s="304"/>
      <c r="D27" s="331"/>
      <c r="E27" s="341"/>
      <c r="F27" s="331"/>
      <c r="G27" s="454"/>
      <c r="H27" s="331"/>
      <c r="I27" s="331"/>
      <c r="J27" s="331"/>
      <c r="K27" s="331"/>
      <c r="L27" s="340"/>
      <c r="M27" s="341">
        <f>+B27</f>
        <v>0</v>
      </c>
      <c r="N27" s="384"/>
      <c r="O27" s="335"/>
      <c r="P27" s="340"/>
      <c r="Q27" s="341"/>
      <c r="R27" s="379"/>
      <c r="S27" s="343"/>
      <c r="T27" s="343"/>
      <c r="U27" s="343"/>
      <c r="W27" s="343"/>
      <c r="X27" s="343"/>
      <c r="Y27" s="343"/>
    </row>
    <row r="28" spans="1:25" ht="28.15" customHeight="1">
      <c r="A28" s="344" t="s">
        <v>234</v>
      </c>
      <c r="B28" s="460">
        <f>+VLOOKUP($D$2,'DECOMPTES Finaux'!$A:$BM,11,0)</f>
        <v>2.89</v>
      </c>
      <c r="C28" s="304"/>
      <c r="D28" s="331"/>
      <c r="E28" s="341"/>
      <c r="F28" s="331"/>
      <c r="G28" s="454"/>
      <c r="H28" s="331"/>
      <c r="I28" s="331"/>
      <c r="J28" s="331"/>
      <c r="K28" s="331"/>
      <c r="L28" s="340"/>
      <c r="M28" s="341">
        <f>+B28</f>
        <v>2.89</v>
      </c>
      <c r="N28" s="384"/>
      <c r="O28" s="335"/>
      <c r="P28" s="340"/>
      <c r="Q28" s="341"/>
      <c r="R28" s="379"/>
      <c r="S28" s="343"/>
      <c r="T28" s="343"/>
      <c r="U28" s="343"/>
      <c r="W28" s="343"/>
      <c r="X28" s="343"/>
      <c r="Y28" s="343"/>
    </row>
    <row r="29" spans="1:25" ht="28.15" customHeight="1" thickBot="1">
      <c r="A29" s="345" t="s">
        <v>122</v>
      </c>
      <c r="B29" s="460">
        <f>+VLOOKUP($D$2,'DECOMPTES Finaux'!$A:$BM,46,0)</f>
        <v>0</v>
      </c>
      <c r="C29" s="305"/>
      <c r="D29" s="331"/>
      <c r="E29" s="458"/>
      <c r="F29" s="459"/>
      <c r="G29" s="455"/>
      <c r="H29" s="331"/>
      <c r="I29" s="331"/>
      <c r="J29" s="331"/>
      <c r="K29" s="331"/>
      <c r="L29" s="340"/>
      <c r="M29" s="341"/>
      <c r="N29" s="384"/>
      <c r="O29" s="335"/>
      <c r="P29" s="340"/>
      <c r="Q29" s="341">
        <f>+VLOOKUP($D$2,'DECOMPTES Finaux'!$A:$BM,48,0)</f>
        <v>0</v>
      </c>
      <c r="R29" s="380">
        <f>+C29*8</f>
        <v>0</v>
      </c>
      <c r="S29" s="346"/>
      <c r="T29" s="346"/>
      <c r="U29" s="346"/>
      <c r="W29" s="343"/>
      <c r="X29" s="343"/>
      <c r="Y29" s="343"/>
    </row>
    <row r="30" spans="1:25" ht="31.5" customHeight="1" thickBot="1">
      <c r="A30" s="347" t="s">
        <v>83</v>
      </c>
      <c r="B30" s="348"/>
      <c r="C30" s="306"/>
      <c r="D30" s="374">
        <f>SUM(D17:D29)</f>
        <v>0</v>
      </c>
      <c r="E30" s="376"/>
      <c r="F30" s="374">
        <f>SUM(F17:F29)</f>
        <v>0</v>
      </c>
      <c r="G30" s="349"/>
      <c r="H30" s="374">
        <f t="shared" ref="H30:M30" si="0">SUM(H17:H29)</f>
        <v>26.6</v>
      </c>
      <c r="I30" s="375">
        <f>SUM(I18:I29)</f>
        <v>0</v>
      </c>
      <c r="J30" s="375">
        <f t="shared" si="0"/>
        <v>0</v>
      </c>
      <c r="K30" s="375">
        <f t="shared" si="0"/>
        <v>0</v>
      </c>
      <c r="L30" s="375">
        <f>SUM(L17:L29)</f>
        <v>28.816666666666666</v>
      </c>
      <c r="M30" s="376">
        <f t="shared" si="0"/>
        <v>2.89</v>
      </c>
      <c r="N30" s="374">
        <f>+D30+F30+H30++I30+J30+K30+L30+M30</f>
        <v>58.306666666666672</v>
      </c>
      <c r="O30" s="374">
        <f>SUM(O17:O29)</f>
        <v>8.6858974358974361</v>
      </c>
      <c r="P30" s="374">
        <f>SUM(P17:P29)</f>
        <v>0</v>
      </c>
      <c r="Q30" s="348">
        <f>SUM(Q17:Q29)</f>
        <v>0</v>
      </c>
      <c r="R30" s="374">
        <f>+N30+Q30+P30+O30</f>
        <v>66.992564102564103</v>
      </c>
      <c r="S30" s="350">
        <f>+$N30*0.05</f>
        <v>2.9153333333333338</v>
      </c>
      <c r="T30" s="350">
        <f>+($N30-$S30)*0.1</f>
        <v>5.5391333333333339</v>
      </c>
      <c r="U30" s="351">
        <f>+R30-S30-T30</f>
        <v>58.538097435897434</v>
      </c>
      <c r="W30" s="352">
        <f>+$N$30*13%</f>
        <v>7.5798666666666676</v>
      </c>
      <c r="X30" s="352">
        <f>+$N$30*2%</f>
        <v>1.1661333333333335</v>
      </c>
      <c r="Y30" s="352">
        <f>+$N$30*0.02%</f>
        <v>1.1661333333333334E-2</v>
      </c>
    </row>
    <row r="31" spans="1:25" ht="31.5" customHeight="1" thickBot="1">
      <c r="B31" s="353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</row>
    <row r="32" spans="1:25" ht="41.45" customHeight="1" thickBot="1">
      <c r="B32" s="307"/>
      <c r="R32" s="354" t="s">
        <v>56</v>
      </c>
      <c r="S32" s="355"/>
      <c r="T32" s="356" t="s">
        <v>38</v>
      </c>
      <c r="U32" s="357">
        <f>+VLOOKUP($D$2,'DECOMPTES Finaux'!$A:$BM,55,0)</f>
        <v>0</v>
      </c>
      <c r="W32" s="358">
        <v>117110</v>
      </c>
      <c r="X32" s="274">
        <v>51</v>
      </c>
    </row>
    <row r="33" spans="1:25" ht="57.75" customHeight="1" thickBot="1">
      <c r="A33" s="359"/>
      <c r="B33" s="359"/>
      <c r="C33" s="359"/>
      <c r="D33" s="359"/>
      <c r="E33" s="359"/>
      <c r="F33" s="359"/>
      <c r="G33" s="360"/>
      <c r="H33" s="274"/>
      <c r="I33" s="274"/>
      <c r="J33" s="274"/>
      <c r="K33" s="274"/>
      <c r="L33" s="274"/>
      <c r="M33" s="360"/>
      <c r="N33" s="360"/>
      <c r="O33" s="360"/>
      <c r="P33" s="360"/>
      <c r="Q33" s="274"/>
      <c r="R33" s="361"/>
      <c r="S33" s="362"/>
      <c r="T33" s="356" t="s">
        <v>39</v>
      </c>
      <c r="U33" s="357">
        <f>+VLOOKUP($D$2,'DECOMPTES Finaux'!$A:$BM,56,0)</f>
        <v>0</v>
      </c>
      <c r="W33" s="363" t="s">
        <v>84</v>
      </c>
      <c r="X33" s="274">
        <v>52</v>
      </c>
      <c r="Y33" s="274">
        <v>59</v>
      </c>
    </row>
    <row r="34" spans="1:25" ht="41.45" customHeight="1" thickBot="1">
      <c r="A34" s="359"/>
      <c r="B34" s="359"/>
      <c r="C34" s="359"/>
      <c r="D34" s="359"/>
      <c r="E34" s="359"/>
      <c r="F34" s="359"/>
      <c r="G34" s="360"/>
      <c r="H34" s="274"/>
      <c r="I34" s="274"/>
      <c r="J34" s="274"/>
      <c r="K34" s="274"/>
      <c r="L34" s="274"/>
      <c r="M34" s="360"/>
      <c r="N34" s="360"/>
      <c r="O34" s="360"/>
      <c r="P34" s="360"/>
      <c r="Q34" s="274"/>
      <c r="R34" s="361"/>
      <c r="S34" s="362"/>
      <c r="T34" s="356" t="s">
        <v>40</v>
      </c>
      <c r="U34" s="357">
        <f>+VLOOKUP($D$2,'DECOMPTES Finaux'!$A:$BM,57,0)</f>
        <v>0</v>
      </c>
      <c r="W34" s="358">
        <v>654610</v>
      </c>
      <c r="X34" s="274">
        <v>53</v>
      </c>
    </row>
    <row r="35" spans="1:25" ht="41.45" customHeight="1" thickBot="1">
      <c r="A35" s="359"/>
      <c r="B35" s="359"/>
      <c r="C35" s="359"/>
      <c r="D35" s="359"/>
      <c r="E35" s="359"/>
      <c r="F35" s="359"/>
      <c r="G35" s="360"/>
      <c r="H35" s="308"/>
      <c r="I35" s="308"/>
      <c r="J35" s="308"/>
      <c r="K35" s="308"/>
      <c r="L35" s="308"/>
      <c r="M35" s="360"/>
      <c r="N35" s="360"/>
      <c r="O35" s="360"/>
      <c r="P35" s="360"/>
      <c r="Q35" s="274"/>
      <c r="R35" s="309"/>
      <c r="S35" s="310"/>
      <c r="T35" s="356" t="s">
        <v>41</v>
      </c>
      <c r="U35" s="357">
        <f>+VLOOKUP($D$2,'DECOMPTES Finaux'!$A:$BM,58,0)</f>
        <v>0</v>
      </c>
      <c r="W35" s="358">
        <v>666110</v>
      </c>
      <c r="X35" s="274">
        <v>54</v>
      </c>
    </row>
    <row r="36" spans="1:25" ht="41.45" customHeight="1" thickBot="1">
      <c r="H36" s="279"/>
      <c r="I36" s="279"/>
      <c r="J36" s="279"/>
      <c r="K36" s="279"/>
      <c r="L36" s="279"/>
      <c r="R36" s="364"/>
      <c r="S36" s="365"/>
      <c r="T36" s="356"/>
      <c r="U36" s="357"/>
      <c r="W36" s="358">
        <v>656610</v>
      </c>
    </row>
    <row r="37" spans="1:25" ht="37.5" customHeight="1" thickBot="1">
      <c r="G37" s="311"/>
      <c r="S37" s="366" t="s">
        <v>57</v>
      </c>
      <c r="T37" s="367"/>
      <c r="U37" s="368">
        <f>+U30-SUM(U32:U36)</f>
        <v>58.538097435897434</v>
      </c>
    </row>
    <row r="38" spans="1:25" ht="24" customHeight="1">
      <c r="G38" s="311"/>
    </row>
    <row r="39" spans="1:25">
      <c r="G39" s="311"/>
      <c r="S39" s="369"/>
    </row>
    <row r="40" spans="1:25">
      <c r="G40" s="311"/>
      <c r="T40" s="312"/>
      <c r="U40" s="312"/>
    </row>
    <row r="41" spans="1:25" ht="32.25" customHeight="1">
      <c r="A41" s="370" t="s">
        <v>86</v>
      </c>
      <c r="G41" s="371" t="s">
        <v>58</v>
      </c>
      <c r="M41" s="370"/>
      <c r="N41" s="370"/>
      <c r="O41" s="370" t="s">
        <v>59</v>
      </c>
      <c r="P41" s="370"/>
      <c r="Q41" s="372"/>
      <c r="S41" s="372"/>
    </row>
    <row r="42" spans="1:25">
      <c r="S42" s="312"/>
      <c r="T42" s="312"/>
    </row>
    <row r="45" spans="1:25" ht="14.25" customHeight="1">
      <c r="S45" s="274"/>
    </row>
    <row r="46" spans="1:25" ht="14.25" customHeight="1">
      <c r="C46" s="313"/>
      <c r="D46" s="314"/>
      <c r="E46" s="314"/>
      <c r="F46" s="314"/>
      <c r="G46" s="313"/>
    </row>
    <row r="47" spans="1:25">
      <c r="D47" s="274"/>
      <c r="E47" s="274"/>
      <c r="F47" s="274"/>
      <c r="G47" s="313"/>
      <c r="H47" s="314"/>
      <c r="I47" s="314"/>
      <c r="J47" s="314"/>
      <c r="K47" s="314"/>
      <c r="L47" s="314"/>
      <c r="M47" s="314"/>
      <c r="N47" s="314"/>
      <c r="O47" s="314"/>
      <c r="P47" s="314"/>
      <c r="R47" s="314"/>
    </row>
    <row r="50" spans="4:18">
      <c r="D50" s="274"/>
      <c r="E50" s="274"/>
      <c r="F50" s="274"/>
      <c r="G50" s="313"/>
      <c r="H50" s="314"/>
      <c r="I50" s="314"/>
      <c r="J50" s="314"/>
      <c r="K50" s="314"/>
      <c r="L50" s="314"/>
      <c r="M50" s="314"/>
      <c r="N50" s="314"/>
      <c r="O50" s="314"/>
      <c r="P50" s="314"/>
      <c r="R50" s="314"/>
    </row>
    <row r="336" spans="1:22" s="275" customFormat="1">
      <c r="A336" s="274"/>
      <c r="B336" s="274"/>
      <c r="C336" s="274"/>
      <c r="G336" s="274"/>
      <c r="N336" s="275" t="e">
        <v>#N/A</v>
      </c>
      <c r="T336" s="274"/>
      <c r="U336" s="274"/>
      <c r="V336" s="274"/>
    </row>
  </sheetData>
  <mergeCells count="9">
    <mergeCell ref="E5:F5"/>
    <mergeCell ref="E6:F6"/>
    <mergeCell ref="A16:B16"/>
    <mergeCell ref="S37:T37"/>
    <mergeCell ref="C13:D13"/>
    <mergeCell ref="G13:H13"/>
    <mergeCell ref="C14:D14"/>
    <mergeCell ref="G14:H14"/>
    <mergeCell ref="E14:F14"/>
  </mergeCells>
  <pageMargins left="0.25" right="0.25" top="0.75" bottom="0.75" header="0.3" footer="0.3"/>
  <pageSetup paperSize="9" scale="3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  <pageSetUpPr fitToPage="1"/>
  </sheetPr>
  <dimension ref="A1:P29"/>
  <sheetViews>
    <sheetView zoomScale="80" zoomScaleNormal="80" workbookViewId="0">
      <pane ySplit="2" topLeftCell="A3" activePane="bottomLeft" state="frozen"/>
      <selection activeCell="C16" sqref="C16"/>
      <selection pane="bottomLeft" activeCell="G33" sqref="G33"/>
    </sheetView>
  </sheetViews>
  <sheetFormatPr defaultColWidth="9.140625" defaultRowHeight="13.5"/>
  <cols>
    <col min="1" max="1" width="11.5703125" style="385" bestFit="1" customWidth="1"/>
    <col min="2" max="2" width="13.28515625" style="385" bestFit="1" customWidth="1"/>
    <col min="3" max="3" width="12.5703125" style="385" bestFit="1" customWidth="1"/>
    <col min="4" max="4" width="11.42578125" style="385" bestFit="1" customWidth="1"/>
    <col min="5" max="5" width="11.42578125" style="385" customWidth="1"/>
    <col min="6" max="6" width="57.85546875" style="385" bestFit="1" customWidth="1"/>
    <col min="7" max="7" width="14.42578125" style="385" customWidth="1"/>
    <col min="8" max="8" width="12.7109375" style="385" bestFit="1" customWidth="1"/>
    <col min="9" max="9" width="13.42578125" style="385" bestFit="1" customWidth="1"/>
    <col min="10" max="10" width="9.42578125" style="385" customWidth="1"/>
    <col min="11" max="11" width="13.42578125" style="385" bestFit="1" customWidth="1"/>
    <col min="12" max="12" width="13.28515625" style="385" bestFit="1" customWidth="1"/>
    <col min="13" max="13" width="16.28515625" style="385" bestFit="1" customWidth="1"/>
    <col min="14" max="14" width="8" style="385" customWidth="1"/>
    <col min="15" max="15" width="9.140625" style="385"/>
    <col min="16" max="16" width="46.5703125" style="385" bestFit="1" customWidth="1"/>
    <col min="17" max="16384" width="9.140625" style="385"/>
  </cols>
  <sheetData>
    <row r="1" spans="1:16" ht="14.25" thickBot="1">
      <c r="L1" s="404">
        <v>1</v>
      </c>
    </row>
    <row r="2" spans="1:16" s="410" customFormat="1" ht="19.5" customHeight="1" thickBot="1">
      <c r="A2" s="405" t="s">
        <v>87</v>
      </c>
      <c r="B2" s="406" t="s">
        <v>88</v>
      </c>
      <c r="C2" s="406" t="s">
        <v>89</v>
      </c>
      <c r="D2" s="406" t="s">
        <v>90</v>
      </c>
      <c r="E2" s="406" t="s">
        <v>91</v>
      </c>
      <c r="F2" s="406" t="s">
        <v>92</v>
      </c>
      <c r="G2" s="406" t="s">
        <v>93</v>
      </c>
      <c r="H2" s="407" t="s">
        <v>94</v>
      </c>
      <c r="I2" s="407" t="s">
        <v>95</v>
      </c>
      <c r="J2" s="408" t="s">
        <v>96</v>
      </c>
      <c r="K2" s="407" t="s">
        <v>97</v>
      </c>
      <c r="L2" s="408" t="s">
        <v>98</v>
      </c>
      <c r="M2" s="409" t="s">
        <v>99</v>
      </c>
      <c r="N2" s="410" t="s">
        <v>100</v>
      </c>
    </row>
    <row r="3" spans="1:16" ht="16.5">
      <c r="A3" s="411">
        <v>45350</v>
      </c>
      <c r="B3" s="412" t="s">
        <v>260</v>
      </c>
      <c r="C3" s="386" t="s">
        <v>101</v>
      </c>
      <c r="D3" s="386">
        <v>511110</v>
      </c>
      <c r="E3" s="386"/>
      <c r="F3" s="386" t="str">
        <f>+P3&amp;"-Final Settlement."&amp;'Tableau Detaillé'!$D$3</f>
        <v>Local Salar.-Final Settlement.L0039</v>
      </c>
      <c r="G3" s="410">
        <f>+'Tableau Detaillé'!$E$10</f>
        <v>216</v>
      </c>
      <c r="H3" s="387">
        <f>+'Tableau Detaillé'!D30</f>
        <v>0</v>
      </c>
      <c r="I3" s="388"/>
      <c r="J3" s="388">
        <f>+IF(H3&lt;&gt;0,H3,+IF(I3&lt;&gt;0,-I3,0))</f>
        <v>0</v>
      </c>
      <c r="K3" s="389" t="s">
        <v>102</v>
      </c>
      <c r="L3" s="389">
        <f>+J3*$L$1</f>
        <v>0</v>
      </c>
      <c r="M3" s="390" t="s">
        <v>101</v>
      </c>
      <c r="N3" s="413">
        <f>+LEN(F3)</f>
        <v>35</v>
      </c>
      <c r="O3" s="391"/>
      <c r="P3" s="385" t="s">
        <v>116</v>
      </c>
    </row>
    <row r="4" spans="1:16" ht="16.5">
      <c r="A4" s="392">
        <f>+A3</f>
        <v>45350</v>
      </c>
      <c r="B4" s="385" t="str">
        <f>+B3</f>
        <v>SAL00606</v>
      </c>
      <c r="C4" s="385" t="s">
        <v>101</v>
      </c>
      <c r="D4" s="385">
        <v>511310</v>
      </c>
      <c r="F4" s="385" t="str">
        <f>+P4&amp;"-Final Settlement."&amp;'Tableau Detaillé'!$D$3</f>
        <v>Shift Diff.Pay-Final Settlement.L0039</v>
      </c>
      <c r="G4" s="410">
        <f>+'Tableau Detaillé'!$E$10</f>
        <v>216</v>
      </c>
      <c r="H4" s="387">
        <f>+'Tableau Detaillé'!F30</f>
        <v>0</v>
      </c>
      <c r="I4" s="387"/>
      <c r="J4" s="387">
        <f>+IF(H4&lt;&gt;0,H4,+IF(I4&lt;&gt;0,-I4,0))</f>
        <v>0</v>
      </c>
      <c r="K4" s="394" t="s">
        <v>102</v>
      </c>
      <c r="L4" s="387">
        <f>+J4*$L$1</f>
        <v>0</v>
      </c>
      <c r="M4" s="393" t="s">
        <v>101</v>
      </c>
      <c r="N4" s="413">
        <f>+LEN(F4)</f>
        <v>37</v>
      </c>
      <c r="P4" s="385" t="s">
        <v>152</v>
      </c>
    </row>
    <row r="5" spans="1:16" ht="16.5">
      <c r="A5" s="392">
        <f>+A3</f>
        <v>45350</v>
      </c>
      <c r="B5" s="385" t="str">
        <f>+B3</f>
        <v>SAL00606</v>
      </c>
      <c r="C5" s="385" t="s">
        <v>101</v>
      </c>
      <c r="D5" s="385">
        <v>523510</v>
      </c>
      <c r="F5" s="385" t="str">
        <f>+P5&amp;"-Final Settlement."&amp;'Tableau Detaillé'!$D$3</f>
        <v>Public holidays-Final Settlement.L0039</v>
      </c>
      <c r="G5" s="410">
        <f>+'Tableau Detaillé'!$E$10</f>
        <v>216</v>
      </c>
      <c r="H5" s="387">
        <f>+'Tableau Detaillé'!I30</f>
        <v>0</v>
      </c>
      <c r="I5" s="387"/>
      <c r="J5" s="387">
        <f t="shared" ref="J5:J25" si="0">+IF(H5&lt;&gt;0,H5,+IF(I5&lt;&gt;0,-I5,0))</f>
        <v>0</v>
      </c>
      <c r="K5" s="394" t="str">
        <f>+K3</f>
        <v>USD/CDF</v>
      </c>
      <c r="L5" s="387">
        <f t="shared" ref="L5:L22" si="1">+J5*$L$1</f>
        <v>0</v>
      </c>
      <c r="M5" s="393" t="s">
        <v>101</v>
      </c>
      <c r="N5" s="413">
        <f t="shared" ref="N5:N26" si="2">+LEN(F5)</f>
        <v>38</v>
      </c>
      <c r="P5" s="385" t="s">
        <v>156</v>
      </c>
    </row>
    <row r="6" spans="1:16" ht="16.5">
      <c r="A6" s="392">
        <f t="shared" ref="A6:B7" si="3">+A5</f>
        <v>45350</v>
      </c>
      <c r="B6" s="385" t="str">
        <f t="shared" si="3"/>
        <v>SAL00606</v>
      </c>
      <c r="C6" s="385" t="s">
        <v>101</v>
      </c>
      <c r="D6" s="385">
        <v>523310</v>
      </c>
      <c r="F6" s="385" t="str">
        <f>+P6&amp;"-Final Settlement."&amp;'Tableau Detaillé'!$D$3</f>
        <v>Severance Pay-Final Settlement.L0039</v>
      </c>
      <c r="G6" s="410">
        <f>+'Tableau Detaillé'!$E$10</f>
        <v>216</v>
      </c>
      <c r="H6" s="387">
        <f>+'Tableau Detaillé'!$K$30</f>
        <v>0</v>
      </c>
      <c r="I6" s="387"/>
      <c r="J6" s="387">
        <f t="shared" si="0"/>
        <v>0</v>
      </c>
      <c r="K6" s="394" t="str">
        <f>+K5</f>
        <v>USD/CDF</v>
      </c>
      <c r="L6" s="387">
        <f t="shared" si="1"/>
        <v>0</v>
      </c>
      <c r="M6" s="393" t="s">
        <v>101</v>
      </c>
      <c r="N6" s="413">
        <f t="shared" si="2"/>
        <v>36</v>
      </c>
      <c r="P6" s="385" t="s">
        <v>103</v>
      </c>
    </row>
    <row r="7" spans="1:16" ht="16.5">
      <c r="A7" s="392">
        <f t="shared" si="3"/>
        <v>45350</v>
      </c>
      <c r="B7" s="385" t="str">
        <f t="shared" si="3"/>
        <v>SAL00606</v>
      </c>
      <c r="C7" s="385" t="s">
        <v>101</v>
      </c>
      <c r="D7" s="385">
        <v>517110</v>
      </c>
      <c r="F7" s="385" t="str">
        <f>+P7&amp;"-Final Settlement."&amp;'Tableau Detaillé'!$D$3</f>
        <v>13th Month-Final Settlement.L0039</v>
      </c>
      <c r="G7" s="410">
        <f>+'Tableau Detaillé'!$E$10</f>
        <v>216</v>
      </c>
      <c r="H7" s="387">
        <f>+'Tableau Detaillé'!L30</f>
        <v>28.816666666666666</v>
      </c>
      <c r="I7" s="387"/>
      <c r="J7" s="387">
        <f t="shared" si="0"/>
        <v>28.816666666666666</v>
      </c>
      <c r="K7" s="394" t="str">
        <f>+K6</f>
        <v>USD/CDF</v>
      </c>
      <c r="L7" s="387">
        <f t="shared" si="1"/>
        <v>28.816666666666666</v>
      </c>
      <c r="M7" s="393" t="s">
        <v>101</v>
      </c>
      <c r="N7" s="413">
        <f t="shared" si="2"/>
        <v>33</v>
      </c>
      <c r="P7" s="385" t="s">
        <v>104</v>
      </c>
    </row>
    <row r="8" spans="1:16" ht="16.5">
      <c r="A8" s="392">
        <f>+A5</f>
        <v>45350</v>
      </c>
      <c r="B8" s="385" t="str">
        <f>+B5</f>
        <v>SAL00606</v>
      </c>
      <c r="C8" s="385" t="s">
        <v>101</v>
      </c>
      <c r="D8" s="385">
        <v>517210</v>
      </c>
      <c r="F8" s="385" t="str">
        <f>+P8&amp;"-Final Settlement."&amp;'Tableau Detaillé'!$D$3</f>
        <v>Prime-Final Settlement.L0039</v>
      </c>
      <c r="G8" s="410">
        <f>+'Tableau Detaillé'!$E$10</f>
        <v>216</v>
      </c>
      <c r="H8" s="387">
        <f>+'Tableau Detaillé'!M27</f>
        <v>0</v>
      </c>
      <c r="I8" s="387"/>
      <c r="J8" s="387">
        <f t="shared" si="0"/>
        <v>0</v>
      </c>
      <c r="K8" s="394" t="str">
        <f t="shared" ref="K8:K14" si="4">+K7</f>
        <v>USD/CDF</v>
      </c>
      <c r="L8" s="394">
        <f t="shared" si="1"/>
        <v>0</v>
      </c>
      <c r="M8" s="393" t="s">
        <v>101</v>
      </c>
      <c r="N8" s="413">
        <f t="shared" si="2"/>
        <v>28</v>
      </c>
      <c r="P8" s="385" t="s">
        <v>105</v>
      </c>
    </row>
    <row r="9" spans="1:16" ht="16.5">
      <c r="A9" s="392">
        <f>+A6</f>
        <v>45350</v>
      </c>
      <c r="B9" s="385" t="str">
        <f>+B6</f>
        <v>SAL00606</v>
      </c>
      <c r="C9" s="385" t="s">
        <v>101</v>
      </c>
      <c r="D9" s="385">
        <v>511110</v>
      </c>
      <c r="F9" s="385" t="str">
        <f>+P9&amp;"-Final Settlement."&amp;'Tableau Detaillé'!$D$3</f>
        <v>Nouv.Rappel 2-Final Settlement.L0039</v>
      </c>
      <c r="G9" s="410">
        <f>+'Tableau Detaillé'!$E$10</f>
        <v>216</v>
      </c>
      <c r="H9" s="387">
        <f>+'Tableau Detaillé'!M28</f>
        <v>2.89</v>
      </c>
      <c r="I9" s="387"/>
      <c r="J9" s="387">
        <f t="shared" ref="J9" si="5">+IF(H9&lt;&gt;0,H9,+IF(I9&lt;&gt;0,-I9,0))</f>
        <v>2.89</v>
      </c>
      <c r="K9" s="394" t="str">
        <f t="shared" si="4"/>
        <v>USD/CDF</v>
      </c>
      <c r="L9" s="394">
        <f t="shared" ref="L9" si="6">+J9*$L$1</f>
        <v>2.89</v>
      </c>
      <c r="M9" s="393" t="s">
        <v>101</v>
      </c>
      <c r="N9" s="413">
        <f t="shared" ref="N9" si="7">+LEN(F9)</f>
        <v>36</v>
      </c>
      <c r="P9" s="385" t="s">
        <v>234</v>
      </c>
    </row>
    <row r="10" spans="1:16" ht="16.5">
      <c r="A10" s="392">
        <f>+A8</f>
        <v>45350</v>
      </c>
      <c r="B10" s="385" t="str">
        <f>+B8</f>
        <v>SAL00606</v>
      </c>
      <c r="C10" s="385" t="s">
        <v>101</v>
      </c>
      <c r="D10" s="385">
        <v>523610</v>
      </c>
      <c r="F10" s="385" t="str">
        <f>+P10&amp;"-Final Settlement."&amp;'Tableau Detaillé'!$D$3</f>
        <v>Vacation pay-Final Settlement.L0039</v>
      </c>
      <c r="G10" s="410">
        <f>+'Tableau Detaillé'!$E$10</f>
        <v>216</v>
      </c>
      <c r="H10" s="387">
        <f>+IF('Tableau Detaillé'!$H$30&lt;0,0,'Tableau Detaillé'!$H$30)</f>
        <v>26.6</v>
      </c>
      <c r="I10" s="387"/>
      <c r="J10" s="387">
        <f>+IF(H10&lt;&gt;0,H10,+IF(I10&lt;&gt;0,-I10,0))</f>
        <v>26.6</v>
      </c>
      <c r="K10" s="394" t="str">
        <f>+K8</f>
        <v>USD/CDF</v>
      </c>
      <c r="L10" s="394">
        <f t="shared" si="1"/>
        <v>26.6</v>
      </c>
      <c r="M10" s="393" t="s">
        <v>101</v>
      </c>
      <c r="N10" s="413">
        <f t="shared" si="2"/>
        <v>35</v>
      </c>
      <c r="P10" s="385" t="s">
        <v>106</v>
      </c>
    </row>
    <row r="11" spans="1:16" ht="16.5">
      <c r="A11" s="392">
        <f t="shared" ref="A11:B16" si="8">+A10</f>
        <v>45350</v>
      </c>
      <c r="B11" s="385" t="str">
        <f t="shared" si="8"/>
        <v>SAL00606</v>
      </c>
      <c r="C11" s="385" t="s">
        <v>101</v>
      </c>
      <c r="D11" s="385">
        <v>523410</v>
      </c>
      <c r="F11" s="385" t="str">
        <f>+P11&amp;"-Final Settlement."&amp;'Tableau Detaillé'!$D$3</f>
        <v>Sick pay-Final Settlement.L0039</v>
      </c>
      <c r="G11" s="410">
        <f>+'Tableau Detaillé'!$E$10</f>
        <v>216</v>
      </c>
      <c r="H11" s="414">
        <f>+'Tableau Detaillé'!J30</f>
        <v>0</v>
      </c>
      <c r="I11" s="387"/>
      <c r="J11" s="387">
        <f t="shared" si="0"/>
        <v>0</v>
      </c>
      <c r="K11" s="394" t="str">
        <f t="shared" si="4"/>
        <v>USD/CDF</v>
      </c>
      <c r="L11" s="387">
        <f t="shared" si="1"/>
        <v>0</v>
      </c>
      <c r="M11" s="393" t="s">
        <v>101</v>
      </c>
      <c r="N11" s="413">
        <f t="shared" si="2"/>
        <v>31</v>
      </c>
      <c r="P11" s="385" t="s">
        <v>107</v>
      </c>
    </row>
    <row r="12" spans="1:16" ht="16.5">
      <c r="A12" s="392">
        <f t="shared" si="8"/>
        <v>45350</v>
      </c>
      <c r="B12" s="385" t="str">
        <f t="shared" si="8"/>
        <v>SAL00606</v>
      </c>
      <c r="C12" s="385" t="s">
        <v>101</v>
      </c>
      <c r="D12" s="385">
        <v>523410</v>
      </c>
      <c r="F12" s="385" t="str">
        <f>+P12&amp;"-Final Settlement."&amp;'Tableau Detaillé'!$D$3</f>
        <v>Matern.Leave-Final Settlement.L0039</v>
      </c>
      <c r="G12" s="410">
        <f>+'Tableau Detaillé'!$E$10</f>
        <v>216</v>
      </c>
      <c r="H12" s="414">
        <v>0</v>
      </c>
      <c r="I12" s="387"/>
      <c r="J12" s="387">
        <f t="shared" si="0"/>
        <v>0</v>
      </c>
      <c r="K12" s="394" t="str">
        <f t="shared" si="4"/>
        <v>USD/CDF</v>
      </c>
      <c r="L12" s="387">
        <f t="shared" si="1"/>
        <v>0</v>
      </c>
      <c r="M12" s="393" t="s">
        <v>101</v>
      </c>
      <c r="N12" s="413">
        <f t="shared" si="2"/>
        <v>35</v>
      </c>
      <c r="P12" s="385" t="s">
        <v>108</v>
      </c>
    </row>
    <row r="13" spans="1:16" ht="16.5">
      <c r="A13" s="392">
        <f t="shared" si="8"/>
        <v>45350</v>
      </c>
      <c r="B13" s="385" t="str">
        <f t="shared" si="8"/>
        <v>SAL00606</v>
      </c>
      <c r="C13" s="385" t="s">
        <v>101</v>
      </c>
      <c r="D13" s="385">
        <v>541510</v>
      </c>
      <c r="F13" s="385" t="str">
        <f>+P13&amp;"-Final Settlement."&amp;'Tableau Detaillé'!$D$3</f>
        <v>Trspt Allowance-Final Settlement.L0039</v>
      </c>
      <c r="G13" s="410">
        <f>+'Tableau Detaillé'!$E$10</f>
        <v>216</v>
      </c>
      <c r="H13" s="387">
        <f>+'Tableau Detaillé'!P30</f>
        <v>0</v>
      </c>
      <c r="I13" s="387"/>
      <c r="J13" s="387">
        <f t="shared" si="0"/>
        <v>0</v>
      </c>
      <c r="K13" s="394" t="str">
        <f t="shared" si="4"/>
        <v>USD/CDF</v>
      </c>
      <c r="L13" s="394">
        <f t="shared" si="1"/>
        <v>0</v>
      </c>
      <c r="M13" s="393" t="s">
        <v>101</v>
      </c>
      <c r="N13" s="413">
        <f t="shared" si="2"/>
        <v>38</v>
      </c>
      <c r="P13" s="385" t="s">
        <v>109</v>
      </c>
    </row>
    <row r="14" spans="1:16" ht="16.5">
      <c r="A14" s="392">
        <f t="shared" si="8"/>
        <v>45350</v>
      </c>
      <c r="B14" s="385" t="str">
        <f t="shared" si="8"/>
        <v>SAL00606</v>
      </c>
      <c r="C14" s="385" t="s">
        <v>101</v>
      </c>
      <c r="D14" s="385">
        <v>541310</v>
      </c>
      <c r="F14" s="385" t="str">
        <f>+P14&amp;"-Final Settlement."&amp;'Tableau Detaillé'!$D$3</f>
        <v>Housing Allow-Final Settlement.L0039</v>
      </c>
      <c r="G14" s="410">
        <f>+'Tableau Detaillé'!$E$10</f>
        <v>216</v>
      </c>
      <c r="H14" s="387">
        <f>+'Tableau Detaillé'!O30</f>
        <v>8.6858974358974361</v>
      </c>
      <c r="I14" s="387"/>
      <c r="J14" s="387">
        <f t="shared" si="0"/>
        <v>8.6858974358974361</v>
      </c>
      <c r="K14" s="394" t="str">
        <f t="shared" si="4"/>
        <v>USD/CDF</v>
      </c>
      <c r="L14" s="394">
        <f t="shared" si="1"/>
        <v>8.6858974358974361</v>
      </c>
      <c r="M14" s="393" t="s">
        <v>101</v>
      </c>
      <c r="N14" s="413">
        <f t="shared" si="2"/>
        <v>36</v>
      </c>
      <c r="P14" s="385" t="s">
        <v>110</v>
      </c>
    </row>
    <row r="15" spans="1:16" ht="16.5">
      <c r="A15" s="392">
        <f t="shared" si="8"/>
        <v>45350</v>
      </c>
      <c r="B15" s="385" t="str">
        <f t="shared" si="8"/>
        <v>SAL00606</v>
      </c>
      <c r="C15" s="385" t="s">
        <v>101</v>
      </c>
      <c r="D15" s="385">
        <v>541410</v>
      </c>
      <c r="F15" s="385" t="str">
        <f>+P15&amp;"-Final Settlement."&amp;'Tableau Detaillé'!$D$3</f>
        <v>Miscellean Allow-Final Settlement.L0039</v>
      </c>
      <c r="G15" s="410">
        <f>+'Tableau Detaillé'!$E$10</f>
        <v>216</v>
      </c>
      <c r="H15" s="387">
        <f>+'Tableau Detaillé'!$Q$30</f>
        <v>0</v>
      </c>
      <c r="I15" s="387"/>
      <c r="J15" s="387">
        <f t="shared" si="0"/>
        <v>0</v>
      </c>
      <c r="K15" s="394" t="str">
        <f t="shared" ref="K15:K16" si="9">+K14</f>
        <v>USD/CDF</v>
      </c>
      <c r="L15" s="394">
        <f t="shared" si="1"/>
        <v>0</v>
      </c>
      <c r="M15" s="393" t="s">
        <v>101</v>
      </c>
      <c r="N15" s="413">
        <f t="shared" si="2"/>
        <v>39</v>
      </c>
      <c r="P15" s="385" t="s">
        <v>111</v>
      </c>
    </row>
    <row r="16" spans="1:16" ht="16.5">
      <c r="A16" s="392">
        <f t="shared" si="8"/>
        <v>45350</v>
      </c>
      <c r="B16" s="385" t="str">
        <f t="shared" si="8"/>
        <v>SAL00606</v>
      </c>
      <c r="C16" s="385" t="s">
        <v>101</v>
      </c>
      <c r="D16" s="385">
        <v>117110</v>
      </c>
      <c r="F16" s="385" t="str">
        <f>+P16&amp;"-Final Settlement."&amp;'Tableau Detaillé'!$D$3</f>
        <v>Salary Advanc-Final Settlement.L0039</v>
      </c>
      <c r="H16" s="387"/>
      <c r="I16" s="387">
        <f>+'Tableau Detaillé'!$U$32</f>
        <v>0</v>
      </c>
      <c r="J16" s="387">
        <f t="shared" si="0"/>
        <v>0</v>
      </c>
      <c r="K16" s="394" t="str">
        <f t="shared" si="9"/>
        <v>USD/CDF</v>
      </c>
      <c r="L16" s="394">
        <f t="shared" si="1"/>
        <v>0</v>
      </c>
      <c r="M16" s="393" t="s">
        <v>101</v>
      </c>
      <c r="N16" s="413">
        <f t="shared" si="2"/>
        <v>36</v>
      </c>
      <c r="P16" s="385" t="s">
        <v>117</v>
      </c>
    </row>
    <row r="17" spans="1:16" ht="16.5">
      <c r="A17" s="392">
        <f>+A15</f>
        <v>45350</v>
      </c>
      <c r="B17" s="385" t="str">
        <f>+B15</f>
        <v>SAL00606</v>
      </c>
      <c r="C17" s="385" t="s">
        <v>101</v>
      </c>
      <c r="D17" s="415">
        <v>654610</v>
      </c>
      <c r="E17" s="410"/>
      <c r="F17" s="385" t="str">
        <f>+P17&amp;"-Final Settlement."&amp;'Tableau Detaillé'!$D$3</f>
        <v>HR Ded Badges-Final Settlement.L0039</v>
      </c>
      <c r="G17" s="410">
        <v>630</v>
      </c>
      <c r="I17" s="387">
        <f>+'Tableau Detaillé'!$U$34</f>
        <v>0</v>
      </c>
      <c r="J17" s="387">
        <f t="shared" si="0"/>
        <v>0</v>
      </c>
      <c r="K17" s="394" t="str">
        <f>+K15</f>
        <v>USD/CDF</v>
      </c>
      <c r="L17" s="387">
        <f t="shared" si="1"/>
        <v>0</v>
      </c>
      <c r="M17" s="393" t="s">
        <v>101</v>
      </c>
      <c r="N17" s="413">
        <f t="shared" si="2"/>
        <v>36</v>
      </c>
      <c r="P17" s="385" t="s">
        <v>118</v>
      </c>
    </row>
    <row r="18" spans="1:16" ht="16.5">
      <c r="A18" s="392">
        <f t="shared" ref="A18:B24" si="10">+A17</f>
        <v>45350</v>
      </c>
      <c r="B18" s="385" t="str">
        <f t="shared" si="10"/>
        <v>SAL00606</v>
      </c>
      <c r="C18" s="385" t="s">
        <v>101</v>
      </c>
      <c r="D18" s="410">
        <v>656610</v>
      </c>
      <c r="E18" s="410"/>
      <c r="F18" s="385" t="str">
        <f>+P18&amp;"-Final Settlement."&amp;'Tableau Detaillé'!$D$3</f>
        <v>Uniform Deduc-Final Settlement.L0039</v>
      </c>
      <c r="H18" s="414"/>
      <c r="I18" s="387">
        <f>+'Tableau Detaillé'!$U$36</f>
        <v>0</v>
      </c>
      <c r="J18" s="387">
        <f t="shared" si="0"/>
        <v>0</v>
      </c>
      <c r="K18" s="394" t="str">
        <f t="shared" ref="K18:K20" si="11">+K14</f>
        <v>USD/CDF</v>
      </c>
      <c r="L18" s="394">
        <f t="shared" si="1"/>
        <v>0</v>
      </c>
      <c r="M18" s="393" t="s">
        <v>101</v>
      </c>
      <c r="N18" s="413">
        <f t="shared" si="2"/>
        <v>36</v>
      </c>
      <c r="P18" s="385" t="s">
        <v>119</v>
      </c>
    </row>
    <row r="19" spans="1:16" ht="16.5">
      <c r="A19" s="392">
        <f t="shared" si="10"/>
        <v>45350</v>
      </c>
      <c r="B19" s="385" t="str">
        <f t="shared" si="10"/>
        <v>SAL00606</v>
      </c>
      <c r="C19" s="385" t="s">
        <v>112</v>
      </c>
      <c r="D19" s="410" t="s">
        <v>84</v>
      </c>
      <c r="E19" s="410"/>
      <c r="F19" s="385" t="str">
        <f>+P19&amp;"-Final Settlement."&amp;'Tableau Detaillé'!$D$3</f>
        <v>AR Invoices-Final Settlement.L0039</v>
      </c>
      <c r="H19" s="414"/>
      <c r="I19" s="387">
        <f>+'Tableau Detaillé'!$U$33</f>
        <v>0</v>
      </c>
      <c r="J19" s="387">
        <f t="shared" si="0"/>
        <v>0</v>
      </c>
      <c r="K19" s="394" t="str">
        <f t="shared" si="11"/>
        <v>USD/CDF</v>
      </c>
      <c r="L19" s="394">
        <f t="shared" si="1"/>
        <v>0</v>
      </c>
      <c r="M19" s="393" t="s">
        <v>101</v>
      </c>
      <c r="N19" s="413">
        <f t="shared" si="2"/>
        <v>34</v>
      </c>
      <c r="P19" s="385" t="s">
        <v>113</v>
      </c>
    </row>
    <row r="20" spans="1:16" ht="16.5">
      <c r="A20" s="392">
        <f t="shared" si="10"/>
        <v>45350</v>
      </c>
      <c r="B20" s="385" t="str">
        <f t="shared" si="10"/>
        <v>SAL00606</v>
      </c>
      <c r="C20" s="385" t="s">
        <v>101</v>
      </c>
      <c r="D20" s="410">
        <v>666110</v>
      </c>
      <c r="E20" s="410"/>
      <c r="F20" s="385" t="str">
        <f>+P20&amp;"-Final Settlement."&amp;'Tableau Detaillé'!$D$3</f>
        <v>Cellphone missing-Final Settlement.L0039</v>
      </c>
      <c r="G20" s="395">
        <v>660</v>
      </c>
      <c r="H20" s="414"/>
      <c r="I20" s="387">
        <f>+'Tableau Detaillé'!$U$35</f>
        <v>0</v>
      </c>
      <c r="J20" s="387">
        <f t="shared" ref="J20" si="12">+IF(H20&lt;&gt;0,H20,+IF(I20&lt;&gt;0,-I20,0))</f>
        <v>0</v>
      </c>
      <c r="K20" s="394" t="str">
        <f t="shared" si="11"/>
        <v>USD/CDF</v>
      </c>
      <c r="L20" s="394">
        <f t="shared" ref="L20" si="13">+J20*$L$1</f>
        <v>0</v>
      </c>
      <c r="M20" s="393" t="s">
        <v>101</v>
      </c>
      <c r="N20" s="413">
        <f t="shared" ref="N20" si="14">+LEN(F20)</f>
        <v>40</v>
      </c>
      <c r="P20" s="385" t="s">
        <v>144</v>
      </c>
    </row>
    <row r="21" spans="1:16" ht="16.5">
      <c r="A21" s="392">
        <f>+A19</f>
        <v>45350</v>
      </c>
      <c r="B21" s="385" t="str">
        <f>+B19</f>
        <v>SAL00606</v>
      </c>
      <c r="C21" s="385" t="s">
        <v>101</v>
      </c>
      <c r="D21" s="410">
        <v>237130</v>
      </c>
      <c r="F21" s="385" t="str">
        <f>+P21&amp;"-Final Settlement."&amp;'Tableau Detaillé'!$D$3</f>
        <v>INSS 5%-Final Settlement.L0039</v>
      </c>
      <c r="H21" s="414"/>
      <c r="I21" s="387">
        <f>+'Tableau Detaillé'!S30</f>
        <v>2.9153333333333338</v>
      </c>
      <c r="J21" s="387">
        <f t="shared" si="0"/>
        <v>-2.9153333333333338</v>
      </c>
      <c r="K21" s="394" t="str">
        <f>+K17</f>
        <v>USD/CDF</v>
      </c>
      <c r="L21" s="394">
        <f t="shared" si="1"/>
        <v>-2.9153333333333338</v>
      </c>
      <c r="M21" s="393" t="s">
        <v>101</v>
      </c>
      <c r="N21" s="413">
        <f t="shared" si="2"/>
        <v>30</v>
      </c>
      <c r="P21" s="385" t="s">
        <v>147</v>
      </c>
    </row>
    <row r="22" spans="1:16" ht="16.5">
      <c r="A22" s="392">
        <f t="shared" si="10"/>
        <v>45350</v>
      </c>
      <c r="B22" s="385" t="str">
        <f t="shared" si="10"/>
        <v>SAL00606</v>
      </c>
      <c r="C22" s="385" t="s">
        <v>101</v>
      </c>
      <c r="D22" s="410">
        <v>237150</v>
      </c>
      <c r="F22" s="385" t="str">
        <f>+P22&amp;"-Final Settlement."&amp;'Tableau Detaillé'!$D$3</f>
        <v>IPR-Final Settlement.L0039</v>
      </c>
      <c r="H22" s="414"/>
      <c r="I22" s="387">
        <f>+'Tableau Detaillé'!T30</f>
        <v>5.5391333333333339</v>
      </c>
      <c r="J22" s="414">
        <f t="shared" si="0"/>
        <v>-5.5391333333333339</v>
      </c>
      <c r="K22" s="394" t="str">
        <f>+K18</f>
        <v>USD/CDF</v>
      </c>
      <c r="L22" s="394">
        <f t="shared" si="1"/>
        <v>-5.5391333333333339</v>
      </c>
      <c r="M22" s="393" t="s">
        <v>101</v>
      </c>
      <c r="N22" s="413">
        <f t="shared" si="2"/>
        <v>26</v>
      </c>
      <c r="P22" s="385" t="s">
        <v>120</v>
      </c>
    </row>
    <row r="23" spans="1:16" ht="17.25" thickBot="1">
      <c r="A23" s="396">
        <f t="shared" si="10"/>
        <v>45350</v>
      </c>
      <c r="B23" s="397" t="str">
        <f t="shared" si="10"/>
        <v>SAL00606</v>
      </c>
      <c r="C23" s="397" t="s">
        <v>101</v>
      </c>
      <c r="D23" s="416">
        <v>231110</v>
      </c>
      <c r="E23" s="397"/>
      <c r="F23" s="397" t="str">
        <f>+P23&amp;"-Final Settlement."&amp;'Tableau Detaillé'!$D$3</f>
        <v>Sal.&amp;Wages-Final Settlement.L0039</v>
      </c>
      <c r="G23" s="397"/>
      <c r="H23" s="397"/>
      <c r="I23" s="398">
        <f>+'Tableau Detaillé'!U37</f>
        <v>58.538097435897434</v>
      </c>
      <c r="J23" s="417">
        <f t="shared" si="0"/>
        <v>-58.538097435897434</v>
      </c>
      <c r="K23" s="399" t="str">
        <f>+K19</f>
        <v>USD/CDF</v>
      </c>
      <c r="L23" s="399">
        <f>+J23*$L$1</f>
        <v>-58.538097435897434</v>
      </c>
      <c r="M23" s="400" t="s">
        <v>101</v>
      </c>
      <c r="N23" s="413">
        <f t="shared" si="2"/>
        <v>33</v>
      </c>
      <c r="P23" s="385" t="s">
        <v>114</v>
      </c>
    </row>
    <row r="24" spans="1:16" ht="16.5">
      <c r="A24" s="401">
        <f t="shared" si="10"/>
        <v>45350</v>
      </c>
      <c r="B24" s="386" t="str">
        <f t="shared" si="10"/>
        <v>SAL00606</v>
      </c>
      <c r="C24" s="386" t="s">
        <v>101</v>
      </c>
      <c r="D24" s="386">
        <v>521310</v>
      </c>
      <c r="E24" s="386">
        <v>237130</v>
      </c>
      <c r="F24" s="385" t="str">
        <f>+P24&amp;"-Final Settlement."&amp;'Tableau Detaillé'!$D$3</f>
        <v>INSS QPEmployeur%-Final Settlement.L0039</v>
      </c>
      <c r="G24" s="402">
        <f>+G3</f>
        <v>216</v>
      </c>
      <c r="H24" s="388">
        <f>+'Tableau Detaillé'!W30</f>
        <v>7.5798666666666676</v>
      </c>
      <c r="I24" s="388"/>
      <c r="J24" s="388">
        <f t="shared" si="0"/>
        <v>7.5798666666666676</v>
      </c>
      <c r="K24" s="389" t="str">
        <f t="shared" ref="K24" si="15">+K20</f>
        <v>USD/CDF</v>
      </c>
      <c r="L24" s="389">
        <f t="shared" ref="L24:L25" si="16">+J24*$L$1</f>
        <v>7.5798666666666676</v>
      </c>
      <c r="M24" s="390" t="s">
        <v>101</v>
      </c>
      <c r="N24" s="413">
        <f t="shared" si="2"/>
        <v>40</v>
      </c>
      <c r="P24" s="385" t="s">
        <v>148</v>
      </c>
    </row>
    <row r="25" spans="1:16" ht="16.5">
      <c r="A25" s="392">
        <f>+A24</f>
        <v>45350</v>
      </c>
      <c r="B25" s="385" t="str">
        <f>+B24</f>
        <v>SAL00606</v>
      </c>
      <c r="C25" s="385" t="s">
        <v>101</v>
      </c>
      <c r="D25" s="410">
        <v>231110</v>
      </c>
      <c r="F25" s="385" t="str">
        <f>+P25&amp;"-Final Settlement."&amp;'Tableau Detaillé'!$D$3</f>
        <v>Payment-Final Settlement.L0039</v>
      </c>
      <c r="H25" s="414">
        <f>+I23</f>
        <v>58.538097435897434</v>
      </c>
      <c r="I25" s="387"/>
      <c r="J25" s="414">
        <f t="shared" si="0"/>
        <v>58.538097435897434</v>
      </c>
      <c r="K25" s="394" t="str">
        <f>+K21</f>
        <v>USD/CDF</v>
      </c>
      <c r="L25" s="394">
        <f t="shared" si="16"/>
        <v>58.538097435897434</v>
      </c>
      <c r="M25" s="393" t="s">
        <v>101</v>
      </c>
      <c r="N25" s="413">
        <f t="shared" si="2"/>
        <v>30</v>
      </c>
      <c r="P25" s="385" t="s">
        <v>160</v>
      </c>
    </row>
    <row r="26" spans="1:16" ht="17.25" thickBot="1">
      <c r="A26" s="396">
        <f>+A25</f>
        <v>45350</v>
      </c>
      <c r="B26" s="397" t="str">
        <f>+B25</f>
        <v>SAL00606</v>
      </c>
      <c r="C26" s="397" t="s">
        <v>101</v>
      </c>
      <c r="D26" s="397">
        <v>111320</v>
      </c>
      <c r="E26" s="397"/>
      <c r="F26" s="397" t="str">
        <f>+P26&amp;"-Final Settlement."&amp;'Tableau Detaillé'!$D$3</f>
        <v>Payment-Final Settlement.L0039</v>
      </c>
      <c r="G26" s="403"/>
      <c r="H26" s="398"/>
      <c r="I26" s="398">
        <f>+H25</f>
        <v>58.538097435897434</v>
      </c>
      <c r="J26" s="417">
        <f t="shared" ref="J26" si="17">+IF(H26&lt;&gt;0,H26,+IF(I26&lt;&gt;0,-I26,0))</f>
        <v>-58.538097435897434</v>
      </c>
      <c r="K26" s="399" t="str">
        <f>+K22</f>
        <v>USD/CDF</v>
      </c>
      <c r="L26" s="399">
        <f t="shared" ref="L26" si="18">+J26*$L$1</f>
        <v>-58.538097435897434</v>
      </c>
      <c r="M26" s="400" t="s">
        <v>101</v>
      </c>
      <c r="N26" s="413">
        <f t="shared" si="2"/>
        <v>30</v>
      </c>
      <c r="P26" s="385" t="s">
        <v>160</v>
      </c>
    </row>
    <row r="27" spans="1:16" ht="16.5">
      <c r="A27" s="392"/>
      <c r="D27" s="410"/>
      <c r="H27" s="414"/>
      <c r="I27" s="387"/>
      <c r="J27" s="387"/>
      <c r="K27" s="394"/>
      <c r="L27" s="394"/>
    </row>
    <row r="28" spans="1:16" ht="16.5">
      <c r="A28" s="392"/>
      <c r="D28" s="410"/>
      <c r="H28" s="414"/>
      <c r="I28" s="387"/>
      <c r="J28" s="414"/>
      <c r="K28" s="394"/>
      <c r="L28" s="394"/>
    </row>
    <row r="29" spans="1:16" ht="16.5">
      <c r="A29" s="392"/>
      <c r="D29" s="410"/>
      <c r="I29" s="387"/>
      <c r="J29" s="414"/>
      <c r="K29" s="394"/>
      <c r="L29" s="394"/>
    </row>
  </sheetData>
  <autoFilter ref="A2:N26" xr:uid="{00000000-0009-0000-0000-000003000000}"/>
  <pageMargins left="0.70866141732283505" right="0.70866141732283505" top="0.74803149606299202" bottom="0.74803149606299202" header="0.31496062992126" footer="0.31496062992126"/>
  <pageSetup paperSize="9" scale="69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03B5-3E96-4283-87BC-1807F328442C}">
  <sheetPr>
    <tabColor theme="5" tint="-0.249977111117893"/>
    <pageSetUpPr fitToPage="1"/>
  </sheetPr>
  <dimension ref="B1:M48"/>
  <sheetViews>
    <sheetView tabSelected="1" view="pageBreakPreview" zoomScale="80" zoomScaleNormal="100" zoomScaleSheetLayoutView="80" workbookViewId="0">
      <selection activeCell="L29" sqref="L29"/>
    </sheetView>
  </sheetViews>
  <sheetFormatPr defaultRowHeight="26.25" customHeight="1"/>
  <cols>
    <col min="1" max="6" width="9.140625" style="219"/>
    <col min="7" max="7" width="23.42578125" style="219" customWidth="1"/>
    <col min="8" max="8" width="31.42578125" style="219" customWidth="1"/>
    <col min="9" max="11" width="9.140625" style="219"/>
    <col min="12" max="12" width="32.140625" style="219" customWidth="1"/>
    <col min="13" max="16384" width="9.140625" style="219"/>
  </cols>
  <sheetData>
    <row r="1" spans="2:13" ht="26.25" customHeight="1">
      <c r="B1" s="435" t="s">
        <v>57</v>
      </c>
    </row>
    <row r="3" spans="2:13" ht="26.25" customHeight="1">
      <c r="B3" s="220" t="s">
        <v>261</v>
      </c>
    </row>
    <row r="4" spans="2:13" ht="26.25" customHeight="1">
      <c r="B4" s="220"/>
    </row>
    <row r="5" spans="2:13" ht="26.25" customHeight="1">
      <c r="B5" s="436" t="s">
        <v>262</v>
      </c>
      <c r="H5" s="437">
        <f>+'Tableau Detaillé'!D4</f>
        <v>0</v>
      </c>
    </row>
    <row r="6" spans="2:13" ht="26.25" customHeight="1">
      <c r="B6" s="436" t="s">
        <v>263</v>
      </c>
      <c r="H6" s="437" cm="1">
        <f t="array" ref="H6:I6">+'Tableau Detaillé'!E5:F5</f>
        <v>43356</v>
      </c>
      <c r="I6" s="219">
        <v>0</v>
      </c>
    </row>
    <row r="7" spans="2:13" ht="26.25" customHeight="1">
      <c r="B7" s="436" t="s">
        <v>264</v>
      </c>
      <c r="H7" s="437" cm="1">
        <f t="array" ref="H7:I7">+'Tableau Detaillé'!E6:F6</f>
        <v>45337</v>
      </c>
      <c r="I7" s="219">
        <v>0</v>
      </c>
    </row>
    <row r="8" spans="2:13" ht="26.25" customHeight="1">
      <c r="B8" s="436" t="s">
        <v>265</v>
      </c>
      <c r="H8" s="437" t="str">
        <f>+'Tableau Detaillé'!E8</f>
        <v>WAITER</v>
      </c>
    </row>
    <row r="9" spans="2:13" ht="26.25" customHeight="1">
      <c r="B9" s="436" t="s">
        <v>266</v>
      </c>
      <c r="H9" s="438">
        <f>'Tableau Detaillé'!$B$17</f>
        <v>172.9</v>
      </c>
    </row>
    <row r="10" spans="2:13" ht="26.25" customHeight="1">
      <c r="B10" s="436" t="s">
        <v>267</v>
      </c>
      <c r="H10" s="439" t="str">
        <f>+'Tableau Detaillé'!E9</f>
        <v>5 ans, 5 mois, 2 jours</v>
      </c>
    </row>
    <row r="12" spans="2:13" ht="26.25" customHeight="1">
      <c r="B12" s="440" t="s">
        <v>268</v>
      </c>
    </row>
    <row r="13" spans="2:13" ht="26.25" customHeight="1">
      <c r="B13" s="441" t="s">
        <v>269</v>
      </c>
      <c r="H13" s="442">
        <f>+'Tableau Detaillé'!C17</f>
        <v>0</v>
      </c>
      <c r="I13" s="441" t="s">
        <v>78</v>
      </c>
    </row>
    <row r="14" spans="2:13" ht="26.25" customHeight="1">
      <c r="B14" s="441" t="s">
        <v>285</v>
      </c>
      <c r="H14" s="442">
        <f>+'Tableau Detaillé'!E17</f>
        <v>0</v>
      </c>
      <c r="I14" s="441" t="s">
        <v>78</v>
      </c>
    </row>
    <row r="15" spans="2:13" ht="26.25" customHeight="1">
      <c r="B15" s="443" t="s">
        <v>287</v>
      </c>
      <c r="H15" s="442">
        <f>+'Tableau Detaillé'!B20</f>
        <v>0</v>
      </c>
      <c r="I15" s="441" t="s">
        <v>78</v>
      </c>
      <c r="M15" s="219" t="s">
        <v>270</v>
      </c>
    </row>
    <row r="16" spans="2:13" ht="26.25" customHeight="1">
      <c r="B16" s="441" t="s">
        <v>271</v>
      </c>
      <c r="H16" s="442">
        <f>+'Tableau Detaillé'!G17</f>
        <v>4</v>
      </c>
      <c r="I16" s="441" t="s">
        <v>78</v>
      </c>
    </row>
    <row r="17" spans="2:13" ht="26.25" customHeight="1">
      <c r="B17" s="441" t="s">
        <v>286</v>
      </c>
      <c r="H17" s="442">
        <f>+'Tableau Detaillé'!B19</f>
        <v>0</v>
      </c>
      <c r="I17" s="441" t="s">
        <v>78</v>
      </c>
    </row>
    <row r="18" spans="2:13" ht="26.25" customHeight="1">
      <c r="B18" s="441" t="s">
        <v>288</v>
      </c>
      <c r="H18" s="442">
        <f>+'Tableau Detaillé'!B18</f>
        <v>0</v>
      </c>
      <c r="I18" s="441" t="s">
        <v>78</v>
      </c>
      <c r="M18" s="219" t="s">
        <v>270</v>
      </c>
    </row>
    <row r="19" spans="2:13" ht="26.25" customHeight="1">
      <c r="B19" s="441" t="str">
        <f>"7)   Gratification :               "&amp;+DATEDIF($H$6, $H$7, "m")&amp;" x 26 :12  ="</f>
        <v>7)   Gratification :               65 x 26 :12  =</v>
      </c>
      <c r="H19" s="442">
        <f>+'Tableau Detaillé'!B21</f>
        <v>4.333333333333333</v>
      </c>
      <c r="I19" s="441" t="s">
        <v>78</v>
      </c>
    </row>
    <row r="20" spans="2:13" ht="26.25" customHeight="1">
      <c r="I20" s="441"/>
    </row>
    <row r="21" spans="2:13" ht="26.25" customHeight="1">
      <c r="B21" s="441"/>
      <c r="I21" s="441"/>
    </row>
    <row r="22" spans="2:13" ht="26.25" customHeight="1">
      <c r="B22" s="441" t="s">
        <v>272</v>
      </c>
      <c r="H22" s="444">
        <f>SUM(H13:H19)</f>
        <v>8.3333333333333321</v>
      </c>
      <c r="I22" s="441" t="s">
        <v>78</v>
      </c>
    </row>
    <row r="23" spans="2:13" ht="26.25" customHeight="1">
      <c r="B23" s="441"/>
    </row>
    <row r="24" spans="2:13" ht="26.25" customHeight="1">
      <c r="B24" s="436" t="str">
        <f>"-      Salaire : "&amp;H9&amp;" $ x "&amp;ROUND(H22,2)&amp;" : 26="</f>
        <v>-      Salaire : 172.9 $ x 8.33 : 26=</v>
      </c>
      <c r="H24" s="445">
        <f>+H9*H22/26</f>
        <v>55.416666666666664</v>
      </c>
    </row>
    <row r="25" spans="2:13" ht="26.25" customHeight="1">
      <c r="B25" s="436" t="s">
        <v>289</v>
      </c>
      <c r="H25" s="445">
        <f>+'Tableau Detaillé'!L30</f>
        <v>28.816666666666666</v>
      </c>
    </row>
    <row r="26" spans="2:13" ht="26.25" customHeight="1">
      <c r="B26" s="436" t="s">
        <v>290</v>
      </c>
      <c r="H26" s="445">
        <f>+'Tableau Detaillé'!M30</f>
        <v>2.89</v>
      </c>
    </row>
    <row r="27" spans="2:13" ht="26.25" customHeight="1">
      <c r="B27" s="441"/>
      <c r="H27" s="446"/>
    </row>
    <row r="28" spans="2:13" ht="26.25" customHeight="1">
      <c r="B28" s="447" t="s">
        <v>291</v>
      </c>
      <c r="H28" s="445">
        <f>+H24+H25+H26</f>
        <v>87.123333333333335</v>
      </c>
      <c r="M28" s="219" t="s">
        <v>270</v>
      </c>
    </row>
    <row r="29" spans="2:13" ht="26.25" customHeight="1">
      <c r="B29" s="441"/>
    </row>
    <row r="31" spans="2:13" ht="26.25" customHeight="1">
      <c r="B31" s="447" t="s">
        <v>273</v>
      </c>
    </row>
    <row r="32" spans="2:13" ht="26.25" customHeight="1">
      <c r="B32" s="440" t="s">
        <v>274</v>
      </c>
      <c r="H32" s="445">
        <v>0</v>
      </c>
    </row>
    <row r="33" spans="2:13" ht="26.25" customHeight="1">
      <c r="B33" s="447" t="s">
        <v>275</v>
      </c>
      <c r="C33" s="219" t="s">
        <v>276</v>
      </c>
      <c r="H33" s="445">
        <f>+'Tableau Detaillé'!S30</f>
        <v>2.9153333333333338</v>
      </c>
    </row>
    <row r="34" spans="2:13" ht="26.25" customHeight="1">
      <c r="B34" s="220"/>
      <c r="C34" s="219" t="s">
        <v>277</v>
      </c>
      <c r="H34" s="445">
        <f>+'Tableau Detaillé'!T30</f>
        <v>5.5391333333333339</v>
      </c>
    </row>
    <row r="35" spans="2:13" ht="26.25" customHeight="1">
      <c r="B35" s="220"/>
      <c r="C35" s="219" t="s">
        <v>278</v>
      </c>
      <c r="H35" s="445">
        <f>SUM('Tableau Detaillé'!U32:U36)</f>
        <v>0</v>
      </c>
    </row>
    <row r="36" spans="2:13" ht="26.25" customHeight="1">
      <c r="B36" s="447" t="s">
        <v>279</v>
      </c>
      <c r="H36" s="448">
        <f>+H28-H32-H33-H34-H35</f>
        <v>78.668866666666659</v>
      </c>
    </row>
    <row r="37" spans="2:13" ht="26.25" customHeight="1">
      <c r="B37" s="220"/>
    </row>
    <row r="39" spans="2:13" ht="26.25" customHeight="1">
      <c r="B39" s="219" t="s">
        <v>292</v>
      </c>
      <c r="M39" s="219" t="s">
        <v>270</v>
      </c>
    </row>
    <row r="40" spans="2:13" ht="26.25" customHeight="1">
      <c r="B40" s="219" t="s">
        <v>280</v>
      </c>
    </row>
    <row r="41" spans="2:13" ht="26.25" customHeight="1">
      <c r="B41" s="219" t="s">
        <v>281</v>
      </c>
    </row>
    <row r="43" spans="2:13" ht="26.25" customHeight="1">
      <c r="B43" s="219" t="s">
        <v>282</v>
      </c>
    </row>
    <row r="45" spans="2:13" ht="26.25" customHeight="1">
      <c r="B45" s="219" t="s">
        <v>283</v>
      </c>
      <c r="G45" s="449">
        <f ca="1">+TODAY()</f>
        <v>45353</v>
      </c>
    </row>
    <row r="48" spans="2:13" ht="26.25" customHeight="1">
      <c r="B48" s="450" t="s">
        <v>284</v>
      </c>
    </row>
  </sheetData>
  <pageMargins left="0.7" right="0.7" top="0.75" bottom="0.75" header="0.3" footer="0.3"/>
  <pageSetup paperSize="9" scale="5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  <pageSetUpPr fitToPage="1"/>
  </sheetPr>
  <dimension ref="A1:U334"/>
  <sheetViews>
    <sheetView showGridLines="0" view="pageBreakPreview" zoomScale="51" zoomScaleNormal="100" zoomScaleSheetLayoutView="51" workbookViewId="0">
      <pane xSplit="2" ySplit="16" topLeftCell="C17" activePane="bottomRight" state="frozen"/>
      <selection activeCell="P35" sqref="P35"/>
      <selection pane="topRight" activeCell="P35" sqref="P35"/>
      <selection pane="bottomLeft" activeCell="P35" sqref="P35"/>
      <selection pane="bottomRight" activeCell="P35" sqref="P35"/>
    </sheetView>
  </sheetViews>
  <sheetFormatPr defaultColWidth="41.7109375" defaultRowHeight="33.75" customHeight="1" outlineLevelRow="1"/>
  <cols>
    <col min="1" max="1" width="46.85546875" style="4" customWidth="1"/>
    <col min="2" max="2" width="18" style="4" bestFit="1" customWidth="1"/>
    <col min="3" max="3" width="14.5703125" style="4" customWidth="1"/>
    <col min="4" max="4" width="20.42578125" style="3" customWidth="1"/>
    <col min="5" max="5" width="18.85546875" style="4" customWidth="1"/>
    <col min="6" max="6" width="25.7109375" style="3" customWidth="1"/>
    <col min="7" max="7" width="19.5703125" style="3" customWidth="1"/>
    <col min="8" max="8" width="20.42578125" style="3" customWidth="1"/>
    <col min="9" max="9" width="21.7109375" style="3" customWidth="1"/>
    <col min="10" max="10" width="14.28515625" style="3" bestFit="1" customWidth="1"/>
    <col min="11" max="11" width="20" style="3" bestFit="1" customWidth="1"/>
    <col min="12" max="12" width="17.42578125" style="3" customWidth="1"/>
    <col min="13" max="15" width="20.42578125" style="3" customWidth="1"/>
    <col min="16" max="16" width="17" style="3" customWidth="1"/>
    <col min="17" max="17" width="26.7109375" style="4" customWidth="1"/>
    <col min="18" max="18" width="25.28515625" style="4" customWidth="1"/>
    <col min="19" max="19" width="7.42578125" style="4" customWidth="1"/>
    <col min="20" max="20" width="14" style="4" customWidth="1"/>
    <col min="21" max="21" width="19.28515625" style="4" bestFit="1" customWidth="1"/>
    <col min="22" max="16384" width="41.7109375" style="4"/>
  </cols>
  <sheetData>
    <row r="1" spans="1:21" ht="33.75" customHeight="1">
      <c r="A1" s="1" t="s">
        <v>61</v>
      </c>
      <c r="B1" s="1"/>
      <c r="C1" s="1"/>
      <c r="D1" s="1"/>
      <c r="E1" s="1"/>
      <c r="F1" s="2" t="e">
        <f>IF($F$11="CATEGORIE 1 A 5",14+DATEDIF($F$5, $F$6, "y")*7,IF($F$11="AGENT DE MAITRISE",26+DATEDIF($F$5, $F$6, "y")*9,IF($F$11="CADRE DE COLLABORATION",78+DATEDIF($F$5, $F$6, "y")*16,IF($F$11="CADRE DE DIRECTION",78+DATEDIF($F$5, $F$6, "y")*16))))</f>
        <v>#REF!</v>
      </c>
      <c r="H1" s="1"/>
      <c r="I1" s="1"/>
      <c r="J1" s="1"/>
      <c r="K1" s="1"/>
      <c r="L1" s="1"/>
      <c r="M1" s="1"/>
      <c r="N1" s="1"/>
      <c r="O1" s="1"/>
      <c r="P1" s="1"/>
    </row>
    <row r="2" spans="1:21" ht="33.75" customHeight="1" outlineLevel="1">
      <c r="A2" s="5" t="s">
        <v>62</v>
      </c>
      <c r="B2" s="6">
        <v>43831</v>
      </c>
    </row>
    <row r="3" spans="1:21" ht="33.75" customHeight="1">
      <c r="P3" s="7"/>
    </row>
    <row r="4" spans="1:21" ht="33.75" customHeight="1">
      <c r="B4" s="8"/>
      <c r="C4" s="8" t="s">
        <v>63</v>
      </c>
      <c r="D4" s="133" t="e">
        <f>+#REF!</f>
        <v>#REF!</v>
      </c>
      <c r="E4" s="133"/>
      <c r="F4" s="9"/>
      <c r="G4" s="10"/>
      <c r="H4" s="10"/>
      <c r="I4" s="10"/>
      <c r="J4" s="10"/>
      <c r="K4" s="10"/>
      <c r="L4" s="10"/>
      <c r="M4" s="10"/>
      <c r="O4" s="10"/>
    </row>
    <row r="5" spans="1:21" ht="33.75" customHeight="1">
      <c r="C5" s="8" t="s">
        <v>64</v>
      </c>
      <c r="D5" s="10"/>
      <c r="E5" s="8"/>
      <c r="F5" s="6" t="e">
        <f>+#REF!</f>
        <v>#REF!</v>
      </c>
      <c r="G5" s="6"/>
      <c r="H5" s="11"/>
      <c r="I5" s="11"/>
      <c r="J5" s="11"/>
      <c r="K5" s="11"/>
      <c r="L5" s="11"/>
      <c r="M5" s="11"/>
      <c r="O5" s="11"/>
    </row>
    <row r="6" spans="1:21" ht="33.75" customHeight="1">
      <c r="C6" s="8" t="s">
        <v>65</v>
      </c>
      <c r="D6" s="10"/>
      <c r="E6" s="8"/>
      <c r="F6" s="6" t="e">
        <f>+#REF!</f>
        <v>#REF!</v>
      </c>
      <c r="G6" s="6"/>
      <c r="H6" s="11"/>
      <c r="I6" s="11"/>
      <c r="J6" s="11"/>
      <c r="K6" s="11"/>
      <c r="L6" s="11"/>
      <c r="M6" s="11"/>
      <c r="O6" s="11"/>
    </row>
    <row r="7" spans="1:21" ht="33.75" customHeight="1">
      <c r="C7" s="8" t="s">
        <v>66</v>
      </c>
      <c r="D7" s="10"/>
      <c r="E7" s="8"/>
      <c r="F7" s="12" t="e">
        <f>+#REF!</f>
        <v>#REF!</v>
      </c>
      <c r="G7" s="12"/>
      <c r="H7" s="8"/>
      <c r="I7" s="8"/>
      <c r="O7" s="8"/>
    </row>
    <row r="8" spans="1:21" ht="33.75" customHeight="1">
      <c r="C8" s="8" t="s">
        <v>67</v>
      </c>
      <c r="D8" s="10"/>
      <c r="E8" s="8"/>
      <c r="F8" s="12" t="e">
        <f>+#REF!</f>
        <v>#REF!</v>
      </c>
      <c r="G8" s="12"/>
      <c r="H8" s="8"/>
      <c r="I8" s="8"/>
      <c r="J8" s="7"/>
      <c r="K8" s="7"/>
      <c r="L8" s="7"/>
      <c r="M8" s="7"/>
      <c r="O8" s="8"/>
    </row>
    <row r="9" spans="1:21" ht="33.75" customHeight="1">
      <c r="C9" s="8" t="s">
        <v>68</v>
      </c>
      <c r="D9" s="10"/>
      <c r="E9" s="13"/>
      <c r="F9" s="8" t="e">
        <f>DATEDIF(F5, F6, "y") &amp;" ans, "&amp;DATEDIF(F5, F6, "ym") &amp;" mois, " &amp;DATEDIF(F5, F6, "md") &amp;" jours"</f>
        <v>#REF!</v>
      </c>
      <c r="G9" s="8"/>
    </row>
    <row r="10" spans="1:21" ht="33.75" customHeight="1">
      <c r="C10" s="8" t="s">
        <v>69</v>
      </c>
      <c r="D10" s="10"/>
      <c r="E10" s="13"/>
      <c r="F10" s="14">
        <v>160</v>
      </c>
      <c r="G10" s="14"/>
      <c r="J10" s="15"/>
      <c r="K10" s="15"/>
      <c r="L10" s="15"/>
      <c r="M10" s="15"/>
    </row>
    <row r="11" spans="1:21" ht="33.75" customHeight="1">
      <c r="C11" s="8" t="s">
        <v>70</v>
      </c>
      <c r="D11" s="10"/>
      <c r="E11" s="13"/>
      <c r="F11" s="16" t="s">
        <v>71</v>
      </c>
      <c r="G11" s="14" t="s">
        <v>52</v>
      </c>
      <c r="J11" s="15"/>
      <c r="K11" s="15"/>
      <c r="L11" s="15"/>
      <c r="M11" s="15"/>
    </row>
    <row r="12" spans="1:21" ht="33.75" customHeight="1">
      <c r="C12" s="8"/>
      <c r="D12" s="10"/>
      <c r="E12" s="13"/>
      <c r="F12" s="13"/>
      <c r="G12" s="13"/>
      <c r="H12" s="13"/>
      <c r="I12" s="13"/>
      <c r="J12" s="15"/>
      <c r="K12" s="15"/>
      <c r="L12" s="15"/>
      <c r="M12" s="15"/>
    </row>
    <row r="13" spans="1:21" ht="33.75" customHeight="1" outlineLevel="1" thickBot="1">
      <c r="C13" s="134">
        <v>511110</v>
      </c>
      <c r="D13" s="134"/>
      <c r="E13" s="135">
        <v>523610</v>
      </c>
      <c r="F13" s="135"/>
      <c r="G13" s="17"/>
      <c r="H13" s="18">
        <v>523310</v>
      </c>
      <c r="I13" s="18">
        <v>517110</v>
      </c>
      <c r="J13" s="18">
        <v>517210</v>
      </c>
      <c r="K13" s="18"/>
      <c r="L13" s="18">
        <v>541310</v>
      </c>
      <c r="M13" s="18">
        <v>541510</v>
      </c>
      <c r="N13" s="19">
        <v>541410</v>
      </c>
      <c r="P13" s="19">
        <v>237130</v>
      </c>
      <c r="Q13" s="19">
        <v>237150</v>
      </c>
      <c r="R13" s="19">
        <v>231110</v>
      </c>
      <c r="T13" s="20" t="s">
        <v>72</v>
      </c>
    </row>
    <row r="14" spans="1:21" s="21" customFormat="1" ht="33.75" customHeight="1">
      <c r="C14" s="136" t="s">
        <v>73</v>
      </c>
      <c r="D14" s="137"/>
      <c r="E14" s="136" t="s">
        <v>22</v>
      </c>
      <c r="F14" s="137"/>
      <c r="G14" s="22" t="s">
        <v>24</v>
      </c>
      <c r="H14" s="23" t="s">
        <v>12</v>
      </c>
      <c r="I14" s="24" t="s">
        <v>25</v>
      </c>
      <c r="J14" s="25" t="s">
        <v>26</v>
      </c>
      <c r="K14" s="26" t="s">
        <v>27</v>
      </c>
      <c r="L14" s="23" t="s">
        <v>28</v>
      </c>
      <c r="M14" s="24" t="s">
        <v>29</v>
      </c>
      <c r="N14" s="27" t="s">
        <v>74</v>
      </c>
      <c r="O14" s="28" t="s">
        <v>35</v>
      </c>
      <c r="P14" s="29" t="s">
        <v>36</v>
      </c>
      <c r="Q14" s="29" t="s">
        <v>37</v>
      </c>
      <c r="R14" s="29" t="s">
        <v>48</v>
      </c>
      <c r="T14" s="29" t="s">
        <v>75</v>
      </c>
      <c r="U14" s="29" t="s">
        <v>76</v>
      </c>
    </row>
    <row r="15" spans="1:21" ht="33.75" customHeight="1" thickBot="1">
      <c r="C15" s="30" t="s">
        <v>53</v>
      </c>
      <c r="D15" s="31" t="s">
        <v>54</v>
      </c>
      <c r="E15" s="30" t="s">
        <v>53</v>
      </c>
      <c r="F15" s="32" t="s">
        <v>54</v>
      </c>
      <c r="G15" s="32"/>
      <c r="H15" s="33" t="s">
        <v>54</v>
      </c>
      <c r="I15" s="34" t="s">
        <v>54</v>
      </c>
      <c r="J15" s="35" t="s">
        <v>54</v>
      </c>
      <c r="K15" s="36" t="s">
        <v>54</v>
      </c>
      <c r="L15" s="33" t="s">
        <v>54</v>
      </c>
      <c r="M15" s="34" t="s">
        <v>54</v>
      </c>
      <c r="N15" s="32" t="s">
        <v>54</v>
      </c>
      <c r="O15" s="37"/>
      <c r="P15" s="34" t="s">
        <v>54</v>
      </c>
      <c r="Q15" s="34" t="s">
        <v>54</v>
      </c>
      <c r="R15" s="34" t="s">
        <v>54</v>
      </c>
      <c r="T15" s="34" t="s">
        <v>54</v>
      </c>
      <c r="U15" s="34" t="s">
        <v>54</v>
      </c>
    </row>
    <row r="16" spans="1:21" s="21" customFormat="1" ht="33.75" customHeight="1" thickBot="1">
      <c r="A16" s="131" t="s">
        <v>77</v>
      </c>
      <c r="B16" s="132"/>
      <c r="C16" s="38" t="s">
        <v>78</v>
      </c>
      <c r="D16" s="39" t="s">
        <v>55</v>
      </c>
      <c r="E16" s="40" t="s">
        <v>78</v>
      </c>
      <c r="F16" s="41" t="s">
        <v>55</v>
      </c>
      <c r="G16" s="41" t="s">
        <v>55</v>
      </c>
      <c r="H16" s="42" t="s">
        <v>55</v>
      </c>
      <c r="I16" s="43"/>
      <c r="J16" s="40"/>
      <c r="K16" s="44" t="s">
        <v>55</v>
      </c>
      <c r="L16" s="45" t="s">
        <v>55</v>
      </c>
      <c r="M16" s="43"/>
      <c r="N16" s="43" t="s">
        <v>55</v>
      </c>
      <c r="O16" s="46" t="s">
        <v>55</v>
      </c>
      <c r="P16" s="43" t="s">
        <v>55</v>
      </c>
      <c r="Q16" s="43" t="s">
        <v>55</v>
      </c>
      <c r="R16" s="43" t="s">
        <v>55</v>
      </c>
      <c r="T16" s="43" t="s">
        <v>55</v>
      </c>
      <c r="U16" s="43" t="s">
        <v>55</v>
      </c>
    </row>
    <row r="17" spans="1:21" ht="33.75" customHeight="1">
      <c r="A17" s="47" t="s">
        <v>79</v>
      </c>
      <c r="B17" s="48">
        <v>650</v>
      </c>
      <c r="C17" s="49" t="e">
        <f>+#REF!</f>
        <v>#REF!</v>
      </c>
      <c r="D17" s="50" t="e">
        <f>+B17/26*C17</f>
        <v>#REF!</v>
      </c>
      <c r="E17" s="51" t="e">
        <f>+#REF!+#REF!</f>
        <v>#REF!</v>
      </c>
      <c r="F17" s="52" t="e">
        <f>+$B$17/26*E17</f>
        <v>#REF!</v>
      </c>
      <c r="G17" s="52"/>
      <c r="H17" s="52"/>
      <c r="I17" s="53"/>
      <c r="J17" s="54"/>
      <c r="K17" s="55"/>
      <c r="L17" s="56"/>
      <c r="M17" s="53"/>
      <c r="N17" s="57"/>
      <c r="O17" s="58"/>
      <c r="P17" s="59"/>
      <c r="Q17" s="59"/>
      <c r="R17" s="59"/>
      <c r="T17" s="59"/>
      <c r="U17" s="59"/>
    </row>
    <row r="18" spans="1:21" ht="33.75" customHeight="1">
      <c r="A18" s="60" t="s">
        <v>16</v>
      </c>
      <c r="B18" s="61">
        <f>+IF(G11="AVEC PREAVIS",(B20*26)/(26*12),0)</f>
        <v>0</v>
      </c>
      <c r="C18" s="62"/>
      <c r="D18" s="63"/>
      <c r="E18" s="64"/>
      <c r="F18" s="63">
        <f>+$B$17/26*B18</f>
        <v>0</v>
      </c>
      <c r="G18" s="63"/>
      <c r="H18" s="63"/>
      <c r="I18" s="65"/>
      <c r="J18" s="66"/>
      <c r="K18" s="55"/>
      <c r="L18" s="56"/>
      <c r="M18" s="65"/>
      <c r="N18" s="67"/>
      <c r="O18" s="68"/>
      <c r="P18" s="69"/>
      <c r="Q18" s="69"/>
      <c r="R18" s="69"/>
      <c r="T18" s="69"/>
      <c r="U18" s="69"/>
    </row>
    <row r="19" spans="1:21" ht="33.75" customHeight="1">
      <c r="A19" s="60" t="s">
        <v>17</v>
      </c>
      <c r="B19" s="61" t="e">
        <f>+(DATEDIF(F5, F6, "ym")+1)*1.5</f>
        <v>#REF!</v>
      </c>
      <c r="C19" s="62"/>
      <c r="D19" s="63"/>
      <c r="E19" s="64"/>
      <c r="F19" s="63" t="e">
        <f>+$B$17/26*B19</f>
        <v>#REF!</v>
      </c>
      <c r="G19" s="63"/>
      <c r="H19" s="63"/>
      <c r="I19" s="65"/>
      <c r="J19" s="66"/>
      <c r="K19" s="55"/>
      <c r="L19" s="56"/>
      <c r="M19" s="65"/>
      <c r="N19" s="67"/>
      <c r="O19" s="68"/>
      <c r="P19" s="69"/>
      <c r="Q19" s="69"/>
      <c r="R19" s="69"/>
      <c r="T19" s="69"/>
      <c r="U19" s="69"/>
    </row>
    <row r="20" spans="1:21" ht="33.75" customHeight="1">
      <c r="A20" s="60" t="s">
        <v>15</v>
      </c>
      <c r="B20" s="70">
        <v>63</v>
      </c>
      <c r="C20" s="62"/>
      <c r="D20" s="63"/>
      <c r="E20" s="64"/>
      <c r="F20" s="63"/>
      <c r="G20" s="63"/>
      <c r="H20" s="63">
        <f>+$B$17/26*B20</f>
        <v>1575</v>
      </c>
      <c r="I20" s="65"/>
      <c r="J20" s="66"/>
      <c r="K20" s="55"/>
      <c r="L20" s="56"/>
      <c r="M20" s="65"/>
      <c r="N20" s="67"/>
      <c r="O20" s="68"/>
      <c r="P20" s="69"/>
      <c r="Q20" s="69"/>
      <c r="R20" s="69"/>
      <c r="T20" s="69"/>
      <c r="U20" s="69"/>
    </row>
    <row r="21" spans="1:21" ht="33.75" customHeight="1">
      <c r="A21" s="60" t="s">
        <v>18</v>
      </c>
      <c r="B21" s="61">
        <v>8.6</v>
      </c>
      <c r="C21" s="62"/>
      <c r="D21" s="63"/>
      <c r="E21" s="64"/>
      <c r="F21" s="63"/>
      <c r="G21" s="63"/>
      <c r="H21" s="63"/>
      <c r="I21" s="65">
        <f>+B21*B17/26</f>
        <v>215</v>
      </c>
      <c r="J21" s="66"/>
      <c r="K21" s="55"/>
      <c r="L21" s="56"/>
      <c r="M21" s="65"/>
      <c r="N21" s="67"/>
      <c r="O21" s="68"/>
      <c r="P21" s="69"/>
      <c r="Q21" s="69"/>
      <c r="R21" s="69"/>
      <c r="T21" s="69"/>
      <c r="U21" s="69"/>
    </row>
    <row r="22" spans="1:21" ht="33.75" customHeight="1">
      <c r="A22" s="71" t="s">
        <v>19</v>
      </c>
      <c r="B22" s="72" t="e">
        <f>SUM(B18:B21)+C17+E17</f>
        <v>#REF!</v>
      </c>
      <c r="C22" s="62"/>
      <c r="D22" s="63"/>
      <c r="E22" s="64"/>
      <c r="F22" s="63"/>
      <c r="G22" s="63"/>
      <c r="H22" s="63"/>
      <c r="I22" s="65"/>
      <c r="J22" s="66"/>
      <c r="K22" s="55"/>
      <c r="L22" s="56"/>
      <c r="M22" s="65"/>
      <c r="N22" s="67"/>
      <c r="O22" s="68"/>
      <c r="P22" s="69"/>
      <c r="Q22" s="69"/>
      <c r="R22" s="69"/>
      <c r="T22" s="69"/>
      <c r="U22" s="69"/>
    </row>
    <row r="23" spans="1:21" ht="33.75" customHeight="1">
      <c r="A23" s="60" t="s">
        <v>24</v>
      </c>
      <c r="B23" s="73">
        <v>0</v>
      </c>
      <c r="C23" s="62"/>
      <c r="D23" s="63"/>
      <c r="E23" s="64"/>
      <c r="F23" s="63"/>
      <c r="G23" s="63">
        <f>(B17/26)*B23*(2/3)</f>
        <v>0</v>
      </c>
      <c r="H23" s="63"/>
      <c r="I23" s="65"/>
      <c r="J23" s="66"/>
      <c r="K23" s="55"/>
      <c r="L23" s="56"/>
      <c r="M23" s="65"/>
      <c r="N23" s="67"/>
      <c r="O23" s="68"/>
      <c r="P23" s="69"/>
      <c r="Q23" s="69"/>
      <c r="R23" s="69"/>
      <c r="T23" s="69"/>
      <c r="U23" s="69"/>
    </row>
    <row r="24" spans="1:21" ht="33.75" customHeight="1">
      <c r="A24" s="60" t="s">
        <v>80</v>
      </c>
      <c r="B24" s="74">
        <v>57.9</v>
      </c>
      <c r="C24" s="62"/>
      <c r="D24" s="63"/>
      <c r="E24" s="64"/>
      <c r="F24" s="63"/>
      <c r="G24" s="63"/>
      <c r="H24" s="63"/>
      <c r="I24" s="56"/>
      <c r="J24" s="66"/>
      <c r="K24" s="55"/>
      <c r="L24" s="56" t="e">
        <f>+B24/26*B22</f>
        <v>#REF!</v>
      </c>
      <c r="M24" s="65"/>
      <c r="N24" s="67"/>
      <c r="O24" s="68"/>
      <c r="P24" s="69"/>
      <c r="Q24" s="69"/>
      <c r="R24" s="69"/>
      <c r="T24" s="69"/>
      <c r="U24" s="69"/>
    </row>
    <row r="25" spans="1:21" ht="33.75" customHeight="1">
      <c r="A25" s="60" t="s">
        <v>81</v>
      </c>
      <c r="B25" s="74">
        <v>0</v>
      </c>
      <c r="C25" s="62"/>
      <c r="D25" s="63"/>
      <c r="E25" s="64"/>
      <c r="F25" s="63"/>
      <c r="G25" s="63"/>
      <c r="H25" s="63"/>
      <c r="I25" s="65"/>
      <c r="J25" s="66"/>
      <c r="K25" s="55"/>
      <c r="L25" s="56"/>
      <c r="M25" s="65" t="e">
        <f>+B25*C17/26</f>
        <v>#REF!</v>
      </c>
      <c r="N25" s="67"/>
      <c r="O25" s="68"/>
      <c r="P25" s="69"/>
      <c r="Q25" s="69"/>
      <c r="R25" s="69"/>
      <c r="T25" s="69"/>
      <c r="U25" s="69"/>
    </row>
    <row r="26" spans="1:21" ht="33.75" customHeight="1">
      <c r="A26" s="60" t="s">
        <v>26</v>
      </c>
      <c r="B26" s="73"/>
      <c r="C26" s="62"/>
      <c r="D26" s="63"/>
      <c r="E26" s="64"/>
      <c r="F26" s="63"/>
      <c r="G26" s="63"/>
      <c r="H26" s="63"/>
      <c r="I26" s="65"/>
      <c r="J26" s="66" t="e">
        <f>+B26/26*$C$17</f>
        <v>#REF!</v>
      </c>
      <c r="K26" s="55"/>
      <c r="L26" s="56"/>
      <c r="M26" s="65"/>
      <c r="N26" s="67"/>
      <c r="O26" s="68"/>
      <c r="P26" s="69"/>
      <c r="Q26" s="69"/>
      <c r="R26" s="69"/>
      <c r="T26" s="69"/>
      <c r="U26" s="69"/>
    </row>
    <row r="27" spans="1:21" ht="33.75" customHeight="1" thickBot="1">
      <c r="A27" s="75" t="s">
        <v>82</v>
      </c>
      <c r="B27" s="76">
        <v>0</v>
      </c>
      <c r="C27" s="77"/>
      <c r="D27" s="63"/>
      <c r="E27" s="78"/>
      <c r="F27" s="63"/>
      <c r="G27" s="63"/>
      <c r="H27" s="56"/>
      <c r="I27" s="65"/>
      <c r="J27" s="66"/>
      <c r="K27" s="55"/>
      <c r="L27" s="56"/>
      <c r="M27" s="65"/>
      <c r="N27" s="79"/>
      <c r="O27" s="80">
        <f>+C27*8</f>
        <v>0</v>
      </c>
      <c r="P27" s="81"/>
      <c r="Q27" s="81"/>
      <c r="R27" s="81"/>
      <c r="T27" s="81"/>
      <c r="U27" s="81"/>
    </row>
    <row r="28" spans="1:21" ht="33.75" customHeight="1" thickBot="1">
      <c r="A28" s="82" t="s">
        <v>83</v>
      </c>
      <c r="B28" s="83"/>
      <c r="C28" s="84"/>
      <c r="D28" s="85" t="e">
        <f>SUM(D17:D27)</f>
        <v>#REF!</v>
      </c>
      <c r="E28" s="86"/>
      <c r="F28" s="87" t="e">
        <f t="shared" ref="F28:N28" si="0">SUM(F17:F27)</f>
        <v>#REF!</v>
      </c>
      <c r="G28" s="88">
        <f t="shared" si="0"/>
        <v>0</v>
      </c>
      <c r="H28" s="88">
        <f t="shared" si="0"/>
        <v>1575</v>
      </c>
      <c r="I28" s="89">
        <f>SUM(I17:I27)</f>
        <v>215</v>
      </c>
      <c r="J28" s="90" t="e">
        <f t="shared" si="0"/>
        <v>#REF!</v>
      </c>
      <c r="K28" s="87" t="e">
        <f>+D28+F28+G28+H28+I28+J28</f>
        <v>#REF!</v>
      </c>
      <c r="L28" s="87" t="e">
        <f>SUM(L17:L27)</f>
        <v>#REF!</v>
      </c>
      <c r="M28" s="87" t="e">
        <f>SUM(M17:M27)</f>
        <v>#REF!</v>
      </c>
      <c r="N28" s="91">
        <f t="shared" si="0"/>
        <v>0</v>
      </c>
      <c r="O28" s="87" t="e">
        <f>+K28+N28+M28+L28</f>
        <v>#REF!</v>
      </c>
      <c r="P28" s="92" t="e">
        <f>+$K28*0.05</f>
        <v>#REF!</v>
      </c>
      <c r="Q28" s="92" t="e">
        <f>+($K28-$P28)*0.1</f>
        <v>#REF!</v>
      </c>
      <c r="R28" s="93" t="e">
        <f>+O28-P28-Q28</f>
        <v>#REF!</v>
      </c>
      <c r="T28" s="94" t="e">
        <f>+K28*0.01</f>
        <v>#REF!</v>
      </c>
      <c r="U28" s="94" t="e">
        <f>+K28*0.002</f>
        <v>#REF!</v>
      </c>
    </row>
    <row r="29" spans="1:21" ht="33.75" customHeight="1" thickBot="1">
      <c r="A29" s="95"/>
      <c r="B29" s="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</row>
    <row r="30" spans="1:21" ht="33.75" customHeight="1" thickBot="1">
      <c r="A30" s="98"/>
      <c r="B30" s="99"/>
      <c r="F30" s="10"/>
      <c r="G30" s="10"/>
      <c r="H30" s="10"/>
      <c r="I30" s="10"/>
      <c r="N30" s="100">
        <v>117110</v>
      </c>
      <c r="O30" s="101" t="s">
        <v>56</v>
      </c>
      <c r="P30" s="102"/>
      <c r="Q30" s="103" t="s">
        <v>38</v>
      </c>
      <c r="R30" s="104" t="e">
        <f>+#REF!</f>
        <v>#REF!</v>
      </c>
    </row>
    <row r="31" spans="1:21" ht="33.75" customHeight="1" thickBot="1">
      <c r="A31" s="105"/>
      <c r="B31" s="105"/>
      <c r="C31" s="105"/>
      <c r="D31" s="105"/>
      <c r="E31" s="106"/>
      <c r="F31" s="4"/>
      <c r="G31" s="4"/>
      <c r="H31" s="4"/>
      <c r="I31" s="4"/>
      <c r="J31" s="106"/>
      <c r="K31" s="106"/>
      <c r="L31" s="106"/>
      <c r="M31" s="127"/>
      <c r="N31" s="128" t="s">
        <v>84</v>
      </c>
      <c r="O31" s="129"/>
      <c r="P31" s="130"/>
      <c r="Q31" s="103" t="s">
        <v>39</v>
      </c>
      <c r="R31" s="104" t="e">
        <f>+#REF!</f>
        <v>#REF!</v>
      </c>
    </row>
    <row r="32" spans="1:21" ht="33.75" customHeight="1" thickBot="1">
      <c r="A32" s="105"/>
      <c r="B32" s="105"/>
      <c r="C32" s="105"/>
      <c r="D32" s="105"/>
      <c r="E32" s="106"/>
      <c r="F32" s="4"/>
      <c r="G32" s="4"/>
      <c r="H32" s="4"/>
      <c r="I32" s="4"/>
      <c r="J32" s="106"/>
      <c r="K32" s="106"/>
      <c r="L32" s="106"/>
      <c r="M32" s="106"/>
      <c r="N32" s="100">
        <v>654610</v>
      </c>
      <c r="O32" s="107"/>
      <c r="P32" s="108"/>
      <c r="Q32" s="103" t="s">
        <v>40</v>
      </c>
      <c r="R32" s="104"/>
    </row>
    <row r="33" spans="1:18" ht="33.75" customHeight="1" thickBot="1">
      <c r="A33" s="105"/>
      <c r="B33" s="105"/>
      <c r="C33" s="105"/>
      <c r="D33" s="105"/>
      <c r="E33" s="106"/>
      <c r="F33" s="109"/>
      <c r="G33" s="109"/>
      <c r="H33" s="109"/>
      <c r="I33" s="109"/>
      <c r="J33" s="106"/>
      <c r="K33" s="106"/>
      <c r="L33" s="106"/>
      <c r="M33" s="106"/>
      <c r="N33" s="100"/>
      <c r="O33" s="110"/>
      <c r="P33" s="111"/>
      <c r="Q33" s="103" t="s">
        <v>41</v>
      </c>
      <c r="R33" s="104" t="e">
        <f>-#REF!-#REF!</f>
        <v>#REF!</v>
      </c>
    </row>
    <row r="34" spans="1:18" ht="33.75" customHeight="1" thickBot="1">
      <c r="F34" s="15"/>
      <c r="G34" s="15"/>
      <c r="H34" s="15"/>
      <c r="I34" s="15"/>
      <c r="N34" s="100">
        <v>656610</v>
      </c>
      <c r="O34" s="112"/>
      <c r="P34" s="113"/>
      <c r="Q34" s="103" t="s">
        <v>85</v>
      </c>
      <c r="R34" s="104" t="e">
        <f>+#REF!</f>
        <v>#REF!</v>
      </c>
    </row>
    <row r="35" spans="1:18" ht="33.75" customHeight="1" thickBot="1">
      <c r="E35" s="114"/>
      <c r="P35" s="115" t="s">
        <v>57</v>
      </c>
      <c r="Q35" s="116"/>
      <c r="R35" s="117" t="e">
        <f>+R28-SUM(R30:R34)</f>
        <v>#REF!</v>
      </c>
    </row>
    <row r="36" spans="1:18" ht="33.75" customHeight="1">
      <c r="E36" s="114"/>
      <c r="P36" s="10"/>
    </row>
    <row r="37" spans="1:18" ht="33.75" customHeight="1">
      <c r="E37" s="114"/>
      <c r="P37" s="118"/>
    </row>
    <row r="38" spans="1:18" ht="33.75" customHeight="1">
      <c r="E38" s="114"/>
      <c r="Q38" s="119"/>
      <c r="R38" s="119"/>
    </row>
    <row r="39" spans="1:18" ht="33.75" customHeight="1">
      <c r="A39" s="120" t="s">
        <v>86</v>
      </c>
      <c r="B39" s="8"/>
      <c r="C39" s="8"/>
      <c r="D39" s="10"/>
      <c r="E39" s="121" t="s">
        <v>58</v>
      </c>
      <c r="J39" s="120"/>
      <c r="K39" s="120"/>
      <c r="L39" s="120" t="s">
        <v>59</v>
      </c>
      <c r="M39" s="120"/>
      <c r="N39" s="122"/>
      <c r="P39" s="122"/>
      <c r="Q39" s="123" t="s">
        <v>60</v>
      </c>
      <c r="R39" s="124" t="e">
        <f>+D4</f>
        <v>#REF!</v>
      </c>
    </row>
    <row r="40" spans="1:18" ht="33.75" customHeight="1">
      <c r="P40" s="119"/>
      <c r="Q40" s="119"/>
    </row>
    <row r="43" spans="1:18" ht="33.75" customHeight="1">
      <c r="P43" s="4"/>
    </row>
    <row r="44" spans="1:18" ht="33.75" customHeight="1">
      <c r="C44" s="125"/>
      <c r="D44" s="126"/>
      <c r="E44" s="125"/>
    </row>
    <row r="45" spans="1:18" ht="33.75" customHeight="1">
      <c r="D45" s="4"/>
      <c r="E45" s="125"/>
      <c r="F45" s="126"/>
      <c r="G45" s="126"/>
      <c r="H45" s="126"/>
      <c r="I45" s="126"/>
      <c r="J45" s="126"/>
      <c r="K45" s="126"/>
      <c r="L45" s="126"/>
      <c r="M45" s="126"/>
      <c r="O45" s="126"/>
    </row>
    <row r="48" spans="1:18" ht="33.75" customHeight="1">
      <c r="D48" s="4"/>
      <c r="E48" s="125"/>
      <c r="F48" s="126"/>
      <c r="G48" s="126"/>
      <c r="H48" s="126"/>
      <c r="I48" s="126"/>
      <c r="J48" s="126"/>
      <c r="K48" s="126"/>
      <c r="L48" s="126"/>
      <c r="M48" s="126"/>
      <c r="O48" s="126"/>
    </row>
    <row r="334" spans="1:19" s="3" customFormat="1" ht="33.75" customHeight="1">
      <c r="A334" s="4"/>
      <c r="B334" s="4"/>
      <c r="C334" s="4"/>
      <c r="E334" s="4"/>
      <c r="K334" s="3" t="e">
        <v>#N/A</v>
      </c>
      <c r="Q334" s="4"/>
      <c r="R334" s="4"/>
      <c r="S334" s="4"/>
    </row>
  </sheetData>
  <mergeCells count="6">
    <mergeCell ref="A16:B16"/>
    <mergeCell ref="D4:E4"/>
    <mergeCell ref="C13:D13"/>
    <mergeCell ref="E13:F13"/>
    <mergeCell ref="C14:D14"/>
    <mergeCell ref="E14:F14"/>
  </mergeCells>
  <dataValidations count="1">
    <dataValidation type="list" allowBlank="1" showInputMessage="1" showErrorMessage="1" sqref="F11:G11" xr:uid="{00000000-0002-0000-0600-000000000000}"/>
  </dataValidations>
  <pageMargins left="0.70866141732283505" right="0.70866141732283505" top="0.74803149606299202" bottom="0.74803149606299202" header="0.31496062992126" footer="0.31496062992126"/>
  <pageSetup paperSize="9" scale="3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Categorie</vt:lpstr>
      <vt:lpstr>DECOMPTES Finaux</vt:lpstr>
      <vt:lpstr>Tableau Detaillé</vt:lpstr>
      <vt:lpstr>JV</vt:lpstr>
      <vt:lpstr>SDT-B</vt:lpstr>
      <vt:lpstr>Sydney (3)</vt:lpstr>
      <vt:lpstr>'DECOMPTES Finaux'!Print_Area</vt:lpstr>
      <vt:lpstr>JV!Print_Area</vt:lpstr>
      <vt:lpstr>'SDT-B'!Print_Area</vt:lpstr>
      <vt:lpstr>'Sydney (3)'!Print_Area</vt:lpstr>
      <vt:lpstr>'Tableau Detaillé'!Print_Area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Kambau</dc:creator>
  <cp:lastModifiedBy>Sylvie Kambau</cp:lastModifiedBy>
  <cp:lastPrinted>2024-03-02T16:28:16Z</cp:lastPrinted>
  <dcterms:created xsi:type="dcterms:W3CDTF">2020-07-01T14:33:07Z</dcterms:created>
  <dcterms:modified xsi:type="dcterms:W3CDTF">2024-03-02T16:29:54Z</dcterms:modified>
</cp:coreProperties>
</file>