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e-Scouting - Saline" sheetId="1" r:id="rId4"/>
    <sheet state="hidden" name="Data Recording" sheetId="2" r:id="rId5"/>
    <sheet state="visible" name="Saline Comp Data Recording" sheetId="3" r:id="rId6"/>
    <sheet state="hidden" name="Pre-Scouting Sign-Up" sheetId="4" r:id="rId7"/>
    <sheet state="visible" name="Comp Scouting - Saline" sheetId="5" r:id="rId8"/>
    <sheet state="hidden" name="Pick List" sheetId="6" r:id="rId9"/>
    <sheet state="visible" name="Lookup" sheetId="7" r:id="rId10"/>
    <sheet state="hidden" name="Pit" sheetId="8" r:id="rId11"/>
    <sheet state="visible" name="Raw Pit Data" sheetId="9" r:id="rId12"/>
    <sheet state="visible" name="Markys District Points Calculat" sheetId="10" r:id="rId13"/>
    <sheet state="visible" name="Sheet19" sheetId="11" r:id="rId14"/>
    <sheet state="hidden" name="Match Predictor" sheetId="12" r:id="rId15"/>
  </sheets>
  <definedNames>
    <definedName hidden="1" localSheetId="0" name="_xlnm._FilterDatabase">'Pre-Scouting - Saline'!$A$4:$CD$43</definedName>
    <definedName hidden="1" localSheetId="1" name="_xlnm._FilterDatabase">'Data Recording'!$A$1:$AK$448</definedName>
    <definedName hidden="1" localSheetId="2" name="_xlnm._FilterDatabase">'Saline Comp Data Recording'!$A$1:$AL$202</definedName>
    <definedName hidden="1" localSheetId="4" name="_xlnm._FilterDatabase">'Comp Scouting - Saline'!$A$4:$CA$42</definedName>
    <definedName hidden="1" localSheetId="8" name="_xlnm._FilterDatabase">'Raw Pit Data'!$A$1:$P$1001</definedName>
  </definedNames>
  <calcPr/>
</workbook>
</file>

<file path=xl/sharedStrings.xml><?xml version="1.0" encoding="utf-8"?>
<sst xmlns="http://schemas.openxmlformats.org/spreadsheetml/2006/main" count="2982" uniqueCount="661">
  <si>
    <t>General Stuff</t>
  </si>
  <si>
    <t>Auton</t>
  </si>
  <si>
    <t>Teleop</t>
  </si>
  <si>
    <t>Other</t>
  </si>
  <si>
    <t>Other Data Points</t>
  </si>
  <si>
    <t>Cones</t>
  </si>
  <si>
    <t>Cubes</t>
  </si>
  <si>
    <t>Charge Station</t>
  </si>
  <si>
    <t>Driver Skill</t>
  </si>
  <si>
    <t>Scores</t>
  </si>
  <si>
    <t>High</t>
  </si>
  <si>
    <t>Middle</t>
  </si>
  <si>
    <t>Low</t>
  </si>
  <si>
    <t>Team</t>
  </si>
  <si>
    <t>Number</t>
  </si>
  <si>
    <t>Mobility</t>
  </si>
  <si>
    <t>Attempted</t>
  </si>
  <si>
    <t>Placed</t>
  </si>
  <si>
    <t>Percent Made</t>
  </si>
  <si>
    <t>Average</t>
  </si>
  <si>
    <t>Maximum</t>
  </si>
  <si>
    <t>Docked</t>
  </si>
  <si>
    <t>Engaged</t>
  </si>
  <si>
    <t>Breakdowns</t>
  </si>
  <si>
    <t>Breakdown %</t>
  </si>
  <si>
    <t>Offensive</t>
  </si>
  <si>
    <t>Defensive</t>
  </si>
  <si>
    <t>Wrong Avg.</t>
  </si>
  <si>
    <t>Average Score</t>
  </si>
  <si>
    <t>Avg. Grid Score</t>
  </si>
  <si>
    <t xml:space="preserve"> Avg. Grid Scor.</t>
  </si>
  <si>
    <t>Max. Score</t>
  </si>
  <si>
    <t>Min. Score</t>
  </si>
  <si>
    <t># A-Docked</t>
  </si>
  <si>
    <t># A-Engaged</t>
  </si>
  <si>
    <t># T-Docked</t>
  </si>
  <si>
    <t># T-Engaged</t>
  </si>
  <si>
    <t>A-CommunL</t>
  </si>
  <si>
    <t>Cyber Cougars</t>
  </si>
  <si>
    <t>Ashley Bears</t>
  </si>
  <si>
    <t>The Atoms Family</t>
  </si>
  <si>
    <t>Cow Town Robotics</t>
  </si>
  <si>
    <t>Lightning Robotics</t>
  </si>
  <si>
    <t>Team R.O.B.O.T.I.C.S.</t>
  </si>
  <si>
    <t>Digital Dislocators</t>
  </si>
  <si>
    <t>Singularity</t>
  </si>
  <si>
    <t>Advanced Power</t>
  </si>
  <si>
    <t>Mechatronic Mustangs</t>
  </si>
  <si>
    <t>Desperate Penguins</t>
  </si>
  <si>
    <t>Byron Robotics</t>
  </si>
  <si>
    <t>Eagle Evolution</t>
  </si>
  <si>
    <t>Steiner Steel Storm</t>
  </si>
  <si>
    <t>TechnoDogs</t>
  </si>
  <si>
    <t>The Gearhounds</t>
  </si>
  <si>
    <t>RoboEagles</t>
  </si>
  <si>
    <t>Bongo Bots</t>
  </si>
  <si>
    <t>Strange Quarks</t>
  </si>
  <si>
    <t>Zebrotics</t>
  </si>
  <si>
    <t>Tractor Technicians Next Gen</t>
  </si>
  <si>
    <t>EV Robotics</t>
  </si>
  <si>
    <t>Fighting Falcons</t>
  </si>
  <si>
    <t>SCA Constellations</t>
  </si>
  <si>
    <t>D Cubed</t>
  </si>
  <si>
    <t>Bellevillains</t>
  </si>
  <si>
    <t>Pi Hi Samurai</t>
  </si>
  <si>
    <t>Technical Difficulties</t>
  </si>
  <si>
    <t>Like A Boss</t>
  </si>
  <si>
    <t>Fantastic Falcons</t>
  </si>
  <si>
    <t>AutoDawgs</t>
  </si>
  <si>
    <t>Dundee Vi-Borgs</t>
  </si>
  <si>
    <t>Viking Robotics</t>
  </si>
  <si>
    <t>ACCE Underdogs</t>
  </si>
  <si>
    <t>Redwolves Robotics</t>
  </si>
  <si>
    <t>FullMetal-Jackets</t>
  </si>
  <si>
    <t>Spartan Robotics</t>
  </si>
  <si>
    <t>Arrowhead Robotics</t>
  </si>
  <si>
    <t>Mechanical Pumas</t>
  </si>
  <si>
    <t>Timestamp</t>
  </si>
  <si>
    <t>Name</t>
  </si>
  <si>
    <t>Match Number</t>
  </si>
  <si>
    <t>Team Number</t>
  </si>
  <si>
    <t>Mobility (leave community)</t>
  </si>
  <si>
    <t>High Cones [Attempted Overall]</t>
  </si>
  <si>
    <t>High Cones [Scored]</t>
  </si>
  <si>
    <t>Mid Cones [Attempted Overall]</t>
  </si>
  <si>
    <t>Mid Cones [Scored]</t>
  </si>
  <si>
    <t>Low Cones [Attempted Overall]</t>
  </si>
  <si>
    <t>Low Cones [Scored]</t>
  </si>
  <si>
    <t>High Cubes [Attempted Overall]</t>
  </si>
  <si>
    <t>High Cubes [Scored]</t>
  </si>
  <si>
    <t>Mid Cubes [Attempted Overall]</t>
  </si>
  <si>
    <t>Mid Cubes [Scored]</t>
  </si>
  <si>
    <t>Low Cubes [Attempted Overall]</t>
  </si>
  <si>
    <t>Low Cubes [Scored]</t>
  </si>
  <si>
    <t>Charge Station - Auton</t>
  </si>
  <si>
    <t>Charge Station - TeleOp</t>
  </si>
  <si>
    <t>Driver Skill [Offense]</t>
  </si>
  <si>
    <t>Driver Skill [Defense]</t>
  </si>
  <si>
    <t>Robot Breakdown?</t>
  </si>
  <si>
    <t>Notes?</t>
  </si>
  <si>
    <t>Total Score</t>
  </si>
  <si>
    <t>Total Grid Score</t>
  </si>
  <si>
    <t>Marek</t>
  </si>
  <si>
    <t>No</t>
  </si>
  <si>
    <t>Yes, Engaged</t>
  </si>
  <si>
    <t>Had a bunch of drivetrain errors</t>
  </si>
  <si>
    <t>Yes</t>
  </si>
  <si>
    <t>Parked</t>
  </si>
  <si>
    <t>Yes, Docked</t>
  </si>
  <si>
    <t>Shut off with 20 secs left</t>
  </si>
  <si>
    <t>HUMAN PLAYER STRATEGY OMGEE</t>
  </si>
  <si>
    <t>Disabled/broke down</t>
  </si>
  <si>
    <t>Elim 4</t>
  </si>
  <si>
    <t>Elim 6</t>
  </si>
  <si>
    <t>Elim 9</t>
  </si>
  <si>
    <t>Struggling with high cone placement</t>
  </si>
  <si>
    <t>Elim 12</t>
  </si>
  <si>
    <t>Elim 13</t>
  </si>
  <si>
    <t>Fell off charge station</t>
  </si>
  <si>
    <t>Struggled the entire time with cones, got beat by a df bot</t>
  </si>
  <si>
    <t>Pickup pads fell off, forced to be a low bot</t>
  </si>
  <si>
    <t>Tripped over the charge station llama 😝</t>
  </si>
  <si>
    <t>ALL THEIR PADS KEEP FALLING OFF</t>
  </si>
  <si>
    <t>Fell over the charge station</t>
  </si>
  <si>
    <t>Elim 2</t>
  </si>
  <si>
    <t>Fell at the end</t>
  </si>
  <si>
    <t>Elim 5</t>
  </si>
  <si>
    <t>Elim 10</t>
  </si>
  <si>
    <t>Arm broke so df, but hell they are scary</t>
  </si>
  <si>
    <t>Got hit and broke down</t>
  </si>
  <si>
    <t>Claw might have broken?</t>
  </si>
  <si>
    <t>Cone stuck in claw, resorted to df</t>
  </si>
  <si>
    <t>Spun around, fell out of the arena, disabled</t>
  </si>
  <si>
    <t>Markie</t>
  </si>
  <si>
    <t>Elim 1</t>
  </si>
  <si>
    <t>Elim 7</t>
  </si>
  <si>
    <t>Elim 11</t>
  </si>
  <si>
    <t>Final 1</t>
  </si>
  <si>
    <t>Final 2</t>
  </si>
  <si>
    <t>Struggled with ground and human player pickup</t>
  </si>
  <si>
    <t>Struggled with just about everything from pickup to charge station :(</t>
  </si>
  <si>
    <t>Elim 8</t>
  </si>
  <si>
    <t>Failed to engage</t>
  </si>
  <si>
    <t>Cannot balance to save their lives, maybe lssu will be different</t>
  </si>
  <si>
    <t>Emmie</t>
  </si>
  <si>
    <t>Cone got stuck in bot and couldnt do anything :(</t>
  </si>
  <si>
    <t>This robots funky and clunky</t>
  </si>
  <si>
    <t>Drivetrain broken??</t>
  </si>
  <si>
    <t>The robots kinda bad</t>
  </si>
  <si>
    <t>If cone falls off elevator-it drops into chassis and gets stuck. Also robot shakes when grabbing a cone??</t>
  </si>
  <si>
    <t>Caitlyn</t>
  </si>
  <si>
    <t xml:space="preserve">Got stuck on other team’s charge station </t>
  </si>
  <si>
    <t>Gathered cubes to one half of the field</t>
  </si>
  <si>
    <t>Didn’t pick up any cones or cubes</t>
  </si>
  <si>
    <t>Driving didn’t seem as good this round.</t>
  </si>
  <si>
    <t>Better driving this time, but still hasn’t reattempted cone.</t>
  </si>
  <si>
    <t>Caitln</t>
  </si>
  <si>
    <t>were engaged until third team tried to get on</t>
  </si>
  <si>
    <t>Their usual auton is unreliable at placing.</t>
  </si>
  <si>
    <t>Auton got caught on charge station, broke down later.</t>
  </si>
  <si>
    <t>May have been having some trouble moving</t>
  </si>
  <si>
    <t>Actually scored some low goals this time.</t>
  </si>
  <si>
    <t>Seemed to collide with alliance members a lot.</t>
  </si>
  <si>
    <t>Got caught on charge station during auton</t>
  </si>
  <si>
    <t>Simran</t>
  </si>
  <si>
    <t>Not bad but does cubes- failed engage in auton</t>
  </si>
  <si>
    <t>HOW DO YOU DROP 4 CUBES</t>
  </si>
  <si>
    <t>they prob got so many penalties</t>
  </si>
  <si>
    <t>Semis 3</t>
  </si>
  <si>
    <t>this gonna be us</t>
  </si>
  <si>
    <t>Semis 6</t>
  </si>
  <si>
    <t>semis 9</t>
  </si>
  <si>
    <t>Cone got stuck in intake :(</t>
  </si>
  <si>
    <t>Sad intake or whatever it was</t>
  </si>
  <si>
    <t>Intake plz</t>
  </si>
  <si>
    <t>Potential dark horse team</t>
  </si>
  <si>
    <t>Played as a push bot, maybe claw broke?</t>
  </si>
  <si>
    <t>Interesting strategy, they never left the community and the two push bots brought cubes to them, maybe utilize at Saline?</t>
  </si>
  <si>
    <t>Jack</t>
  </si>
  <si>
    <t>was rammed by enemy pushbot in the first five seconds and from then on ceased to function</t>
  </si>
  <si>
    <t>Really slow chassis</t>
  </si>
  <si>
    <t>Kate c</t>
  </si>
  <si>
    <t>Slay</t>
  </si>
  <si>
    <t xml:space="preserve">Kate chiang </t>
  </si>
  <si>
    <t xml:space="preserve">Kate c </t>
  </si>
  <si>
    <t>Match 1 (semi finals)</t>
  </si>
  <si>
    <t>5 (semi finals)</t>
  </si>
  <si>
    <t>I mean they fell over last second</t>
  </si>
  <si>
    <t>Some sort of bear</t>
  </si>
  <si>
    <t xml:space="preserve">Gripper failed went to play defense wasn’t bad but was penalized </t>
  </si>
  <si>
    <t xml:space="preserve">Some sort of bear </t>
  </si>
  <si>
    <t>Got in way of teammates, commentator said low hanging fruit again</t>
  </si>
  <si>
    <t>Annalise</t>
  </si>
  <si>
    <t>Really tippy, when arm was extended the robot looked like it was gonna fall a couple of times</t>
  </si>
  <si>
    <t>top heavy</t>
  </si>
  <si>
    <t>semis - 4</t>
  </si>
  <si>
    <t>still top heavy</t>
  </si>
  <si>
    <t>semis - 6</t>
  </si>
  <si>
    <t>actually almost tipped, good endgame balance</t>
  </si>
  <si>
    <t>semis - 9</t>
  </si>
  <si>
    <t>good cycle times, basically only grabbing from the human player station</t>
  </si>
  <si>
    <t>Almost tipped twice</t>
  </si>
  <si>
    <t>Us but better</t>
  </si>
  <si>
    <t>Did all the heavy lifting</t>
  </si>
  <si>
    <t>Struggled immensely with cone pickup, then fell down</t>
  </si>
  <si>
    <t>Struggled with high cube shooting for a bit</t>
  </si>
  <si>
    <t>High cubes were not good</t>
  </si>
  <si>
    <t>Cone got stuck in chassis, forced to engage</t>
  </si>
  <si>
    <t>Knocked over with 17 left</t>
  </si>
  <si>
    <t>Final 3</t>
  </si>
  <si>
    <t>Can’t pick up downed cones, something broke</t>
  </si>
  <si>
    <t>Risqué with cones</t>
  </si>
  <si>
    <t>Did not play well, got carried</t>
  </si>
  <si>
    <t>Struggled at human player station, cube placement errors</t>
  </si>
  <si>
    <t>Struggled immensely</t>
  </si>
  <si>
    <t>Overranked :(</t>
  </si>
  <si>
    <t>Spent a solid minute trying to get a cone from human player, not effective use of time/ ability</t>
  </si>
  <si>
    <t>part of bumper hanging off</t>
  </si>
  <si>
    <t>slow cone pickup at human player station</t>
  </si>
  <si>
    <t>cone got stuck in bottom of bot during auton, had to play defense all match</t>
  </si>
  <si>
    <t>Can’t do crap</t>
  </si>
  <si>
    <t>Kate</t>
  </si>
  <si>
    <t>slow intake</t>
  </si>
  <si>
    <t>tipped over halfway through, did not play for rest of match</t>
  </si>
  <si>
    <t>robot got tipped - again</t>
  </si>
  <si>
    <t>they tipped over in endgame (crying)</t>
  </si>
  <si>
    <t>they did not tip over this time (praise the lord)</t>
  </si>
  <si>
    <t>They helped another bot get unstuck</t>
  </si>
  <si>
    <t>Katec</t>
  </si>
  <si>
    <t>2 ( semi finals)</t>
  </si>
  <si>
    <t>7 (semi finals)</t>
  </si>
  <si>
    <t>9 semi finals</t>
  </si>
  <si>
    <t>Very speedy</t>
  </si>
  <si>
    <t>Fast cycle times</t>
  </si>
  <si>
    <t>Robot shakes. Auton zooms across field and scores for other alliance oop</t>
  </si>
  <si>
    <t>Match 2</t>
  </si>
  <si>
    <t>Just sat there??</t>
  </si>
  <si>
    <t>Match 5</t>
  </si>
  <si>
    <t>Stopped working for first half</t>
  </si>
  <si>
    <t>Ronak</t>
  </si>
  <si>
    <t>Intake is kinda cool, although it's quite slow. Did pick up some of their Alliance's low cubes and move them up to high cubes, too.</t>
  </si>
  <si>
    <t>Ability to place both cubes and cones, however, robot and outtake move slowly, so only ~2 can be placed per round. Consistently places high cubes though</t>
  </si>
  <si>
    <t>Really good for the most part, way more efficient than their previous matches. Robot did flip over with about ~20 seconds left in the match</t>
  </si>
  <si>
    <t>Really good, and really good with cubes</t>
  </si>
  <si>
    <t>Again, really good with cubes</t>
  </si>
  <si>
    <t>Omg they’re so good</t>
  </si>
  <si>
    <t>Can’t pick up cones from ground</t>
  </si>
  <si>
    <t>Much less confident, missed a lot of cones</t>
  </si>
  <si>
    <t>Easily their best match yet, mainly a cube bot</t>
  </si>
  <si>
    <t>Disabled? Maybe?</t>
  </si>
  <si>
    <t>Too fast for their own good, missed some cubes and cones</t>
  </si>
  <si>
    <t>Had some trouble with cones in the middle of the match</t>
  </si>
  <si>
    <t>Jeebus Christe</t>
  </si>
  <si>
    <t>Missed a lot</t>
  </si>
  <si>
    <t>Elevator stopped i think</t>
  </si>
  <si>
    <t>OMG THEYRE SO GOOD</t>
  </si>
  <si>
    <t>Looks like outtake/ arm broke early on</t>
  </si>
  <si>
    <t>not sure if arm was still broken or not, basically worked as a chassis bot</t>
  </si>
  <si>
    <t>only got cubes, pretty slow collection times</t>
  </si>
  <si>
    <t>Arm flopping around everywhere</t>
  </si>
  <si>
    <t>This bot just sits there. And does not help.</t>
  </si>
  <si>
    <t>something was hanging off the chassis for the match, tipped over during endgame. When a cube got stuck in the robot instead of playing defense, they spent a minute trying to get the cube out</t>
  </si>
  <si>
    <t>robot did not move for most of the match, got disabled a couple of times</t>
  </si>
  <si>
    <t>Literally didn't show up to the match</t>
  </si>
  <si>
    <t>Again, didn't even show up to the match</t>
  </si>
  <si>
    <t>Once again, didn't show up to the match</t>
  </si>
  <si>
    <t>Again didn't show up to the match</t>
  </si>
  <si>
    <t>Finally showed up... BUT they don't know what they're doing. Driver skill isn't good</t>
  </si>
  <si>
    <t>Literally doesn't do anything</t>
  </si>
  <si>
    <t>Robot is just roaming around, scoring 0 points and doing nothing productive</t>
  </si>
  <si>
    <t>This team is bad</t>
  </si>
  <si>
    <t>Robot broke down, failed to pick up any cones or cubes.</t>
  </si>
  <si>
    <t>Intake is not great, has to push cones around to low cone area (and struggles to do so)</t>
  </si>
  <si>
    <t>Broke down twice in the same round, weren't productive</t>
  </si>
  <si>
    <t>Almost got both docked and engaged</t>
  </si>
  <si>
    <t>Broken down the whole time, didn't move</t>
  </si>
  <si>
    <t>Off from auton to ~60 secs left</t>
  </si>
  <si>
    <t>Really interesting claw</t>
  </si>
  <si>
    <t>Fell over then lifted themselves up again I’m not kidding it’s amazing</t>
  </si>
  <si>
    <t>Defense, got pushed back by people they were defending against</t>
  </si>
  <si>
    <t>Fell down but got back up</t>
  </si>
  <si>
    <t>Robot wasn't able to pick up any game pieces at all</t>
  </si>
  <si>
    <t>Once again, failed to pick up any cubes or cones</t>
  </si>
  <si>
    <t>Did not attempt to grab any cones or cubes</t>
  </si>
  <si>
    <t>Semis - Match 4</t>
  </si>
  <si>
    <t>Elims - R2 Match 6</t>
  </si>
  <si>
    <t>Did not attempt to get any cones or cubes</t>
  </si>
  <si>
    <t>Samantha</t>
  </si>
  <si>
    <t>Um very underwhelming unfortunately - potential threat if they have drivers practice</t>
  </si>
  <si>
    <t xml:space="preserve">Samantha </t>
  </si>
  <si>
    <t>Josh</t>
  </si>
  <si>
    <t>wasn't able to intake</t>
  </si>
  <si>
    <t>Got stuck and needed help to dock. Moves like a penguin, waddling due to being topheavy</t>
  </si>
  <si>
    <t>Intake worked, once</t>
  </si>
  <si>
    <t xml:space="preserve">Good defense, but was too aggressive and got a lot of penalties </t>
  </si>
  <si>
    <t>Better defense this time</t>
  </si>
  <si>
    <t>Was on and off for a lot of the match</t>
  </si>
  <si>
    <t>Fell over</t>
  </si>
  <si>
    <t>I love it when the chassis bots fight &lt;3</t>
  </si>
  <si>
    <t>Honestly a pretty good df bot</t>
  </si>
  <si>
    <t>Def capable, and aggressive</t>
  </si>
  <si>
    <t>Didn't do anything offensively. Tried to play defense, but went in the other team's area and got 15 points for the other team</t>
  </si>
  <si>
    <t>Bot almost flipped about 20 times</t>
  </si>
  <si>
    <t>Robot is very unstable, flipped over</t>
  </si>
  <si>
    <t>Center of gravity is way too high</t>
  </si>
  <si>
    <t>Center of gravity is still way too high. Almost flipped thrice more</t>
  </si>
  <si>
    <t>Made a good adjustment -&gt; chassis bot</t>
  </si>
  <si>
    <t>Stuck under charge station</t>
  </si>
  <si>
    <t>Engages w/ charge station very early (~50 seconds left in match)</t>
  </si>
  <si>
    <t>Semifinal - Match 5 in Elims</t>
  </si>
  <si>
    <t>Finals 2</t>
  </si>
  <si>
    <t xml:space="preserve">Subpar, cant intake properly </t>
  </si>
  <si>
    <t>Hosh</t>
  </si>
  <si>
    <t>Iffy</t>
  </si>
  <si>
    <t>Innaccurate intake</t>
  </si>
  <si>
    <t>Match #</t>
  </si>
  <si>
    <t>Team #</t>
  </si>
  <si>
    <t>A - High ConA</t>
  </si>
  <si>
    <t>A - High ConP</t>
  </si>
  <si>
    <t>A - Mid ConA</t>
  </si>
  <si>
    <t>A - MidConP</t>
  </si>
  <si>
    <t>A - Low ConA</t>
  </si>
  <si>
    <t>A - LowConP</t>
  </si>
  <si>
    <t>A - High CubeA</t>
  </si>
  <si>
    <t>A - High CubeP</t>
  </si>
  <si>
    <t>A - Mid CubeA</t>
  </si>
  <si>
    <t>A - MidCubeP</t>
  </si>
  <si>
    <t>A - Low CubeA</t>
  </si>
  <si>
    <t>A - LowCubeP</t>
  </si>
  <si>
    <t>A - Docked</t>
  </si>
  <si>
    <t>A - Engaged</t>
  </si>
  <si>
    <t>A - Left Community</t>
  </si>
  <si>
    <t>T - High ConA</t>
  </si>
  <si>
    <t>T - High ConP</t>
  </si>
  <si>
    <t>T - Mid ConA</t>
  </si>
  <si>
    <t>T - MidConP</t>
  </si>
  <si>
    <t>T - Low ConA</t>
  </si>
  <si>
    <t>T - LowConP</t>
  </si>
  <si>
    <t>T - High CubeA</t>
  </si>
  <si>
    <t>T - High CubeP</t>
  </si>
  <si>
    <t>T - Mid CubeA</t>
  </si>
  <si>
    <t>T - MidCubeP</t>
  </si>
  <si>
    <t>T - Low CubeA</t>
  </si>
  <si>
    <t>T - LowCubeP</t>
  </si>
  <si>
    <t>T - Docked</t>
  </si>
  <si>
    <t>T - Engaged</t>
  </si>
  <si>
    <t>Driver - Offense</t>
  </si>
  <si>
    <t>Driver - Defense</t>
  </si>
  <si>
    <t>Breakdown</t>
  </si>
  <si>
    <t>Notes</t>
  </si>
  <si>
    <t>disabled early in match</t>
  </si>
  <si>
    <t>colin f</t>
  </si>
  <si>
    <t>took a nap for most of the match then played defence.</t>
  </si>
  <si>
    <t>broke after hitting wall</t>
  </si>
  <si>
    <t>Zara and Lena</t>
  </si>
  <si>
    <t>They couldn't move remote not working</t>
  </si>
  <si>
    <t>SeanGoodson</t>
  </si>
  <si>
    <t>did  not move</t>
  </si>
  <si>
    <t>stopped placing cones dropped one. Can grab off ground but not great</t>
  </si>
  <si>
    <t>affiliate of 302</t>
  </si>
  <si>
    <t>Good cycle times</t>
  </si>
  <si>
    <t>fell off charge station</t>
  </si>
  <si>
    <t>Lena</t>
  </si>
  <si>
    <t>I think they may be testing a new driver</t>
  </si>
  <si>
    <t>Gabe T</t>
  </si>
  <si>
    <t>Grant</t>
  </si>
  <si>
    <t>no ground intake</t>
  </si>
  <si>
    <t>unbalanced claw possibly not working camera fell off</t>
  </si>
  <si>
    <t>no claw</t>
  </si>
  <si>
    <t>drivetrain errors?</t>
  </si>
  <si>
    <t>Can't move preperly due to the weight</t>
  </si>
  <si>
    <t>logan</t>
  </si>
  <si>
    <t>finley</t>
  </si>
  <si>
    <t>Nick</t>
  </si>
  <si>
    <t>Tipped over at very end.</t>
  </si>
  <si>
    <t>Sean Goodson</t>
  </si>
  <si>
    <t>the robot could pick up anything</t>
  </si>
  <si>
    <t>ben k</t>
  </si>
  <si>
    <t>something wasn't working</t>
  </si>
  <si>
    <t>Zara</t>
  </si>
  <si>
    <t>Cube got stuck on bot</t>
  </si>
  <si>
    <t>speeeeed</t>
  </si>
  <si>
    <t>good consistant high placement</t>
  </si>
  <si>
    <t>consistant high placer chute only for loading</t>
  </si>
  <si>
    <t>the crane was slow</t>
  </si>
  <si>
    <t>The claw moves at an increadably slow speed</t>
  </si>
  <si>
    <t>bumper fell off halfway through the match</t>
  </si>
  <si>
    <t>wobbly</t>
  </si>
  <si>
    <t>phylip</t>
  </si>
  <si>
    <t>i think new driver was learning on the go</t>
  </si>
  <si>
    <t>Claw trouble</t>
  </si>
  <si>
    <t>Rachna</t>
  </si>
  <si>
    <t>almost tipped twice</t>
  </si>
  <si>
    <t>emmie</t>
  </si>
  <si>
    <t>Ben k</t>
  </si>
  <si>
    <t>placer isn't stable</t>
  </si>
  <si>
    <t>inconsistant high cones</t>
  </si>
  <si>
    <t>had a very hard time picking things up.</t>
  </si>
  <si>
    <t>Can't pick up cones</t>
  </si>
  <si>
    <t>big eye lol i'm tired</t>
  </si>
  <si>
    <t>they ight</t>
  </si>
  <si>
    <t>Survived some bumps</t>
  </si>
  <si>
    <t>breakdown arm not working</t>
  </si>
  <si>
    <t>stopped picking up cubes partway through</t>
  </si>
  <si>
    <t>just stoped working after auton</t>
  </si>
  <si>
    <t>arm did not work very well</t>
  </si>
  <si>
    <t>acted like a chassis bot</t>
  </si>
  <si>
    <t>omg they just climbed on the opposing charge station LLAMAAAA</t>
  </si>
  <si>
    <t>No working claw</t>
  </si>
  <si>
    <t>robot might have brokem down?</t>
  </si>
  <si>
    <t>got stuck on charge station for like 20 seconds</t>
  </si>
  <si>
    <t>cubes only consistant in tele</t>
  </si>
  <si>
    <t>Fast-ish</t>
  </si>
  <si>
    <t>sean goodson</t>
  </si>
  <si>
    <t>Good at avoiding chrashes</t>
  </si>
  <si>
    <t>Slow</t>
  </si>
  <si>
    <t>can pick up cubes off ground</t>
  </si>
  <si>
    <t>ooooffff</t>
  </si>
  <si>
    <t>Ys</t>
  </si>
  <si>
    <t>Fully tipped over after driving over charge station. Also wobbled a lot at other times</t>
  </si>
  <si>
    <t>Seangoodson</t>
  </si>
  <si>
    <t>decent</t>
  </si>
  <si>
    <t>good robot</t>
  </si>
  <si>
    <t>dante</t>
  </si>
  <si>
    <t>they did well</t>
  </si>
  <si>
    <t>Daniel</t>
  </si>
  <si>
    <t>very accurate and quick</t>
  </si>
  <si>
    <t>just went back and forth</t>
  </si>
  <si>
    <t>meh</t>
  </si>
  <si>
    <t>Very fast with cubes</t>
  </si>
  <si>
    <t>they tried to put a cube in the cone area three times in a row!?!</t>
  </si>
  <si>
    <t>Good auton</t>
  </si>
  <si>
    <t>never started match</t>
  </si>
  <si>
    <t>really bad at holding onto the payload</t>
  </si>
  <si>
    <t>Flipped over</t>
  </si>
  <si>
    <t>Can't hold cones or cubes properly</t>
  </si>
  <si>
    <t>Great cycle time. Eagle gang.</t>
  </si>
  <si>
    <t>robot had cone for large amount of time and did not score</t>
  </si>
  <si>
    <t>Cone got stuck on bot</t>
  </si>
  <si>
    <t>def didnmore than just charge but someome just left the ipad lol</t>
  </si>
  <si>
    <t>only cubes</t>
  </si>
  <si>
    <t>hard to get peces in the robot</t>
  </si>
  <si>
    <t>Too much power in the throwing mechanism</t>
  </si>
  <si>
    <t>ok missed some</t>
  </si>
  <si>
    <t>maybe work on avoiding defense</t>
  </si>
  <si>
    <t>struggled a bit focus on cubes next time</t>
  </si>
  <si>
    <t>too fast</t>
  </si>
  <si>
    <t>doesn't do level 3 but fast. Deffinitly not a biased opinion lol</t>
  </si>
  <si>
    <t>little too fast</t>
  </si>
  <si>
    <t>really really good but lost power or something i guess</t>
  </si>
  <si>
    <t>lot of cubes</t>
  </si>
  <si>
    <t>eh</t>
  </si>
  <si>
    <t>can not hold cubes</t>
  </si>
  <si>
    <t>a bit inconsistant but decent high placer</t>
  </si>
  <si>
    <t>good with cones</t>
  </si>
  <si>
    <t>dropped 4 game pieces</t>
  </si>
  <si>
    <t>cant always hold objects</t>
  </si>
  <si>
    <t>they had a hard time placing cubes in anything but the bottom</t>
  </si>
  <si>
    <t>low cubes only</t>
  </si>
  <si>
    <t>no accurate scoring method</t>
  </si>
  <si>
    <t>played defence</t>
  </si>
  <si>
    <t>Had all the top cones filled</t>
  </si>
  <si>
    <t>almost tipped once</t>
  </si>
  <si>
    <t>good at high things</t>
  </si>
  <si>
    <t>missed scouting auton sry</t>
  </si>
  <si>
    <t>slow and top heavy</t>
  </si>
  <si>
    <t>Hard time lining up with grid</t>
  </si>
  <si>
    <t>just dont</t>
  </si>
  <si>
    <t>finlry</t>
  </si>
  <si>
    <t>sloppy match</t>
  </si>
  <si>
    <t>Didn't show up</t>
  </si>
  <si>
    <t>If they were having issues earlier they may have gotten over them. Also is it me or does their robot actually look like a frog</t>
  </si>
  <si>
    <t>good high inconsistant</t>
  </si>
  <si>
    <t>had a bit of a hard time with charge station while driving.</t>
  </si>
  <si>
    <t>Very good cycle times. Has anyone asked if they have a good balance auton?</t>
  </si>
  <si>
    <t>almost tipped on a couple of occasions and I think their arm was damaged</t>
  </si>
  <si>
    <t>Robert</t>
  </si>
  <si>
    <t>overengineered top heavy and doesn't really work</t>
  </si>
  <si>
    <t>finkley</t>
  </si>
  <si>
    <t>The robot fell :c</t>
  </si>
  <si>
    <t>wasnt even fair lol</t>
  </si>
  <si>
    <t>part of robot fell off</t>
  </si>
  <si>
    <t>Spent a lot of time trying to get a dropped cube into low. Think they were trying a new driver.</t>
  </si>
  <si>
    <t>I think the breakdown was a connectivity issue</t>
  </si>
  <si>
    <t>only cubes but wone with only two bots</t>
  </si>
  <si>
    <t>has a had time getting and placing cubes</t>
  </si>
  <si>
    <t>may have tracked the wrong team for some of these</t>
  </si>
  <si>
    <t>so gooooood</t>
  </si>
  <si>
    <t>unstable arm</t>
  </si>
  <si>
    <t>consistant high placer</t>
  </si>
  <si>
    <t>did not use claw exsept to grab from human player</t>
  </si>
  <si>
    <t>Event</t>
  </si>
  <si>
    <t>Person Scouting</t>
  </si>
  <si>
    <t>Key</t>
  </si>
  <si>
    <t>Week 4 - West</t>
  </si>
  <si>
    <t>Not Available Currently</t>
  </si>
  <si>
    <t>Week 3 - Detroit</t>
  </si>
  <si>
    <t>Available for Scouting</t>
  </si>
  <si>
    <t>Week 2 - Lansing</t>
  </si>
  <si>
    <t>Claimed/In Progress</t>
  </si>
  <si>
    <t>Week 3 - Muskegon, Week 4 - LSSU</t>
  </si>
  <si>
    <t>Completed</t>
  </si>
  <si>
    <t>Week 2 - Kettering</t>
  </si>
  <si>
    <t>Week 1 - Jackson</t>
  </si>
  <si>
    <t>Week 4 - Lakeview</t>
  </si>
  <si>
    <t>Marek/Jack N</t>
  </si>
  <si>
    <t>Week 1 - Milford</t>
  </si>
  <si>
    <t>Week 3 - Belleville</t>
  </si>
  <si>
    <t>Week 4 - Midland</t>
  </si>
  <si>
    <t>Week 1 - Kettering</t>
  </si>
  <si>
    <t>Week 1 - Calvin U</t>
  </si>
  <si>
    <t>Week 4 - Troy #1</t>
  </si>
  <si>
    <t>Troy has no vids :(</t>
  </si>
  <si>
    <t>Only Competing at Saline idk</t>
  </si>
  <si>
    <t>Week 4 - Lakeview #2</t>
  </si>
  <si>
    <t>josh</t>
  </si>
  <si>
    <t>A-Mobility</t>
  </si>
  <si>
    <t>K9.0 Robotics</t>
  </si>
  <si>
    <t>Hollywood</t>
  </si>
  <si>
    <t>Killer Bees</t>
  </si>
  <si>
    <t>Adambots</t>
  </si>
  <si>
    <t>TroBots</t>
  </si>
  <si>
    <t>Metal Muscle</t>
  </si>
  <si>
    <t>RoboSapiens</t>
  </si>
  <si>
    <t>The Dragons</t>
  </si>
  <si>
    <t>The Livonia Warriors</t>
  </si>
  <si>
    <t>The Dragons - B-Team</t>
  </si>
  <si>
    <t>Team RUSH</t>
  </si>
  <si>
    <t>The Oxford RoboCats</t>
  </si>
  <si>
    <t>Electro Eagles</t>
  </si>
  <si>
    <t>The Flying Toasters</t>
  </si>
  <si>
    <t>CC Shambots</t>
  </si>
  <si>
    <t>The CREW</t>
  </si>
  <si>
    <t>Team - Cosmos</t>
  </si>
  <si>
    <t>Cyber Soldiers</t>
  </si>
  <si>
    <t>The F.A.S.T. Team</t>
  </si>
  <si>
    <t>House of Cards</t>
  </si>
  <si>
    <t>GRAYT Leviathons</t>
  </si>
  <si>
    <t>AstroCircuits</t>
  </si>
  <si>
    <t>Dexter Dreadbots</t>
  </si>
  <si>
    <t>Truck Town Thunder</t>
  </si>
  <si>
    <t>Knight Vision</t>
  </si>
  <si>
    <t>Da Bears</t>
  </si>
  <si>
    <t>The Tyros Team</t>
  </si>
  <si>
    <t>Frog Force</t>
  </si>
  <si>
    <t>RoboCubs</t>
  </si>
  <si>
    <t>I AM Robot</t>
  </si>
  <si>
    <t>RAPTORS</t>
  </si>
  <si>
    <t>Tech Warriors</t>
  </si>
  <si>
    <t>Kinematic Wolves</t>
  </si>
  <si>
    <t>The Argonauts</t>
  </si>
  <si>
    <t>Metal Muscle - B-Team</t>
  </si>
  <si>
    <t>Current Rank</t>
  </si>
  <si>
    <t>Team + Pick Rank?</t>
  </si>
  <si>
    <t>Avg Scoring</t>
  </si>
  <si>
    <t>Grid</t>
  </si>
  <si>
    <t>Teleop Engage Data</t>
  </si>
  <si>
    <t>SAY YES TO ALL OF THESE</t>
  </si>
  <si>
    <t>meh pick - good bot but wouldn't work well with us</t>
  </si>
  <si>
    <t>#1 Pick if still available</t>
  </si>
  <si>
    <t>chassis bot</t>
  </si>
  <si>
    <t xml:space="preserve">2nd maybe </t>
  </si>
  <si>
    <t>Good Pick if they can get claw working again</t>
  </si>
  <si>
    <t>Great Second Pick</t>
  </si>
  <si>
    <t>Underranked, Potentially good second pic,</t>
  </si>
  <si>
    <t>chairlie said good 2nd</t>
  </si>
  <si>
    <t>check how they do on day 2, they have potential if they figure their bot out</t>
  </si>
  <si>
    <t>Chassis Bot</t>
  </si>
  <si>
    <t>only good defensive chassis bot</t>
  </si>
  <si>
    <t>Good Pick</t>
  </si>
  <si>
    <t>General Information</t>
  </si>
  <si>
    <t>Team Name</t>
  </si>
  <si>
    <t>Offense</t>
  </si>
  <si>
    <t>Defense</t>
  </si>
  <si>
    <t>Length + Width</t>
  </si>
  <si>
    <t>Piece Collection</t>
  </si>
  <si>
    <t>Scoring Level</t>
  </si>
  <si>
    <t>Preferred Game Piece</t>
  </si>
  <si>
    <t>Charge Stat - TeleOp</t>
  </si>
  <si>
    <t>Avg Game Pieces Scored</t>
  </si>
  <si>
    <t>Changes Between Comps</t>
  </si>
  <si>
    <t>Comments</t>
  </si>
  <si>
    <t>Drive Train Type</t>
  </si>
  <si>
    <t>Auton Plan</t>
  </si>
  <si>
    <t>AVG STATS (HCo=High Cone, HCu=High Cube, etc.)</t>
  </si>
  <si>
    <t>HCo Attempted</t>
  </si>
  <si>
    <t>HCo Placed</t>
  </si>
  <si>
    <t>HCo%</t>
  </si>
  <si>
    <t>MCo Attempted</t>
  </si>
  <si>
    <t>MCo Placed</t>
  </si>
  <si>
    <t>MCo%</t>
  </si>
  <si>
    <t>LCo Attempted</t>
  </si>
  <si>
    <t>LCo Placed</t>
  </si>
  <si>
    <t>LCo%</t>
  </si>
  <si>
    <t>HCu Attempted</t>
  </si>
  <si>
    <t>HCu Placed</t>
  </si>
  <si>
    <t>HCu%</t>
  </si>
  <si>
    <t>MCu Attempted</t>
  </si>
  <si>
    <t>MCu Placed</t>
  </si>
  <si>
    <t>MCu%</t>
  </si>
  <si>
    <t>LCu Attempted</t>
  </si>
  <si>
    <t>LCu Placed</t>
  </si>
  <si>
    <t>LCu%</t>
  </si>
  <si>
    <t>Charge Dock.</t>
  </si>
  <si>
    <t>Charge Eng.</t>
  </si>
  <si>
    <t>TeleOp</t>
  </si>
  <si>
    <t>Other Stats</t>
  </si>
  <si>
    <t>Driver Offense</t>
  </si>
  <si>
    <t>Driver Defense</t>
  </si>
  <si>
    <t>Avg Grid Score</t>
  </si>
  <si>
    <t>Individual Match Stats</t>
  </si>
  <si>
    <t>A - Charge Station</t>
  </si>
  <si>
    <t>T - Charge Station</t>
  </si>
  <si>
    <t>Length</t>
  </si>
  <si>
    <t>Width</t>
  </si>
  <si>
    <t>Low Level</t>
  </si>
  <si>
    <t>Mid Level</t>
  </si>
  <si>
    <t>High Level</t>
  </si>
  <si>
    <t>Auton plan</t>
  </si>
  <si>
    <t>Pickup From Ground</t>
  </si>
  <si>
    <t>Pickup From Single Substation</t>
  </si>
  <si>
    <t>Pickup From Double Substation</t>
  </si>
  <si>
    <t>Game Pieces Scored on Average</t>
  </si>
  <si>
    <t>Both</t>
  </si>
  <si>
    <t>Final Qual Rank</t>
  </si>
  <si>
    <t>Alliance Captain?</t>
  </si>
  <si>
    <t>Alliance Rank</t>
  </si>
  <si>
    <t>Picked by someone else?</t>
  </si>
  <si>
    <t>Playoff Performance</t>
  </si>
  <si>
    <t>Awards</t>
  </si>
  <si>
    <t>District Points</t>
  </si>
  <si>
    <t>Previous Event Totals</t>
  </si>
  <si>
    <t>Total District Points</t>
  </si>
  <si>
    <t>Qualify for States?</t>
  </si>
  <si>
    <t>Winner</t>
  </si>
  <si>
    <t>None</t>
  </si>
  <si>
    <t>Other Calculation Stuffs (don't touch plz)</t>
  </si>
  <si>
    <t>First Pick</t>
  </si>
  <si>
    <t>Red Alliance</t>
  </si>
  <si>
    <t>Blue Alliance</t>
  </si>
  <si>
    <t>Our Match Numbers</t>
  </si>
  <si>
    <t>Avg Hi Cones</t>
  </si>
  <si>
    <t>Avg Mid Cones</t>
  </si>
  <si>
    <t>Avg Lo Cones</t>
  </si>
  <si>
    <t>Avg Hi Cubes</t>
  </si>
  <si>
    <t>Avg Mid Cubes</t>
  </si>
  <si>
    <t>Avg Lo Cubes</t>
  </si>
  <si>
    <t>Charging Station Docking</t>
  </si>
  <si>
    <t>Charging Station Engaging</t>
  </si>
  <si>
    <t>Driver Offensive</t>
  </si>
  <si>
    <t>Driver Defensive</t>
  </si>
  <si>
    <t>Match Prediction</t>
  </si>
  <si>
    <t>To Tie</t>
  </si>
  <si>
    <t>Red</t>
  </si>
  <si>
    <t>Blue</t>
  </si>
  <si>
    <t>High Goals Needed</t>
  </si>
  <si>
    <t>Points Needed</t>
  </si>
  <si>
    <t>Aut-Charge</t>
  </si>
  <si>
    <t>Tele-Charge</t>
  </si>
  <si>
    <t>Total</t>
  </si>
  <si>
    <t>Conservative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</si>
</sst>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0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  <scheme val="minor"/>
    </font>
    <font/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sz val="24.0"/>
      <color theme="1"/>
      <name val="Arial"/>
    </font>
    <font>
      <b/>
      <color rgb="FF000000"/>
      <name val="Arial"/>
    </font>
    <font>
      <color rgb="FF000000"/>
      <name val="Arial"/>
      <scheme val="minor"/>
    </font>
    <font>
      <sz val="14.0"/>
      <color theme="1"/>
      <name val="Arial"/>
      <scheme val="minor"/>
    </font>
    <font>
      <strike/>
      <color theme="1"/>
      <name val="Arial"/>
      <scheme val="minor"/>
    </font>
    <font>
      <b/>
      <color rgb="FFFF0000"/>
      <name val="Arial"/>
    </font>
    <font>
      <b/>
      <color rgb="FF00FF00"/>
      <name val="Arial"/>
    </font>
    <font>
      <b/>
      <color rgb="FFFF9900"/>
      <name val="Arial"/>
    </font>
    <font>
      <color rgb="FFFFFFFF"/>
      <name val="Arial"/>
    </font>
    <font>
      <sz val="11.0"/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B2FFB2"/>
        <bgColor rgb="FFB2FFB2"/>
      </patternFill>
    </fill>
    <fill>
      <patternFill patternType="solid">
        <fgColor rgb="FFFFC16B"/>
        <bgColor rgb="FFFFC16B"/>
      </patternFill>
    </fill>
    <fill>
      <patternFill patternType="solid">
        <fgColor rgb="FF80C7FF"/>
        <bgColor rgb="FF80C7FF"/>
      </patternFill>
    </fill>
    <fill>
      <patternFill patternType="solid">
        <fgColor rgb="FFFF9B9B"/>
        <bgColor rgb="FFFF9B9B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7B7B7"/>
        <bgColor rgb="FFB7B7B7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34A853"/>
        <bgColor rgb="FF34A85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A4FF18"/>
        <bgColor rgb="FFA4FF18"/>
      </patternFill>
    </fill>
    <fill>
      <patternFill patternType="solid">
        <fgColor rgb="FFF1C232"/>
        <bgColor rgb="FFF1C232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</fills>
  <borders count="52">
    <border/>
    <border>
      <right style="thick">
        <color rgb="FF999999"/>
      </right>
    </border>
    <border>
      <bottom style="thick">
        <color rgb="FF3C78D8"/>
      </bottom>
    </border>
    <border>
      <right style="thick">
        <color rgb="FF999999"/>
      </right>
      <bottom style="thick">
        <color rgb="FF3C78D8"/>
      </bottom>
    </border>
    <border>
      <bottom style="thick">
        <color rgb="FFCC0000"/>
      </bottom>
    </border>
    <border>
      <right style="thick">
        <color rgb="FFCC0000"/>
      </right>
      <bottom style="thick">
        <color rgb="FFCC0000"/>
      </bottom>
    </border>
    <border>
      <right style="thick">
        <color rgb="FFFFD966"/>
      </right>
      <top style="thick">
        <color rgb="FFFFD966"/>
      </top>
    </border>
    <border>
      <top style="thick">
        <color rgb="FFFFD966"/>
      </top>
    </border>
    <border>
      <left style="thick">
        <color rgb="FFFFD966"/>
      </left>
      <top style="thick">
        <color rgb="FFFFD966"/>
      </top>
      <bottom style="thick">
        <color rgb="FFFFD966"/>
      </bottom>
    </border>
    <border>
      <top style="thick">
        <color rgb="FFFFD966"/>
      </top>
      <bottom style="thick">
        <color rgb="FFFFD966"/>
      </bottom>
    </border>
    <border>
      <left style="thick">
        <color rgb="FFFFD966"/>
      </left>
      <top style="thick">
        <color rgb="FFFFD966"/>
      </top>
    </border>
    <border>
      <right style="thick">
        <color rgb="FF999999"/>
      </right>
      <top style="thick">
        <color rgb="FFFFD966"/>
      </top>
    </border>
    <border>
      <left style="thick">
        <color rgb="FF999999"/>
      </left>
      <top style="thick">
        <color rgb="FF3C78D8"/>
      </top>
      <bottom style="thick">
        <color rgb="FF3C78D8"/>
      </bottom>
    </border>
    <border>
      <top style="thick">
        <color rgb="FF3C78D8"/>
      </top>
      <bottom style="thick">
        <color rgb="FF3C78D8"/>
      </bottom>
    </border>
    <border>
      <right style="thick">
        <color rgb="FF3C78D8"/>
      </right>
      <top style="thick">
        <color rgb="FF3C78D8"/>
      </top>
      <bottom style="thick">
        <color rgb="FF3C78D8"/>
      </bottom>
    </border>
    <border>
      <left style="thick">
        <color rgb="FF3C78D8"/>
      </left>
      <top style="thick">
        <color rgb="FF3C78D8"/>
      </top>
      <bottom style="thick">
        <color rgb="FF3C78D8"/>
      </bottom>
    </border>
    <border>
      <left style="thick">
        <color rgb="FF3C78D8"/>
      </left>
    </border>
    <border>
      <right style="thick">
        <color rgb="FF3C78D8"/>
      </right>
    </border>
    <border>
      <right style="thick">
        <color rgb="FFCC0000"/>
      </right>
    </border>
    <border>
      <left style="thick">
        <color rgb="FFCC0000"/>
      </left>
    </border>
    <border>
      <right style="thick">
        <color rgb="FFFFD966"/>
      </right>
    </border>
    <border>
      <left style="thick">
        <color rgb="FFFFD966"/>
      </left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bottom style="thin">
        <color rgb="FFEFEFEF"/>
      </bottom>
    </border>
    <border>
      <right style="double">
        <color rgb="FF000000"/>
      </right>
    </border>
    <border>
      <right style="thin">
        <color rgb="FF000000"/>
      </right>
      <bottom style="thin">
        <color rgb="FFEFEFEF"/>
      </bottom>
    </border>
    <border>
      <right style="double">
        <color rgb="FF000000"/>
      </right>
      <bottom style="thin">
        <color rgb="FFEFEFEF"/>
      </bottom>
    </border>
    <border>
      <left style="double">
        <color rgb="FF000000"/>
      </left>
    </border>
    <border>
      <right style="double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/>
    </xf>
    <xf borderId="1" fillId="0" fontId="3" numFmtId="0" xfId="0" applyBorder="1" applyFont="1"/>
    <xf borderId="2" fillId="4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4" fontId="2" numFmtId="0" xfId="0" applyAlignment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0" fillId="5" fontId="1" numFmtId="0" xfId="0" applyAlignment="1" applyFont="1">
      <alignment horizontal="center" readingOrder="0" vertical="center"/>
    </xf>
    <xf borderId="6" fillId="3" fontId="4" numFmtId="0" xfId="0" applyAlignment="1" applyBorder="1" applyFont="1">
      <alignment horizontal="center" readingOrder="0" vertical="center"/>
    </xf>
    <xf borderId="7" fillId="3" fontId="2" numFmtId="0" xfId="0" applyAlignment="1" applyBorder="1" applyFont="1">
      <alignment horizontal="center" readingOrder="0"/>
    </xf>
    <xf borderId="7" fillId="0" fontId="3" numFmtId="0" xfId="0" applyBorder="1" applyFont="1"/>
    <xf borderId="8" fillId="3" fontId="2" numFmtId="0" xfId="0" applyAlignment="1" applyBorder="1" applyFont="1">
      <alignment horizontal="center" readingOrder="0"/>
    </xf>
    <xf borderId="9" fillId="0" fontId="3" numFmtId="0" xfId="0" applyBorder="1" applyFont="1"/>
    <xf borderId="10" fillId="3" fontId="4" numFmtId="0" xfId="0" applyAlignment="1" applyBorder="1" applyFont="1">
      <alignment horizontal="center" readingOrder="0" vertical="center"/>
    </xf>
    <xf borderId="11" fillId="0" fontId="3" numFmtId="0" xfId="0" applyBorder="1" applyFont="1"/>
    <xf borderId="12" fillId="4" fontId="2" numFmtId="0" xfId="0" applyAlignment="1" applyBorder="1" applyFont="1">
      <alignment horizontal="center" readingOrder="0"/>
    </xf>
    <xf borderId="13" fillId="0" fontId="3" numFmtId="0" xfId="0" applyBorder="1" applyFont="1"/>
    <xf borderId="14" fillId="0" fontId="3" numFmtId="0" xfId="0" applyBorder="1" applyFont="1"/>
    <xf borderId="15" fillId="4" fontId="2" numFmtId="0" xfId="0" applyAlignment="1" applyBorder="1" applyFont="1">
      <alignment horizontal="center" readingOrder="0"/>
    </xf>
    <xf borderId="16" fillId="4" fontId="4" numFmtId="0" xfId="0" applyAlignment="1" applyBorder="1" applyFont="1">
      <alignment horizontal="center" readingOrder="0" vertical="center"/>
    </xf>
    <xf borderId="17" fillId="0" fontId="3" numFmtId="0" xfId="0" applyBorder="1" applyFont="1"/>
    <xf borderId="1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center" readingOrder="0" vertical="center"/>
    </xf>
    <xf borderId="18" fillId="0" fontId="3" numFmtId="0" xfId="0" applyBorder="1" applyFont="1"/>
    <xf borderId="19" fillId="5" fontId="1" numFmtId="0" xfId="0" applyAlignment="1" applyBorder="1" applyFont="1">
      <alignment horizontal="center" readingOrder="0" vertical="center"/>
    </xf>
    <xf borderId="20" fillId="0" fontId="3" numFmtId="0" xfId="0" applyBorder="1" applyFont="1"/>
    <xf borderId="10" fillId="3" fontId="2" numFmtId="0" xfId="0" applyAlignment="1" applyBorder="1" applyFont="1">
      <alignment horizontal="center" readingOrder="0"/>
    </xf>
    <xf borderId="6" fillId="0" fontId="3" numFmtId="0" xfId="0" applyBorder="1" applyFont="1"/>
    <xf borderId="21" fillId="3" fontId="2" numFmtId="0" xfId="0" applyAlignment="1" applyBorder="1" applyFont="1">
      <alignment horizontal="center" readingOrder="0"/>
    </xf>
    <xf borderId="21" fillId="0" fontId="3" numFmtId="0" xfId="0" applyBorder="1" applyFont="1"/>
    <xf borderId="16" fillId="4" fontId="2" numFmtId="0" xfId="0" applyAlignment="1" applyBorder="1" applyFont="1">
      <alignment horizontal="center" readingOrder="0"/>
    </xf>
    <xf borderId="16" fillId="0" fontId="3" numFmtId="0" xfId="0" applyBorder="1" applyFont="1"/>
    <xf borderId="1" fillId="4" fontId="5" numFmtId="0" xfId="0" applyBorder="1" applyFont="1"/>
    <xf borderId="0" fillId="4" fontId="5" numFmtId="0" xfId="0" applyFont="1"/>
    <xf borderId="19" fillId="0" fontId="3" numFmtId="0" xfId="0" applyBorder="1" applyFont="1"/>
    <xf borderId="0" fillId="2" fontId="2" numFmtId="0" xfId="0" applyAlignment="1" applyFont="1">
      <alignment horizontal="center" readingOrder="0"/>
    </xf>
    <xf borderId="20" fillId="3" fontId="2" numFmtId="0" xfId="0" applyAlignment="1" applyBorder="1" applyFont="1">
      <alignment horizontal="center" readingOrder="0"/>
    </xf>
    <xf borderId="0" fillId="3" fontId="5" numFmtId="0" xfId="0" applyAlignment="1" applyFont="1">
      <alignment horizontal="center" readingOrder="0"/>
    </xf>
    <xf borderId="21" fillId="3" fontId="5" numFmtId="0" xfId="0" applyAlignment="1" applyBorder="1" applyFont="1">
      <alignment horizontal="center" readingOrder="0"/>
    </xf>
    <xf borderId="20" fillId="3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17" fillId="4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/>
    </xf>
    <xf borderId="18" fillId="5" fontId="5" numFmtId="0" xfId="0" applyAlignment="1" applyBorder="1" applyFont="1">
      <alignment horizontal="center" readingOrder="0"/>
    </xf>
    <xf borderId="18" fillId="5" fontId="2" numFmtId="0" xfId="0" applyAlignment="1" applyBorder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20" fillId="0" fontId="5" numFmtId="0" xfId="0" applyAlignment="1" applyBorder="1" applyFont="1">
      <alignment horizontal="center"/>
    </xf>
    <xf borderId="0" fillId="0" fontId="5" numFmtId="1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5" numFmtId="2" xfId="0" applyAlignment="1" applyFont="1" applyNumberFormat="1">
      <alignment horizontal="center"/>
    </xf>
    <xf borderId="21" fillId="0" fontId="5" numFmtId="1" xfId="0" applyAlignment="1" applyBorder="1" applyFont="1" applyNumberFormat="1">
      <alignment horizontal="center"/>
    </xf>
    <xf borderId="0" fillId="6" fontId="0" numFmtId="1" xfId="0" applyAlignment="1" applyFill="1" applyFont="1" applyNumberFormat="1">
      <alignment horizontal="center"/>
    </xf>
    <xf borderId="21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0" fillId="0" fontId="6" numFmtId="0" xfId="0" applyAlignment="1" applyFont="1">
      <alignment horizontal="center" vertical="bottom"/>
    </xf>
    <xf borderId="0" fillId="0" fontId="6" numFmtId="10" xfId="0" applyAlignment="1" applyFont="1" applyNumberFormat="1">
      <alignment horizontal="center" vertical="bottom"/>
    </xf>
    <xf borderId="0" fillId="0" fontId="6" numFmtId="2" xfId="0" applyAlignment="1" applyFont="1" applyNumberFormat="1">
      <alignment horizontal="center" vertical="bottom"/>
    </xf>
    <xf borderId="17" fillId="0" fontId="6" numFmtId="0" xfId="0" applyAlignment="1" applyBorder="1" applyFont="1">
      <alignment horizontal="center" vertical="bottom"/>
    </xf>
    <xf borderId="0" fillId="0" fontId="5" numFmtId="0" xfId="0" applyAlignment="1" applyFont="1">
      <alignment horizontal="center"/>
    </xf>
    <xf borderId="17" fillId="6" fontId="0" numFmtId="0" xfId="0" applyAlignment="1" applyBorder="1" applyFont="1">
      <alignment horizontal="center"/>
    </xf>
    <xf borderId="0" fillId="0" fontId="5" numFmtId="9" xfId="0" applyAlignment="1" applyFont="1" applyNumberFormat="1">
      <alignment horizontal="center" readingOrder="0"/>
    </xf>
    <xf borderId="18" fillId="0" fontId="5" numFmtId="2" xfId="0" applyAlignment="1" applyBorder="1" applyFont="1" applyNumberFormat="1">
      <alignment horizontal="center" readingOrder="0"/>
    </xf>
    <xf borderId="18" fillId="0" fontId="0" numFmtId="2" xfId="0" applyAlignment="1" applyBorder="1" applyFont="1" applyNumberFormat="1">
      <alignment horizontal="center"/>
    </xf>
    <xf borderId="18" fillId="0" fontId="0" numFmtId="1" xfId="0" applyAlignment="1" applyBorder="1" applyFont="1" applyNumberFormat="1">
      <alignment horizontal="center"/>
    </xf>
    <xf borderId="18" fillId="6" fontId="0" numFmtId="1" xfId="0" applyAlignment="1" applyBorder="1" applyFont="1" applyNumberFormat="1">
      <alignment horizontal="center"/>
    </xf>
    <xf borderId="0" fillId="6" fontId="0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0" fillId="0" fontId="5" numFmtId="10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vertical="bottom"/>
    </xf>
    <xf borderId="1" fillId="0" fontId="5" numFmtId="10" xfId="0" applyAlignment="1" applyBorder="1" applyFont="1" applyNumberFormat="1">
      <alignment horizontal="center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5" numFmtId="4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lef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22" fillId="0" fontId="6" numFmtId="0" xfId="0" applyAlignment="1" applyBorder="1" applyFont="1">
      <alignment vertical="bottom"/>
    </xf>
    <xf borderId="0" fillId="7" fontId="6" numFmtId="0" xfId="0" applyAlignment="1" applyFill="1" applyFont="1">
      <alignment horizontal="right" vertical="bottom"/>
    </xf>
    <xf borderId="0" fillId="7" fontId="6" numFmtId="0" xfId="0" applyAlignment="1" applyFont="1">
      <alignment vertical="bottom"/>
    </xf>
    <xf borderId="0" fillId="7" fontId="6" numFmtId="0" xfId="0" applyAlignment="1" applyFont="1">
      <alignment readingOrder="0" vertical="bottom"/>
    </xf>
    <xf borderId="22" fillId="8" fontId="6" numFmtId="0" xfId="0" applyAlignment="1" applyBorder="1" applyFill="1" applyFont="1">
      <alignment vertical="bottom"/>
    </xf>
    <xf borderId="22" fillId="9" fontId="6" numFmtId="0" xfId="0" applyAlignment="1" applyBorder="1" applyFill="1" applyFont="1">
      <alignment vertical="bottom"/>
    </xf>
    <xf borderId="22" fillId="10" fontId="6" numFmtId="0" xfId="0" applyAlignment="1" applyBorder="1" applyFill="1" applyFont="1">
      <alignment readingOrder="0" vertical="bottom"/>
    </xf>
    <xf borderId="0" fillId="7" fontId="6" numFmtId="0" xfId="0" applyAlignment="1" applyFont="1">
      <alignment horizontal="right" readingOrder="0" vertical="bottom"/>
    </xf>
    <xf borderId="0" fillId="7" fontId="6" numFmtId="0" xfId="0" applyAlignment="1" applyFont="1">
      <alignment readingOrder="0" shrinkToFit="0" vertical="bottom" wrapText="1"/>
    </xf>
    <xf borderId="23" fillId="11" fontId="6" numFmtId="0" xfId="0" applyAlignment="1" applyBorder="1" applyFill="1" applyFont="1">
      <alignment vertical="bottom"/>
    </xf>
    <xf borderId="0" fillId="11" fontId="6" numFmtId="0" xfId="0" applyAlignment="1" applyFont="1">
      <alignment horizontal="right" vertical="bottom"/>
    </xf>
    <xf borderId="0" fillId="11" fontId="6" numFmtId="0" xfId="0" applyAlignment="1" applyFont="1">
      <alignment vertical="bottom"/>
    </xf>
    <xf borderId="0" fillId="11" fontId="6" numFmtId="0" xfId="0" applyAlignment="1" applyFont="1">
      <alignment readingOrder="0" vertical="bottom"/>
    </xf>
    <xf borderId="0" fillId="11" fontId="6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vertical="top" wrapText="1"/>
    </xf>
    <xf borderId="0" fillId="12" fontId="2" numFmtId="0" xfId="0" applyAlignment="1" applyFill="1" applyFont="1">
      <alignment readingOrder="0" shrinkToFit="0" vertical="top" wrapText="1"/>
    </xf>
    <xf borderId="0" fillId="0" fontId="5" numFmtId="0" xfId="0" applyAlignment="1" applyFont="1">
      <alignment shrinkToFit="0" vertical="top" wrapText="1"/>
    </xf>
    <xf borderId="0" fillId="12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5" numFmtId="2" xfId="0" applyAlignment="1" applyFont="1" applyNumberFormat="1">
      <alignment shrinkToFit="0" vertical="top" wrapText="1"/>
    </xf>
    <xf borderId="0" fillId="10" fontId="5" numFmtId="0" xfId="0" applyAlignment="1" applyFont="1">
      <alignment readingOrder="0" shrinkToFit="0" vertical="top" wrapText="1"/>
    </xf>
    <xf borderId="0" fillId="7" fontId="5" numFmtId="0" xfId="0" applyAlignment="1" applyFont="1">
      <alignment readingOrder="0" shrinkToFit="0" vertical="top" wrapText="1"/>
    </xf>
    <xf borderId="0" fillId="13" fontId="5" numFmtId="0" xfId="0" applyAlignment="1" applyFill="1" applyFont="1">
      <alignment readingOrder="0" shrinkToFit="0" vertical="top" wrapText="1"/>
    </xf>
    <xf borderId="0" fillId="14" fontId="5" numFmtId="0" xfId="0" applyAlignment="1" applyFill="1" applyFont="1">
      <alignment readingOrder="0" shrinkToFit="0" vertical="top" wrapText="1"/>
    </xf>
    <xf borderId="0" fillId="15" fontId="5" numFmtId="0" xfId="0" applyAlignment="1" applyFill="1" applyFont="1">
      <alignment readingOrder="0" shrinkToFit="0" vertical="top" wrapText="1"/>
    </xf>
    <xf borderId="0" fillId="11" fontId="5" numFmtId="0" xfId="0" applyAlignment="1" applyFont="1">
      <alignment readingOrder="0" shrinkToFit="0" vertical="top" wrapText="1"/>
    </xf>
    <xf borderId="0" fillId="16" fontId="5" numFmtId="0" xfId="0" applyAlignment="1" applyFill="1" applyFont="1">
      <alignment readingOrder="0" shrinkToFit="0" vertical="top" wrapText="1"/>
    </xf>
    <xf borderId="0" fillId="17" fontId="2" numFmtId="0" xfId="0" applyAlignment="1" applyFill="1" applyFont="1">
      <alignment readingOrder="0" shrinkToFit="0" vertical="top" wrapText="1"/>
    </xf>
    <xf borderId="0" fillId="18" fontId="5" numFmtId="0" xfId="0" applyAlignment="1" applyFill="1" applyFont="1">
      <alignment readingOrder="0" shrinkToFit="0" vertical="top" wrapText="1"/>
    </xf>
    <xf borderId="0" fillId="13" fontId="7" numFmtId="0" xfId="0" applyAlignment="1" applyFont="1">
      <alignment horizontal="left" readingOrder="0" shrinkToFit="0" vertical="top" wrapText="1"/>
    </xf>
    <xf borderId="24" fillId="19" fontId="8" numFmtId="0" xfId="0" applyAlignment="1" applyBorder="1" applyFill="1" applyFont="1">
      <alignment horizontal="center" shrinkToFit="0" vertical="top" wrapText="1"/>
    </xf>
    <xf borderId="25" fillId="0" fontId="9" numFmtId="0" xfId="0" applyAlignment="1" applyBorder="1" applyFont="1">
      <alignment horizontal="center" readingOrder="0" shrinkToFit="0" wrapText="1"/>
    </xf>
    <xf borderId="25" fillId="0" fontId="3" numFmtId="0" xfId="0" applyBorder="1" applyFont="1"/>
    <xf borderId="26" fillId="0" fontId="3" numFmtId="0" xfId="0" applyBorder="1" applyFont="1"/>
    <xf borderId="0" fillId="0" fontId="9" numFmtId="0" xfId="0" applyAlignment="1" applyFont="1">
      <alignment horizontal="center" readingOrder="0" shrinkToFit="0" wrapText="1"/>
    </xf>
    <xf borderId="24" fillId="0" fontId="3" numFmtId="0" xfId="0" applyBorder="1" applyFont="1"/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/>
    </xf>
    <xf borderId="27" fillId="0" fontId="3" numFmtId="0" xfId="0" applyBorder="1" applyFont="1"/>
    <xf borderId="28" fillId="0" fontId="3" numFmtId="0" xfId="0" applyBorder="1" applyFont="1"/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6" numFmtId="0" xfId="0" applyAlignment="1" applyFont="1">
      <alignment horizont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shrinkToFit="0" vertical="center" wrapText="1"/>
    </xf>
    <xf borderId="0" fillId="20" fontId="9" numFmtId="0" xfId="0" applyAlignment="1" applyFill="1" applyFont="1">
      <alignment horizontal="center" shrinkToFit="0" wrapText="1"/>
    </xf>
    <xf borderId="0" fillId="0" fontId="9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/>
    </xf>
    <xf borderId="24" fillId="0" fontId="5" numFmtId="0" xfId="0" applyAlignment="1" applyBorder="1" applyFont="1">
      <alignment horizontal="center" readingOrder="0"/>
    </xf>
    <xf borderId="0" fillId="0" fontId="6" numFmtId="1" xfId="0" applyAlignment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6" fontId="6" numFmtId="1" xfId="0" applyAlignment="1" applyFont="1" applyNumberFormat="1">
      <alignment horizontal="center"/>
    </xf>
    <xf borderId="0" fillId="6" fontId="6" numFmtId="10" xfId="0" applyAlignment="1" applyFont="1" applyNumberFormat="1">
      <alignment horizontal="center"/>
    </xf>
    <xf borderId="24" fillId="0" fontId="6" numFmtId="0" xfId="0" applyAlignment="1" applyBorder="1" applyFont="1">
      <alignment horizontal="center"/>
    </xf>
    <xf borderId="24" fillId="6" fontId="6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/>
    </xf>
    <xf borderId="24" fillId="0" fontId="5" numFmtId="0" xfId="0" applyAlignment="1" applyBorder="1" applyFont="1">
      <alignment horizontal="center"/>
    </xf>
    <xf borderId="0" fillId="20" fontId="2" numFmtId="0" xfId="0" applyAlignment="1" applyFont="1">
      <alignment horizontal="center" readingOrder="0"/>
    </xf>
    <xf borderId="0" fillId="6" fontId="6" numFmtId="2" xfId="0" applyAlignment="1" applyFont="1" applyNumberFormat="1">
      <alignment horizontal="center"/>
    </xf>
    <xf borderId="0" fillId="6" fontId="6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6" fontId="6" numFmtId="2" xfId="0" applyAlignment="1" applyFont="1" applyNumberFormat="1">
      <alignment horizontal="center" readingOrder="0"/>
    </xf>
    <xf borderId="0" fillId="6" fontId="6" numFmtId="2" xfId="0" applyAlignment="1" applyFont="1" applyNumberFormat="1">
      <alignment horizontal="left" readingOrder="0"/>
    </xf>
    <xf borderId="0" fillId="6" fontId="6" numFmtId="9" xfId="0" applyAlignment="1" applyFont="1" applyNumberFormat="1">
      <alignment horizontal="center"/>
    </xf>
    <xf borderId="27" fillId="21" fontId="8" numFmtId="0" xfId="0" applyAlignment="1" applyBorder="1" applyFill="1" applyFont="1">
      <alignment horizontal="center" readingOrder="0"/>
    </xf>
    <xf borderId="0" fillId="0" fontId="8" numFmtId="0" xfId="0" applyAlignment="1" applyFont="1">
      <alignment horizontal="center" readingOrder="0"/>
    </xf>
    <xf borderId="29" fillId="0" fontId="5" numFmtId="0" xfId="0" applyAlignment="1" applyBorder="1" applyFont="1">
      <alignment readingOrder="0"/>
    </xf>
    <xf borderId="30" fillId="0" fontId="5" numFmtId="0" xfId="0" applyAlignment="1" applyBorder="1" applyFont="1">
      <alignment readingOrder="0"/>
    </xf>
    <xf borderId="30" fillId="0" fontId="5" numFmtId="0" xfId="0" applyAlignment="1" applyBorder="1" applyFont="1">
      <alignment readingOrder="0" shrinkToFit="0" wrapText="0"/>
    </xf>
    <xf borderId="0" fillId="0" fontId="5" numFmtId="0" xfId="0" applyAlignment="1" applyFont="1">
      <alignment shrinkToFit="0" vertical="top" wrapText="0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horizontal="center" shrinkToFit="0" vertical="top" wrapText="1"/>
    </xf>
    <xf borderId="0" fillId="0" fontId="11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shrinkToFit="0" vertical="top" wrapText="0"/>
    </xf>
    <xf borderId="0" fillId="0" fontId="12" numFmtId="0" xfId="0" applyFont="1"/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21" fontId="8" numFmtId="0" xfId="0" applyAlignment="1" applyFont="1">
      <alignment horizontal="center"/>
    </xf>
    <xf borderId="31" fillId="0" fontId="8" numFmtId="0" xfId="0" applyAlignment="1" applyBorder="1" applyFont="1">
      <alignment horizontal="center" vertical="bottom"/>
    </xf>
    <xf borderId="32" fillId="0" fontId="3" numFmtId="0" xfId="0" applyBorder="1" applyFont="1"/>
    <xf borderId="0" fillId="20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21" fontId="5" numFmtId="0" xfId="0" applyFont="1"/>
    <xf borderId="31" fillId="0" fontId="8" numFmtId="0" xfId="0" applyAlignment="1" applyBorder="1" applyFont="1">
      <alignment horizontal="center" readingOrder="0" vertical="bottom"/>
    </xf>
    <xf borderId="0" fillId="20" fontId="5" numFmtId="0" xfId="0" applyFont="1"/>
    <xf borderId="30" fillId="21" fontId="8" numFmtId="0" xfId="0" applyAlignment="1" applyBorder="1" applyFont="1">
      <alignment horizontal="center"/>
    </xf>
    <xf borderId="33" fillId="21" fontId="8" numFmtId="0" xfId="0" applyAlignment="1" applyBorder="1" applyFont="1">
      <alignment horizontal="center"/>
    </xf>
    <xf borderId="30" fillId="20" fontId="8" numFmtId="0" xfId="0" applyAlignment="1" applyBorder="1" applyFont="1">
      <alignment horizontal="center"/>
    </xf>
    <xf borderId="33" fillId="20" fontId="8" numFmtId="0" xfId="0" applyAlignment="1" applyBorder="1" applyFont="1">
      <alignment horizontal="center"/>
    </xf>
    <xf borderId="34" fillId="0" fontId="9" numFmtId="0" xfId="0" applyAlignment="1" applyBorder="1" applyFont="1">
      <alignment horizontal="center" vertical="bottom"/>
    </xf>
    <xf borderId="35" fillId="0" fontId="3" numFmtId="0" xfId="0" applyBorder="1" applyFont="1"/>
    <xf borderId="36" fillId="0" fontId="3" numFmtId="0" xfId="0" applyBorder="1" applyFont="1"/>
    <xf borderId="0" fillId="0" fontId="15" numFmtId="3" xfId="0" applyAlignment="1" applyFont="1" applyNumberFormat="1">
      <alignment horizontal="center"/>
    </xf>
    <xf borderId="32" fillId="0" fontId="6" numFmtId="0" xfId="0" applyAlignment="1" applyBorder="1" applyFont="1">
      <alignment horizontal="center" vertical="bottom"/>
    </xf>
    <xf borderId="0" fillId="0" fontId="16" numFmtId="3" xfId="0" applyAlignment="1" applyFont="1" applyNumberFormat="1">
      <alignment horizontal="center"/>
    </xf>
    <xf borderId="0" fillId="6" fontId="0" numFmtId="2" xfId="0" applyAlignment="1" applyFont="1" applyNumberFormat="1">
      <alignment horizontal="center"/>
    </xf>
    <xf borderId="32" fillId="0" fontId="6" numFmtId="2" xfId="0" applyAlignment="1" applyBorder="1" applyFont="1" applyNumberFormat="1">
      <alignment horizontal="center" vertical="bottom"/>
    </xf>
    <xf borderId="0" fillId="0" fontId="6" numFmtId="2" xfId="0" applyAlignment="1" applyFont="1" applyNumberFormat="1">
      <alignment horizontal="center" readingOrder="0" vertical="bottom"/>
    </xf>
    <xf borderId="31" fillId="0" fontId="5" numFmtId="0" xfId="0" applyAlignment="1" applyBorder="1" applyFont="1">
      <alignment horizontal="center" readingOrder="0"/>
    </xf>
    <xf borderId="31" fillId="0" fontId="6" numFmtId="0" xfId="0" applyAlignment="1" applyBorder="1" applyFont="1">
      <alignment horizontal="center" readingOrder="0" vertical="bottom"/>
    </xf>
    <xf borderId="0" fillId="0" fontId="16" numFmtId="3" xfId="0" applyAlignment="1" applyFont="1" applyNumberFormat="1">
      <alignment horizontal="center" readingOrder="0"/>
    </xf>
    <xf borderId="0" fillId="0" fontId="17" numFmtId="3" xfId="0" applyAlignment="1" applyFont="1" applyNumberFormat="1">
      <alignment horizontal="center"/>
    </xf>
    <xf borderId="29" fillId="0" fontId="5" numFmtId="0" xfId="0" applyAlignment="1" applyBorder="1" applyFont="1">
      <alignment horizontal="center" readingOrder="0"/>
    </xf>
    <xf borderId="30" fillId="0" fontId="3" numFmtId="0" xfId="0" applyBorder="1" applyFont="1"/>
    <xf borderId="33" fillId="0" fontId="3" numFmtId="0" xfId="0" applyBorder="1" applyFont="1"/>
    <xf borderId="0" fillId="21" fontId="6" numFmtId="2" xfId="0" applyAlignment="1" applyFont="1" applyNumberFormat="1">
      <alignment horizontal="center" vertical="bottom"/>
    </xf>
    <xf borderId="34" fillId="0" fontId="2" numFmtId="0" xfId="0" applyAlignment="1" applyBorder="1" applyFont="1">
      <alignment horizontal="center" readingOrder="0"/>
    </xf>
    <xf borderId="0" fillId="20" fontId="6" numFmtId="2" xfId="0" applyAlignment="1" applyFont="1" applyNumberFormat="1">
      <alignment horizontal="center" vertical="bottom"/>
    </xf>
    <xf borderId="37" fillId="0" fontId="6" numFmtId="0" xfId="0" applyAlignment="1" applyBorder="1" applyFont="1">
      <alignment horizontal="center" readingOrder="0" vertical="bottom"/>
    </xf>
    <xf borderId="38" fillId="0" fontId="3" numFmtId="0" xfId="0" applyBorder="1" applyFont="1"/>
    <xf borderId="39" fillId="0" fontId="3" numFmtId="0" xfId="0" applyBorder="1" applyFont="1"/>
    <xf borderId="0" fillId="6" fontId="6" numFmtId="2" xfId="0" applyAlignment="1" applyFont="1" applyNumberFormat="1">
      <alignment horizontal="center" vertical="bottom"/>
    </xf>
    <xf borderId="0" fillId="6" fontId="18" numFmtId="2" xfId="0" applyAlignment="1" applyFont="1" applyNumberFormat="1">
      <alignment horizontal="right" vertical="bottom"/>
    </xf>
    <xf borderId="0" fillId="6" fontId="7" numFmtId="2" xfId="0" applyAlignment="1" applyFont="1" applyNumberFormat="1">
      <alignment horizontal="center" vertical="bottom"/>
    </xf>
    <xf borderId="0" fillId="21" fontId="5" numFmtId="2" xfId="0" applyAlignment="1" applyFont="1" applyNumberFormat="1">
      <alignment horizontal="center"/>
    </xf>
    <xf borderId="0" fillId="20" fontId="5" numFmtId="2" xfId="0" applyAlignment="1" applyFont="1" applyNumberFormat="1">
      <alignment horizontal="center"/>
    </xf>
    <xf borderId="31" fillId="0" fontId="6" numFmtId="0" xfId="0" applyAlignment="1" applyBorder="1" applyFont="1">
      <alignment horizontal="center" vertical="bottom"/>
    </xf>
    <xf borderId="40" fillId="0" fontId="6" numFmtId="0" xfId="0" applyAlignment="1" applyBorder="1" applyFont="1">
      <alignment horizontal="center"/>
    </xf>
    <xf borderId="35" fillId="0" fontId="6" numFmtId="0" xfId="0" applyAlignment="1" applyBorder="1" applyFont="1">
      <alignment horizontal="center"/>
    </xf>
    <xf borderId="35" fillId="0" fontId="9" numFmtId="0" xfId="0" applyAlignment="1" applyBorder="1" applyFont="1">
      <alignment horizontal="center"/>
    </xf>
    <xf borderId="41" fillId="0" fontId="6" numFmtId="0" xfId="0" applyAlignment="1" applyBorder="1" applyFont="1">
      <alignment horizontal="center"/>
    </xf>
    <xf borderId="35" fillId="22" fontId="9" numFmtId="0" xfId="0" applyAlignment="1" applyBorder="1" applyFill="1" applyFont="1">
      <alignment horizontal="center" shrinkToFit="0" wrapText="1"/>
    </xf>
    <xf borderId="41" fillId="0" fontId="3" numFmtId="0" xfId="0" applyBorder="1" applyFont="1"/>
    <xf borderId="0" fillId="23" fontId="19" numFmtId="1" xfId="0" applyAlignment="1" applyFill="1" applyFont="1" applyNumberFormat="1">
      <alignment horizontal="center"/>
    </xf>
    <xf borderId="42" fillId="23" fontId="6" numFmtId="1" xfId="0" applyAlignment="1" applyBorder="1" applyFont="1" applyNumberFormat="1">
      <alignment horizontal="center"/>
    </xf>
    <xf borderId="42" fillId="0" fontId="6" numFmtId="1" xfId="0" applyBorder="1" applyFont="1" applyNumberFormat="1"/>
    <xf borderId="42" fillId="24" fontId="6" numFmtId="1" xfId="0" applyAlignment="1" applyBorder="1" applyFill="1" applyFont="1" applyNumberFormat="1">
      <alignment horizontal="center"/>
    </xf>
    <xf borderId="0" fillId="24" fontId="19" numFmtId="1" xfId="0" applyAlignment="1" applyFont="1" applyNumberFormat="1">
      <alignment horizontal="center"/>
    </xf>
    <xf borderId="43" fillId="24" fontId="19" numFmtId="1" xfId="0" applyAlignment="1" applyBorder="1" applyFont="1" applyNumberFormat="1">
      <alignment horizontal="center"/>
    </xf>
    <xf borderId="44" fillId="22" fontId="9" numFmtId="0" xfId="0" applyAlignment="1" applyBorder="1" applyFont="1">
      <alignment horizontal="center" shrinkToFit="0" wrapText="1"/>
    </xf>
    <xf borderId="45" fillId="22" fontId="9" numFmtId="0" xfId="0" applyAlignment="1" applyBorder="1" applyFont="1">
      <alignment horizontal="center"/>
    </xf>
    <xf borderId="46" fillId="21" fontId="6" numFmtId="1" xfId="0" applyAlignment="1" applyBorder="1" applyFont="1" applyNumberFormat="1">
      <alignment horizontal="center"/>
    </xf>
    <xf borderId="0" fillId="21" fontId="6" numFmtId="1" xfId="0" applyAlignment="1" applyFont="1" applyNumberFormat="1">
      <alignment horizontal="center"/>
    </xf>
    <xf borderId="0" fillId="23" fontId="6" numFmtId="1" xfId="0" applyAlignment="1" applyFont="1" applyNumberFormat="1">
      <alignment horizontal="center"/>
    </xf>
    <xf borderId="0" fillId="0" fontId="6" numFmtId="1" xfId="0" applyAlignment="1" applyFont="1" applyNumberFormat="1">
      <alignment horizontal="center" readingOrder="0"/>
    </xf>
    <xf borderId="0" fillId="24" fontId="6" numFmtId="1" xfId="0" applyAlignment="1" applyFont="1" applyNumberFormat="1">
      <alignment horizontal="center"/>
    </xf>
    <xf borderId="0" fillId="19" fontId="6" numFmtId="1" xfId="0" applyAlignment="1" applyFont="1" applyNumberFormat="1">
      <alignment horizontal="center"/>
    </xf>
    <xf borderId="43" fillId="19" fontId="6" numFmtId="1" xfId="0" applyAlignment="1" applyBorder="1" applyFont="1" applyNumberFormat="1">
      <alignment horizontal="center"/>
    </xf>
    <xf borderId="32" fillId="22" fontId="9" numFmtId="0" xfId="0" applyAlignment="1" applyBorder="1" applyFont="1">
      <alignment horizontal="center"/>
    </xf>
    <xf borderId="43" fillId="22" fontId="9" numFmtId="1" xfId="0" applyAlignment="1" applyBorder="1" applyFont="1" applyNumberFormat="1">
      <alignment horizontal="center"/>
    </xf>
    <xf borderId="30" fillId="21" fontId="6" numFmtId="1" xfId="0" applyAlignment="1" applyBorder="1" applyFont="1" applyNumberFormat="1">
      <alignment horizontal="center"/>
    </xf>
    <xf borderId="30" fillId="23" fontId="6" numFmtId="1" xfId="0" applyAlignment="1" applyBorder="1" applyFont="1" applyNumberFormat="1">
      <alignment horizontal="center"/>
    </xf>
    <xf borderId="30" fillId="0" fontId="6" numFmtId="1" xfId="0" applyAlignment="1" applyBorder="1" applyFont="1" applyNumberFormat="1">
      <alignment horizontal="center" readingOrder="0"/>
    </xf>
    <xf borderId="30" fillId="24" fontId="6" numFmtId="1" xfId="0" applyAlignment="1" applyBorder="1" applyFont="1" applyNumberFormat="1">
      <alignment horizontal="center"/>
    </xf>
    <xf borderId="30" fillId="19" fontId="6" numFmtId="1" xfId="0" applyAlignment="1" applyBorder="1" applyFont="1" applyNumberFormat="1">
      <alignment horizontal="center"/>
    </xf>
    <xf borderId="47" fillId="19" fontId="6" numFmtId="1" xfId="0" applyAlignment="1" applyBorder="1" applyFont="1" applyNumberFormat="1">
      <alignment horizontal="center"/>
    </xf>
    <xf borderId="47" fillId="22" fontId="9" numFmtId="1" xfId="0" applyAlignment="1" applyBorder="1" applyFont="1" applyNumberFormat="1">
      <alignment horizontal="center"/>
    </xf>
    <xf borderId="48" fillId="21" fontId="6" numFmtId="1" xfId="0" applyAlignment="1" applyBorder="1" applyFont="1" applyNumberFormat="1">
      <alignment horizontal="center"/>
    </xf>
    <xf borderId="49" fillId="21" fontId="6" numFmtId="1" xfId="0" applyAlignment="1" applyBorder="1" applyFont="1" applyNumberFormat="1">
      <alignment horizontal="center"/>
    </xf>
    <xf borderId="49" fillId="23" fontId="9" numFmtId="1" xfId="0" applyAlignment="1" applyBorder="1" applyFont="1" applyNumberFormat="1">
      <alignment horizontal="center"/>
    </xf>
    <xf borderId="49" fillId="0" fontId="6" numFmtId="1" xfId="0" applyAlignment="1" applyBorder="1" applyFont="1" applyNumberFormat="1">
      <alignment horizontal="center"/>
    </xf>
    <xf borderId="49" fillId="24" fontId="9" numFmtId="1" xfId="0" applyAlignment="1" applyBorder="1" applyFont="1" applyNumberFormat="1">
      <alignment horizontal="center"/>
    </xf>
    <xf borderId="49" fillId="19" fontId="6" numFmtId="1" xfId="0" applyAlignment="1" applyBorder="1" applyFont="1" applyNumberFormat="1">
      <alignment horizontal="center"/>
    </xf>
    <xf borderId="50" fillId="19" fontId="6" numFmtId="1" xfId="0" applyAlignment="1" applyBorder="1" applyFont="1" applyNumberFormat="1">
      <alignment horizontal="center"/>
    </xf>
    <xf borderId="51" fillId="0" fontId="3" numFmtId="0" xfId="0" applyBorder="1" applyFont="1"/>
    <xf borderId="50" fillId="22" fontId="9" numFmtId="1" xfId="0" applyAlignment="1" applyBorder="1" applyFont="1" applyNumberFormat="1">
      <alignment horizontal="center"/>
    </xf>
    <xf borderId="0" fillId="25" fontId="6" numFmtId="2" xfId="0" applyAlignment="1" applyFill="1" applyFont="1" applyNumberFormat="1">
      <alignment horizontal="center"/>
    </xf>
    <xf borderId="0" fillId="25" fontId="6" numFmtId="2" xfId="0" applyAlignment="1" applyFont="1" applyNumberFormat="1">
      <alignment vertical="bottom"/>
    </xf>
  </cellXfs>
  <cellStyles count="1">
    <cellStyle xfId="0" name="Normal" builtinId="0"/>
  </cellStyles>
  <dxfs count="7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>
        <color rgb="FF000000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>
        <color theme="1"/>
      </font>
      <fill>
        <patternFill patternType="solid">
          <fgColor theme="1"/>
          <bgColor theme="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3" max="3" width="15.88"/>
    <col customWidth="1" min="9" max="9" width="12.63"/>
    <col hidden="1" min="72" max="72" width="12.63"/>
    <col customWidth="1" min="73" max="73" width="14.25"/>
    <col customWidth="1" min="74" max="74" width="15.25"/>
    <col customWidth="1" hidden="1" min="75" max="75" width="14.25"/>
    <col customWidth="1" min="76" max="77" width="14.25"/>
  </cols>
  <sheetData>
    <row r="1">
      <c r="A1" s="1" t="s">
        <v>0</v>
      </c>
      <c r="C1" s="2" t="s">
        <v>1</v>
      </c>
      <c r="AI1" s="3"/>
      <c r="AJ1" s="4" t="s">
        <v>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6"/>
      <c r="BQ1" s="7"/>
      <c r="BR1" s="8" t="s">
        <v>3</v>
      </c>
      <c r="BS1" s="9"/>
      <c r="BT1" s="9"/>
      <c r="BU1" s="9"/>
      <c r="BV1" s="9"/>
      <c r="BW1" s="9"/>
      <c r="BX1" s="9"/>
      <c r="BY1" s="10"/>
      <c r="BZ1" s="11" t="s">
        <v>4</v>
      </c>
    </row>
    <row r="2">
      <c r="C2" s="12" t="s">
        <v>1</v>
      </c>
      <c r="D2" s="13" t="s">
        <v>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 t="s">
        <v>6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 t="s">
        <v>7</v>
      </c>
      <c r="AI2" s="18"/>
      <c r="AJ2" s="19" t="s">
        <v>5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1"/>
      <c r="AY2" s="22" t="s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1"/>
      <c r="BN2" s="23" t="s">
        <v>7</v>
      </c>
      <c r="BO2" s="24"/>
      <c r="BP2" s="25"/>
      <c r="BQ2" s="7"/>
      <c r="BR2" s="26" t="s">
        <v>8</v>
      </c>
      <c r="BS2" s="27"/>
      <c r="BT2" s="28" t="s">
        <v>9</v>
      </c>
      <c r="BY2" s="27"/>
    </row>
    <row r="3">
      <c r="C3" s="29"/>
      <c r="D3" s="30" t="s">
        <v>10</v>
      </c>
      <c r="E3" s="14"/>
      <c r="F3" s="14"/>
      <c r="G3" s="14"/>
      <c r="H3" s="14"/>
      <c r="I3" s="30" t="s">
        <v>11</v>
      </c>
      <c r="J3" s="14"/>
      <c r="K3" s="14"/>
      <c r="L3" s="14"/>
      <c r="M3" s="31"/>
      <c r="N3" s="13" t="s">
        <v>12</v>
      </c>
      <c r="O3" s="14"/>
      <c r="P3" s="14"/>
      <c r="Q3" s="14"/>
      <c r="R3" s="14"/>
      <c r="S3" s="32" t="s">
        <v>10</v>
      </c>
      <c r="W3" s="29"/>
      <c r="X3" s="2" t="s">
        <v>11</v>
      </c>
      <c r="AB3" s="29"/>
      <c r="AC3" s="2" t="s">
        <v>12</v>
      </c>
      <c r="AH3" s="33"/>
      <c r="AI3" s="3"/>
      <c r="AJ3" s="7" t="s">
        <v>10</v>
      </c>
      <c r="AO3" s="34" t="s">
        <v>11</v>
      </c>
      <c r="AT3" s="34" t="s">
        <v>12</v>
      </c>
      <c r="AY3" s="34" t="s">
        <v>10</v>
      </c>
      <c r="BD3" s="34" t="s">
        <v>11</v>
      </c>
      <c r="BI3" s="34" t="s">
        <v>12</v>
      </c>
      <c r="BN3" s="35"/>
      <c r="BO3" s="24"/>
      <c r="BP3" s="36"/>
      <c r="BQ3" s="37"/>
      <c r="BS3" s="27"/>
      <c r="BT3" s="38"/>
      <c r="BY3" s="27"/>
    </row>
    <row r="4">
      <c r="A4" s="39" t="s">
        <v>13</v>
      </c>
      <c r="B4" s="39" t="s">
        <v>14</v>
      </c>
      <c r="C4" s="40" t="s">
        <v>15</v>
      </c>
      <c r="D4" s="41" t="s">
        <v>16</v>
      </c>
      <c r="E4" s="41" t="s">
        <v>17</v>
      </c>
      <c r="F4" s="41" t="s">
        <v>18</v>
      </c>
      <c r="G4" s="41" t="s">
        <v>19</v>
      </c>
      <c r="H4" s="41" t="s">
        <v>20</v>
      </c>
      <c r="I4" s="42" t="s">
        <v>16</v>
      </c>
      <c r="J4" s="41" t="s">
        <v>17</v>
      </c>
      <c r="K4" s="41" t="s">
        <v>18</v>
      </c>
      <c r="L4" s="41" t="s">
        <v>19</v>
      </c>
      <c r="M4" s="41" t="s">
        <v>20</v>
      </c>
      <c r="N4" s="42" t="s">
        <v>16</v>
      </c>
      <c r="O4" s="41" t="s">
        <v>17</v>
      </c>
      <c r="P4" s="41" t="s">
        <v>18</v>
      </c>
      <c r="Q4" s="41" t="s">
        <v>19</v>
      </c>
      <c r="R4" s="41" t="s">
        <v>20</v>
      </c>
      <c r="S4" s="42" t="s">
        <v>16</v>
      </c>
      <c r="T4" s="41" t="s">
        <v>17</v>
      </c>
      <c r="U4" s="41" t="s">
        <v>18</v>
      </c>
      <c r="V4" s="41" t="s">
        <v>19</v>
      </c>
      <c r="W4" s="43" t="s">
        <v>20</v>
      </c>
      <c r="X4" s="41" t="s">
        <v>16</v>
      </c>
      <c r="Y4" s="41" t="s">
        <v>17</v>
      </c>
      <c r="Z4" s="41" t="s">
        <v>18</v>
      </c>
      <c r="AA4" s="41" t="s">
        <v>19</v>
      </c>
      <c r="AB4" s="43" t="s">
        <v>20</v>
      </c>
      <c r="AC4" s="41" t="s">
        <v>16</v>
      </c>
      <c r="AD4" s="41" t="s">
        <v>17</v>
      </c>
      <c r="AE4" s="41" t="s">
        <v>18</v>
      </c>
      <c r="AF4" s="41" t="s">
        <v>19</v>
      </c>
      <c r="AG4" s="41" t="s">
        <v>20</v>
      </c>
      <c r="AH4" s="42" t="s">
        <v>21</v>
      </c>
      <c r="AI4" s="44" t="s">
        <v>22</v>
      </c>
      <c r="AJ4" s="45" t="s">
        <v>16</v>
      </c>
      <c r="AK4" s="45" t="s">
        <v>17</v>
      </c>
      <c r="AL4" s="45" t="s">
        <v>18</v>
      </c>
      <c r="AM4" s="45" t="s">
        <v>19</v>
      </c>
      <c r="AN4" s="46" t="s">
        <v>20</v>
      </c>
      <c r="AO4" s="45" t="s">
        <v>16</v>
      </c>
      <c r="AP4" s="45" t="s">
        <v>17</v>
      </c>
      <c r="AQ4" s="45" t="s">
        <v>18</v>
      </c>
      <c r="AR4" s="45" t="s">
        <v>19</v>
      </c>
      <c r="AS4" s="46" t="s">
        <v>20</v>
      </c>
      <c r="AT4" s="45" t="s">
        <v>16</v>
      </c>
      <c r="AU4" s="45" t="s">
        <v>17</v>
      </c>
      <c r="AV4" s="45" t="s">
        <v>18</v>
      </c>
      <c r="AW4" s="45" t="s">
        <v>19</v>
      </c>
      <c r="AX4" s="46" t="s">
        <v>20</v>
      </c>
      <c r="AY4" s="45" t="s">
        <v>16</v>
      </c>
      <c r="AZ4" s="45" t="s">
        <v>17</v>
      </c>
      <c r="BA4" s="45" t="s">
        <v>18</v>
      </c>
      <c r="BB4" s="45" t="s">
        <v>19</v>
      </c>
      <c r="BC4" s="46" t="s">
        <v>20</v>
      </c>
      <c r="BD4" s="45" t="s">
        <v>16</v>
      </c>
      <c r="BE4" s="45" t="s">
        <v>17</v>
      </c>
      <c r="BF4" s="45" t="s">
        <v>18</v>
      </c>
      <c r="BG4" s="45" t="s">
        <v>19</v>
      </c>
      <c r="BH4" s="46" t="s">
        <v>20</v>
      </c>
      <c r="BI4" s="45" t="s">
        <v>16</v>
      </c>
      <c r="BJ4" s="45" t="s">
        <v>17</v>
      </c>
      <c r="BK4" s="45" t="s">
        <v>18</v>
      </c>
      <c r="BL4" s="45" t="s">
        <v>19</v>
      </c>
      <c r="BM4" s="46" t="s">
        <v>20</v>
      </c>
      <c r="BN4" s="45" t="s">
        <v>21</v>
      </c>
      <c r="BO4" s="46" t="s">
        <v>22</v>
      </c>
      <c r="BP4" s="25" t="s">
        <v>23</v>
      </c>
      <c r="BQ4" s="7" t="s">
        <v>24</v>
      </c>
      <c r="BR4" s="47" t="s">
        <v>25</v>
      </c>
      <c r="BS4" s="48" t="s">
        <v>26</v>
      </c>
      <c r="BT4" s="49" t="s">
        <v>27</v>
      </c>
      <c r="BU4" s="49" t="s">
        <v>28</v>
      </c>
      <c r="BV4" s="49" t="s">
        <v>29</v>
      </c>
      <c r="BW4" s="49" t="s">
        <v>30</v>
      </c>
      <c r="BX4" s="49" t="s">
        <v>31</v>
      </c>
      <c r="BY4" s="49" t="s">
        <v>32</v>
      </c>
      <c r="BZ4" s="50" t="s">
        <v>33</v>
      </c>
      <c r="CA4" s="50" t="s">
        <v>34</v>
      </c>
      <c r="CB4" s="50" t="s">
        <v>35</v>
      </c>
      <c r="CC4" s="50" t="s">
        <v>36</v>
      </c>
      <c r="CD4" s="50" t="s">
        <v>37</v>
      </c>
    </row>
    <row r="5">
      <c r="A5" s="51" t="s">
        <v>38</v>
      </c>
      <c r="B5" s="51">
        <v>6089.0</v>
      </c>
      <c r="C5" s="52" t="str">
        <f>IFERROR(__xludf.DUMMYFUNCTION("if(countif(query(filter('Data Recording'!E:E,'Data Recording'!D:D=B5), ""Select Col1""),""Yes"")=0,""0"",countif(query(filter('Data Recording'!E:E,'Data Recording'!D:D=B5), ""Select Col1""),""Yes"")) &amp; ""/"" &amp; if(COUNTA(query(ifna(filter('Data Recording'!"&amp;"E:E,'Data Recording'!D:D=B5),""""), ""Select Col1""))=0,""0"",COUNTA(query(ifna(filter('Data Recording'!E:E,'Data Recording'!D:D=B5),""""), ""Select Col1"")))"),"0/0")</f>
        <v>0/0</v>
      </c>
      <c r="D5" s="53" t="str">
        <f>IFERROR(__xludf.DUMMYFUNCTION("iferror(SUM(query(filter('Data Recording'!F:F,'Data Recording'!D:D=B5), ""Select Col1"")),""-"")"),"-")</f>
        <v>-</v>
      </c>
      <c r="E5" s="53" t="str">
        <f>IFERROR(__xludf.DUMMYFUNCTION("iferror(SUM(query(filter('Data Recording'!G:G,'Data Recording'!D:D=B5), ""Select Col1"")),""-"")"),"-")</f>
        <v>-</v>
      </c>
      <c r="F5" s="54" t="str">
        <f t="shared" ref="F5:F43" si="1">IFERROR(E5/D5,"-")</f>
        <v>-</v>
      </c>
      <c r="G5" s="55" t="str">
        <f>IFERROR(__xludf.DUMMYFUNCTION("iferror(AVERAGE(query(filter('Data Recording'!G:G,'Data Recording'!D:D=B5), ""Select Col1"")),""0.00"")"),"0.00")</f>
        <v>0.00</v>
      </c>
      <c r="H5" s="53" t="str">
        <f>IFERROR(__xludf.DUMMYFUNCTION("iferror(MAX(query(filter('Data Recording'!G:G,'Data Recording'!D:D=B5), ""Select Col1"")),""-"")"),"-")</f>
        <v>-</v>
      </c>
      <c r="I5" s="56" t="str">
        <f>IFERROR(__xludf.DUMMYFUNCTION("iferror(SUM(query(filter('Data Recording'!H:H,'Data Recording'!D:D=B5), ""Select Col1"")),""-"")"),"-")</f>
        <v>-</v>
      </c>
      <c r="J5" s="57" t="str">
        <f>IFERROR(__xludf.DUMMYFUNCTION("iferror(SUM(query(filter('Data Recording'!I:I,'Data Recording'!D:D=B5), ""Select Col1"")),""-"")"),"-")</f>
        <v>-</v>
      </c>
      <c r="K5" s="54" t="str">
        <f t="shared" ref="K5:K43" si="2">iferror(J5/I5,"-")</f>
        <v>-</v>
      </c>
      <c r="L5" s="55" t="str">
        <f>IFERROR(__xludf.DUMMYFUNCTION("iferror(AVERAGE(query(filter('Data Recording'!I:I,'Data Recording'!D:D=B5), ""Select Col1"")),""0.00"")"),"0.00")</f>
        <v>0.00</v>
      </c>
      <c r="M5" s="53" t="str">
        <f>IFERROR(__xludf.DUMMYFUNCTION("iferror(MAX(query(filter('Data Recording'!I:I,'Data Recording'!D:D=B5), ""Select Col1"")),""-"")"),"-")</f>
        <v>-</v>
      </c>
      <c r="N5" s="58" t="str">
        <f>IFERROR(__xludf.DUMMYFUNCTION("iferror(SUM(query(filter('Data Recording'!J:J,'Data Recording'!D:D=B5), ""Select Col1"")),""-"")"),"-")</f>
        <v>-</v>
      </c>
      <c r="O5" s="59" t="str">
        <f>IFERROR(__xludf.DUMMYFUNCTION("iferror(SUM(query(filter('Data Recording'!K:K,'Data Recording'!D:D=B5), ""Select Col1"")),""-"")"),"-")</f>
        <v>-</v>
      </c>
      <c r="P5" s="54" t="str">
        <f t="shared" ref="P5:P43" si="3">iferror(O5/N5,"-")</f>
        <v>-</v>
      </c>
      <c r="Q5" s="55" t="str">
        <f>IFERROR(__xludf.DUMMYFUNCTION("iferror(AVERAGE(query(filter('Data Recording'!K:K,'Data Recording'!D:D=B5), ""Select Col1"")),""0.00"")"),"0.00")</f>
        <v>0.00</v>
      </c>
      <c r="R5" s="53" t="str">
        <f>IFERROR(__xludf.DUMMYFUNCTION("iferror(MAX(query(filter('Data Recording'!K:K,'Data Recording'!D:D=B5), ""Select Col1"")),""-"")"),"-")</f>
        <v>-</v>
      </c>
      <c r="S5" s="58" t="str">
        <f>IFERROR(__xludf.DUMMYFUNCTION("iferror(SUM(query(filter('Data Recording'!L:L,'Data Recording'!D:D=B5), ""Select Col1"")),""-"")"),"-")</f>
        <v>-</v>
      </c>
      <c r="T5" s="59" t="str">
        <f>IFERROR(__xludf.DUMMYFUNCTION("iferror(SUM(query(filter('Data Recording'!M:M,'Data Recording'!D:D=B5), ""Select Col1"")),""-"")"),"-")</f>
        <v>-</v>
      </c>
      <c r="U5" s="54" t="str">
        <f t="shared" ref="U5:U43" si="4">iferror(T5/S5,"-")</f>
        <v>-</v>
      </c>
      <c r="V5" s="55" t="str">
        <f>IFERROR(__xludf.DUMMYFUNCTION("iferror(AVERAGE(query(filter('Data Recording'!M:M,'Data Recording'!D:D=B5), ""Select Col1"")),""-"")"),"-")</f>
        <v>-</v>
      </c>
      <c r="W5" s="52" t="str">
        <f>IFERROR(__xludf.DUMMYFUNCTION("iferror(MAX(query(filter('Data Recording'!M:M,'Data Recording'!D:D=B5), ""Select Col1"")),""-"")"),"-")</f>
        <v>-</v>
      </c>
      <c r="X5" s="59" t="str">
        <f>IFERROR(__xludf.DUMMYFUNCTION("iferror(SUM(query(filter('Data Recording'!N:N,'Data Recording'!D:D=B5), ""Select Col1"")),""-"")"),"-")</f>
        <v>-</v>
      </c>
      <c r="Y5" s="59" t="str">
        <f>IFERROR(__xludf.DUMMYFUNCTION("iferror(SUM(query(filter('Data Recording'!O:O,'Data Recording'!D:D=B5), ""Select Col1"")),""-"")"),"-")</f>
        <v>-</v>
      </c>
      <c r="Z5" s="54" t="str">
        <f t="shared" ref="Z5:Z43" si="5">Iferror(Y5/X5,"-")</f>
        <v>-</v>
      </c>
      <c r="AA5" s="55" t="str">
        <f>IFERROR(__xludf.DUMMYFUNCTION("iferror(AVERAGE(query(filter('Data Recording'!O:O,'Data Recording'!D:D=B5), ""Select Col1"")),""0.00"")"),"0.00")</f>
        <v>0.00</v>
      </c>
      <c r="AB5" s="52" t="str">
        <f>IFERROR(__xludf.DUMMYFUNCTION("iferror(MAX(query(filter('Data Recording'!O:O,'Data Recording'!D:D=B5), ""Select Col1"")),""-"")"),"-")</f>
        <v>-</v>
      </c>
      <c r="AC5" s="59" t="str">
        <f>IFERROR(__xludf.DUMMYFUNCTION("iferror(SUM(query(filter('Data Recording'!P:P,'Data Recording'!D:D=B5), ""Select Col1"")),""-"")"),"-")</f>
        <v>-</v>
      </c>
      <c r="AD5" s="59" t="str">
        <f>IFERROR(__xludf.DUMMYFUNCTION("iferror(SUM(query(filter('Data Recording'!Q:Q,'Data Recording'!D:D=B5), ""Select Col1"")),""-"")"),"-")</f>
        <v>-</v>
      </c>
      <c r="AE5" s="54" t="str">
        <f t="shared" ref="AE5:AE43" si="6">iferror(AD5/AC5,"-")</f>
        <v>-</v>
      </c>
      <c r="AF5" s="55" t="str">
        <f>IFERROR(__xludf.DUMMYFUNCTION("iferror(AVERAGE(query(filter('Data Recording'!Q:Q,'Data Recording'!D:D=B5), ""Select Col1"")),""0.00"")"),"0.00")</f>
        <v>0.00</v>
      </c>
      <c r="AG5" s="59" t="str">
        <f>IFERROR(__xludf.DUMMYFUNCTION("iferror(MAX(query(filter('Data Recording'!Q:Q,'Data Recording'!D:D=B5), ""Select Col1"")),""-"")"),"-")</f>
        <v>-</v>
      </c>
      <c r="AH5" s="58" t="str">
        <f>IFERROR(__xludf.DUMMYFUNCTION("if(countif(query(filter('Data Recording'!R:R,'Data Recording'!D:D=B5), ""Select Col1""),""Yes, Engaged"")+countif(query(filter('Data Recording'!R:R,'Data Recording'!D:D=B5), ""Select Col1""),""Yes, Docked"")=0,""0"",countif(query(filter('Data Recording'!R"&amp;":R,'Data Recording'!D:D=B5), ""Select Col1""),""Yes, Engaged""))+countif(query(filter('Data Recording'!R:R,'Data Recording'!D:D=B5), ""Select Col1""),""Yes, Docked"") &amp; ""/"" &amp; if(COUNTA(query(ifna(filter('Data Recording'!R:R,'Data Recording'!D:D=B5),"""""&amp;"), ""Select Col1""))=0,""0"",COUNTA(query(ifna(filter('Data Recording'!R:R,'Data Recording'!D:D=B5),""""), ""Select Col1"")))"),"0/0")</f>
        <v>0/0</v>
      </c>
      <c r="AI5" s="60" t="str">
        <f>IFERROR(__xludf.DUMMYFUNCTION("if(countif(query(filter('Data Recording'!R:R,'Data Recording'!D:D=B5), ""Select Col1""),""Yes, Engaged"")=0,""0"",countif(query(filter('Data Recording'!R:R,'Data Recording'!D:D=B5), ""Select Col1""),""Yes, Engaged"")) &amp; ""/"" &amp; if(COUNTA(query(ifna(filter"&amp;"('Data Recording'!R:R,'Data Recording'!D:D=B5),""""), ""Select Col1""))=0,""0"",COUNTA(query(ifna(filter('Data Recording'!R:R,'Data Recording'!D:D=B5),""""), ""Select Col1"")))"),"0/0")</f>
        <v>0/0</v>
      </c>
      <c r="AJ5" s="59" t="str">
        <f>IFERROR(__xludf.DUMMYFUNCTION("iferror(SUM(query(filter('Data Recording'!S:S,'Data Recording'!D:D=B5), ""Select Col1"")),""-"")"),"-")</f>
        <v>-</v>
      </c>
      <c r="AK5" s="59" t="str">
        <f>IFERROR(__xludf.DUMMYFUNCTION("iferror(SUM(query(filter('Data Recording'!T:T,'Data Recording'!D:D=B5), ""Select Col1"")),""-"")"),"-")</f>
        <v>-</v>
      </c>
      <c r="AL5" s="54" t="str">
        <f t="shared" ref="AL5:AL43" si="7">iferror(AK5/AJ5,"-")</f>
        <v>-</v>
      </c>
      <c r="AM5" s="55" t="str">
        <f>IFERROR(__xludf.DUMMYFUNCTION("iferror(AVERAGE(query(filter('Data Recording'!T:T,'Data Recording'!D:D=B5), ""Select Col1"")),""0.00"")"),"0.00")</f>
        <v>0.00</v>
      </c>
      <c r="AN5" s="61" t="str">
        <f>IFERROR(__xludf.DUMMYFUNCTION("iferror(MAX(query(filter('Data Recording'!T:T,'Data Recording'!D:D=B5), ""Select Col1"")),""-"")"),"-")</f>
        <v>-</v>
      </c>
      <c r="AO5" s="62" t="str">
        <f>IFERROR(__xludf.DUMMYFUNCTION("iferror(SUM(query(filter('Data Recording'!U:U,'Data Recording'!D:D=B5), ""Select Col1"")),""-"")"),"-")</f>
        <v>-</v>
      </c>
      <c r="AP5" s="62" t="str">
        <f>IFERROR(__xludf.DUMMYFUNCTION("iferror(SUM(query(filter('Data Recording'!V:V,'Data Recording'!D:D=B5), ""Select Col1"")),""-"")"),"-")</f>
        <v>-</v>
      </c>
      <c r="AQ5" s="63" t="str">
        <f t="shared" ref="AQ5:AQ43" si="8">iferror(AP5/AO5,"-")</f>
        <v>-</v>
      </c>
      <c r="AR5" s="64" t="str">
        <f>IFERROR(__xludf.DUMMYFUNCTION("iferror(AVERAGE(query(filter('Data Recording'!V:V,'Data Recording'!D:D=B5), ""Select Col1"")),""0.00"")"),"0.00")</f>
        <v>0.00</v>
      </c>
      <c r="AS5" s="65" t="str">
        <f>IFERROR(__xludf.DUMMYFUNCTION("iferror(MAX(query(filter('Data Recording'!V:V,'Data Recording'!D:D=B5), ""Select Col1"")),""-"")"),"-")</f>
        <v>-</v>
      </c>
      <c r="AT5" s="62" t="str">
        <f>IFERROR(__xludf.DUMMYFUNCTION("iferror(SUM(query(filter('Data Recording'!W:W,'Data Recording'!D:D=B5), ""Select Col1"")),""-"")"),"-")</f>
        <v>-</v>
      </c>
      <c r="AU5" s="62" t="str">
        <f>IFERROR(__xludf.DUMMYFUNCTION("iferror(SUM(query(filter('Data Recording'!X:X,'Data Recording'!D:D=B5), ""Select Col1"")),""-"")"),"-")</f>
        <v>-</v>
      </c>
      <c r="AV5" s="63" t="str">
        <f t="shared" ref="AV5:AV43" si="9">iferror(AU5/AT5,"-")</f>
        <v>-</v>
      </c>
      <c r="AW5" s="64" t="str">
        <f>IFERROR(__xludf.DUMMYFUNCTION("iferror(AVERAGE(query(filter('Data Recording'!X:X,'Data Recording'!D:D=B5), ""Select Col1"")),""0.00"")"),"0.00")</f>
        <v>0.00</v>
      </c>
      <c r="AX5" s="65" t="str">
        <f>IFERROR(__xludf.DUMMYFUNCTION("iferror(MAX(query(filter('Data Recording'!X:X,'Data Recording'!D:D=B5), ""Select Col1"")),""-"")"),"-")</f>
        <v>-</v>
      </c>
      <c r="AY5" s="62" t="str">
        <f>IFERROR(__xludf.DUMMYFUNCTION("iferror(SUM(query(filter('Data Recording'!Y:Y,'Data Recording'!D:D=B5), ""Select Col1"")),""-"")"),"-")</f>
        <v>-</v>
      </c>
      <c r="AZ5" s="62" t="str">
        <f>IFERROR(__xludf.DUMMYFUNCTION("iferror(SUM(query(filter('Data Recording'!Z:Z,'Data Recording'!D:D=B5), ""Select Col1"")),""-"")"),"-")</f>
        <v>-</v>
      </c>
      <c r="BA5" s="63" t="str">
        <f t="shared" ref="BA5:BA43" si="10">iferror(AZ5/AY5,"-")</f>
        <v>-</v>
      </c>
      <c r="BB5" s="64" t="str">
        <f>IFERROR(__xludf.DUMMYFUNCTION("iferror(AVERAGE(query(filter('Data Recording'!Z:Z,'Data Recording'!D:D=B5), ""Select Col1"")),""0.00"")"),"0.00")</f>
        <v>0.00</v>
      </c>
      <c r="BC5" s="65" t="str">
        <f>IFERROR(__xludf.DUMMYFUNCTION("iferror(MAX(query(filter('Data Recording'!Z:Z,'Data Recording'!D:D=B5), ""Select Col1"")),""-"")"),"-")</f>
        <v>-</v>
      </c>
      <c r="BD5" s="62" t="str">
        <f>IFERROR(__xludf.DUMMYFUNCTION("iferror(SUM(query(filter('Data Recording'!AA:AA,'Data Recording'!D:D=B5), ""Select Col1"")),""-"")"),"-")</f>
        <v>-</v>
      </c>
      <c r="BE5" s="62" t="str">
        <f>IFERROR(__xludf.DUMMYFUNCTION("iferror(SUM(query(filter('Data Recording'!AB:AB,'Data Recording'!D:D=B5), ""Select Col1"")),""-"")"),"-")</f>
        <v>-</v>
      </c>
      <c r="BF5" s="63" t="str">
        <f t="shared" ref="BF5:BF43" si="11">iferror(BE5/BD5,"-")</f>
        <v>-</v>
      </c>
      <c r="BG5" s="64" t="str">
        <f>IFERROR(__xludf.DUMMYFUNCTION("iferror(AVERAGE(query(filter('Data Recording'!AB:AB,'Data Recording'!D:D=B5), ""Select Col1"")),""0.00"")"),"0.00")</f>
        <v>0.00</v>
      </c>
      <c r="BH5" s="65" t="str">
        <f>IFERROR(__xludf.DUMMYFUNCTION("iferror(MAX(query(filter('Data Recording'!AB:AB,'Data Recording'!D:D=B5), ""Select Col1"")),""-"")"),"-")</f>
        <v>-</v>
      </c>
      <c r="BI5" s="62" t="str">
        <f>IFERROR(__xludf.DUMMYFUNCTION("iferror(SUM(query(filter('Data Recording'!AC:AC,'Data Recording'!D:D=B5), ""Select Col1"")),""-"")"),"-")</f>
        <v>-</v>
      </c>
      <c r="BJ5" s="62" t="str">
        <f>IFERROR(__xludf.DUMMYFUNCTION("iferror(SUM(query(filter('Data Recording'!AD:AD,'Data Recording'!D:D=B5), ""Select Col1"")),""-"")"),"-")</f>
        <v>-</v>
      </c>
      <c r="BK5" s="63" t="str">
        <f t="shared" ref="BK5:BK43" si="12">iferror(BJ5/BI5,"-")</f>
        <v>-</v>
      </c>
      <c r="BL5" s="64" t="str">
        <f>IFERROR(__xludf.DUMMYFUNCTION("iferror(AVERAGE(query(filter('Data Recording'!AD:AD,'Data Recording'!D:D=B5), ""Select Col1"")),""0.00"")"),"0.00")</f>
        <v>0.00</v>
      </c>
      <c r="BM5" s="65" t="str">
        <f>IFERROR(__xludf.DUMMYFUNCTION("iferror(MAX(query(filter('Data Recording'!AD:AD,'Data Recording'!D:D=B5), ""Select Col1"")),""-"")"),"-")</f>
        <v>-</v>
      </c>
      <c r="BN5" s="66" t="str">
        <f>IFERROR(__xludf.DUMMYFUNCTION("if(countif(query(filter('Data Recording'!AE:AE,'Data Recording'!D:D=B5), ""Select Col1""),""Yes, Engaged"")+countif(query(filter('Data Recording'!AE:AE,'Data Recording'!D:D=B5), ""Select Col1""),""Yes, Docked"")=0,""0"",countif(query(filter('Data Recordin"&amp;"g'!AE:AE,'Data Recording'!D:D=B5), ""Select Col1""),""Yes, Engaged""))+countif(query(filter('Data Recording'!AE:AE,'Data Recording'!D:D=B5), ""Select Col1""),""Yes, Docked"") &amp; ""/"" &amp; if(COUNTA(query(ifna(filter('Data Recording'!AE:AE,'Data Recording'!D:"&amp;"D=B5),""""), ""Select Col1""))=0,""0"",COUNTA(query(ifna(filter('Data Recording'!AE:AE,'Data Recording'!D:D=B5),""""), ""Select Col1"")))"),"0/0")</f>
        <v>0/0</v>
      </c>
      <c r="BO5" s="67" t="str">
        <f>IFERROR(__xludf.DUMMYFUNCTION("if(countif(query(filter('Data Recording'!AE:AE,'Data Recording'!D:D=B5), ""Select Col1""),""Yes, Engaged"")=0,""0"",countif(query(filter('Data Recording'!AE:AE,'Data Recording'!D:D=B5), ""Select Col1""),""Yes, Engaged"")) &amp; ""/"" &amp; if(COUNTA(query(ifna(fi"&amp;"lter('Data Recording'!AE:AE,'Data Recording'!D:D=B5),""""), ""Select Col1""))=0,""0"",COUNTA(query(ifna(filter('Data Recording'!AE:AE,'Data Recording'!D:D=B5),""""), ""Select Col1"")))"),"0/0")</f>
        <v>0/0</v>
      </c>
      <c r="BP5" s="60" t="str">
        <f>IFERROR(__xludf.DUMMYFUNCTION("if(countif(query(filter('Data Recording'!AH:AH,'Data Recording'!D:D=B5), ""Select Col1""),""Yes"")=0,""0"",countif(query(filter('Data Recording'!AH:AH,'Data Recording'!D:D=B5), ""Select Col1""),""Yes"")) &amp; ""/"" &amp; if(COUNTA(query(ifna(filter('Data Recordi"&amp;"ng'!AH:AH,'Data Recording'!D:D=B5),""""), ""Select Col1""))=0,""0"",COUNTA(query(ifna(filter('Data Recording'!AH:AH,'Data Recording'!D:D=B5),""""), ""Select Col1"")))"),"0/0")</f>
        <v>0/0</v>
      </c>
      <c r="BQ5" s="68"/>
      <c r="BR5" s="55" t="str">
        <f>IFERROR(__xludf.DUMMYFUNCTION("iferror(average(query(filter('Data Recording'!AF:AF,'Data Recording'!D:D=B5), ""Select Col1"")),""-"")"),"-")</f>
        <v>-</v>
      </c>
      <c r="BS5" s="69" t="str">
        <f>IFERROR(__xludf.DUMMYFUNCTION("iferror(average(query(filter('Data Recording'!AG:AG,'Data Recording'!D:D=B5), ""Select Col1"")),""-"")"),"-")</f>
        <v>-</v>
      </c>
      <c r="BT5" s="70" t="str">
        <f t="shared" ref="BT5:BT43" si="13">iferror(iferror(G5*6)+iferror(L5*4)+iferror(Q5*3)+iferror(V5*6)+iferror(AA5*4)+iferror(AF5*3)+iferror(AM5*5)+(AR5*3)+iferror(AW5*2)+iferror(BB5*5)+iferror(BG5*3)+iferror(BL5*2)+if(EQ(BZ5,CA5),CA5*12,BZ5*8)+if(EQ(CB5,CC5),CC5*10,CB5*6)+IF(CD5="1",multiply(CD5,3)),"-")</f>
        <v>-</v>
      </c>
      <c r="BU5" s="70" t="str">
        <f>IFERROR(__xludf.DUMMYFUNCTION("iferror(AVERAGE(query(filter('Data Recording'!AJ:AJ,'Data Recording'!D:D=B5), ""Select Col1"")),""-"")"),"-")</f>
        <v>-</v>
      </c>
      <c r="BV5" s="70" t="str">
        <f>IFERROR(__xludf.DUMMYFUNCTION("iferror(AVERAGE(query(filter('Data Recording'!AK:AK,'Data Recording'!D:D=B5), ""Select Col1"")),""-"")"),"-")</f>
        <v>-</v>
      </c>
      <c r="BW5" s="70">
        <f t="shared" ref="BW5:BW43" si="14">iferror(iferror((G5*6)+iferror(L5*4)+iferror(Q5*3)+iferror(V5*6)+iferror(AA5*4)+iferror(AF5*3)+iferror(AM5*5)+(AR5*3)+iferror(AW5*2)+iferror(BB5*5)+iferror(BG5*3)+iferror(BL5*2),"-"))</f>
        <v>0</v>
      </c>
      <c r="BX5" s="71" t="str">
        <f>IFERROR(__xludf.DUMMYFUNCTION("iferror(max(query(filter('Data Recording'!AJ:AJ,'Data Recording'!D:D=B5), ""Select Col1"")),""-"")"),"-")</f>
        <v>-</v>
      </c>
      <c r="BY5" s="72" t="str">
        <f>IFERROR(__xludf.DUMMYFUNCTION("iferror(MIN(query(filter('Data Recording'!AJ:AJ,'Data Recording'!D:D=B5), ""Select Col1"")),""-"")"),"-")</f>
        <v>-</v>
      </c>
      <c r="BZ5" s="73" t="str">
        <f>IFERROR(__xludf.DUMMYFUNCTION("iferror(if(DIVIDE(COUNTIF(query(filter('Data Recording'!R:R,'Data Recording'!D:D=B5), ""Select Col1""),""Yes, Docked"") + countif(query(filter('Data Recording'!R:R,'Data Recording'!D:D=B5), ""Select Col1""),""Yes, Engaged""),COUNTA(query(ifna(filter('Data"&amp;" Recording'!R:R,'Data Recording'!D:D=B5),""""), ""Select Col1"")))&gt;=(0.5),""1"",""0""),""-"")"),"-")</f>
        <v>-</v>
      </c>
      <c r="CA5" s="59" t="str">
        <f>IFERROR(__xludf.DUMMYFUNCTION("iferror(if(countif(query(filter('Data Recording'!R:R,'Data Recording'!D:D=B5), ""Select Col1""),""Yes, Engaged"")/COUNTA(query(ifna(filter('Data Recording'!R:R,'Data Recording'!D:D=B5),""""), ""Select Col1""))&gt;=(0.5),""1"",""0""),""-"")"),"-")</f>
        <v>-</v>
      </c>
      <c r="CB5" s="74" t="str">
        <f>IFERROR(__xludf.DUMMYFUNCTION("iferror(if(DIVIDE(COUNTIF(query(filter('Data Recording'!AE:AE,'Data Recording'!D:D=B5), ""Select Col1""),""Yes, Docked"") + countif(query(filter('Data Recording'!AE:AE,'Data Recording'!D:D=B5), ""Select Col1""),""Yes, Engaged""),COUNTA(query(ifna(filter('"&amp;"Data Recording'!AE:AE,'Data Recording'!D:D=B5),""""), ""Select Col1"")))&gt;=(0.5),""1"",""0""),""-"")"),"-")</f>
        <v>-</v>
      </c>
      <c r="CC5" s="59" t="str">
        <f>IFERROR(__xludf.DUMMYFUNCTION("iferror(if(countif(query(filter('Data Recording'!AE:AE,'Data Recording'!D:D=B5), ""Select Col1""),""Yes, Engaged"")/COUNTA(query(ifna(filter('Data Recording'!AE:AE,'Data Recording'!D:D=B5),""""), ""Select Col1""))&gt;=(0.5),""1"",""0""),""-"")"),"-")</f>
        <v>-</v>
      </c>
      <c r="CD5" s="74" t="str">
        <f>IFERROR(__xludf.DUMMYFUNCTION("iferror(if(DIVIDE(countif(query(filter('Data Recording'!E:E,'Data Recording'!D:D=B5), ""Select Col1""),""Yes""),COUNTA(query(ifna(filter('Data Recording'!E:E,'Data Recording'!D:D=B5),""""), ""Select Col1"")))&gt;=(0.5),""1"",""0""),""-"")"),"-")</f>
        <v>-</v>
      </c>
    </row>
    <row r="6">
      <c r="A6" s="51" t="s">
        <v>39</v>
      </c>
      <c r="B6" s="51">
        <v>8268.0</v>
      </c>
      <c r="C6" s="52" t="str">
        <f>IFERROR(__xludf.DUMMYFUNCTION("if(countif(query(filter('Data Recording'!E:E,'Data Recording'!D:D=B6), ""Select Col1""),""Yes"")=0,""0"",countif(query(filter('Data Recording'!E:E,'Data Recording'!D:D=B6), ""Select Col1""),""Yes"")) &amp; ""/"" &amp; if(COUNTA(query(ifna(filter('Data Recording'!"&amp;"E:E,'Data Recording'!D:D=B6),""""), ""Select Col1""))=0,""0"",COUNTA(query(ifna(filter('Data Recording'!E:E,'Data Recording'!D:D=B6),""""), ""Select Col1"")))"),"0/0")</f>
        <v>0/0</v>
      </c>
      <c r="D6" s="53" t="str">
        <f>IFERROR(__xludf.DUMMYFUNCTION("iferror(SUM(query(filter('Data Recording'!F:F,'Data Recording'!D:D=B6), ""Select Col1"")),""-"")"),"-")</f>
        <v>-</v>
      </c>
      <c r="E6" s="53" t="str">
        <f>IFERROR(__xludf.DUMMYFUNCTION("iferror(SUM(query(filter('Data Recording'!G:G,'Data Recording'!D:D=B6), ""Select Col1"")),""-"")"),"-")</f>
        <v>-</v>
      </c>
      <c r="F6" s="54" t="str">
        <f t="shared" si="1"/>
        <v>-</v>
      </c>
      <c r="G6" s="55" t="str">
        <f>IFERROR(__xludf.DUMMYFUNCTION("iferror(AVERAGE(query(filter('Data Recording'!G:G,'Data Recording'!D:D=B6), ""Select Col1"")),""0.00"")"),"0.00")</f>
        <v>0.00</v>
      </c>
      <c r="H6" s="53" t="str">
        <f>IFERROR(__xludf.DUMMYFUNCTION("iferror(MAX(query(filter('Data Recording'!G:G,'Data Recording'!D:D=B6), ""Select Col1"")),""-"")"),"-")</f>
        <v>-</v>
      </c>
      <c r="I6" s="56" t="str">
        <f>IFERROR(__xludf.DUMMYFUNCTION("iferror(SUM(query(filter('Data Recording'!H:H,'Data Recording'!D:D=B6), ""Select Col1"")),""-"")"),"-")</f>
        <v>-</v>
      </c>
      <c r="J6" s="57" t="str">
        <f>IFERROR(__xludf.DUMMYFUNCTION("iferror(SUM(query(filter('Data Recording'!I:I,'Data Recording'!D:D=B6), ""Select Col1"")),""-"")"),"-")</f>
        <v>-</v>
      </c>
      <c r="K6" s="54" t="str">
        <f t="shared" si="2"/>
        <v>-</v>
      </c>
      <c r="L6" s="55" t="str">
        <f>IFERROR(__xludf.DUMMYFUNCTION("iferror(AVERAGE(query(filter('Data Recording'!I:I,'Data Recording'!D:D=B6), ""Select Col1"")),""0.00"")"),"0.00")</f>
        <v>0.00</v>
      </c>
      <c r="M6" s="53" t="str">
        <f>IFERROR(__xludf.DUMMYFUNCTION("iferror(MAX(query(filter('Data Recording'!I:I,'Data Recording'!D:D=B6), ""Select Col1"")),""-"")"),"-")</f>
        <v>-</v>
      </c>
      <c r="N6" s="58" t="str">
        <f>IFERROR(__xludf.DUMMYFUNCTION("iferror(SUM(query(filter('Data Recording'!J:J,'Data Recording'!D:D=B6), ""Select Col1"")),""-"")"),"-")</f>
        <v>-</v>
      </c>
      <c r="O6" s="59" t="str">
        <f>IFERROR(__xludf.DUMMYFUNCTION("iferror(SUM(query(filter('Data Recording'!K:K,'Data Recording'!D:D=B6), ""Select Col1"")),""-"")"),"-")</f>
        <v>-</v>
      </c>
      <c r="P6" s="54" t="str">
        <f t="shared" si="3"/>
        <v>-</v>
      </c>
      <c r="Q6" s="55" t="str">
        <f>IFERROR(__xludf.DUMMYFUNCTION("iferror(AVERAGE(query(filter('Data Recording'!K:K,'Data Recording'!D:D=B6), ""Select Col1"")),""0.00"")"),"0.00")</f>
        <v>0.00</v>
      </c>
      <c r="R6" s="53" t="str">
        <f>IFERROR(__xludf.DUMMYFUNCTION("iferror(MAX(query(filter('Data Recording'!K:K,'Data Recording'!D:D=B6), ""Select Col1"")),""-"")"),"-")</f>
        <v>-</v>
      </c>
      <c r="S6" s="58" t="str">
        <f>IFERROR(__xludf.DUMMYFUNCTION("iferror(SUM(query(filter('Data Recording'!L:L,'Data Recording'!D:D=B6), ""Select Col1"")),""-"")"),"-")</f>
        <v>-</v>
      </c>
      <c r="T6" s="59" t="str">
        <f>IFERROR(__xludf.DUMMYFUNCTION("iferror(SUM(query(filter('Data Recording'!M:M,'Data Recording'!D:D=B6), ""Select Col1"")),""-"")"),"-")</f>
        <v>-</v>
      </c>
      <c r="U6" s="54" t="str">
        <f t="shared" si="4"/>
        <v>-</v>
      </c>
      <c r="V6" s="55" t="str">
        <f>IFERROR(__xludf.DUMMYFUNCTION("iferror(AVERAGE(query(filter('Data Recording'!M:M,'Data Recording'!D:D=B6), ""Select Col1"")),""-"")"),"-")</f>
        <v>-</v>
      </c>
      <c r="W6" s="52" t="str">
        <f>IFERROR(__xludf.DUMMYFUNCTION("iferror(MAX(query(filter('Data Recording'!M:M,'Data Recording'!D:D=B6), ""Select Col1"")),""-"")"),"-")</f>
        <v>-</v>
      </c>
      <c r="X6" s="59" t="str">
        <f>IFERROR(__xludf.DUMMYFUNCTION("iferror(SUM(query(filter('Data Recording'!N:N,'Data Recording'!D:D=B6), ""Select Col1"")),""-"")"),"-")</f>
        <v>-</v>
      </c>
      <c r="Y6" s="59" t="str">
        <f>IFERROR(__xludf.DUMMYFUNCTION("iferror(SUM(query(filter('Data Recording'!O:O,'Data Recording'!D:D=B6), ""Select Col1"")),""-"")"),"-")</f>
        <v>-</v>
      </c>
      <c r="Z6" s="54" t="str">
        <f t="shared" si="5"/>
        <v>-</v>
      </c>
      <c r="AA6" s="55" t="str">
        <f>IFERROR(__xludf.DUMMYFUNCTION("iferror(AVERAGE(query(filter('Data Recording'!O:O,'Data Recording'!D:D=B6), ""Select Col1"")),""0.00"")"),"0.00")</f>
        <v>0.00</v>
      </c>
      <c r="AB6" s="52" t="str">
        <f>IFERROR(__xludf.DUMMYFUNCTION("iferror(MAX(query(filter('Data Recording'!O:O,'Data Recording'!D:D=B6), ""Select Col1"")),""-"")"),"-")</f>
        <v>-</v>
      </c>
      <c r="AC6" s="59" t="str">
        <f>IFERROR(__xludf.DUMMYFUNCTION("iferror(SUM(query(filter('Data Recording'!P:P,'Data Recording'!D:D=B6), ""Select Col1"")),""-"")"),"-")</f>
        <v>-</v>
      </c>
      <c r="AD6" s="59" t="str">
        <f>IFERROR(__xludf.DUMMYFUNCTION("iferror(SUM(query(filter('Data Recording'!Q:Q,'Data Recording'!D:D=B6), ""Select Col1"")),""-"")"),"-")</f>
        <v>-</v>
      </c>
      <c r="AE6" s="54" t="str">
        <f t="shared" si="6"/>
        <v>-</v>
      </c>
      <c r="AF6" s="55" t="str">
        <f>IFERROR(__xludf.DUMMYFUNCTION("iferror(AVERAGE(query(filter('Data Recording'!Q:Q,'Data Recording'!D:D=B6), ""Select Col1"")),""0.00"")"),"0.00")</f>
        <v>0.00</v>
      </c>
      <c r="AG6" s="59" t="str">
        <f>IFERROR(__xludf.DUMMYFUNCTION("iferror(MAX(query(filter('Data Recording'!Q:Q,'Data Recording'!D:D=B6), ""Select Col1"")),""-"")"),"-")</f>
        <v>-</v>
      </c>
      <c r="AH6" s="58" t="str">
        <f>IFERROR(__xludf.DUMMYFUNCTION("if(countif(query(filter('Data Recording'!R:R,'Data Recording'!D:D=B6), ""Select Col1""),""Yes, Engaged"")+countif(query(filter('Data Recording'!R:R,'Data Recording'!D:D=B6), ""Select Col1""),""Yes, Docked"")=0,""0"",countif(query(filter('Data Recording'!R"&amp;":R,'Data Recording'!D:D=B6), ""Select Col1""),""Yes, Engaged""))+countif(query(filter('Data Recording'!R:R,'Data Recording'!D:D=B6), ""Select Col1""),""Yes, Docked"") &amp; ""/"" &amp; if(COUNTA(query(ifna(filter('Data Recording'!R:R,'Data Recording'!D:D=B6),"""""&amp;"), ""Select Col1""))=0,""0"",COUNTA(query(ifna(filter('Data Recording'!R:R,'Data Recording'!D:D=B6),""""), ""Select Col1"")))"),"0/0")</f>
        <v>0/0</v>
      </c>
      <c r="AI6" s="60" t="str">
        <f>IFERROR(__xludf.DUMMYFUNCTION("if(countif(query(filter('Data Recording'!R:R,'Data Recording'!D:D=B6), ""Select Col1""),""Yes, Engaged"")=0,""0"",countif(query(filter('Data Recording'!R:R,'Data Recording'!D:D=B6), ""Select Col1""),""Yes, Engaged"")) &amp; ""/"" &amp; if(COUNTA(query(ifna(filter"&amp;"('Data Recording'!R:R,'Data Recording'!D:D=B6),""""), ""Select Col1""))=0,""0"",COUNTA(query(ifna(filter('Data Recording'!R:R,'Data Recording'!D:D=B6),""""), ""Select Col1"")))"),"0/0")</f>
        <v>0/0</v>
      </c>
      <c r="AJ6" s="59" t="str">
        <f>IFERROR(__xludf.DUMMYFUNCTION("iferror(SUM(query(filter('Data Recording'!S:S,'Data Recording'!D:D=B6), ""Select Col1"")),""-"")"),"-")</f>
        <v>-</v>
      </c>
      <c r="AK6" s="59" t="str">
        <f>IFERROR(__xludf.DUMMYFUNCTION("iferror(SUM(query(filter('Data Recording'!T:T,'Data Recording'!D:D=B6), ""Select Col1"")),""-"")"),"-")</f>
        <v>-</v>
      </c>
      <c r="AL6" s="54" t="str">
        <f t="shared" si="7"/>
        <v>-</v>
      </c>
      <c r="AM6" s="55" t="str">
        <f>IFERROR(__xludf.DUMMYFUNCTION("iferror(AVERAGE(query(filter('Data Recording'!T:T,'Data Recording'!D:D=B6), ""Select Col1"")),""0.00"")"),"0.00")</f>
        <v>0.00</v>
      </c>
      <c r="AN6" s="61" t="str">
        <f>IFERROR(__xludf.DUMMYFUNCTION("iferror(MAX(query(filter('Data Recording'!T:T,'Data Recording'!D:D=B6), ""Select Col1"")),""-"")"),"-")</f>
        <v>-</v>
      </c>
      <c r="AO6" s="62" t="str">
        <f>IFERROR(__xludf.DUMMYFUNCTION("iferror(SUM(query(filter('Data Recording'!U:U,'Data Recording'!D:D=B6), ""Select Col1"")),""-"")"),"-")</f>
        <v>-</v>
      </c>
      <c r="AP6" s="62" t="str">
        <f>IFERROR(__xludf.DUMMYFUNCTION("iferror(SUM(query(filter('Data Recording'!V:V,'Data Recording'!D:D=B6), ""Select Col1"")),""-"")"),"-")</f>
        <v>-</v>
      </c>
      <c r="AQ6" s="63" t="str">
        <f t="shared" si="8"/>
        <v>-</v>
      </c>
      <c r="AR6" s="64" t="str">
        <f>IFERROR(__xludf.DUMMYFUNCTION("iferror(AVERAGE(query(filter('Data Recording'!V:V,'Data Recording'!D:D=B6), ""Select Col1"")),""0.00"")"),"0.00")</f>
        <v>0.00</v>
      </c>
      <c r="AS6" s="65" t="str">
        <f>IFERROR(__xludf.DUMMYFUNCTION("iferror(MAX(query(filter('Data Recording'!V:V,'Data Recording'!D:D=B6), ""Select Col1"")),""-"")"),"-")</f>
        <v>-</v>
      </c>
      <c r="AT6" s="62" t="str">
        <f>IFERROR(__xludf.DUMMYFUNCTION("iferror(SUM(query(filter('Data Recording'!W:W,'Data Recording'!D:D=B6), ""Select Col1"")),""-"")"),"-")</f>
        <v>-</v>
      </c>
      <c r="AU6" s="62" t="str">
        <f>IFERROR(__xludf.DUMMYFUNCTION("iferror(SUM(query(filter('Data Recording'!X:X,'Data Recording'!D:D=B6), ""Select Col1"")),""-"")"),"-")</f>
        <v>-</v>
      </c>
      <c r="AV6" s="63" t="str">
        <f t="shared" si="9"/>
        <v>-</v>
      </c>
      <c r="AW6" s="64" t="str">
        <f>IFERROR(__xludf.DUMMYFUNCTION("iferror(AVERAGE(query(filter('Data Recording'!X:X,'Data Recording'!D:D=B6), ""Select Col1"")),""0.00"")"),"0.00")</f>
        <v>0.00</v>
      </c>
      <c r="AX6" s="65" t="str">
        <f>IFERROR(__xludf.DUMMYFUNCTION("iferror(MAX(query(filter('Data Recording'!X:X,'Data Recording'!D:D=B6), ""Select Col1"")),""-"")"),"-")</f>
        <v>-</v>
      </c>
      <c r="AY6" s="62" t="str">
        <f>IFERROR(__xludf.DUMMYFUNCTION("iferror(SUM(query(filter('Data Recording'!Y:Y,'Data Recording'!D:D=B6), ""Select Col1"")),""-"")"),"-")</f>
        <v>-</v>
      </c>
      <c r="AZ6" s="62" t="str">
        <f>IFERROR(__xludf.DUMMYFUNCTION("iferror(SUM(query(filter('Data Recording'!Z:Z,'Data Recording'!D:D=B6), ""Select Col1"")),""-"")"),"-")</f>
        <v>-</v>
      </c>
      <c r="BA6" s="63" t="str">
        <f t="shared" si="10"/>
        <v>-</v>
      </c>
      <c r="BB6" s="64" t="str">
        <f>IFERROR(__xludf.DUMMYFUNCTION("iferror(AVERAGE(query(filter('Data Recording'!Z:Z,'Data Recording'!D:D=B6), ""Select Col1"")),""0.00"")"),"0.00")</f>
        <v>0.00</v>
      </c>
      <c r="BC6" s="65" t="str">
        <f>IFERROR(__xludf.DUMMYFUNCTION("iferror(MAX(query(filter('Data Recording'!Z:Z,'Data Recording'!D:D=B6), ""Select Col1"")),""-"")"),"-")</f>
        <v>-</v>
      </c>
      <c r="BD6" s="62" t="str">
        <f>IFERROR(__xludf.DUMMYFUNCTION("iferror(SUM(query(filter('Data Recording'!AA:AA,'Data Recording'!D:D=B6), ""Select Col1"")),""-"")"),"-")</f>
        <v>-</v>
      </c>
      <c r="BE6" s="62" t="str">
        <f>IFERROR(__xludf.DUMMYFUNCTION("iferror(SUM(query(filter('Data Recording'!AB:AB,'Data Recording'!D:D=B6), ""Select Col1"")),""-"")"),"-")</f>
        <v>-</v>
      </c>
      <c r="BF6" s="63" t="str">
        <f t="shared" si="11"/>
        <v>-</v>
      </c>
      <c r="BG6" s="64" t="str">
        <f>IFERROR(__xludf.DUMMYFUNCTION("iferror(AVERAGE(query(filter('Data Recording'!AB:AB,'Data Recording'!D:D=B6), ""Select Col1"")),""0.00"")"),"0.00")</f>
        <v>0.00</v>
      </c>
      <c r="BH6" s="65" t="str">
        <f>IFERROR(__xludf.DUMMYFUNCTION("iferror(MAX(query(filter('Data Recording'!AB:AB,'Data Recording'!D:D=B6), ""Select Col1"")),""-"")"),"-")</f>
        <v>-</v>
      </c>
      <c r="BI6" s="62" t="str">
        <f>IFERROR(__xludf.DUMMYFUNCTION("iferror(SUM(query(filter('Data Recording'!AC:AC,'Data Recording'!D:D=B6), ""Select Col1"")),""-"")"),"-")</f>
        <v>-</v>
      </c>
      <c r="BJ6" s="62" t="str">
        <f>IFERROR(__xludf.DUMMYFUNCTION("iferror(SUM(query(filter('Data Recording'!AD:AD,'Data Recording'!D:D=B6), ""Select Col1"")),""-"")"),"-")</f>
        <v>-</v>
      </c>
      <c r="BK6" s="63" t="str">
        <f t="shared" si="12"/>
        <v>-</v>
      </c>
      <c r="BL6" s="64" t="str">
        <f>IFERROR(__xludf.DUMMYFUNCTION("iferror(AVERAGE(query(filter('Data Recording'!AD:AD,'Data Recording'!D:D=B6), ""Select Col1"")),""0.00"")"),"0.00")</f>
        <v>0.00</v>
      </c>
      <c r="BM6" s="65" t="str">
        <f>IFERROR(__xludf.DUMMYFUNCTION("iferror(MAX(query(filter('Data Recording'!AD:AD,'Data Recording'!D:D=B6), ""Select Col1"")),""-"")"),"-")</f>
        <v>-</v>
      </c>
      <c r="BN6" s="66" t="str">
        <f>IFERROR(__xludf.DUMMYFUNCTION("if(countif(query(filter('Data Recording'!AE:AE,'Data Recording'!D:D=B6), ""Select Col1""),""Yes, Engaged"")+countif(query(filter('Data Recording'!AE:AE,'Data Recording'!D:D=B6), ""Select Col1""),""Yes, Docked"")=0,""0"",countif(query(filter('Data Recordin"&amp;"g'!AE:AE,'Data Recording'!D:D=B6), ""Select Col1""),""Yes, Engaged""))+countif(query(filter('Data Recording'!AE:AE,'Data Recording'!D:D=B6), ""Select Col1""),""Yes, Docked"") &amp; ""/"" &amp; if(COUNTA(query(ifna(filter('Data Recording'!AE:AE,'Data Recording'!D:"&amp;"D=B6),""""), ""Select Col1""))=0,""0"",COUNTA(query(ifna(filter('Data Recording'!AE:AE,'Data Recording'!D:D=B6),""""), ""Select Col1"")))"),"0/0")</f>
        <v>0/0</v>
      </c>
      <c r="BO6" s="67" t="str">
        <f>IFERROR(__xludf.DUMMYFUNCTION("if(countif(query(filter('Data Recording'!AE:AE,'Data Recording'!D:D=B6), ""Select Col1""),""Yes, Engaged"")=0,""0"",countif(query(filter('Data Recording'!AE:AE,'Data Recording'!D:D=B6), ""Select Col1""),""Yes, Engaged"")) &amp; ""/"" &amp; if(COUNTA(query(ifna(fi"&amp;"lter('Data Recording'!AE:AE,'Data Recording'!D:D=B6),""""), ""Select Col1""))=0,""0"",COUNTA(query(ifna(filter('Data Recording'!AE:AE,'Data Recording'!D:D=B6),""""), ""Select Col1"")))"),"0/0")</f>
        <v>0/0</v>
      </c>
      <c r="BP6" s="60" t="str">
        <f>IFERROR(__xludf.DUMMYFUNCTION("if(countif(query(filter('Data Recording'!AH:AH,'Data Recording'!D:D=B6), ""Select Col1""),""Yes"")=0,""0"",countif(query(filter('Data Recording'!AH:AH,'Data Recording'!D:D=B6), ""Select Col1""),""Yes"")) &amp; ""/"" &amp; if(COUNTA(query(ifna(filter('Data Recordi"&amp;"ng'!AH:AH,'Data Recording'!D:D=B6),""""), ""Select Col1""))=0,""0"",COUNTA(query(ifna(filter('Data Recording'!AH:AH,'Data Recording'!D:D=B6),""""), ""Select Col1"")))"),"0/0")</f>
        <v>0/0</v>
      </c>
      <c r="BQ6" s="68"/>
      <c r="BR6" s="55" t="str">
        <f>IFERROR(__xludf.DUMMYFUNCTION("iferror(average(query(filter('Data Recording'!AF:AF,'Data Recording'!D:D=B6), ""Select Col1"")),""-"")"),"-")</f>
        <v>-</v>
      </c>
      <c r="BS6" s="69" t="str">
        <f>IFERROR(__xludf.DUMMYFUNCTION("iferror(average(query(filter('Data Recording'!AG:AG,'Data Recording'!D:D=B6), ""Select Col1"")),""-"")"),"-")</f>
        <v>-</v>
      </c>
      <c r="BT6" s="70" t="str">
        <f t="shared" si="13"/>
        <v>-</v>
      </c>
      <c r="BU6" s="70" t="str">
        <f>IFERROR(__xludf.DUMMYFUNCTION("iferror(AVERAGE(query(filter('Data Recording'!AJ:AJ,'Data Recording'!D:D=B6), ""Select Col1"")),""-"")"),"-")</f>
        <v>-</v>
      </c>
      <c r="BV6" s="70" t="str">
        <f>IFERROR(__xludf.DUMMYFUNCTION("iferror(AVERAGE(query(filter('Data Recording'!AK:AK,'Data Recording'!D:D=B6), ""Select Col1"")),""-"")"),"-")</f>
        <v>-</v>
      </c>
      <c r="BW6" s="70">
        <f t="shared" si="14"/>
        <v>0</v>
      </c>
      <c r="BX6" s="71" t="str">
        <f>IFERROR(__xludf.DUMMYFUNCTION("iferror(max(query(filter('Data Recording'!AJ:AJ,'Data Recording'!D:D=B6), ""Select Col1"")),""-"")"),"-")</f>
        <v>-</v>
      </c>
      <c r="BY6" s="72" t="str">
        <f>IFERROR(__xludf.DUMMYFUNCTION("iferror(MIN(query(filter('Data Recording'!AJ:AJ,'Data Recording'!D:D=B6), ""Select Col1"")),""-"")"),"-")</f>
        <v>-</v>
      </c>
      <c r="BZ6" s="73" t="str">
        <f>IFERROR(__xludf.DUMMYFUNCTION("iferror(if(DIVIDE(COUNTIF(query(filter('Data Recording'!R:R,'Data Recording'!D:D=B6), ""Select Col1""),""Yes, Docked"") + countif(query(filter('Data Recording'!R:R,'Data Recording'!D:D=B6), ""Select Col1""),""Yes, Engaged""),COUNTA(query(ifna(filter('Data"&amp;" Recording'!R:R,'Data Recording'!D:D=B6),""""), ""Select Col1"")))&gt;=(0.5),""1"",""0""),""-"")"),"-")</f>
        <v>-</v>
      </c>
      <c r="CA6" s="59" t="str">
        <f>IFERROR(__xludf.DUMMYFUNCTION("iferror(if(countif(query(filter('Data Recording'!R:R,'Data Recording'!D:D=B6), ""Select Col1""),""Yes, Engaged"")/COUNTA(query(ifna(filter('Data Recording'!R:R,'Data Recording'!D:D=B6),""""), ""Select Col1""))&gt;=(0.5),""1"",""0""),""-"")"),"-")</f>
        <v>-</v>
      </c>
      <c r="CB6" s="74" t="str">
        <f>IFERROR(__xludf.DUMMYFUNCTION("iferror(if(DIVIDE(COUNTIF(query(filter('Data Recording'!AE:AE,'Data Recording'!D:D=B6), ""Select Col1""),""Yes, Docked"") + countif(query(filter('Data Recording'!AE:AE,'Data Recording'!D:D=B6), ""Select Col1""),""Yes, Engaged""),COUNTA(query(ifna(filter('"&amp;"Data Recording'!AE:AE,'Data Recording'!D:D=B6),""""), ""Select Col1"")))&gt;=(0.5),""1"",""0""),""-"")"),"-")</f>
        <v>-</v>
      </c>
      <c r="CC6" s="59" t="str">
        <f>IFERROR(__xludf.DUMMYFUNCTION("iferror(if(countif(query(filter('Data Recording'!AE:AE,'Data Recording'!D:D=B6), ""Select Col1""),""Yes, Engaged"")/COUNTA(query(ifna(filter('Data Recording'!AE:AE,'Data Recording'!D:D=B6),""""), ""Select Col1""))&gt;=(0.5),""1"",""0""),""-"")"),"-")</f>
        <v>-</v>
      </c>
      <c r="CD6" s="74" t="str">
        <f>IFERROR(__xludf.DUMMYFUNCTION("iferror(if(DIVIDE(countif(query(filter('Data Recording'!E:E,'Data Recording'!D:D=B6), ""Select Col1""),""Yes""),COUNTA(query(ifna(filter('Data Recording'!E:E,'Data Recording'!D:D=B6),""""), ""Select Col1"")))&gt;=(0.5),""1"",""0""),""-"")"),"-")</f>
        <v>-</v>
      </c>
    </row>
    <row r="7">
      <c r="A7" s="51" t="s">
        <v>40</v>
      </c>
      <c r="B7" s="51">
        <v>4405.0</v>
      </c>
      <c r="C7" s="52" t="str">
        <f>IFERROR(__xludf.DUMMYFUNCTION("if(countif(query(filter('Data Recording'!E:E,'Data Recording'!D:D=B7), ""Select Col1""),""Yes"")=0,""0"",countif(query(filter('Data Recording'!E:E,'Data Recording'!D:D=B7), ""Select Col1""),""Yes"")) &amp; ""/"" &amp; if(COUNTA(query(ifna(filter('Data Recording'!"&amp;"E:E,'Data Recording'!D:D=B7),""""), ""Select Col1""))=0,""0"",COUNTA(query(ifna(filter('Data Recording'!E:E,'Data Recording'!D:D=B7),""""), ""Select Col1"")))"),"8/8")</f>
        <v>8/8</v>
      </c>
      <c r="D7" s="53">
        <f>IFERROR(__xludf.DUMMYFUNCTION("iferror(SUM(query(filter('Data Recording'!F:F,'Data Recording'!D:D=B7), ""Select Col1"")),""-"")"),0.0)</f>
        <v>0</v>
      </c>
      <c r="E7" s="53">
        <f>IFERROR(__xludf.DUMMYFUNCTION("iferror(SUM(query(filter('Data Recording'!G:G,'Data Recording'!D:D=B7), ""Select Col1"")),""-"")"),0.0)</f>
        <v>0</v>
      </c>
      <c r="F7" s="54" t="str">
        <f t="shared" si="1"/>
        <v>-</v>
      </c>
      <c r="G7" s="55">
        <f>IFERROR(__xludf.DUMMYFUNCTION("iferror(AVERAGE(query(filter('Data Recording'!G:G,'Data Recording'!D:D=B7), ""Select Col1"")),""0.00"")"),0.0)</f>
        <v>0</v>
      </c>
      <c r="H7" s="53">
        <f>IFERROR(__xludf.DUMMYFUNCTION("iferror(MAX(query(filter('Data Recording'!G:G,'Data Recording'!D:D=B7), ""Select Col1"")),""-"")"),0.0)</f>
        <v>0</v>
      </c>
      <c r="I7" s="56">
        <f>IFERROR(__xludf.DUMMYFUNCTION("iferror(SUM(query(filter('Data Recording'!H:H,'Data Recording'!D:D=B7), ""Select Col1"")),""-"")"),0.0)</f>
        <v>0</v>
      </c>
      <c r="J7" s="57">
        <f>IFERROR(__xludf.DUMMYFUNCTION("iferror(SUM(query(filter('Data Recording'!I:I,'Data Recording'!D:D=B7), ""Select Col1"")),""-"")"),0.0)</f>
        <v>0</v>
      </c>
      <c r="K7" s="54" t="str">
        <f t="shared" si="2"/>
        <v>-</v>
      </c>
      <c r="L7" s="55">
        <f>IFERROR(__xludf.DUMMYFUNCTION("iferror(AVERAGE(query(filter('Data Recording'!I:I,'Data Recording'!D:D=B7), ""Select Col1"")),""0.00"")"),0.0)</f>
        <v>0</v>
      </c>
      <c r="M7" s="53">
        <f>IFERROR(__xludf.DUMMYFUNCTION("iferror(MAX(query(filter('Data Recording'!I:I,'Data Recording'!D:D=B7), ""Select Col1"")),""-"")"),0.0)</f>
        <v>0</v>
      </c>
      <c r="N7" s="58">
        <f>IFERROR(__xludf.DUMMYFUNCTION("iferror(SUM(query(filter('Data Recording'!J:J,'Data Recording'!D:D=B7), ""Select Col1"")),""-"")"),2.0)</f>
        <v>2</v>
      </c>
      <c r="O7" s="59">
        <f>IFERROR(__xludf.DUMMYFUNCTION("iferror(SUM(query(filter('Data Recording'!K:K,'Data Recording'!D:D=B7), ""Select Col1"")),""-"")"),1.0)</f>
        <v>1</v>
      </c>
      <c r="P7" s="54">
        <f t="shared" si="3"/>
        <v>0.5</v>
      </c>
      <c r="Q7" s="55">
        <f>IFERROR(__xludf.DUMMYFUNCTION("iferror(AVERAGE(query(filter('Data Recording'!K:K,'Data Recording'!D:D=B7), ""Select Col1"")),""0.00"")"),0.3333333333333333)</f>
        <v>0.3333333333</v>
      </c>
      <c r="R7" s="53">
        <f>IFERROR(__xludf.DUMMYFUNCTION("iferror(MAX(query(filter('Data Recording'!K:K,'Data Recording'!D:D=B7), ""Select Col1"")),""-"")"),1.0)</f>
        <v>1</v>
      </c>
      <c r="S7" s="58">
        <f>IFERROR(__xludf.DUMMYFUNCTION("iferror(SUM(query(filter('Data Recording'!L:L,'Data Recording'!D:D=B7), ""Select Col1"")),""-"")"),0.0)</f>
        <v>0</v>
      </c>
      <c r="T7" s="59">
        <f>IFERROR(__xludf.DUMMYFUNCTION("iferror(SUM(query(filter('Data Recording'!M:M,'Data Recording'!D:D=B7), ""Select Col1"")),""-"")"),0.0)</f>
        <v>0</v>
      </c>
      <c r="U7" s="54" t="str">
        <f t="shared" si="4"/>
        <v>-</v>
      </c>
      <c r="V7" s="55">
        <f>IFERROR(__xludf.DUMMYFUNCTION("iferror(AVERAGE(query(filter('Data Recording'!M:M,'Data Recording'!D:D=B7), ""Select Col1"")),""-"")"),0.0)</f>
        <v>0</v>
      </c>
      <c r="W7" s="52">
        <f>IFERROR(__xludf.DUMMYFUNCTION("iferror(MAX(query(filter('Data Recording'!M:M,'Data Recording'!D:D=B7), ""Select Col1"")),""-"")"),0.0)</f>
        <v>0</v>
      </c>
      <c r="X7" s="59">
        <f>IFERROR(__xludf.DUMMYFUNCTION("iferror(SUM(query(filter('Data Recording'!N:N,'Data Recording'!D:D=B7), ""Select Col1"")),""-"")"),0.0)</f>
        <v>0</v>
      </c>
      <c r="Y7" s="59">
        <f>IFERROR(__xludf.DUMMYFUNCTION("iferror(SUM(query(filter('Data Recording'!O:O,'Data Recording'!D:D=B7), ""Select Col1"")),""-"")"),0.0)</f>
        <v>0</v>
      </c>
      <c r="Z7" s="54" t="str">
        <f t="shared" si="5"/>
        <v>-</v>
      </c>
      <c r="AA7" s="55">
        <f>IFERROR(__xludf.DUMMYFUNCTION("iferror(AVERAGE(query(filter('Data Recording'!O:O,'Data Recording'!D:D=B7), ""Select Col1"")),""0.00"")"),0.0)</f>
        <v>0</v>
      </c>
      <c r="AB7" s="52">
        <f>IFERROR(__xludf.DUMMYFUNCTION("iferror(MAX(query(filter('Data Recording'!O:O,'Data Recording'!D:D=B7), ""Select Col1"")),""-"")"),0.0)</f>
        <v>0</v>
      </c>
      <c r="AC7" s="59">
        <f>IFERROR(__xludf.DUMMYFUNCTION("iferror(SUM(query(filter('Data Recording'!P:P,'Data Recording'!D:D=B7), ""Select Col1"")),""-"")"),5.0)</f>
        <v>5</v>
      </c>
      <c r="AD7" s="59">
        <f>IFERROR(__xludf.DUMMYFUNCTION("iferror(SUM(query(filter('Data Recording'!Q:Q,'Data Recording'!D:D=B7), ""Select Col1"")),""-"")"),3.0)</f>
        <v>3</v>
      </c>
      <c r="AE7" s="54">
        <f t="shared" si="6"/>
        <v>0.6</v>
      </c>
      <c r="AF7" s="55">
        <f>IFERROR(__xludf.DUMMYFUNCTION("iferror(AVERAGE(query(filter('Data Recording'!Q:Q,'Data Recording'!D:D=B7), ""Select Col1"")),""0.00"")"),0.5)</f>
        <v>0.5</v>
      </c>
      <c r="AG7" s="59">
        <f>IFERROR(__xludf.DUMMYFUNCTION("iferror(MAX(query(filter('Data Recording'!Q:Q,'Data Recording'!D:D=B7), ""Select Col1"")),""-"")"),1.0)</f>
        <v>1</v>
      </c>
      <c r="AH7" s="58" t="str">
        <f>IFERROR(__xludf.DUMMYFUNCTION("if(countif(query(filter('Data Recording'!R:R,'Data Recording'!D:D=B7), ""Select Col1""),""Yes, Engaged"")+countif(query(filter('Data Recording'!R:R,'Data Recording'!D:D=B7), ""Select Col1""),""Yes, Docked"")=0,""0"",countif(query(filter('Data Recording'!R"&amp;":R,'Data Recording'!D:D=B7), ""Select Col1""),""Yes, Engaged""))+countif(query(filter('Data Recording'!R:R,'Data Recording'!D:D=B7), ""Select Col1""),""Yes, Docked"") &amp; ""/"" &amp; if(COUNTA(query(ifna(filter('Data Recording'!R:R,'Data Recording'!D:D=B7),"""""&amp;"), ""Select Col1""))=0,""0"",COUNTA(query(ifna(filter('Data Recording'!R:R,'Data Recording'!D:D=B7),""""), ""Select Col1"")))"),"8/8")</f>
        <v>8/8</v>
      </c>
      <c r="AI7" s="60" t="str">
        <f>IFERROR(__xludf.DUMMYFUNCTION("if(countif(query(filter('Data Recording'!R:R,'Data Recording'!D:D=B7), ""Select Col1""),""Yes, Engaged"")=0,""0"",countif(query(filter('Data Recording'!R:R,'Data Recording'!D:D=B7), ""Select Col1""),""Yes, Engaged"")) &amp; ""/"" &amp; if(COUNTA(query(ifna(filter"&amp;"('Data Recording'!R:R,'Data Recording'!D:D=B7),""""), ""Select Col1""))=0,""0"",COUNTA(query(ifna(filter('Data Recording'!R:R,'Data Recording'!D:D=B7),""""), ""Select Col1"")))"),"8/8")</f>
        <v>8/8</v>
      </c>
      <c r="AJ7" s="59">
        <f>IFERROR(__xludf.DUMMYFUNCTION("iferror(SUM(query(filter('Data Recording'!S:S,'Data Recording'!D:D=B7), ""Select Col1"")),""-"")"),26.0)</f>
        <v>26</v>
      </c>
      <c r="AK7" s="59">
        <f>IFERROR(__xludf.DUMMYFUNCTION("iferror(SUM(query(filter('Data Recording'!T:T,'Data Recording'!D:D=B7), ""Select Col1"")),""-"")"),21.0)</f>
        <v>21</v>
      </c>
      <c r="AL7" s="54">
        <f t="shared" si="7"/>
        <v>0.8076923077</v>
      </c>
      <c r="AM7" s="55">
        <f>IFERROR(__xludf.DUMMYFUNCTION("iferror(AVERAGE(query(filter('Data Recording'!T:T,'Data Recording'!D:D=B7), ""Select Col1"")),""0.00"")"),2.625)</f>
        <v>2.625</v>
      </c>
      <c r="AN7" s="61">
        <f>IFERROR(__xludf.DUMMYFUNCTION("iferror(MAX(query(filter('Data Recording'!T:T,'Data Recording'!D:D=B7), ""Select Col1"")),""-"")"),4.0)</f>
        <v>4</v>
      </c>
      <c r="AO7" s="62">
        <f>IFERROR(__xludf.DUMMYFUNCTION("iferror(SUM(query(filter('Data Recording'!U:U,'Data Recording'!D:D=B7), ""Select Col1"")),""-"")"),2.0)</f>
        <v>2</v>
      </c>
      <c r="AP7" s="62">
        <f>IFERROR(__xludf.DUMMYFUNCTION("iferror(SUM(query(filter('Data Recording'!V:V,'Data Recording'!D:D=B7), ""Select Col1"")),""-"")"),3.0)</f>
        <v>3</v>
      </c>
      <c r="AQ7" s="63">
        <f t="shared" si="8"/>
        <v>1.5</v>
      </c>
      <c r="AR7" s="64">
        <f>IFERROR(__xludf.DUMMYFUNCTION("iferror(AVERAGE(query(filter('Data Recording'!V:V,'Data Recording'!D:D=B7), ""Select Col1"")),""0.00"")"),1.0)</f>
        <v>1</v>
      </c>
      <c r="AS7" s="65">
        <f>IFERROR(__xludf.DUMMYFUNCTION("iferror(MAX(query(filter('Data Recording'!V:V,'Data Recording'!D:D=B7), ""Select Col1"")),""-"")"),2.0)</f>
        <v>2</v>
      </c>
      <c r="AT7" s="62">
        <f>IFERROR(__xludf.DUMMYFUNCTION("iferror(SUM(query(filter('Data Recording'!W:W,'Data Recording'!D:D=B7), ""Select Col1"")),""-"")"),0.0)</f>
        <v>0</v>
      </c>
      <c r="AU7" s="62">
        <f>IFERROR(__xludf.DUMMYFUNCTION("iferror(SUM(query(filter('Data Recording'!X:X,'Data Recording'!D:D=B7), ""Select Col1"")),""-"")"),0.0)</f>
        <v>0</v>
      </c>
      <c r="AV7" s="63" t="str">
        <f t="shared" si="9"/>
        <v>-</v>
      </c>
      <c r="AW7" s="64">
        <f>IFERROR(__xludf.DUMMYFUNCTION("iferror(AVERAGE(query(filter('Data Recording'!X:X,'Data Recording'!D:D=B7), ""Select Col1"")),""0.00"")"),0.0)</f>
        <v>0</v>
      </c>
      <c r="AX7" s="65">
        <f>IFERROR(__xludf.DUMMYFUNCTION("iferror(MAX(query(filter('Data Recording'!X:X,'Data Recording'!D:D=B7), ""Select Col1"")),""-"")"),0.0)</f>
        <v>0</v>
      </c>
      <c r="AY7" s="62">
        <f>IFERROR(__xludf.DUMMYFUNCTION("iferror(SUM(query(filter('Data Recording'!Y:Y,'Data Recording'!D:D=B7), ""Select Col1"")),""-"")"),5.0)</f>
        <v>5</v>
      </c>
      <c r="AZ7" s="62">
        <f>IFERROR(__xludf.DUMMYFUNCTION("iferror(SUM(query(filter('Data Recording'!Z:Z,'Data Recording'!D:D=B7), ""Select Col1"")),""-"")"),4.0)</f>
        <v>4</v>
      </c>
      <c r="BA7" s="63">
        <f t="shared" si="10"/>
        <v>0.8</v>
      </c>
      <c r="BB7" s="64">
        <f>IFERROR(__xludf.DUMMYFUNCTION("iferror(AVERAGE(query(filter('Data Recording'!Z:Z,'Data Recording'!D:D=B7), ""Select Col1"")),""0.00"")"),1.0)</f>
        <v>1</v>
      </c>
      <c r="BC7" s="65">
        <f>IFERROR(__xludf.DUMMYFUNCTION("iferror(MAX(query(filter('Data Recording'!Z:Z,'Data Recording'!D:D=B7), ""Select Col1"")),""-"")"),1.0)</f>
        <v>1</v>
      </c>
      <c r="BD7" s="62">
        <f>IFERROR(__xludf.DUMMYFUNCTION("iferror(SUM(query(filter('Data Recording'!AA:AA,'Data Recording'!D:D=B7), ""Select Col1"")),""-"")"),1.0)</f>
        <v>1</v>
      </c>
      <c r="BE7" s="62">
        <f>IFERROR(__xludf.DUMMYFUNCTION("iferror(SUM(query(filter('Data Recording'!AB:AB,'Data Recording'!D:D=B7), ""Select Col1"")),""-"")"),1.0)</f>
        <v>1</v>
      </c>
      <c r="BF7" s="63">
        <f t="shared" si="11"/>
        <v>1</v>
      </c>
      <c r="BG7" s="64">
        <f>IFERROR(__xludf.DUMMYFUNCTION("iferror(AVERAGE(query(filter('Data Recording'!AB:AB,'Data Recording'!D:D=B7), ""Select Col1"")),""0.00"")"),0.5)</f>
        <v>0.5</v>
      </c>
      <c r="BH7" s="65">
        <f>IFERROR(__xludf.DUMMYFUNCTION("iferror(MAX(query(filter('Data Recording'!AB:AB,'Data Recording'!D:D=B7), ""Select Col1"")),""-"")"),1.0)</f>
        <v>1</v>
      </c>
      <c r="BI7" s="62">
        <f>IFERROR(__xludf.DUMMYFUNCTION("iferror(SUM(query(filter('Data Recording'!AC:AC,'Data Recording'!D:D=B7), ""Select Col1"")),""-"")"),1.0)</f>
        <v>1</v>
      </c>
      <c r="BJ7" s="62">
        <f>IFERROR(__xludf.DUMMYFUNCTION("iferror(SUM(query(filter('Data Recording'!AD:AD,'Data Recording'!D:D=B7), ""Select Col1"")),""-"")"),1.0)</f>
        <v>1</v>
      </c>
      <c r="BK7" s="63">
        <f t="shared" si="12"/>
        <v>1</v>
      </c>
      <c r="BL7" s="64">
        <f>IFERROR(__xludf.DUMMYFUNCTION("iferror(AVERAGE(query(filter('Data Recording'!AD:AD,'Data Recording'!D:D=B7), ""Select Col1"")),""0.00"")"),0.5)</f>
        <v>0.5</v>
      </c>
      <c r="BM7" s="65">
        <f>IFERROR(__xludf.DUMMYFUNCTION("iferror(MAX(query(filter('Data Recording'!AD:AD,'Data Recording'!D:D=B7), ""Select Col1"")),""-"")"),1.0)</f>
        <v>1</v>
      </c>
      <c r="BN7" s="66" t="str">
        <f>IFERROR(__xludf.DUMMYFUNCTION("if(countif(query(filter('Data Recording'!AE:AE,'Data Recording'!D:D=B7), ""Select Col1""),""Yes, Engaged"")+countif(query(filter('Data Recording'!AE:AE,'Data Recording'!D:D=B7), ""Select Col1""),""Yes, Docked"")=0,""0"",countif(query(filter('Data Recordin"&amp;"g'!AE:AE,'Data Recording'!D:D=B7), ""Select Col1""),""Yes, Engaged""))+countif(query(filter('Data Recording'!AE:AE,'Data Recording'!D:D=B7), ""Select Col1""),""Yes, Docked"") &amp; ""/"" &amp; if(COUNTA(query(ifna(filter('Data Recording'!AE:AE,'Data Recording'!D:"&amp;"D=B7),""""), ""Select Col1""))=0,""0"",COUNTA(query(ifna(filter('Data Recording'!AE:AE,'Data Recording'!D:D=B7),""""), ""Select Col1"")))"),"8/8")</f>
        <v>8/8</v>
      </c>
      <c r="BO7" s="67" t="str">
        <f>IFERROR(__xludf.DUMMYFUNCTION("if(countif(query(filter('Data Recording'!AE:AE,'Data Recording'!D:D=B7), ""Select Col1""),""Yes, Engaged"")=0,""0"",countif(query(filter('Data Recording'!AE:AE,'Data Recording'!D:D=B7), ""Select Col1""),""Yes, Engaged"")) &amp; ""/"" &amp; if(COUNTA(query(ifna(fi"&amp;"lter('Data Recording'!AE:AE,'Data Recording'!D:D=B7),""""), ""Select Col1""))=0,""0"",COUNTA(query(ifna(filter('Data Recording'!AE:AE,'Data Recording'!D:D=B7),""""), ""Select Col1"")))"),"8/8")</f>
        <v>8/8</v>
      </c>
      <c r="BP7" s="60" t="str">
        <f>IFERROR(__xludf.DUMMYFUNCTION("if(countif(query(filter('Data Recording'!AH:AH,'Data Recording'!D:D=B7), ""Select Col1""),""Yes"")=0,""0"",countif(query(filter('Data Recording'!AH:AH,'Data Recording'!D:D=B7), ""Select Col1""),""Yes"")) &amp; ""/"" &amp; if(COUNTA(query(ifna(filter('Data Recordi"&amp;"ng'!AH:AH,'Data Recording'!D:D=B7),""""), ""Select Col1""))=0,""0"",COUNTA(query(ifna(filter('Data Recording'!AH:AH,'Data Recording'!D:D=B7),""""), ""Select Col1"")))"),"0/8")</f>
        <v>0/8</v>
      </c>
      <c r="BQ7" s="68">
        <v>0.0</v>
      </c>
      <c r="BR7" s="55">
        <f>IFERROR(__xludf.DUMMYFUNCTION("iferror(average(query(filter('Data Recording'!AF:AF,'Data Recording'!D:D=B7), ""Select Col1"")),""-"")"),3.25)</f>
        <v>3.25</v>
      </c>
      <c r="BS7" s="69">
        <f>IFERROR(__xludf.DUMMYFUNCTION("iferror(average(query(filter('Data Recording'!AG:AG,'Data Recording'!D:D=B7), ""Select Col1"")),""-"")"),0.25)</f>
        <v>0.25</v>
      </c>
      <c r="BT7" s="70">
        <f t="shared" si="13"/>
        <v>51.125</v>
      </c>
      <c r="BU7" s="70">
        <f>IFERROR(__xludf.DUMMYFUNCTION("iferror(AVERAGE(query(filter('Data Recording'!AJ:AJ,'Data Recording'!D:D=B7), ""Select Col1"")),""-"")"),43.875)</f>
        <v>43.875</v>
      </c>
      <c r="BV7" s="70">
        <f>IFERROR(__xludf.DUMMYFUNCTION("iferror(AVERAGE(query(filter('Data Recording'!AK:AK,'Data Recording'!D:D=B7), ""Select Col1"")),""-"")"),18.875)</f>
        <v>18.875</v>
      </c>
      <c r="BW7" s="70">
        <f t="shared" si="14"/>
        <v>26.125</v>
      </c>
      <c r="BX7" s="71">
        <f>IFERROR(__xludf.DUMMYFUNCTION("iferror(max(query(filter('Data Recording'!AJ:AJ,'Data Recording'!D:D=B7), ""Select Col1"")),""-"")"),51.0)</f>
        <v>51</v>
      </c>
      <c r="BY7" s="72">
        <f>IFERROR(__xludf.DUMMYFUNCTION("iferror(MIN(query(filter('Data Recording'!AJ:AJ,'Data Recording'!D:D=B7), ""Select Col1"")),""-"")"),40.0)</f>
        <v>40</v>
      </c>
      <c r="BZ7" s="73" t="str">
        <f>IFERROR(__xludf.DUMMYFUNCTION("iferror(if(DIVIDE(COUNTIF(query(filter('Data Recording'!R:R,'Data Recording'!D:D=B7), ""Select Col1""),""Yes, Docked"") + countif(query(filter('Data Recording'!R:R,'Data Recording'!D:D=B7), ""Select Col1""),""Yes, Engaged""),COUNTA(query(ifna(filter('Data"&amp;" Recording'!R:R,'Data Recording'!D:D=B7),""""), ""Select Col1"")))&gt;=(0.5),""1"",""0""),""-"")"),"1")</f>
        <v>1</v>
      </c>
      <c r="CA7" s="59" t="str">
        <f>IFERROR(__xludf.DUMMYFUNCTION("iferror(if(countif(query(filter('Data Recording'!R:R,'Data Recording'!D:D=B7), ""Select Col1""),""Yes, Engaged"")/COUNTA(query(ifna(filter('Data Recording'!R:R,'Data Recording'!D:D=B7),""""), ""Select Col1""))&gt;=(0.5),""1"",""0""),""-"")"),"1")</f>
        <v>1</v>
      </c>
      <c r="CB7" s="74" t="str">
        <f>IFERROR(__xludf.DUMMYFUNCTION("iferror(if(DIVIDE(COUNTIF(query(filter('Data Recording'!AE:AE,'Data Recording'!D:D=B7), ""Select Col1""),""Yes, Docked"") + countif(query(filter('Data Recording'!AE:AE,'Data Recording'!D:D=B7), ""Select Col1""),""Yes, Engaged""),COUNTA(query(ifna(filter('"&amp;"Data Recording'!AE:AE,'Data Recording'!D:D=B7),""""), ""Select Col1"")))&gt;=(0.5),""1"",""0""),""-"")"),"1")</f>
        <v>1</v>
      </c>
      <c r="CC7" s="59" t="str">
        <f>IFERROR(__xludf.DUMMYFUNCTION("iferror(if(countif(query(filter('Data Recording'!AE:AE,'Data Recording'!D:D=B7), ""Select Col1""),""Yes, Engaged"")/COUNTA(query(ifna(filter('Data Recording'!AE:AE,'Data Recording'!D:D=B7),""""), ""Select Col1""))&gt;=(0.5),""1"",""0""),""-"")"),"1")</f>
        <v>1</v>
      </c>
      <c r="CD7" s="74" t="str">
        <f>IFERROR(__xludf.DUMMYFUNCTION("iferror(if(DIVIDE(countif(query(filter('Data Recording'!E:E,'Data Recording'!D:D=B7), ""Select Col1""),""Yes""),COUNTA(query(ifna(filter('Data Recording'!E:E,'Data Recording'!D:D=B7),""""), ""Select Col1"")))&gt;=(0.5),""1"",""0""),""-"")"),"1")</f>
        <v>1</v>
      </c>
    </row>
    <row r="8">
      <c r="A8" s="51" t="s">
        <v>41</v>
      </c>
      <c r="B8" s="51">
        <v>5050.0</v>
      </c>
      <c r="C8" s="52" t="str">
        <f>IFERROR(__xludf.DUMMYFUNCTION("if(countif(query(filter('Data Recording'!E:E,'Data Recording'!D:D=B8), ""Select Col1""),""Yes"")=0,""0"",countif(query(filter('Data Recording'!E:E,'Data Recording'!D:D=B8), ""Select Col1""),""Yes"")) &amp; ""/"" &amp; if(COUNTA(query(ifna(filter('Data Recording'!"&amp;"E:E,'Data Recording'!D:D=B8),""""), ""Select Col1""))=0,""0"",COUNTA(query(ifna(filter('Data Recording'!E:E,'Data Recording'!D:D=B8),""""), ""Select Col1"")))"),"20/20")</f>
        <v>20/20</v>
      </c>
      <c r="D8" s="53">
        <f>IFERROR(__xludf.DUMMYFUNCTION("iferror(SUM(query(filter('Data Recording'!F:F,'Data Recording'!D:D=B8), ""Select Col1"")),""-"")"),20.0)</f>
        <v>20</v>
      </c>
      <c r="E8" s="53">
        <f>IFERROR(__xludf.DUMMYFUNCTION("iferror(SUM(query(filter('Data Recording'!G:G,'Data Recording'!D:D=B8), ""Select Col1"")),""-"")"),20.0)</f>
        <v>20</v>
      </c>
      <c r="F8" s="54">
        <f t="shared" si="1"/>
        <v>1</v>
      </c>
      <c r="G8" s="55">
        <f>IFERROR(__xludf.DUMMYFUNCTION("iferror(AVERAGE(query(filter('Data Recording'!G:G,'Data Recording'!D:D=B8), ""Select Col1"")),""0.00"")"),1.0)</f>
        <v>1</v>
      </c>
      <c r="H8" s="53">
        <f>IFERROR(__xludf.DUMMYFUNCTION("iferror(MAX(query(filter('Data Recording'!G:G,'Data Recording'!D:D=B8), ""Select Col1"")),""-"")"),1.0)</f>
        <v>1</v>
      </c>
      <c r="I8" s="56">
        <f>IFERROR(__xludf.DUMMYFUNCTION("iferror(SUM(query(filter('Data Recording'!H:H,'Data Recording'!D:D=B8), ""Select Col1"")),""-"")"),0.0)</f>
        <v>0</v>
      </c>
      <c r="J8" s="57">
        <f>IFERROR(__xludf.DUMMYFUNCTION("iferror(SUM(query(filter('Data Recording'!I:I,'Data Recording'!D:D=B8), ""Select Col1"")),""-"")"),0.0)</f>
        <v>0</v>
      </c>
      <c r="K8" s="54" t="str">
        <f t="shared" si="2"/>
        <v>-</v>
      </c>
      <c r="L8" s="55" t="str">
        <f>IFERROR(__xludf.DUMMYFUNCTION("iferror(AVERAGE(query(filter('Data Recording'!I:I,'Data Recording'!D:D=B8), ""Select Col1"")),""0.00"")"),"0.00")</f>
        <v>0.00</v>
      </c>
      <c r="M8" s="53">
        <f>IFERROR(__xludf.DUMMYFUNCTION("iferror(MAX(query(filter('Data Recording'!I:I,'Data Recording'!D:D=B8), ""Select Col1"")),""-"")"),0.0)</f>
        <v>0</v>
      </c>
      <c r="N8" s="58">
        <f>IFERROR(__xludf.DUMMYFUNCTION("iferror(SUM(query(filter('Data Recording'!J:J,'Data Recording'!D:D=B8), ""Select Col1"")),""-"")"),0.0)</f>
        <v>0</v>
      </c>
      <c r="O8" s="59">
        <f>IFERROR(__xludf.DUMMYFUNCTION("iferror(SUM(query(filter('Data Recording'!K:K,'Data Recording'!D:D=B8), ""Select Col1"")),""-"")"),0.0)</f>
        <v>0</v>
      </c>
      <c r="P8" s="54" t="str">
        <f t="shared" si="3"/>
        <v>-</v>
      </c>
      <c r="Q8" s="55" t="str">
        <f>IFERROR(__xludf.DUMMYFUNCTION("iferror(AVERAGE(query(filter('Data Recording'!K:K,'Data Recording'!D:D=B8), ""Select Col1"")),""0.00"")"),"0.00")</f>
        <v>0.00</v>
      </c>
      <c r="R8" s="53">
        <f>IFERROR(__xludf.DUMMYFUNCTION("iferror(MAX(query(filter('Data Recording'!K:K,'Data Recording'!D:D=B8), ""Select Col1"")),""-"")"),0.0)</f>
        <v>0</v>
      </c>
      <c r="S8" s="58">
        <f>IFERROR(__xludf.DUMMYFUNCTION("iferror(SUM(query(filter('Data Recording'!L:L,'Data Recording'!D:D=B8), ""Select Col1"")),""-"")"),0.0)</f>
        <v>0</v>
      </c>
      <c r="T8" s="59">
        <f>IFERROR(__xludf.DUMMYFUNCTION("iferror(SUM(query(filter('Data Recording'!M:M,'Data Recording'!D:D=B8), ""Select Col1"")),""-"")"),0.0)</f>
        <v>0</v>
      </c>
      <c r="U8" s="54" t="str">
        <f t="shared" si="4"/>
        <v>-</v>
      </c>
      <c r="V8" s="55" t="str">
        <f>IFERROR(__xludf.DUMMYFUNCTION("iferror(AVERAGE(query(filter('Data Recording'!M:M,'Data Recording'!D:D=B8), ""Select Col1"")),""-"")"),"-")</f>
        <v>-</v>
      </c>
      <c r="W8" s="52">
        <f>IFERROR(__xludf.DUMMYFUNCTION("iferror(MAX(query(filter('Data Recording'!M:M,'Data Recording'!D:D=B8), ""Select Col1"")),""-"")"),0.0)</f>
        <v>0</v>
      </c>
      <c r="X8" s="59">
        <f>IFERROR(__xludf.DUMMYFUNCTION("iferror(SUM(query(filter('Data Recording'!N:N,'Data Recording'!D:D=B8), ""Select Col1"")),""-"")"),0.0)</f>
        <v>0</v>
      </c>
      <c r="Y8" s="59">
        <f>IFERROR(__xludf.DUMMYFUNCTION("iferror(SUM(query(filter('Data Recording'!O:O,'Data Recording'!D:D=B8), ""Select Col1"")),""-"")"),0.0)</f>
        <v>0</v>
      </c>
      <c r="Z8" s="54" t="str">
        <f t="shared" si="5"/>
        <v>-</v>
      </c>
      <c r="AA8" s="55" t="str">
        <f>IFERROR(__xludf.DUMMYFUNCTION("iferror(AVERAGE(query(filter('Data Recording'!O:O,'Data Recording'!D:D=B8), ""Select Col1"")),""0.00"")"),"0.00")</f>
        <v>0.00</v>
      </c>
      <c r="AB8" s="52">
        <f>IFERROR(__xludf.DUMMYFUNCTION("iferror(MAX(query(filter('Data Recording'!O:O,'Data Recording'!D:D=B8), ""Select Col1"")),""-"")"),0.0)</f>
        <v>0</v>
      </c>
      <c r="AC8" s="59">
        <f>IFERROR(__xludf.DUMMYFUNCTION("iferror(SUM(query(filter('Data Recording'!P:P,'Data Recording'!D:D=B8), ""Select Col1"")),""-"")"),0.0)</f>
        <v>0</v>
      </c>
      <c r="AD8" s="59">
        <f>IFERROR(__xludf.DUMMYFUNCTION("iferror(SUM(query(filter('Data Recording'!Q:Q,'Data Recording'!D:D=B8), ""Select Col1"")),""-"")"),0.0)</f>
        <v>0</v>
      </c>
      <c r="AE8" s="54" t="str">
        <f t="shared" si="6"/>
        <v>-</v>
      </c>
      <c r="AF8" s="55" t="str">
        <f>IFERROR(__xludf.DUMMYFUNCTION("iferror(AVERAGE(query(filter('Data Recording'!Q:Q,'Data Recording'!D:D=B8), ""Select Col1"")),""0.00"")"),"0.00")</f>
        <v>0.00</v>
      </c>
      <c r="AG8" s="59">
        <f>IFERROR(__xludf.DUMMYFUNCTION("iferror(MAX(query(filter('Data Recording'!Q:Q,'Data Recording'!D:D=B8), ""Select Col1"")),""-"")"),0.0)</f>
        <v>0</v>
      </c>
      <c r="AH8" s="58" t="str">
        <f>IFERROR(__xludf.DUMMYFUNCTION("if(countif(query(filter('Data Recording'!R:R,'Data Recording'!D:D=B8), ""Select Col1""),""Yes, Engaged"")+countif(query(filter('Data Recording'!R:R,'Data Recording'!D:D=B8), ""Select Col1""),""Yes, Docked"")=0,""0"",countif(query(filter('Data Recording'!R"&amp;":R,'Data Recording'!D:D=B8), ""Select Col1""),""Yes, Engaged""))+countif(query(filter('Data Recording'!R:R,'Data Recording'!D:D=B8), ""Select Col1""),""Yes, Docked"") &amp; ""/"" &amp; if(COUNTA(query(ifna(filter('Data Recording'!R:R,'Data Recording'!D:D=B8),"""""&amp;"), ""Select Col1""))=0,""0"",COUNTA(query(ifna(filter('Data Recording'!R:R,'Data Recording'!D:D=B8),""""), ""Select Col1"")))"),"11/20")</f>
        <v>11/20</v>
      </c>
      <c r="AI8" s="60" t="str">
        <f>IFERROR(__xludf.DUMMYFUNCTION("if(countif(query(filter('Data Recording'!R:R,'Data Recording'!D:D=B8), ""Select Col1""),""Yes, Engaged"")=0,""0"",countif(query(filter('Data Recording'!R:R,'Data Recording'!D:D=B8), ""Select Col1""),""Yes, Engaged"")) &amp; ""/"" &amp; if(COUNTA(query(ifna(filter"&amp;"('Data Recording'!R:R,'Data Recording'!D:D=B8),""""), ""Select Col1""))=0,""0"",COUNTA(query(ifna(filter('Data Recording'!R:R,'Data Recording'!D:D=B8),""""), ""Select Col1"")))"),"11/20")</f>
        <v>11/20</v>
      </c>
      <c r="AJ8" s="59">
        <f>IFERROR(__xludf.DUMMYFUNCTION("iferror(SUM(query(filter('Data Recording'!S:S,'Data Recording'!D:D=B8), ""Select Col1"")),""-"")"),50.0)</f>
        <v>50</v>
      </c>
      <c r="AK8" s="59">
        <f>IFERROR(__xludf.DUMMYFUNCTION("iferror(SUM(query(filter('Data Recording'!T:T,'Data Recording'!D:D=B8), ""Select Col1"")),""-"")"),49.0)</f>
        <v>49</v>
      </c>
      <c r="AL8" s="54">
        <f t="shared" si="7"/>
        <v>0.98</v>
      </c>
      <c r="AM8" s="55">
        <f>IFERROR(__xludf.DUMMYFUNCTION("iferror(AVERAGE(query(filter('Data Recording'!T:T,'Data Recording'!D:D=B8), ""Select Col1"")),""0.00"")"),2.5789473684210527)</f>
        <v>2.578947368</v>
      </c>
      <c r="AN8" s="61">
        <f>IFERROR(__xludf.DUMMYFUNCTION("iferror(MAX(query(filter('Data Recording'!T:T,'Data Recording'!D:D=B8), ""Select Col1"")),""-"")"),4.0)</f>
        <v>4</v>
      </c>
      <c r="AO8" s="62">
        <f>IFERROR(__xludf.DUMMYFUNCTION("iferror(SUM(query(filter('Data Recording'!U:U,'Data Recording'!D:D=B8), ""Select Col1"")),""-"")"),8.0)</f>
        <v>8</v>
      </c>
      <c r="AP8" s="62">
        <f>IFERROR(__xludf.DUMMYFUNCTION("iferror(SUM(query(filter('Data Recording'!V:V,'Data Recording'!D:D=B8), ""Select Col1"")),""-"")"),8.0)</f>
        <v>8</v>
      </c>
      <c r="AQ8" s="63">
        <f t="shared" si="8"/>
        <v>1</v>
      </c>
      <c r="AR8" s="64">
        <f>IFERROR(__xludf.DUMMYFUNCTION("iferror(AVERAGE(query(filter('Data Recording'!V:V,'Data Recording'!D:D=B8), ""Select Col1"")),""0.00"")"),1.6)</f>
        <v>1.6</v>
      </c>
      <c r="AS8" s="65">
        <f>IFERROR(__xludf.DUMMYFUNCTION("iferror(MAX(query(filter('Data Recording'!V:V,'Data Recording'!D:D=B8), ""Select Col1"")),""-"")"),2.0)</f>
        <v>2</v>
      </c>
      <c r="AT8" s="62">
        <f>IFERROR(__xludf.DUMMYFUNCTION("iferror(SUM(query(filter('Data Recording'!W:W,'Data Recording'!D:D=B8), ""Select Col1"")),""-"")"),0.0)</f>
        <v>0</v>
      </c>
      <c r="AU8" s="62">
        <f>IFERROR(__xludf.DUMMYFUNCTION("iferror(SUM(query(filter('Data Recording'!X:X,'Data Recording'!D:D=B8), ""Select Col1"")),""-"")"),0.0)</f>
        <v>0</v>
      </c>
      <c r="AV8" s="63" t="str">
        <f t="shared" si="9"/>
        <v>-</v>
      </c>
      <c r="AW8" s="64" t="str">
        <f>IFERROR(__xludf.DUMMYFUNCTION("iferror(AVERAGE(query(filter('Data Recording'!X:X,'Data Recording'!D:D=B8), ""Select Col1"")),""0.00"")"),"0.00")</f>
        <v>0.00</v>
      </c>
      <c r="AX8" s="65">
        <f>IFERROR(__xludf.DUMMYFUNCTION("iferror(MAX(query(filter('Data Recording'!X:X,'Data Recording'!D:D=B8), ""Select Col1"")),""-"")"),0.0)</f>
        <v>0</v>
      </c>
      <c r="AY8" s="62">
        <f>IFERROR(__xludf.DUMMYFUNCTION("iferror(SUM(query(filter('Data Recording'!Y:Y,'Data Recording'!D:D=B8), ""Select Col1"")),""-"")"),19.0)</f>
        <v>19</v>
      </c>
      <c r="AZ8" s="62">
        <f>IFERROR(__xludf.DUMMYFUNCTION("iferror(SUM(query(filter('Data Recording'!Z:Z,'Data Recording'!D:D=B8), ""Select Col1"")),""-"")"),14.0)</f>
        <v>14</v>
      </c>
      <c r="BA8" s="63">
        <f t="shared" si="10"/>
        <v>0.7368421053</v>
      </c>
      <c r="BB8" s="64">
        <f>IFERROR(__xludf.DUMMYFUNCTION("iferror(AVERAGE(query(filter('Data Recording'!Z:Z,'Data Recording'!D:D=B8), ""Select Col1"")),""0.00"")"),1.4)</f>
        <v>1.4</v>
      </c>
      <c r="BC8" s="65">
        <f>IFERROR(__xludf.DUMMYFUNCTION("iferror(MAX(query(filter('Data Recording'!Z:Z,'Data Recording'!D:D=B8), ""Select Col1"")),""-"")"),2.0)</f>
        <v>2</v>
      </c>
      <c r="BD8" s="62">
        <f>IFERROR(__xludf.DUMMYFUNCTION("iferror(SUM(query(filter('Data Recording'!AA:AA,'Data Recording'!D:D=B8), ""Select Col1"")),""-"")"),8.0)</f>
        <v>8</v>
      </c>
      <c r="BE8" s="62">
        <f>IFERROR(__xludf.DUMMYFUNCTION("iferror(SUM(query(filter('Data Recording'!AB:AB,'Data Recording'!D:D=B8), ""Select Col1"")),""-"")"),7.0)</f>
        <v>7</v>
      </c>
      <c r="BF8" s="63">
        <f t="shared" si="11"/>
        <v>0.875</v>
      </c>
      <c r="BG8" s="64">
        <f>IFERROR(__xludf.DUMMYFUNCTION("iferror(AVERAGE(query(filter('Data Recording'!AB:AB,'Data Recording'!D:D=B8), ""Select Col1"")),""0.00"")"),1.0)</f>
        <v>1</v>
      </c>
      <c r="BH8" s="65">
        <f>IFERROR(__xludf.DUMMYFUNCTION("iferror(MAX(query(filter('Data Recording'!AB:AB,'Data Recording'!D:D=B8), ""Select Col1"")),""-"")"),2.0)</f>
        <v>2</v>
      </c>
      <c r="BI8" s="62">
        <f>IFERROR(__xludf.DUMMYFUNCTION("iferror(SUM(query(filter('Data Recording'!AC:AC,'Data Recording'!D:D=B8), ""Select Col1"")),""-"")"),4.0)</f>
        <v>4</v>
      </c>
      <c r="BJ8" s="62">
        <f>IFERROR(__xludf.DUMMYFUNCTION("iferror(SUM(query(filter('Data Recording'!AD:AD,'Data Recording'!D:D=B8), ""Select Col1"")),""-"")"),4.0)</f>
        <v>4</v>
      </c>
      <c r="BK8" s="63">
        <f t="shared" si="12"/>
        <v>1</v>
      </c>
      <c r="BL8" s="64">
        <f>IFERROR(__xludf.DUMMYFUNCTION("iferror(AVERAGE(query(filter('Data Recording'!AD:AD,'Data Recording'!D:D=B8), ""Select Col1"")),""0.00"")"),1.3333333333333333)</f>
        <v>1.333333333</v>
      </c>
      <c r="BM8" s="65">
        <f>IFERROR(__xludf.DUMMYFUNCTION("iferror(MAX(query(filter('Data Recording'!AD:AD,'Data Recording'!D:D=B8), ""Select Col1"")),""-"")"),2.0)</f>
        <v>2</v>
      </c>
      <c r="BN8" s="66" t="str">
        <f>IFERROR(__xludf.DUMMYFUNCTION("if(countif(query(filter('Data Recording'!AE:AE,'Data Recording'!D:D=B8), ""Select Col1""),""Yes, Engaged"")+countif(query(filter('Data Recording'!AE:AE,'Data Recording'!D:D=B8), ""Select Col1""),""Yes, Docked"")=0,""0"",countif(query(filter('Data Recordin"&amp;"g'!AE:AE,'Data Recording'!D:D=B8), ""Select Col1""),""Yes, Engaged""))+countif(query(filter('Data Recording'!AE:AE,'Data Recording'!D:D=B8), ""Select Col1""),""Yes, Docked"") &amp; ""/"" &amp; if(COUNTA(query(ifna(filter('Data Recording'!AE:AE,'Data Recording'!D:"&amp;"D=B8),""""), ""Select Col1""))=0,""0"",COUNTA(query(ifna(filter('Data Recording'!AE:AE,'Data Recording'!D:D=B8),""""), ""Select Col1"")))"),"15/20")</f>
        <v>15/20</v>
      </c>
      <c r="BO8" s="67" t="str">
        <f>IFERROR(__xludf.DUMMYFUNCTION("if(countif(query(filter('Data Recording'!AE:AE,'Data Recording'!D:D=B8), ""Select Col1""),""Yes, Engaged"")=0,""0"",countif(query(filter('Data Recording'!AE:AE,'Data Recording'!D:D=B8), ""Select Col1""),""Yes, Engaged"")) &amp; ""/"" &amp; if(COUNTA(query(ifna(fi"&amp;"lter('Data Recording'!AE:AE,'Data Recording'!D:D=B8),""""), ""Select Col1""))=0,""0"",COUNTA(query(ifna(filter('Data Recording'!AE:AE,'Data Recording'!D:D=B8),""""), ""Select Col1"")))"),"13/20")</f>
        <v>13/20</v>
      </c>
      <c r="BP8" s="60" t="str">
        <f>IFERROR(__xludf.DUMMYFUNCTION("if(countif(query(filter('Data Recording'!AH:AH,'Data Recording'!D:D=B8), ""Select Col1""),""Yes"")=0,""0"",countif(query(filter('Data Recording'!AH:AH,'Data Recording'!D:D=B8), ""Select Col1""),""Yes"")) &amp; ""/"" &amp; if(COUNTA(query(ifna(filter('Data Recordi"&amp;"ng'!AH:AH,'Data Recording'!D:D=B8),""""), ""Select Col1""))=0,""0"",COUNTA(query(ifna(filter('Data Recording'!AH:AH,'Data Recording'!D:D=B8),""""), ""Select Col1"")))"),"2/20")</f>
        <v>2/20</v>
      </c>
      <c r="BQ8" s="68">
        <v>0.1</v>
      </c>
      <c r="BR8" s="55">
        <f>IFERROR(__xludf.DUMMYFUNCTION("iferror(average(query(filter('Data Recording'!AF:AF,'Data Recording'!D:D=B8), ""Select Col1"")),""-"")"),3.75)</f>
        <v>3.75</v>
      </c>
      <c r="BS8" s="69">
        <f>IFERROR(__xludf.DUMMYFUNCTION("iferror(average(query(filter('Data Recording'!AG:AG,'Data Recording'!D:D=B8), ""Select Col1"")),""-"")"),0.0)</f>
        <v>0</v>
      </c>
      <c r="BT8" s="70">
        <f t="shared" si="13"/>
        <v>61.36140351</v>
      </c>
      <c r="BU8" s="70">
        <f>IFERROR(__xludf.DUMMYFUNCTION("iferror(AVERAGE(query(filter('Data Recording'!AJ:AJ,'Data Recording'!D:D=B8), ""Select Col1"")),""-"")"),41.55)</f>
        <v>41.55</v>
      </c>
      <c r="BV8" s="70">
        <f>IFERROR(__xludf.DUMMYFUNCTION("iferror(AVERAGE(query(filter('Data Recording'!AK:AK,'Data Recording'!D:D=B8), ""Select Col1"")),""-"")"),24.4)</f>
        <v>24.4</v>
      </c>
      <c r="BW8" s="70">
        <f t="shared" si="14"/>
        <v>36.36140351</v>
      </c>
      <c r="BX8" s="71">
        <f>IFERROR(__xludf.DUMMYFUNCTION("iferror(max(query(filter('Data Recording'!AJ:AJ,'Data Recording'!D:D=B8), ""Select Col1"")),""-"")"),59.0)</f>
        <v>59</v>
      </c>
      <c r="BY8" s="72">
        <f>IFERROR(__xludf.DUMMYFUNCTION("iferror(MIN(query(filter('Data Recording'!AJ:AJ,'Data Recording'!D:D=B8), ""Select Col1"")),""-"")"),9.0)</f>
        <v>9</v>
      </c>
      <c r="BZ8" s="73" t="str">
        <f>IFERROR(__xludf.DUMMYFUNCTION("iferror(if(DIVIDE(COUNTIF(query(filter('Data Recording'!R:R,'Data Recording'!D:D=B8), ""Select Col1""),""Yes, Docked"") + countif(query(filter('Data Recording'!R:R,'Data Recording'!D:D=B8), ""Select Col1""),""Yes, Engaged""),COUNTA(query(ifna(filter('Data"&amp;" Recording'!R:R,'Data Recording'!D:D=B8),""""), ""Select Col1"")))&gt;=(0.5),""1"",""0""),""-"")"),"1")</f>
        <v>1</v>
      </c>
      <c r="CA8" s="59" t="str">
        <f>IFERROR(__xludf.DUMMYFUNCTION("iferror(if(countif(query(filter('Data Recording'!R:R,'Data Recording'!D:D=B8), ""Select Col1""),""Yes, Engaged"")/COUNTA(query(ifna(filter('Data Recording'!R:R,'Data Recording'!D:D=B8),""""), ""Select Col1""))&gt;=(0.5),""1"",""0""),""-"")"),"1")</f>
        <v>1</v>
      </c>
      <c r="CB8" s="74" t="str">
        <f>IFERROR(__xludf.DUMMYFUNCTION("iferror(if(DIVIDE(COUNTIF(query(filter('Data Recording'!AE:AE,'Data Recording'!D:D=B8), ""Select Col1""),""Yes, Docked"") + countif(query(filter('Data Recording'!AE:AE,'Data Recording'!D:D=B8), ""Select Col1""),""Yes, Engaged""),COUNTA(query(ifna(filter('"&amp;"Data Recording'!AE:AE,'Data Recording'!D:D=B8),""""), ""Select Col1"")))&gt;=(0.5),""1"",""0""),""-"")"),"1")</f>
        <v>1</v>
      </c>
      <c r="CC8" s="59" t="str">
        <f>IFERROR(__xludf.DUMMYFUNCTION("iferror(if(countif(query(filter('Data Recording'!AE:AE,'Data Recording'!D:D=B8), ""Select Col1""),""Yes, Engaged"")/COUNTA(query(ifna(filter('Data Recording'!AE:AE,'Data Recording'!D:D=B8),""""), ""Select Col1""))&gt;=(0.5),""1"",""0""),""-"")"),"1")</f>
        <v>1</v>
      </c>
      <c r="CD8" s="74" t="str">
        <f>IFERROR(__xludf.DUMMYFUNCTION("iferror(if(DIVIDE(countif(query(filter('Data Recording'!E:E,'Data Recording'!D:D=B8), ""Select Col1""),""Yes""),COUNTA(query(ifna(filter('Data Recording'!E:E,'Data Recording'!D:D=B8),""""), ""Select Col1"")))&gt;=(0.5),""1"",""0""),""-"")"),"1")</f>
        <v>1</v>
      </c>
    </row>
    <row r="9">
      <c r="A9" s="51" t="s">
        <v>42</v>
      </c>
      <c r="B9" s="51">
        <v>862.0</v>
      </c>
      <c r="C9" s="52" t="str">
        <f>IFERROR(__xludf.DUMMYFUNCTION("if(countif(query(filter('Data Recording'!E:E,'Data Recording'!D:D=B9), ""Select Col1""),""Yes"")=0,""0"",countif(query(filter('Data Recording'!E:E,'Data Recording'!D:D=B9), ""Select Col1""),""Yes"")) &amp; ""/"" &amp; if(COUNTA(query(ifna(filter('Data Recording'!"&amp;"E:E,'Data Recording'!D:D=B9),""""), ""Select Col1""))=0,""0"",COUNTA(query(ifna(filter('Data Recording'!E:E,'Data Recording'!D:D=B9),""""), ""Select Col1"")))"),"6/17")</f>
        <v>6/17</v>
      </c>
      <c r="D9" s="53">
        <f>IFERROR(__xludf.DUMMYFUNCTION("iferror(SUM(query(filter('Data Recording'!F:F,'Data Recording'!D:D=B9), ""Select Col1"")),""-"")"),0.0)</f>
        <v>0</v>
      </c>
      <c r="E9" s="53">
        <f>IFERROR(__xludf.DUMMYFUNCTION("iferror(SUM(query(filter('Data Recording'!G:G,'Data Recording'!D:D=B9), ""Select Col1"")),""-"")"),0.0)</f>
        <v>0</v>
      </c>
      <c r="F9" s="54" t="str">
        <f t="shared" si="1"/>
        <v>-</v>
      </c>
      <c r="G9" s="55" t="str">
        <f>IFERROR(__xludf.DUMMYFUNCTION("iferror(AVERAGE(query(filter('Data Recording'!G:G,'Data Recording'!D:D=B9), ""Select Col1"")),""0.00"")"),"0.00")</f>
        <v>0.00</v>
      </c>
      <c r="H9" s="53">
        <f>IFERROR(__xludf.DUMMYFUNCTION("iferror(MAX(query(filter('Data Recording'!G:G,'Data Recording'!D:D=B9), ""Select Col1"")),""-"")"),0.0)</f>
        <v>0</v>
      </c>
      <c r="I9" s="56">
        <f>IFERROR(__xludf.DUMMYFUNCTION("iferror(SUM(query(filter('Data Recording'!H:H,'Data Recording'!D:D=B9), ""Select Col1"")),""-"")"),0.0)</f>
        <v>0</v>
      </c>
      <c r="J9" s="57">
        <f>IFERROR(__xludf.DUMMYFUNCTION("iferror(SUM(query(filter('Data Recording'!I:I,'Data Recording'!D:D=B9), ""Select Col1"")),""-"")"),0.0)</f>
        <v>0</v>
      </c>
      <c r="K9" s="54" t="str">
        <f t="shared" si="2"/>
        <v>-</v>
      </c>
      <c r="L9" s="55" t="str">
        <f>IFERROR(__xludf.DUMMYFUNCTION("iferror(AVERAGE(query(filter('Data Recording'!I:I,'Data Recording'!D:D=B9), ""Select Col1"")),""0.00"")"),"0.00")</f>
        <v>0.00</v>
      </c>
      <c r="M9" s="53">
        <f>IFERROR(__xludf.DUMMYFUNCTION("iferror(MAX(query(filter('Data Recording'!I:I,'Data Recording'!D:D=B9), ""Select Col1"")),""-"")"),0.0)</f>
        <v>0</v>
      </c>
      <c r="N9" s="58">
        <f>IFERROR(__xludf.DUMMYFUNCTION("iferror(SUM(query(filter('Data Recording'!J:J,'Data Recording'!D:D=B9), ""Select Col1"")),""-"")"),0.0)</f>
        <v>0</v>
      </c>
      <c r="O9" s="59">
        <f>IFERROR(__xludf.DUMMYFUNCTION("iferror(SUM(query(filter('Data Recording'!K:K,'Data Recording'!D:D=B9), ""Select Col1"")),""-"")"),0.0)</f>
        <v>0</v>
      </c>
      <c r="P9" s="54" t="str">
        <f t="shared" si="3"/>
        <v>-</v>
      </c>
      <c r="Q9" s="55" t="str">
        <f>IFERROR(__xludf.DUMMYFUNCTION("iferror(AVERAGE(query(filter('Data Recording'!K:K,'Data Recording'!D:D=B9), ""Select Col1"")),""0.00"")"),"0.00")</f>
        <v>0.00</v>
      </c>
      <c r="R9" s="53">
        <f>IFERROR(__xludf.DUMMYFUNCTION("iferror(MAX(query(filter('Data Recording'!K:K,'Data Recording'!D:D=B9), ""Select Col1"")),""-"")"),0.0)</f>
        <v>0</v>
      </c>
      <c r="S9" s="58">
        <f>IFERROR(__xludf.DUMMYFUNCTION("iferror(SUM(query(filter('Data Recording'!L:L,'Data Recording'!D:D=B9), ""Select Col1"")),""-"")"),14.0)</f>
        <v>14</v>
      </c>
      <c r="T9" s="59">
        <f>IFERROR(__xludf.DUMMYFUNCTION("iferror(SUM(query(filter('Data Recording'!M:M,'Data Recording'!D:D=B9), ""Select Col1"")),""-"")"),14.0)</f>
        <v>14</v>
      </c>
      <c r="U9" s="54">
        <f t="shared" si="4"/>
        <v>1</v>
      </c>
      <c r="V9" s="55">
        <f>IFERROR(__xludf.DUMMYFUNCTION("iferror(AVERAGE(query(filter('Data Recording'!M:M,'Data Recording'!D:D=B9), ""Select Col1"")),""-"")"),1.0)</f>
        <v>1</v>
      </c>
      <c r="W9" s="52">
        <f>IFERROR(__xludf.DUMMYFUNCTION("iferror(MAX(query(filter('Data Recording'!M:M,'Data Recording'!D:D=B9), ""Select Col1"")),""-"")"),1.0)</f>
        <v>1</v>
      </c>
      <c r="X9" s="59">
        <f>IFERROR(__xludf.DUMMYFUNCTION("iferror(SUM(query(filter('Data Recording'!N:N,'Data Recording'!D:D=B9), ""Select Col1"")),""-"")"),0.0)</f>
        <v>0</v>
      </c>
      <c r="Y9" s="59">
        <f>IFERROR(__xludf.DUMMYFUNCTION("iferror(SUM(query(filter('Data Recording'!O:O,'Data Recording'!D:D=B9), ""Select Col1"")),""-"")"),0.0)</f>
        <v>0</v>
      </c>
      <c r="Z9" s="54" t="str">
        <f t="shared" si="5"/>
        <v>-</v>
      </c>
      <c r="AA9" s="55" t="str">
        <f>IFERROR(__xludf.DUMMYFUNCTION("iferror(AVERAGE(query(filter('Data Recording'!O:O,'Data Recording'!D:D=B9), ""Select Col1"")),""0.00"")"),"0.00")</f>
        <v>0.00</v>
      </c>
      <c r="AB9" s="52">
        <f>IFERROR(__xludf.DUMMYFUNCTION("iferror(MAX(query(filter('Data Recording'!O:O,'Data Recording'!D:D=B9), ""Select Col1"")),""-"")"),0.0)</f>
        <v>0</v>
      </c>
      <c r="AC9" s="59">
        <f>IFERROR(__xludf.DUMMYFUNCTION("iferror(SUM(query(filter('Data Recording'!P:P,'Data Recording'!D:D=B9), ""Select Col1"")),""-"")"),3.0)</f>
        <v>3</v>
      </c>
      <c r="AD9" s="59">
        <f>IFERROR(__xludf.DUMMYFUNCTION("iferror(SUM(query(filter('Data Recording'!Q:Q,'Data Recording'!D:D=B9), ""Select Col1"")),""-"")"),3.0)</f>
        <v>3</v>
      </c>
      <c r="AE9" s="54">
        <f t="shared" si="6"/>
        <v>1</v>
      </c>
      <c r="AF9" s="55">
        <f>IFERROR(__xludf.DUMMYFUNCTION("iferror(AVERAGE(query(filter('Data Recording'!Q:Q,'Data Recording'!D:D=B9), ""Select Col1"")),""0.00"")"),1.0)</f>
        <v>1</v>
      </c>
      <c r="AG9" s="59">
        <f>IFERROR(__xludf.DUMMYFUNCTION("iferror(MAX(query(filter('Data Recording'!Q:Q,'Data Recording'!D:D=B9), ""Select Col1"")),""-"")"),1.0)</f>
        <v>1</v>
      </c>
      <c r="AH9" s="58" t="str">
        <f>IFERROR(__xludf.DUMMYFUNCTION("if(countif(query(filter('Data Recording'!R:R,'Data Recording'!D:D=B9), ""Select Col1""),""Yes, Engaged"")+countif(query(filter('Data Recording'!R:R,'Data Recording'!D:D=B9), ""Select Col1""),""Yes, Docked"")=0,""0"",countif(query(filter('Data Recording'!R"&amp;":R,'Data Recording'!D:D=B9), ""Select Col1""),""Yes, Engaged""))+countif(query(filter('Data Recording'!R:R,'Data Recording'!D:D=B9), ""Select Col1""),""Yes, Docked"") &amp; ""/"" &amp; if(COUNTA(query(ifna(filter('Data Recording'!R:R,'Data Recording'!D:D=B9),"""""&amp;"), ""Select Col1""))=0,""0"",COUNTA(query(ifna(filter('Data Recording'!R:R,'Data Recording'!D:D=B9),""""), ""Select Col1"")))"),"10/17")</f>
        <v>10/17</v>
      </c>
      <c r="AI9" s="60" t="str">
        <f>IFERROR(__xludf.DUMMYFUNCTION("if(countif(query(filter('Data Recording'!R:R,'Data Recording'!D:D=B9), ""Select Col1""),""Yes, Engaged"")=0,""0"",countif(query(filter('Data Recording'!R:R,'Data Recording'!D:D=B9), ""Select Col1""),""Yes, Engaged"")) &amp; ""/"" &amp; if(COUNTA(query(ifna(filter"&amp;"('Data Recording'!R:R,'Data Recording'!D:D=B9),""""), ""Select Col1""))=0,""0"",COUNTA(query(ifna(filter('Data Recording'!R:R,'Data Recording'!D:D=B9),""""), ""Select Col1"")))"),"7/17")</f>
        <v>7/17</v>
      </c>
      <c r="AJ9" s="59">
        <f>IFERROR(__xludf.DUMMYFUNCTION("iferror(SUM(query(filter('Data Recording'!S:S,'Data Recording'!D:D=B9), ""Select Col1"")),""-"")"),54.0)</f>
        <v>54</v>
      </c>
      <c r="AK9" s="59">
        <f>IFERROR(__xludf.DUMMYFUNCTION("iferror(SUM(query(filter('Data Recording'!T:T,'Data Recording'!D:D=B9), ""Select Col1"")),""-"")"),48.0)</f>
        <v>48</v>
      </c>
      <c r="AL9" s="54">
        <f t="shared" si="7"/>
        <v>0.8888888889</v>
      </c>
      <c r="AM9" s="55">
        <f>IFERROR(__xludf.DUMMYFUNCTION("iferror(AVERAGE(query(filter('Data Recording'!T:T,'Data Recording'!D:D=B9), ""Select Col1"")),""0.00"")"),3.2)</f>
        <v>3.2</v>
      </c>
      <c r="AN9" s="61">
        <f>IFERROR(__xludf.DUMMYFUNCTION("iferror(MAX(query(filter('Data Recording'!T:T,'Data Recording'!D:D=B9), ""Select Col1"")),""-"")"),5.0)</f>
        <v>5</v>
      </c>
      <c r="AO9" s="62">
        <f>IFERROR(__xludf.DUMMYFUNCTION("iferror(SUM(query(filter('Data Recording'!U:U,'Data Recording'!D:D=B9), ""Select Col1"")),""-"")"),1.0)</f>
        <v>1</v>
      </c>
      <c r="AP9" s="62">
        <f>IFERROR(__xludf.DUMMYFUNCTION("iferror(SUM(query(filter('Data Recording'!V:V,'Data Recording'!D:D=B9), ""Select Col1"")),""-"")"),1.0)</f>
        <v>1</v>
      </c>
      <c r="AQ9" s="63">
        <f t="shared" si="8"/>
        <v>1</v>
      </c>
      <c r="AR9" s="64">
        <f>IFERROR(__xludf.DUMMYFUNCTION("iferror(AVERAGE(query(filter('Data Recording'!V:V,'Data Recording'!D:D=B9), ""Select Col1"")),""0.00"")"),1.0)</f>
        <v>1</v>
      </c>
      <c r="AS9" s="65">
        <f>IFERROR(__xludf.DUMMYFUNCTION("iferror(MAX(query(filter('Data Recording'!V:V,'Data Recording'!D:D=B9), ""Select Col1"")),""-"")"),1.0)</f>
        <v>1</v>
      </c>
      <c r="AT9" s="62">
        <f>IFERROR(__xludf.DUMMYFUNCTION("iferror(SUM(query(filter('Data Recording'!W:W,'Data Recording'!D:D=B9), ""Select Col1"")),""-"")"),16.0)</f>
        <v>16</v>
      </c>
      <c r="AU9" s="62">
        <f>IFERROR(__xludf.DUMMYFUNCTION("iferror(SUM(query(filter('Data Recording'!X:X,'Data Recording'!D:D=B9), ""Select Col1"")),""-"")"),16.0)</f>
        <v>16</v>
      </c>
      <c r="AV9" s="63">
        <f t="shared" si="9"/>
        <v>1</v>
      </c>
      <c r="AW9" s="64">
        <f>IFERROR(__xludf.DUMMYFUNCTION("iferror(AVERAGE(query(filter('Data Recording'!X:X,'Data Recording'!D:D=B9), ""Select Col1"")),""0.00"")"),1.6)</f>
        <v>1.6</v>
      </c>
      <c r="AX9" s="65">
        <f>IFERROR(__xludf.DUMMYFUNCTION("iferror(MAX(query(filter('Data Recording'!X:X,'Data Recording'!D:D=B9), ""Select Col1"")),""-"")"),3.0)</f>
        <v>3</v>
      </c>
      <c r="AY9" s="62">
        <f>IFERROR(__xludf.DUMMYFUNCTION("iferror(SUM(query(filter('Data Recording'!Y:Y,'Data Recording'!D:D=B9), ""Select Col1"")),""-"")"),6.0)</f>
        <v>6</v>
      </c>
      <c r="AZ9" s="62">
        <f>IFERROR(__xludf.DUMMYFUNCTION("iferror(SUM(query(filter('Data Recording'!Z:Z,'Data Recording'!D:D=B9), ""Select Col1"")),""-"")"),6.0)</f>
        <v>6</v>
      </c>
      <c r="BA9" s="63">
        <f t="shared" si="10"/>
        <v>1</v>
      </c>
      <c r="BB9" s="64">
        <f>IFERROR(__xludf.DUMMYFUNCTION("iferror(AVERAGE(query(filter('Data Recording'!Z:Z,'Data Recording'!D:D=B9), ""Select Col1"")),""0.00"")"),1.5)</f>
        <v>1.5</v>
      </c>
      <c r="BC9" s="65">
        <f>IFERROR(__xludf.DUMMYFUNCTION("iferror(MAX(query(filter('Data Recording'!Z:Z,'Data Recording'!D:D=B9), ""Select Col1"")),""-"")"),2.0)</f>
        <v>2</v>
      </c>
      <c r="BD9" s="62">
        <f>IFERROR(__xludf.DUMMYFUNCTION("iferror(SUM(query(filter('Data Recording'!AA:AA,'Data Recording'!D:D=B9), ""Select Col1"")),""-"")"),1.0)</f>
        <v>1</v>
      </c>
      <c r="BE9" s="62">
        <f>IFERROR(__xludf.DUMMYFUNCTION("iferror(SUM(query(filter('Data Recording'!AB:AB,'Data Recording'!D:D=B9), ""Select Col1"")),""-"")"),1.0)</f>
        <v>1</v>
      </c>
      <c r="BF9" s="63">
        <f t="shared" si="11"/>
        <v>1</v>
      </c>
      <c r="BG9" s="64">
        <f>IFERROR(__xludf.DUMMYFUNCTION("iferror(AVERAGE(query(filter('Data Recording'!AB:AB,'Data Recording'!D:D=B9), ""Select Col1"")),""0.00"")"),1.0)</f>
        <v>1</v>
      </c>
      <c r="BH9" s="65">
        <f>IFERROR(__xludf.DUMMYFUNCTION("iferror(MAX(query(filter('Data Recording'!AB:AB,'Data Recording'!D:D=B9), ""Select Col1"")),""-"")"),1.0)</f>
        <v>1</v>
      </c>
      <c r="BI9" s="62">
        <f>IFERROR(__xludf.DUMMYFUNCTION("iferror(SUM(query(filter('Data Recording'!AC:AC,'Data Recording'!D:D=B9), ""Select Col1"")),""-"")"),0.0)</f>
        <v>0</v>
      </c>
      <c r="BJ9" s="62">
        <f>IFERROR(__xludf.DUMMYFUNCTION("iferror(SUM(query(filter('Data Recording'!AD:AD,'Data Recording'!D:D=B9), ""Select Col1"")),""-"")"),0.0)</f>
        <v>0</v>
      </c>
      <c r="BK9" s="63" t="str">
        <f t="shared" si="12"/>
        <v>-</v>
      </c>
      <c r="BL9" s="64" t="str">
        <f>IFERROR(__xludf.DUMMYFUNCTION("iferror(AVERAGE(query(filter('Data Recording'!AD:AD,'Data Recording'!D:D=B9), ""Select Col1"")),""0.00"")"),"0.00")</f>
        <v>0.00</v>
      </c>
      <c r="BM9" s="65">
        <f>IFERROR(__xludf.DUMMYFUNCTION("iferror(MAX(query(filter('Data Recording'!AD:AD,'Data Recording'!D:D=B9), ""Select Col1"")),""-"")"),0.0)</f>
        <v>0</v>
      </c>
      <c r="BN9" s="66" t="str">
        <f>IFERROR(__xludf.DUMMYFUNCTION("if(countif(query(filter('Data Recording'!AE:AE,'Data Recording'!D:D=B9), ""Select Col1""),""Yes, Engaged"")+countif(query(filter('Data Recording'!AE:AE,'Data Recording'!D:D=B9), ""Select Col1""),""Yes, Docked"")=0,""0"",countif(query(filter('Data Recordin"&amp;"g'!AE:AE,'Data Recording'!D:D=B9), ""Select Col1""),""Yes, Engaged""))+countif(query(filter('Data Recording'!AE:AE,'Data Recording'!D:D=B9), ""Select Col1""),""Yes, Docked"") &amp; ""/"" &amp; if(COUNTA(query(ifna(filter('Data Recording'!AE:AE,'Data Recording'!D:"&amp;"D=B9),""""), ""Select Col1""))=0,""0"",COUNTA(query(ifna(filter('Data Recording'!AE:AE,'Data Recording'!D:D=B9),""""), ""Select Col1"")))"),"10/17")</f>
        <v>10/17</v>
      </c>
      <c r="BO9" s="67" t="str">
        <f>IFERROR(__xludf.DUMMYFUNCTION("if(countif(query(filter('Data Recording'!AE:AE,'Data Recording'!D:D=B9), ""Select Col1""),""Yes, Engaged"")=0,""0"",countif(query(filter('Data Recording'!AE:AE,'Data Recording'!D:D=B9), ""Select Col1""),""Yes, Engaged"")) &amp; ""/"" &amp; if(COUNTA(query(ifna(fi"&amp;"lter('Data Recording'!AE:AE,'Data Recording'!D:D=B9),""""), ""Select Col1""))=0,""0"",COUNTA(query(ifna(filter('Data Recording'!AE:AE,'Data Recording'!D:D=B9),""""), ""Select Col1"")))"),"10/17")</f>
        <v>10/17</v>
      </c>
      <c r="BP9" s="60" t="str">
        <f>IFERROR(__xludf.DUMMYFUNCTION("if(countif(query(filter('Data Recording'!AH:AH,'Data Recording'!D:D=B9), ""Select Col1""),""Yes"")=0,""0"",countif(query(filter('Data Recording'!AH:AH,'Data Recording'!D:D=B9), ""Select Col1""),""Yes"")) &amp; ""/"" &amp; if(COUNTA(query(ifna(filter('Data Recordi"&amp;"ng'!AH:AH,'Data Recording'!D:D=B9),""""), ""Select Col1""))=0,""0"",COUNTA(query(ifna(filter('Data Recording'!AH:AH,'Data Recording'!D:D=B9),""""), ""Select Col1"")))"),"4/17")</f>
        <v>4/17</v>
      </c>
      <c r="BQ9" s="75">
        <v>0.2353</v>
      </c>
      <c r="BR9" s="55">
        <f>IFERROR(__xludf.DUMMYFUNCTION("iferror(average(query(filter('Data Recording'!AF:AF,'Data Recording'!D:D=B9), ""Select Col1"")),""-"")"),3.5294117647058822)</f>
        <v>3.529411765</v>
      </c>
      <c r="BS9" s="69">
        <f>IFERROR(__xludf.DUMMYFUNCTION("iferror(average(query(filter('Data Recording'!AG:AG,'Data Recording'!D:D=B9), ""Select Col1"")),""-"")"),0.23529411764705882)</f>
        <v>0.2352941176</v>
      </c>
      <c r="BT9" s="70">
        <f t="shared" si="13"/>
        <v>59.7</v>
      </c>
      <c r="BU9" s="70">
        <f>IFERROR(__xludf.DUMMYFUNCTION("iferror(AVERAGE(query(filter('Data Recording'!AJ:AJ,'Data Recording'!D:D=B9), ""Select Col1"")),""-"")"),37.94117647058823)</f>
        <v>37.94117647</v>
      </c>
      <c r="BV9" s="70">
        <f>IFERROR(__xludf.DUMMYFUNCTION("iferror(AVERAGE(query(filter('Data Recording'!AK:AK,'Data Recording'!D:D=B9), ""Select Col1"")),""-"")"),23.58823529411765)</f>
        <v>23.58823529</v>
      </c>
      <c r="BW9" s="70">
        <f t="shared" si="14"/>
        <v>41.7</v>
      </c>
      <c r="BX9" s="71">
        <f>IFERROR(__xludf.DUMMYFUNCTION("iferror(max(query(filter('Data Recording'!AJ:AJ,'Data Recording'!D:D=B9), ""Select Col1"")),""-"")"),59.0)</f>
        <v>59</v>
      </c>
      <c r="BY9" s="72">
        <f>IFERROR(__xludf.DUMMYFUNCTION("iferror(MIN(query(filter('Data Recording'!AJ:AJ,'Data Recording'!D:D=B9), ""Select Col1"")),""-"")"),9.0)</f>
        <v>9</v>
      </c>
      <c r="BZ9" s="73" t="str">
        <f>IFERROR(__xludf.DUMMYFUNCTION("iferror(if(DIVIDE(COUNTIF(query(filter('Data Recording'!R:R,'Data Recording'!D:D=B9), ""Select Col1""),""Yes, Docked"") + countif(query(filter('Data Recording'!R:R,'Data Recording'!D:D=B9), ""Select Col1""),""Yes, Engaged""),COUNTA(query(ifna(filter('Data"&amp;" Recording'!R:R,'Data Recording'!D:D=B9),""""), ""Select Col1"")))&gt;=(0.5),""1"",""0""),""-"")"),"1")</f>
        <v>1</v>
      </c>
      <c r="CA9" s="59" t="str">
        <f>IFERROR(__xludf.DUMMYFUNCTION("iferror(if(countif(query(filter('Data Recording'!R:R,'Data Recording'!D:D=B9), ""Select Col1""),""Yes, Engaged"")/COUNTA(query(ifna(filter('Data Recording'!R:R,'Data Recording'!D:D=B9),""""), ""Select Col1""))&gt;=(0.5),""1"",""0""),""-"")"),"0")</f>
        <v>0</v>
      </c>
      <c r="CB9" s="74" t="str">
        <f>IFERROR(__xludf.DUMMYFUNCTION("iferror(if(DIVIDE(COUNTIF(query(filter('Data Recording'!AE:AE,'Data Recording'!D:D=B9), ""Select Col1""),""Yes, Docked"") + countif(query(filter('Data Recording'!AE:AE,'Data Recording'!D:D=B9), ""Select Col1""),""Yes, Engaged""),COUNTA(query(ifna(filter('"&amp;"Data Recording'!AE:AE,'Data Recording'!D:D=B9),""""), ""Select Col1"")))&gt;=(0.5),""1"",""0""),""-"")"),"1")</f>
        <v>1</v>
      </c>
      <c r="CC9" s="59" t="str">
        <f>IFERROR(__xludf.DUMMYFUNCTION("iferror(if(countif(query(filter('Data Recording'!AE:AE,'Data Recording'!D:D=B9), ""Select Col1""),""Yes, Engaged"")/COUNTA(query(ifna(filter('Data Recording'!AE:AE,'Data Recording'!D:D=B9),""""), ""Select Col1""))&gt;=(0.5),""1"",""0""),""-"")"),"1")</f>
        <v>1</v>
      </c>
      <c r="CD9" s="74" t="str">
        <f>IFERROR(__xludf.DUMMYFUNCTION("iferror(if(DIVIDE(countif(query(filter('Data Recording'!E:E,'Data Recording'!D:D=B9), ""Select Col1""),""Yes""),COUNTA(query(ifna(filter('Data Recording'!E:E,'Data Recording'!D:D=B9),""""), ""Select Col1"")))&gt;=(0.5),""1"",""0""),""-"")"),"0")</f>
        <v>0</v>
      </c>
    </row>
    <row r="10">
      <c r="A10" s="51" t="s">
        <v>43</v>
      </c>
      <c r="B10" s="51">
        <v>107.0</v>
      </c>
      <c r="C10" s="52" t="str">
        <f>IFERROR(__xludf.DUMMYFUNCTION("if(countif(query(filter('Data Recording'!E:E,'Data Recording'!D:D=B10), ""Select Col1""),""Yes"")=0,""0"",countif(query(filter('Data Recording'!E:E,'Data Recording'!D:D=B10), ""Select Col1""),""Yes"")) &amp; ""/"" &amp; if(COUNTA(query(ifna(filter('Data Recording"&amp;"'!E:E,'Data Recording'!D:D=B10),""""), ""Select Col1""))=0,""0"",COUNTA(query(ifna(filter('Data Recording'!E:E,'Data Recording'!D:D=B10),""""), ""Select Col1"")))"),"8/17")</f>
        <v>8/17</v>
      </c>
      <c r="D10" s="53">
        <f>IFERROR(__xludf.DUMMYFUNCTION("iferror(SUM(query(filter('Data Recording'!F:F,'Data Recording'!D:D=B10), ""Select Col1"")),""-"")"),2.0)</f>
        <v>2</v>
      </c>
      <c r="E10" s="53">
        <f>IFERROR(__xludf.DUMMYFUNCTION("iferror(SUM(query(filter('Data Recording'!G:G,'Data Recording'!D:D=B10), ""Select Col1"")),""-"")"),1.0)</f>
        <v>1</v>
      </c>
      <c r="F10" s="54">
        <f t="shared" si="1"/>
        <v>0.5</v>
      </c>
      <c r="G10" s="55">
        <f>IFERROR(__xludf.DUMMYFUNCTION("iferror(AVERAGE(query(filter('Data Recording'!G:G,'Data Recording'!D:D=B10), ""Select Col1"")),""0.00"")"),0.5)</f>
        <v>0.5</v>
      </c>
      <c r="H10" s="53">
        <f>IFERROR(__xludf.DUMMYFUNCTION("iferror(MAX(query(filter('Data Recording'!G:G,'Data Recording'!D:D=B10), ""Select Col1"")),""-"")"),1.0)</f>
        <v>1</v>
      </c>
      <c r="I10" s="56">
        <f>IFERROR(__xludf.DUMMYFUNCTION("iferror(SUM(query(filter('Data Recording'!H:H,'Data Recording'!D:D=B10), ""Select Col1"")),""-"")"),0.0)</f>
        <v>0</v>
      </c>
      <c r="J10" s="57">
        <f>IFERROR(__xludf.DUMMYFUNCTION("iferror(SUM(query(filter('Data Recording'!I:I,'Data Recording'!D:D=B10), ""Select Col1"")),""-"")"),0.0)</f>
        <v>0</v>
      </c>
      <c r="K10" s="54" t="str">
        <f t="shared" si="2"/>
        <v>-</v>
      </c>
      <c r="L10" s="55" t="str">
        <f>IFERROR(__xludf.DUMMYFUNCTION("iferror(AVERAGE(query(filter('Data Recording'!I:I,'Data Recording'!D:D=B10), ""Select Col1"")),""0.00"")"),"0.00")</f>
        <v>0.00</v>
      </c>
      <c r="M10" s="53">
        <f>IFERROR(__xludf.DUMMYFUNCTION("iferror(MAX(query(filter('Data Recording'!I:I,'Data Recording'!D:D=B10), ""Select Col1"")),""-"")"),0.0)</f>
        <v>0</v>
      </c>
      <c r="N10" s="58">
        <f>IFERROR(__xludf.DUMMYFUNCTION("iferror(SUM(query(filter('Data Recording'!J:J,'Data Recording'!D:D=B10), ""Select Col1"")),""-"")"),0.0)</f>
        <v>0</v>
      </c>
      <c r="O10" s="59">
        <f>IFERROR(__xludf.DUMMYFUNCTION("iferror(SUM(query(filter('Data Recording'!K:K,'Data Recording'!D:D=B10), ""Select Col1"")),""-"")"),0.0)</f>
        <v>0</v>
      </c>
      <c r="P10" s="54" t="str">
        <f t="shared" si="3"/>
        <v>-</v>
      </c>
      <c r="Q10" s="55" t="str">
        <f>IFERROR(__xludf.DUMMYFUNCTION("iferror(AVERAGE(query(filter('Data Recording'!K:K,'Data Recording'!D:D=B10), ""Select Col1"")),""0.00"")"),"0.00")</f>
        <v>0.00</v>
      </c>
      <c r="R10" s="53">
        <f>IFERROR(__xludf.DUMMYFUNCTION("iferror(MAX(query(filter('Data Recording'!K:K,'Data Recording'!D:D=B10), ""Select Col1"")),""-"")"),0.0)</f>
        <v>0</v>
      </c>
      <c r="S10" s="58">
        <f>IFERROR(__xludf.DUMMYFUNCTION("iferror(SUM(query(filter('Data Recording'!L:L,'Data Recording'!D:D=B10), ""Select Col1"")),""-"")"),15.0)</f>
        <v>15</v>
      </c>
      <c r="T10" s="59">
        <f>IFERROR(__xludf.DUMMYFUNCTION("iferror(SUM(query(filter('Data Recording'!M:M,'Data Recording'!D:D=B10), ""Select Col1"")),""-"")"),15.0)</f>
        <v>15</v>
      </c>
      <c r="U10" s="54">
        <f t="shared" si="4"/>
        <v>1</v>
      </c>
      <c r="V10" s="55">
        <f>IFERROR(__xludf.DUMMYFUNCTION("iferror(AVERAGE(query(filter('Data Recording'!M:M,'Data Recording'!D:D=B10), ""Select Col1"")),""-"")"),1.0)</f>
        <v>1</v>
      </c>
      <c r="W10" s="52">
        <f>IFERROR(__xludf.DUMMYFUNCTION("iferror(MAX(query(filter('Data Recording'!M:M,'Data Recording'!D:D=B10), ""Select Col1"")),""-"")"),1.0)</f>
        <v>1</v>
      </c>
      <c r="X10" s="59">
        <f>IFERROR(__xludf.DUMMYFUNCTION("iferror(SUM(query(filter('Data Recording'!N:N,'Data Recording'!D:D=B10), ""Select Col1"")),""-"")"),0.0)</f>
        <v>0</v>
      </c>
      <c r="Y10" s="59">
        <f>IFERROR(__xludf.DUMMYFUNCTION("iferror(SUM(query(filter('Data Recording'!O:O,'Data Recording'!D:D=B10), ""Select Col1"")),""-"")"),0.0)</f>
        <v>0</v>
      </c>
      <c r="Z10" s="54" t="str">
        <f t="shared" si="5"/>
        <v>-</v>
      </c>
      <c r="AA10" s="55" t="str">
        <f>IFERROR(__xludf.DUMMYFUNCTION("iferror(AVERAGE(query(filter('Data Recording'!O:O,'Data Recording'!D:D=B10), ""Select Col1"")),""0.00"")"),"0.00")</f>
        <v>0.00</v>
      </c>
      <c r="AB10" s="52">
        <f>IFERROR(__xludf.DUMMYFUNCTION("iferror(MAX(query(filter('Data Recording'!O:O,'Data Recording'!D:D=B10), ""Select Col1"")),""-"")"),0.0)</f>
        <v>0</v>
      </c>
      <c r="AC10" s="59">
        <f>IFERROR(__xludf.DUMMYFUNCTION("iferror(SUM(query(filter('Data Recording'!P:P,'Data Recording'!D:D=B10), ""Select Col1"")),""-"")"),0.0)</f>
        <v>0</v>
      </c>
      <c r="AD10" s="59">
        <f>IFERROR(__xludf.DUMMYFUNCTION("iferror(SUM(query(filter('Data Recording'!Q:Q,'Data Recording'!D:D=B10), ""Select Col1"")),""-"")"),0.0)</f>
        <v>0</v>
      </c>
      <c r="AE10" s="54" t="str">
        <f t="shared" si="6"/>
        <v>-</v>
      </c>
      <c r="AF10" s="55" t="str">
        <f>IFERROR(__xludf.DUMMYFUNCTION("iferror(AVERAGE(query(filter('Data Recording'!Q:Q,'Data Recording'!D:D=B10), ""Select Col1"")),""0.00"")"),"0.00")</f>
        <v>0.00</v>
      </c>
      <c r="AG10" s="59">
        <f>IFERROR(__xludf.DUMMYFUNCTION("iferror(MAX(query(filter('Data Recording'!Q:Q,'Data Recording'!D:D=B10), ""Select Col1"")),""-"")"),0.0)</f>
        <v>0</v>
      </c>
      <c r="AH10" s="58" t="str">
        <f>IFERROR(__xludf.DUMMYFUNCTION("if(countif(query(filter('Data Recording'!R:R,'Data Recording'!D:D=B10), ""Select Col1""),""Yes, Engaged"")+countif(query(filter('Data Recording'!R:R,'Data Recording'!D:D=B10), ""Select Col1""),""Yes, Docked"")=0,""0"",countif(query(filter('Data Recording'"&amp;"!R:R,'Data Recording'!D:D=B10), ""Select Col1""),""Yes, Engaged""))+countif(query(filter('Data Recording'!R:R,'Data Recording'!D:D=B10), ""Select Col1""),""Yes, Docked"") &amp; ""/"" &amp; if(COUNTA(query(ifna(filter('Data Recording'!R:R,'Data Recording'!D:D=B10)"&amp;",""""), ""Select Col1""))=0,""0"",COUNTA(query(ifna(filter('Data Recording'!R:R,'Data Recording'!D:D=B10),""""), ""Select Col1"")))"),"9/17")</f>
        <v>9/17</v>
      </c>
      <c r="AI10" s="60" t="str">
        <f>IFERROR(__xludf.DUMMYFUNCTION("if(countif(query(filter('Data Recording'!R:R,'Data Recording'!D:D=B10), ""Select Col1""),""Yes, Engaged"")=0,""0"",countif(query(filter('Data Recording'!R:R,'Data Recording'!D:D=B10), ""Select Col1""),""Yes, Engaged"")) &amp; ""/"" &amp; if(COUNTA(query(ifna(filt"&amp;"er('Data Recording'!R:R,'Data Recording'!D:D=B10),""""), ""Select Col1""))=0,""0"",COUNTA(query(ifna(filter('Data Recording'!R:R,'Data Recording'!D:D=B10),""""), ""Select Col1"")))"),"6/17")</f>
        <v>6/17</v>
      </c>
      <c r="AJ10" s="59">
        <f>IFERROR(__xludf.DUMMYFUNCTION("iferror(SUM(query(filter('Data Recording'!S:S,'Data Recording'!D:D=B10), ""Select Col1"")),""-"")"),29.0)</f>
        <v>29</v>
      </c>
      <c r="AK10" s="59">
        <f>IFERROR(__xludf.DUMMYFUNCTION("iferror(SUM(query(filter('Data Recording'!T:T,'Data Recording'!D:D=B10), ""Select Col1"")),""-"")"),25.0)</f>
        <v>25</v>
      </c>
      <c r="AL10" s="54">
        <f t="shared" si="7"/>
        <v>0.8620689655</v>
      </c>
      <c r="AM10" s="55">
        <f>IFERROR(__xludf.DUMMYFUNCTION("iferror(AVERAGE(query(filter('Data Recording'!T:T,'Data Recording'!D:D=B10), ""Select Col1"")),""0.00"")"),1.6666666666666667)</f>
        <v>1.666666667</v>
      </c>
      <c r="AN10" s="61">
        <f>IFERROR(__xludf.DUMMYFUNCTION("iferror(MAX(query(filter('Data Recording'!T:T,'Data Recording'!D:D=B10), ""Select Col1"")),""-"")"),3.0)</f>
        <v>3</v>
      </c>
      <c r="AO10" s="62">
        <f>IFERROR(__xludf.DUMMYFUNCTION("iferror(SUM(query(filter('Data Recording'!U:U,'Data Recording'!D:D=B10), ""Select Col1"")),""-"")"),0.0)</f>
        <v>0</v>
      </c>
      <c r="AP10" s="62">
        <f>IFERROR(__xludf.DUMMYFUNCTION("iferror(SUM(query(filter('Data Recording'!V:V,'Data Recording'!D:D=B10), ""Select Col1"")),""-"")"),0.0)</f>
        <v>0</v>
      </c>
      <c r="AQ10" s="63" t="str">
        <f t="shared" si="8"/>
        <v>-</v>
      </c>
      <c r="AR10" s="64" t="str">
        <f>IFERROR(__xludf.DUMMYFUNCTION("iferror(AVERAGE(query(filter('Data Recording'!V:V,'Data Recording'!D:D=B10), ""Select Col1"")),""0.00"")"),"0.00")</f>
        <v>0.00</v>
      </c>
      <c r="AS10" s="65">
        <f>IFERROR(__xludf.DUMMYFUNCTION("iferror(MAX(query(filter('Data Recording'!V:V,'Data Recording'!D:D=B10), ""Select Col1"")),""-"")"),0.0)</f>
        <v>0</v>
      </c>
      <c r="AT10" s="62">
        <f>IFERROR(__xludf.DUMMYFUNCTION("iferror(SUM(query(filter('Data Recording'!W:W,'Data Recording'!D:D=B10), ""Select Col1"")),""-"")"),10.0)</f>
        <v>10</v>
      </c>
      <c r="AU10" s="62">
        <f>IFERROR(__xludf.DUMMYFUNCTION("iferror(SUM(query(filter('Data Recording'!X:X,'Data Recording'!D:D=B10), ""Select Col1"")),""-"")"),9.0)</f>
        <v>9</v>
      </c>
      <c r="AV10" s="63">
        <f t="shared" si="9"/>
        <v>0.9</v>
      </c>
      <c r="AW10" s="64">
        <f>IFERROR(__xludf.DUMMYFUNCTION("iferror(AVERAGE(query(filter('Data Recording'!X:X,'Data Recording'!D:D=B10), ""Select Col1"")),""0.00"")"),1.125)</f>
        <v>1.125</v>
      </c>
      <c r="AX10" s="65">
        <f>IFERROR(__xludf.DUMMYFUNCTION("iferror(MAX(query(filter('Data Recording'!X:X,'Data Recording'!D:D=B10), ""Select Col1"")),""-"")"),2.0)</f>
        <v>2</v>
      </c>
      <c r="AY10" s="62">
        <f>IFERROR(__xludf.DUMMYFUNCTION("iferror(SUM(query(filter('Data Recording'!Y:Y,'Data Recording'!D:D=B10), ""Select Col1"")),""-"")"),7.0)</f>
        <v>7</v>
      </c>
      <c r="AZ10" s="62">
        <f>IFERROR(__xludf.DUMMYFUNCTION("iferror(SUM(query(filter('Data Recording'!Z:Z,'Data Recording'!D:D=B10), ""Select Col1"")),""-"")"),7.0)</f>
        <v>7</v>
      </c>
      <c r="BA10" s="63">
        <f t="shared" si="10"/>
        <v>1</v>
      </c>
      <c r="BB10" s="64">
        <f>IFERROR(__xludf.DUMMYFUNCTION("iferror(AVERAGE(query(filter('Data Recording'!Z:Z,'Data Recording'!D:D=B10), ""Select Col1"")),""0.00"")"),0.7777777777777778)</f>
        <v>0.7777777778</v>
      </c>
      <c r="BC10" s="65">
        <f>IFERROR(__xludf.DUMMYFUNCTION("iferror(MAX(query(filter('Data Recording'!Z:Z,'Data Recording'!D:D=B10), ""Select Col1"")),""-"")"),1.0)</f>
        <v>1</v>
      </c>
      <c r="BD10" s="62">
        <f>IFERROR(__xludf.DUMMYFUNCTION("iferror(SUM(query(filter('Data Recording'!AA:AA,'Data Recording'!D:D=B10), ""Select Col1"")),""-"")"),2.0)</f>
        <v>2</v>
      </c>
      <c r="BE10" s="62">
        <f>IFERROR(__xludf.DUMMYFUNCTION("iferror(SUM(query(filter('Data Recording'!AB:AB,'Data Recording'!D:D=B10), ""Select Col1"")),""-"")"),2.0)</f>
        <v>2</v>
      </c>
      <c r="BF10" s="63">
        <f t="shared" si="11"/>
        <v>1</v>
      </c>
      <c r="BG10" s="64">
        <f>IFERROR(__xludf.DUMMYFUNCTION("iferror(AVERAGE(query(filter('Data Recording'!AB:AB,'Data Recording'!D:D=B10), ""Select Col1"")),""0.00"")"),1.0)</f>
        <v>1</v>
      </c>
      <c r="BH10" s="65">
        <f>IFERROR(__xludf.DUMMYFUNCTION("iferror(MAX(query(filter('Data Recording'!AB:AB,'Data Recording'!D:D=B10), ""Select Col1"")),""-"")"),1.0)</f>
        <v>1</v>
      </c>
      <c r="BI10" s="62">
        <f>IFERROR(__xludf.DUMMYFUNCTION("iferror(SUM(query(filter('Data Recording'!AC:AC,'Data Recording'!D:D=B10), ""Select Col1"")),""-"")"),41.0)</f>
        <v>41</v>
      </c>
      <c r="BJ10" s="62">
        <f>IFERROR(__xludf.DUMMYFUNCTION("iferror(SUM(query(filter('Data Recording'!AD:AD,'Data Recording'!D:D=B10), ""Select Col1"")),""-"")"),37.0)</f>
        <v>37</v>
      </c>
      <c r="BK10" s="63">
        <f t="shared" si="12"/>
        <v>0.9024390244</v>
      </c>
      <c r="BL10" s="64">
        <f>IFERROR(__xludf.DUMMYFUNCTION("iferror(AVERAGE(query(filter('Data Recording'!AD:AD,'Data Recording'!D:D=B10), ""Select Col1"")),""0.00"")"),3.0833333333333335)</f>
        <v>3.083333333</v>
      </c>
      <c r="BM10" s="65">
        <f>IFERROR(__xludf.DUMMYFUNCTION("iferror(MAX(query(filter('Data Recording'!AD:AD,'Data Recording'!D:D=B10), ""Select Col1"")),""-"")"),7.0)</f>
        <v>7</v>
      </c>
      <c r="BN10" s="66" t="str">
        <f>IFERROR(__xludf.DUMMYFUNCTION("if(countif(query(filter('Data Recording'!AE:AE,'Data Recording'!D:D=B10), ""Select Col1""),""Yes, Engaged"")+countif(query(filter('Data Recording'!AE:AE,'Data Recording'!D:D=B10), ""Select Col1""),""Yes, Docked"")=0,""0"",countif(query(filter('Data Record"&amp;"ing'!AE:AE,'Data Recording'!D:D=B10), ""Select Col1""),""Yes, Engaged""))+countif(query(filter('Data Recording'!AE:AE,'Data Recording'!D:D=B10), ""Select Col1""),""Yes, Docked"") &amp; ""/"" &amp; if(COUNTA(query(ifna(filter('Data Recording'!AE:AE,'Data Recording"&amp;"'!D:D=B10),""""), ""Select Col1""))=0,""0"",COUNTA(query(ifna(filter('Data Recording'!AE:AE,'Data Recording'!D:D=B10),""""), ""Select Col1"")))"),"14/17")</f>
        <v>14/17</v>
      </c>
      <c r="BO10" s="67" t="str">
        <f>IFERROR(__xludf.DUMMYFUNCTION("if(countif(query(filter('Data Recording'!AE:AE,'Data Recording'!D:D=B10), ""Select Col1""),""Yes, Engaged"")=0,""0"",countif(query(filter('Data Recording'!AE:AE,'Data Recording'!D:D=B10), ""Select Col1""),""Yes, Engaged"")) &amp; ""/"" &amp; if(COUNTA(query(ifna("&amp;"filter('Data Recording'!AE:AE,'Data Recording'!D:D=B10),""""), ""Select Col1""))=0,""0"",COUNTA(query(ifna(filter('Data Recording'!AE:AE,'Data Recording'!D:D=B10),""""), ""Select Col1"")))"),"14/17")</f>
        <v>14/17</v>
      </c>
      <c r="BP10" s="60" t="str">
        <f>IFERROR(__xludf.DUMMYFUNCTION("if(countif(query(filter('Data Recording'!AH:AH,'Data Recording'!D:D=B10), ""Select Col1""),""Yes"")=0,""0"",countif(query(filter('Data Recording'!AH:AH,'Data Recording'!D:D=B10), ""Select Col1""),""Yes"")) &amp; ""/"" &amp; if(COUNTA(query(ifna(filter('Data Recor"&amp;"ding'!AH:AH,'Data Recording'!D:D=B10),""""), ""Select Col1""))=0,""0"",COUNTA(query(ifna(filter('Data Recording'!AH:AH,'Data Recording'!D:D=B10),""""), ""Select Col1"")))"),"2/17")</f>
        <v>2/17</v>
      </c>
      <c r="BQ10" s="75">
        <v>0.1176</v>
      </c>
      <c r="BR10" s="55">
        <f>IFERROR(__xludf.DUMMYFUNCTION("iferror(average(query(filter('Data Recording'!AF:AF,'Data Recording'!D:D=B10), ""Select Col1"")),""-"")"),2.6470588235294117)</f>
        <v>2.647058824</v>
      </c>
      <c r="BS10" s="69">
        <f>IFERROR(__xludf.DUMMYFUNCTION("iferror(average(query(filter('Data Recording'!AG:AG,'Data Recording'!D:D=B10), ""Select Col1"")),""-"")"),0.0)</f>
        <v>0</v>
      </c>
      <c r="BT10" s="70">
        <f t="shared" si="13"/>
        <v>50.63888889</v>
      </c>
      <c r="BU10" s="70">
        <f>IFERROR(__xludf.DUMMYFUNCTION("iferror(AVERAGE(query(filter('Data Recording'!AJ:AJ,'Data Recording'!D:D=B10), ""Select Col1"")),""-"")"),36.64705882352941)</f>
        <v>36.64705882</v>
      </c>
      <c r="BV10" s="70">
        <f>IFERROR(__xludf.DUMMYFUNCTION("iferror(AVERAGE(query(filter('Data Recording'!AK:AK,'Data Recording'!D:D=B10), ""Select Col1"")),""-"")"),20.823529411764707)</f>
        <v>20.82352941</v>
      </c>
      <c r="BW10" s="70">
        <f t="shared" si="14"/>
        <v>32.63888889</v>
      </c>
      <c r="BX10" s="71">
        <f>IFERROR(__xludf.DUMMYFUNCTION("iferror(max(query(filter('Data Recording'!AJ:AJ,'Data Recording'!D:D=B10), ""Select Col1"")),""-"")"),49.0)</f>
        <v>49</v>
      </c>
      <c r="BY10" s="72">
        <f>IFERROR(__xludf.DUMMYFUNCTION("iferror(MIN(query(filter('Data Recording'!AJ:AJ,'Data Recording'!D:D=B10), ""Select Col1"")),""-"")"),19.0)</f>
        <v>19</v>
      </c>
      <c r="BZ10" s="73" t="str">
        <f>IFERROR(__xludf.DUMMYFUNCTION("iferror(if(DIVIDE(COUNTIF(query(filter('Data Recording'!R:R,'Data Recording'!D:D=B10), ""Select Col1""),""Yes, Docked"") + countif(query(filter('Data Recording'!R:R,'Data Recording'!D:D=B10), ""Select Col1""),""Yes, Engaged""),COUNTA(query(ifna(filter('Da"&amp;"ta Recording'!R:R,'Data Recording'!D:D=B10),""""), ""Select Col1"")))&gt;=(0.5),""1"",""0""),""-"")"),"1")</f>
        <v>1</v>
      </c>
      <c r="CA10" s="59" t="str">
        <f>IFERROR(__xludf.DUMMYFUNCTION("iferror(if(countif(query(filter('Data Recording'!R:R,'Data Recording'!D:D=B10), ""Select Col1""),""Yes, Engaged"")/COUNTA(query(ifna(filter('Data Recording'!R:R,'Data Recording'!D:D=B10),""""), ""Select Col1""))&gt;=(0.5),""1"",""0""),""-"")"),"0")</f>
        <v>0</v>
      </c>
      <c r="CB10" s="74" t="str">
        <f>IFERROR(__xludf.DUMMYFUNCTION("iferror(if(DIVIDE(COUNTIF(query(filter('Data Recording'!AE:AE,'Data Recording'!D:D=B10), ""Select Col1""),""Yes, Docked"") + countif(query(filter('Data Recording'!AE:AE,'Data Recording'!D:D=B10), ""Select Col1""),""Yes, Engaged""),COUNTA(query(ifna(filter"&amp;"('Data Recording'!AE:AE,'Data Recording'!D:D=B10),""""), ""Select Col1"")))&gt;=(0.5),""1"",""0""),""-"")"),"1")</f>
        <v>1</v>
      </c>
      <c r="CC10" s="59" t="str">
        <f>IFERROR(__xludf.DUMMYFUNCTION("iferror(if(countif(query(filter('Data Recording'!AE:AE,'Data Recording'!D:D=B10), ""Select Col1""),""Yes, Engaged"")/COUNTA(query(ifna(filter('Data Recording'!AE:AE,'Data Recording'!D:D=B10),""""), ""Select Col1""))&gt;=(0.5),""1"",""0""),""-"")"),"1")</f>
        <v>1</v>
      </c>
      <c r="CD10" s="74" t="str">
        <f>IFERROR(__xludf.DUMMYFUNCTION("iferror(if(DIVIDE(countif(query(filter('Data Recording'!E:E,'Data Recording'!D:D=B10), ""Select Col1""),""Yes""),COUNTA(query(ifna(filter('Data Recording'!E:E,'Data Recording'!D:D=B10),""""), ""Select Col1"")))&gt;=(0.5),""1"",""0""),""-"")"),"0")</f>
        <v>0</v>
      </c>
    </row>
    <row r="11">
      <c r="A11" s="51" t="s">
        <v>44</v>
      </c>
      <c r="B11" s="51">
        <v>6081.0</v>
      </c>
      <c r="C11" s="52" t="str">
        <f>IFERROR(__xludf.DUMMYFUNCTION("if(countif(query(filter('Data Recording'!E:E,'Data Recording'!D:D=B11), ""Select Col1""),""Yes"")=0,""0"",countif(query(filter('Data Recording'!E:E,'Data Recording'!D:D=B11), ""Select Col1""),""Yes"")) &amp; ""/"" &amp; if(COUNTA(query(ifna(filter('Data Recording"&amp;"'!E:E,'Data Recording'!D:D=B11),""""), ""Select Col1""))=0,""0"",COUNTA(query(ifna(filter('Data Recording'!E:E,'Data Recording'!D:D=B11),""""), ""Select Col1"")))"),"16/16")</f>
        <v>16/16</v>
      </c>
      <c r="D11" s="53">
        <f>IFERROR(__xludf.DUMMYFUNCTION("iferror(SUM(query(filter('Data Recording'!F:F,'Data Recording'!D:D=B11), ""Select Col1"")),""-"")"),16.0)</f>
        <v>16</v>
      </c>
      <c r="E11" s="53">
        <f>IFERROR(__xludf.DUMMYFUNCTION("iferror(SUM(query(filter('Data Recording'!G:G,'Data Recording'!D:D=B11), ""Select Col1"")),""-"")"),13.0)</f>
        <v>13</v>
      </c>
      <c r="F11" s="54">
        <f t="shared" si="1"/>
        <v>0.8125</v>
      </c>
      <c r="G11" s="55">
        <f>IFERROR(__xludf.DUMMYFUNCTION("iferror(AVERAGE(query(filter('Data Recording'!G:G,'Data Recording'!D:D=B11), ""Select Col1"")),""0.00"")"),0.8125)</f>
        <v>0.8125</v>
      </c>
      <c r="H11" s="53">
        <f>IFERROR(__xludf.DUMMYFUNCTION("iferror(MAX(query(filter('Data Recording'!G:G,'Data Recording'!D:D=B11), ""Select Col1"")),""-"")"),1.0)</f>
        <v>1</v>
      </c>
      <c r="I11" s="56">
        <f>IFERROR(__xludf.DUMMYFUNCTION("iferror(SUM(query(filter('Data Recording'!H:H,'Data Recording'!D:D=B11), ""Select Col1"")),""-"")"),0.0)</f>
        <v>0</v>
      </c>
      <c r="J11" s="57">
        <f>IFERROR(__xludf.DUMMYFUNCTION("iferror(SUM(query(filter('Data Recording'!I:I,'Data Recording'!D:D=B11), ""Select Col1"")),""-"")"),0.0)</f>
        <v>0</v>
      </c>
      <c r="K11" s="54" t="str">
        <f t="shared" si="2"/>
        <v>-</v>
      </c>
      <c r="L11" s="55" t="str">
        <f>IFERROR(__xludf.DUMMYFUNCTION("iferror(AVERAGE(query(filter('Data Recording'!I:I,'Data Recording'!D:D=B11), ""Select Col1"")),""0.00"")"),"0.00")</f>
        <v>0.00</v>
      </c>
      <c r="M11" s="53">
        <f>IFERROR(__xludf.DUMMYFUNCTION("iferror(MAX(query(filter('Data Recording'!I:I,'Data Recording'!D:D=B11), ""Select Col1"")),""-"")"),0.0)</f>
        <v>0</v>
      </c>
      <c r="N11" s="58">
        <f>IFERROR(__xludf.DUMMYFUNCTION("iferror(SUM(query(filter('Data Recording'!J:J,'Data Recording'!D:D=B11), ""Select Col1"")),""-"")"),0.0)</f>
        <v>0</v>
      </c>
      <c r="O11" s="59">
        <f>IFERROR(__xludf.DUMMYFUNCTION("iferror(SUM(query(filter('Data Recording'!K:K,'Data Recording'!D:D=B11), ""Select Col1"")),""-"")"),0.0)</f>
        <v>0</v>
      </c>
      <c r="P11" s="54" t="str">
        <f t="shared" si="3"/>
        <v>-</v>
      </c>
      <c r="Q11" s="55" t="str">
        <f>IFERROR(__xludf.DUMMYFUNCTION("iferror(AVERAGE(query(filter('Data Recording'!K:K,'Data Recording'!D:D=B11), ""Select Col1"")),""0.00"")"),"0.00")</f>
        <v>0.00</v>
      </c>
      <c r="R11" s="53">
        <f>IFERROR(__xludf.DUMMYFUNCTION("iferror(MAX(query(filter('Data Recording'!K:K,'Data Recording'!D:D=B11), ""Select Col1"")),""-"")"),0.0)</f>
        <v>0</v>
      </c>
      <c r="S11" s="58">
        <f>IFERROR(__xludf.DUMMYFUNCTION("iferror(SUM(query(filter('Data Recording'!L:L,'Data Recording'!D:D=B11), ""Select Col1"")),""-"")"),7.0)</f>
        <v>7</v>
      </c>
      <c r="T11" s="59">
        <f>IFERROR(__xludf.DUMMYFUNCTION("iferror(SUM(query(filter('Data Recording'!M:M,'Data Recording'!D:D=B11), ""Select Col1"")),""-"")"),4.0)</f>
        <v>4</v>
      </c>
      <c r="U11" s="54">
        <f t="shared" si="4"/>
        <v>0.5714285714</v>
      </c>
      <c r="V11" s="55">
        <f>IFERROR(__xludf.DUMMYFUNCTION("iferror(AVERAGE(query(filter('Data Recording'!M:M,'Data Recording'!D:D=B11), ""Select Col1"")),""-"")"),0.5714285714285714)</f>
        <v>0.5714285714</v>
      </c>
      <c r="W11" s="52">
        <f>IFERROR(__xludf.DUMMYFUNCTION("iferror(MAX(query(filter('Data Recording'!M:M,'Data Recording'!D:D=B11), ""Select Col1"")),""-"")"),1.0)</f>
        <v>1</v>
      </c>
      <c r="X11" s="59">
        <f>IFERROR(__xludf.DUMMYFUNCTION("iferror(SUM(query(filter('Data Recording'!N:N,'Data Recording'!D:D=B11), ""Select Col1"")),""-"")"),1.0)</f>
        <v>1</v>
      </c>
      <c r="Y11" s="59">
        <f>IFERROR(__xludf.DUMMYFUNCTION("iferror(SUM(query(filter('Data Recording'!O:O,'Data Recording'!D:D=B11), ""Select Col1"")),""-"")"),0.0)</f>
        <v>0</v>
      </c>
      <c r="Z11" s="54">
        <f t="shared" si="5"/>
        <v>0</v>
      </c>
      <c r="AA11" s="55">
        <f>IFERROR(__xludf.DUMMYFUNCTION("iferror(AVERAGE(query(filter('Data Recording'!O:O,'Data Recording'!D:D=B11), ""Select Col1"")),""0.00"")"),0.0)</f>
        <v>0</v>
      </c>
      <c r="AB11" s="52">
        <f>IFERROR(__xludf.DUMMYFUNCTION("iferror(MAX(query(filter('Data Recording'!O:O,'Data Recording'!D:D=B11), ""Select Col1"")),""-"")"),0.0)</f>
        <v>0</v>
      </c>
      <c r="AC11" s="59">
        <f>IFERROR(__xludf.DUMMYFUNCTION("iferror(SUM(query(filter('Data Recording'!P:P,'Data Recording'!D:D=B11), ""Select Col1"")),""-"")"),3.0)</f>
        <v>3</v>
      </c>
      <c r="AD11" s="59">
        <f>IFERROR(__xludf.DUMMYFUNCTION("iferror(SUM(query(filter('Data Recording'!Q:Q,'Data Recording'!D:D=B11), ""Select Col1"")),""-"")"),3.0)</f>
        <v>3</v>
      </c>
      <c r="AE11" s="54">
        <f t="shared" si="6"/>
        <v>1</v>
      </c>
      <c r="AF11" s="55">
        <f>IFERROR(__xludf.DUMMYFUNCTION("iferror(AVERAGE(query(filter('Data Recording'!Q:Q,'Data Recording'!D:D=B11), ""Select Col1"")),""0.00"")"),1.0)</f>
        <v>1</v>
      </c>
      <c r="AG11" s="59">
        <f>IFERROR(__xludf.DUMMYFUNCTION("iferror(MAX(query(filter('Data Recording'!Q:Q,'Data Recording'!D:D=B11), ""Select Col1"")),""-"")"),1.0)</f>
        <v>1</v>
      </c>
      <c r="AH11" s="58" t="str">
        <f>IFERROR(__xludf.DUMMYFUNCTION("if(countif(query(filter('Data Recording'!R:R,'Data Recording'!D:D=B11), ""Select Col1""),""Yes, Engaged"")+countif(query(filter('Data Recording'!R:R,'Data Recording'!D:D=B11), ""Select Col1""),""Yes, Docked"")=0,""0"",countif(query(filter('Data Recording'"&amp;"!R:R,'Data Recording'!D:D=B11), ""Select Col1""),""Yes, Engaged""))+countif(query(filter('Data Recording'!R:R,'Data Recording'!D:D=B11), ""Select Col1""),""Yes, Docked"") &amp; ""/"" &amp; if(COUNTA(query(ifna(filter('Data Recording'!R:R,'Data Recording'!D:D=B11)"&amp;",""""), ""Select Col1""))=0,""0"",COUNTA(query(ifna(filter('Data Recording'!R:R,'Data Recording'!D:D=B11),""""), ""Select Col1"")))"),"5/16")</f>
        <v>5/16</v>
      </c>
      <c r="AI11" s="60" t="str">
        <f>IFERROR(__xludf.DUMMYFUNCTION("if(countif(query(filter('Data Recording'!R:R,'Data Recording'!D:D=B11), ""Select Col1""),""Yes, Engaged"")=0,""0"",countif(query(filter('Data Recording'!R:R,'Data Recording'!D:D=B11), ""Select Col1""),""Yes, Engaged"")) &amp; ""/"" &amp; if(COUNTA(query(ifna(filt"&amp;"er('Data Recording'!R:R,'Data Recording'!D:D=B11),""""), ""Select Col1""))=0,""0"",COUNTA(query(ifna(filter('Data Recording'!R:R,'Data Recording'!D:D=B11),""""), ""Select Col1"")))"),"5/16")</f>
        <v>5/16</v>
      </c>
      <c r="AJ11" s="59">
        <f>IFERROR(__xludf.DUMMYFUNCTION("iferror(SUM(query(filter('Data Recording'!S:S,'Data Recording'!D:D=B11), ""Select Col1"")),""-"")"),17.0)</f>
        <v>17</v>
      </c>
      <c r="AK11" s="59">
        <f>IFERROR(__xludf.DUMMYFUNCTION("iferror(SUM(query(filter('Data Recording'!T:T,'Data Recording'!D:D=B11), ""Select Col1"")),""-"")"),12.0)</f>
        <v>12</v>
      </c>
      <c r="AL11" s="54">
        <f t="shared" si="7"/>
        <v>0.7058823529</v>
      </c>
      <c r="AM11" s="55">
        <f>IFERROR(__xludf.DUMMYFUNCTION("iferror(AVERAGE(query(filter('Data Recording'!T:T,'Data Recording'!D:D=B11), ""Select Col1"")),""0.00"")"),1.3333333333333333)</f>
        <v>1.333333333</v>
      </c>
      <c r="AN11" s="61">
        <f>IFERROR(__xludf.DUMMYFUNCTION("iferror(MAX(query(filter('Data Recording'!T:T,'Data Recording'!D:D=B11), ""Select Col1"")),""-"")"),2.0)</f>
        <v>2</v>
      </c>
      <c r="AO11" s="62">
        <f>IFERROR(__xludf.DUMMYFUNCTION("iferror(SUM(query(filter('Data Recording'!U:U,'Data Recording'!D:D=B11), ""Select Col1"")),""-"")"),12.0)</f>
        <v>12</v>
      </c>
      <c r="AP11" s="62">
        <f>IFERROR(__xludf.DUMMYFUNCTION("iferror(SUM(query(filter('Data Recording'!V:V,'Data Recording'!D:D=B11), ""Select Col1"")),""-"")"),6.0)</f>
        <v>6</v>
      </c>
      <c r="AQ11" s="63">
        <f t="shared" si="8"/>
        <v>0.5</v>
      </c>
      <c r="AR11" s="64">
        <f>IFERROR(__xludf.DUMMYFUNCTION("iferror(AVERAGE(query(filter('Data Recording'!V:V,'Data Recording'!D:D=B11), ""Select Col1"")),""0.00"")"),0.8571428571428571)</f>
        <v>0.8571428571</v>
      </c>
      <c r="AS11" s="65">
        <f>IFERROR(__xludf.DUMMYFUNCTION("iferror(MAX(query(filter('Data Recording'!V:V,'Data Recording'!D:D=B11), ""Select Col1"")),""-"")"),2.0)</f>
        <v>2</v>
      </c>
      <c r="AT11" s="62">
        <f>IFERROR(__xludf.DUMMYFUNCTION("iferror(SUM(query(filter('Data Recording'!W:W,'Data Recording'!D:D=B11), ""Select Col1"")),""-"")"),17.0)</f>
        <v>17</v>
      </c>
      <c r="AU11" s="62">
        <f>IFERROR(__xludf.DUMMYFUNCTION("iferror(SUM(query(filter('Data Recording'!X:X,'Data Recording'!D:D=B11), ""Select Col1"")),""-"")"),16.0)</f>
        <v>16</v>
      </c>
      <c r="AV11" s="63">
        <f t="shared" si="9"/>
        <v>0.9411764706</v>
      </c>
      <c r="AW11" s="64">
        <f>IFERROR(__xludf.DUMMYFUNCTION("iferror(AVERAGE(query(filter('Data Recording'!X:X,'Data Recording'!D:D=B11), ""Select Col1"")),""0.00"")"),1.3333333333333333)</f>
        <v>1.333333333</v>
      </c>
      <c r="AX11" s="65">
        <f>IFERROR(__xludf.DUMMYFUNCTION("iferror(MAX(query(filter('Data Recording'!X:X,'Data Recording'!D:D=B11), ""Select Col1"")),""-"")"),3.0)</f>
        <v>3</v>
      </c>
      <c r="AY11" s="62">
        <f>IFERROR(__xludf.DUMMYFUNCTION("iferror(SUM(query(filter('Data Recording'!Y:Y,'Data Recording'!D:D=B11), ""Select Col1"")),""-"")"),19.0)</f>
        <v>19</v>
      </c>
      <c r="AZ11" s="62">
        <f>IFERROR(__xludf.DUMMYFUNCTION("iferror(SUM(query(filter('Data Recording'!Z:Z,'Data Recording'!D:D=B11), ""Select Col1"")),""-"")"),17.0)</f>
        <v>17</v>
      </c>
      <c r="BA11" s="63">
        <f t="shared" si="10"/>
        <v>0.8947368421</v>
      </c>
      <c r="BB11" s="64">
        <f>IFERROR(__xludf.DUMMYFUNCTION("iferror(AVERAGE(query(filter('Data Recording'!Z:Z,'Data Recording'!D:D=B11), ""Select Col1"")),""0.00"")"),1.3076923076923077)</f>
        <v>1.307692308</v>
      </c>
      <c r="BC11" s="65">
        <f>IFERROR(__xludf.DUMMYFUNCTION("iferror(MAX(query(filter('Data Recording'!Z:Z,'Data Recording'!D:D=B11), ""Select Col1"")),""-"")"),3.0)</f>
        <v>3</v>
      </c>
      <c r="BD11" s="62">
        <f>IFERROR(__xludf.DUMMYFUNCTION("iferror(SUM(query(filter('Data Recording'!AA:AA,'Data Recording'!D:D=B11), ""Select Col1"")),""-"")"),16.0)</f>
        <v>16</v>
      </c>
      <c r="BE11" s="62">
        <f>IFERROR(__xludf.DUMMYFUNCTION("iferror(SUM(query(filter('Data Recording'!AB:AB,'Data Recording'!D:D=B11), ""Select Col1"")),""-"")"),13.0)</f>
        <v>13</v>
      </c>
      <c r="BF11" s="63">
        <f t="shared" si="11"/>
        <v>0.8125</v>
      </c>
      <c r="BG11" s="64">
        <f>IFERROR(__xludf.DUMMYFUNCTION("iferror(AVERAGE(query(filter('Data Recording'!AB:AB,'Data Recording'!D:D=B11), ""Select Col1"")),""0.00"")"),1.0)</f>
        <v>1</v>
      </c>
      <c r="BH11" s="65">
        <f>IFERROR(__xludf.DUMMYFUNCTION("iferror(MAX(query(filter('Data Recording'!AB:AB,'Data Recording'!D:D=B11), ""Select Col1"")),""-"")"),2.0)</f>
        <v>2</v>
      </c>
      <c r="BI11" s="62">
        <f>IFERROR(__xludf.DUMMYFUNCTION("iferror(SUM(query(filter('Data Recording'!AC:AC,'Data Recording'!D:D=B11), ""Select Col1"")),""-"")"),8.0)</f>
        <v>8</v>
      </c>
      <c r="BJ11" s="62">
        <f>IFERROR(__xludf.DUMMYFUNCTION("iferror(SUM(query(filter('Data Recording'!AD:AD,'Data Recording'!D:D=B11), ""Select Col1"")),""-"")"),7.0)</f>
        <v>7</v>
      </c>
      <c r="BK11" s="63">
        <f t="shared" si="12"/>
        <v>0.875</v>
      </c>
      <c r="BL11" s="64">
        <f>IFERROR(__xludf.DUMMYFUNCTION("iferror(AVERAGE(query(filter('Data Recording'!AD:AD,'Data Recording'!D:D=B11), ""Select Col1"")),""0.00"")"),1.4)</f>
        <v>1.4</v>
      </c>
      <c r="BM11" s="65">
        <f>IFERROR(__xludf.DUMMYFUNCTION("iferror(MAX(query(filter('Data Recording'!AD:AD,'Data Recording'!D:D=B11), ""Select Col1"")),""-"")"),2.0)</f>
        <v>2</v>
      </c>
      <c r="BN11" s="66" t="str">
        <f>IFERROR(__xludf.DUMMYFUNCTION("if(countif(query(filter('Data Recording'!AE:AE,'Data Recording'!D:D=B11), ""Select Col1""),""Yes, Engaged"")+countif(query(filter('Data Recording'!AE:AE,'Data Recording'!D:D=B11), ""Select Col1""),""Yes, Docked"")=0,""0"",countif(query(filter('Data Record"&amp;"ing'!AE:AE,'Data Recording'!D:D=B11), ""Select Col1""),""Yes, Engaged""))+countif(query(filter('Data Recording'!AE:AE,'Data Recording'!D:D=B11), ""Select Col1""),""Yes, Docked"") &amp; ""/"" &amp; if(COUNTA(query(ifna(filter('Data Recording'!AE:AE,'Data Recording"&amp;"'!D:D=B11),""""), ""Select Col1""))=0,""0"",COUNTA(query(ifna(filter('Data Recording'!AE:AE,'Data Recording'!D:D=B11),""""), ""Select Col1"")))"),"11/16")</f>
        <v>11/16</v>
      </c>
      <c r="BO11" s="67" t="str">
        <f>IFERROR(__xludf.DUMMYFUNCTION("if(countif(query(filter('Data Recording'!AE:AE,'Data Recording'!D:D=B11), ""Select Col1""),""Yes, Engaged"")=0,""0"",countif(query(filter('Data Recording'!AE:AE,'Data Recording'!D:D=B11), ""Select Col1""),""Yes, Engaged"")) &amp; ""/"" &amp; if(COUNTA(query(ifna("&amp;"filter('Data Recording'!AE:AE,'Data Recording'!D:D=B11),""""), ""Select Col1""))=0,""0"",COUNTA(query(ifna(filter('Data Recording'!AE:AE,'Data Recording'!D:D=B11),""""), ""Select Col1"")))"),"10/16")</f>
        <v>10/16</v>
      </c>
      <c r="BP11" s="60" t="str">
        <f>IFERROR(__xludf.DUMMYFUNCTION("if(countif(query(filter('Data Recording'!AH:AH,'Data Recording'!D:D=B11), ""Select Col1""),""Yes"")=0,""0"",countif(query(filter('Data Recording'!AH:AH,'Data Recording'!D:D=B11), ""Select Col1""),""Yes"")) &amp; ""/"" &amp; if(COUNTA(query(ifna(filter('Data Recor"&amp;"ding'!AH:AH,'Data Recording'!D:D=B11),""""), ""Select Col1""))=0,""0"",COUNTA(query(ifna(filter('Data Recording'!AH:AH,'Data Recording'!D:D=B11),""""), ""Select Col1"")))"),"1/16")</f>
        <v>1/16</v>
      </c>
      <c r="BQ11" s="75">
        <v>0.0625</v>
      </c>
      <c r="BR11" s="55">
        <f>IFERROR(__xludf.DUMMYFUNCTION("iferror(average(query(filter('Data Recording'!AF:AF,'Data Recording'!D:D=B11), ""Select Col1"")),""-"")"),3.8125)</f>
        <v>3.8125</v>
      </c>
      <c r="BS11" s="69">
        <f>IFERROR(__xludf.DUMMYFUNCTION("iferror(average(query(filter('Data Recording'!AG:AG,'Data Recording'!D:D=B11), ""Select Col1"")),""-"")"),0.1875)</f>
        <v>0.1875</v>
      </c>
      <c r="BT11" s="70">
        <f t="shared" si="13"/>
        <v>48.54679487</v>
      </c>
      <c r="BU11" s="70">
        <f>IFERROR(__xludf.DUMMYFUNCTION("iferror(AVERAGE(query(filter('Data Recording'!AJ:AJ,'Data Recording'!D:D=B11), ""Select Col1"")),""-"")"),36.5625)</f>
        <v>36.5625</v>
      </c>
      <c r="BV11" s="70">
        <f>IFERROR(__xludf.DUMMYFUNCTION("iferror(AVERAGE(query(filter('Data Recording'!AK:AK,'Data Recording'!D:D=B11), ""Select Col1"")),""-"")"),22.4375)</f>
        <v>22.4375</v>
      </c>
      <c r="BW11" s="70">
        <f t="shared" si="14"/>
        <v>35.54679487</v>
      </c>
      <c r="BX11" s="71">
        <f>IFERROR(__xludf.DUMMYFUNCTION("iferror(max(query(filter('Data Recording'!AJ:AJ,'Data Recording'!D:D=B11), ""Select Col1"")),""-"")"),53.0)</f>
        <v>53</v>
      </c>
      <c r="BY11" s="72">
        <f>IFERROR(__xludf.DUMMYFUNCTION("iferror(MIN(query(filter('Data Recording'!AJ:AJ,'Data Recording'!D:D=B11), ""Select Col1"")),""-"")"),29.0)</f>
        <v>29</v>
      </c>
      <c r="BZ11" s="73" t="str">
        <f>IFERROR(__xludf.DUMMYFUNCTION("iferror(if(DIVIDE(COUNTIF(query(filter('Data Recording'!R:R,'Data Recording'!D:D=B11), ""Select Col1""),""Yes, Docked"") + countif(query(filter('Data Recording'!R:R,'Data Recording'!D:D=B11), ""Select Col1""),""Yes, Engaged""),COUNTA(query(ifna(filter('Da"&amp;"ta Recording'!R:R,'Data Recording'!D:D=B11),""""), ""Select Col1"")))&gt;=(0.5),""1"",""0""),""-"")"),"0")</f>
        <v>0</v>
      </c>
      <c r="CA11" s="59" t="str">
        <f>IFERROR(__xludf.DUMMYFUNCTION("iferror(if(countif(query(filter('Data Recording'!R:R,'Data Recording'!D:D=B11), ""Select Col1""),""Yes, Engaged"")/COUNTA(query(ifna(filter('Data Recording'!R:R,'Data Recording'!D:D=B11),""""), ""Select Col1""))&gt;=(0.5),""1"",""0""),""-"")"),"0")</f>
        <v>0</v>
      </c>
      <c r="CB11" s="74" t="str">
        <f>IFERROR(__xludf.DUMMYFUNCTION("iferror(if(DIVIDE(COUNTIF(query(filter('Data Recording'!AE:AE,'Data Recording'!D:D=B11), ""Select Col1""),""Yes, Docked"") + countif(query(filter('Data Recording'!AE:AE,'Data Recording'!D:D=B11), ""Select Col1""),""Yes, Engaged""),COUNTA(query(ifna(filter"&amp;"('Data Recording'!AE:AE,'Data Recording'!D:D=B11),""""), ""Select Col1"")))&gt;=(0.5),""1"",""0""),""-"")"),"1")</f>
        <v>1</v>
      </c>
      <c r="CC11" s="59" t="str">
        <f>IFERROR(__xludf.DUMMYFUNCTION("iferror(if(countif(query(filter('Data Recording'!AE:AE,'Data Recording'!D:D=B11), ""Select Col1""),""Yes, Engaged"")/COUNTA(query(ifna(filter('Data Recording'!AE:AE,'Data Recording'!D:D=B11),""""), ""Select Col1""))&gt;=(0.5),""1"",""0""),""-"")"),"1")</f>
        <v>1</v>
      </c>
      <c r="CD11" s="74" t="str">
        <f>IFERROR(__xludf.DUMMYFUNCTION("iferror(if(DIVIDE(countif(query(filter('Data Recording'!E:E,'Data Recording'!D:D=B11), ""Select Col1""),""Yes""),COUNTA(query(ifna(filter('Data Recording'!E:E,'Data Recording'!D:D=B11),""""), ""Select Col1"")))&gt;=(0.5),""1"",""0""),""-"")"),"1")</f>
        <v>1</v>
      </c>
    </row>
    <row r="12">
      <c r="A12" s="51" t="s">
        <v>45</v>
      </c>
      <c r="B12" s="51">
        <v>5066.0</v>
      </c>
      <c r="C12" s="52" t="str">
        <f>IFERROR(__xludf.DUMMYFUNCTION("if(countif(query(filter('Data Recording'!E:E,'Data Recording'!D:D=B12), ""Select Col1""),""Yes"")=0,""0"",countif(query(filter('Data Recording'!E:E,'Data Recording'!D:D=B12), ""Select Col1""),""Yes"")) &amp; ""/"" &amp; if(COUNTA(query(ifna(filter('Data Recording"&amp;"'!E:E,'Data Recording'!D:D=B12),""""), ""Select Col1""))=0,""0"",COUNTA(query(ifna(filter('Data Recording'!E:E,'Data Recording'!D:D=B12),""""), ""Select Col1"")))"),"3/14")</f>
        <v>3/14</v>
      </c>
      <c r="D12" s="53">
        <f>IFERROR(__xludf.DUMMYFUNCTION("iferror(SUM(query(filter('Data Recording'!F:F,'Data Recording'!D:D=B12), ""Select Col1"")),""-"")"),0.0)</f>
        <v>0</v>
      </c>
      <c r="E12" s="53">
        <f>IFERROR(__xludf.DUMMYFUNCTION("iferror(SUM(query(filter('Data Recording'!G:G,'Data Recording'!D:D=B12), ""Select Col1"")),""-"")"),0.0)</f>
        <v>0</v>
      </c>
      <c r="F12" s="54" t="str">
        <f t="shared" si="1"/>
        <v>-</v>
      </c>
      <c r="G12" s="55" t="str">
        <f>IFERROR(__xludf.DUMMYFUNCTION("iferror(AVERAGE(query(filter('Data Recording'!G:G,'Data Recording'!D:D=B12), ""Select Col1"")),""0.00"")"),"0.00")</f>
        <v>0.00</v>
      </c>
      <c r="H12" s="53">
        <f>IFERROR(__xludf.DUMMYFUNCTION("iferror(MAX(query(filter('Data Recording'!G:G,'Data Recording'!D:D=B12), ""Select Col1"")),""-"")"),0.0)</f>
        <v>0</v>
      </c>
      <c r="I12" s="56">
        <f>IFERROR(__xludf.DUMMYFUNCTION("iferror(SUM(query(filter('Data Recording'!H:H,'Data Recording'!D:D=B12), ""Select Col1"")),""-"")"),0.0)</f>
        <v>0</v>
      </c>
      <c r="J12" s="57">
        <f>IFERROR(__xludf.DUMMYFUNCTION("iferror(SUM(query(filter('Data Recording'!I:I,'Data Recording'!D:D=B12), ""Select Col1"")),""-"")"),0.0)</f>
        <v>0</v>
      </c>
      <c r="K12" s="54" t="str">
        <f t="shared" si="2"/>
        <v>-</v>
      </c>
      <c r="L12" s="55" t="str">
        <f>IFERROR(__xludf.DUMMYFUNCTION("iferror(AVERAGE(query(filter('Data Recording'!I:I,'Data Recording'!D:D=B12), ""Select Col1"")),""0.00"")"),"0.00")</f>
        <v>0.00</v>
      </c>
      <c r="M12" s="53">
        <f>IFERROR(__xludf.DUMMYFUNCTION("iferror(MAX(query(filter('Data Recording'!I:I,'Data Recording'!D:D=B12), ""Select Col1"")),""-"")"),0.0)</f>
        <v>0</v>
      </c>
      <c r="N12" s="58">
        <f>IFERROR(__xludf.DUMMYFUNCTION("iferror(SUM(query(filter('Data Recording'!J:J,'Data Recording'!D:D=B12), ""Select Col1"")),""-"")"),0.0)</f>
        <v>0</v>
      </c>
      <c r="O12" s="59">
        <f>IFERROR(__xludf.DUMMYFUNCTION("iferror(SUM(query(filter('Data Recording'!K:K,'Data Recording'!D:D=B12), ""Select Col1"")),""-"")"),0.0)</f>
        <v>0</v>
      </c>
      <c r="P12" s="54" t="str">
        <f t="shared" si="3"/>
        <v>-</v>
      </c>
      <c r="Q12" s="55" t="str">
        <f>IFERROR(__xludf.DUMMYFUNCTION("iferror(AVERAGE(query(filter('Data Recording'!K:K,'Data Recording'!D:D=B12), ""Select Col1"")),""0.00"")"),"0.00")</f>
        <v>0.00</v>
      </c>
      <c r="R12" s="53">
        <f>IFERROR(__xludf.DUMMYFUNCTION("iferror(MAX(query(filter('Data Recording'!K:K,'Data Recording'!D:D=B12), ""Select Col1"")),""-"")"),0.0)</f>
        <v>0</v>
      </c>
      <c r="S12" s="58">
        <f>IFERROR(__xludf.DUMMYFUNCTION("iferror(SUM(query(filter('Data Recording'!L:L,'Data Recording'!D:D=B12), ""Select Col1"")),""-"")"),14.0)</f>
        <v>14</v>
      </c>
      <c r="T12" s="59">
        <f>IFERROR(__xludf.DUMMYFUNCTION("iferror(SUM(query(filter('Data Recording'!M:M,'Data Recording'!D:D=B12), ""Select Col1"")),""-"")"),13.0)</f>
        <v>13</v>
      </c>
      <c r="U12" s="54">
        <f t="shared" si="4"/>
        <v>0.9285714286</v>
      </c>
      <c r="V12" s="55">
        <f>IFERROR(__xludf.DUMMYFUNCTION("iferror(AVERAGE(query(filter('Data Recording'!M:M,'Data Recording'!D:D=B12), ""Select Col1"")),""-"")"),0.9285714285714286)</f>
        <v>0.9285714286</v>
      </c>
      <c r="W12" s="52">
        <f>IFERROR(__xludf.DUMMYFUNCTION("iferror(MAX(query(filter('Data Recording'!M:M,'Data Recording'!D:D=B12), ""Select Col1"")),""-"")"),1.0)</f>
        <v>1</v>
      </c>
      <c r="X12" s="59">
        <f>IFERROR(__xludf.DUMMYFUNCTION("iferror(SUM(query(filter('Data Recording'!N:N,'Data Recording'!D:D=B12), ""Select Col1"")),""-"")"),0.0)</f>
        <v>0</v>
      </c>
      <c r="Y12" s="59">
        <f>IFERROR(__xludf.DUMMYFUNCTION("iferror(SUM(query(filter('Data Recording'!O:O,'Data Recording'!D:D=B12), ""Select Col1"")),""-"")"),0.0)</f>
        <v>0</v>
      </c>
      <c r="Z12" s="54" t="str">
        <f t="shared" si="5"/>
        <v>-</v>
      </c>
      <c r="AA12" s="55" t="str">
        <f>IFERROR(__xludf.DUMMYFUNCTION("iferror(AVERAGE(query(filter('Data Recording'!O:O,'Data Recording'!D:D=B12), ""Select Col1"")),""0.00"")"),"0.00")</f>
        <v>0.00</v>
      </c>
      <c r="AB12" s="52">
        <f>IFERROR(__xludf.DUMMYFUNCTION("iferror(MAX(query(filter('Data Recording'!O:O,'Data Recording'!D:D=B12), ""Select Col1"")),""-"")"),0.0)</f>
        <v>0</v>
      </c>
      <c r="AC12" s="59">
        <f>IFERROR(__xludf.DUMMYFUNCTION("iferror(SUM(query(filter('Data Recording'!P:P,'Data Recording'!D:D=B12), ""Select Col1"")),""-"")"),1.0)</f>
        <v>1</v>
      </c>
      <c r="AD12" s="59">
        <f>IFERROR(__xludf.DUMMYFUNCTION("iferror(SUM(query(filter('Data Recording'!Q:Q,'Data Recording'!D:D=B12), ""Select Col1"")),""-"")"),1.0)</f>
        <v>1</v>
      </c>
      <c r="AE12" s="54">
        <f t="shared" si="6"/>
        <v>1</v>
      </c>
      <c r="AF12" s="55">
        <f>IFERROR(__xludf.DUMMYFUNCTION("iferror(AVERAGE(query(filter('Data Recording'!Q:Q,'Data Recording'!D:D=B12), ""Select Col1"")),""0.00"")"),1.0)</f>
        <v>1</v>
      </c>
      <c r="AG12" s="59">
        <f>IFERROR(__xludf.DUMMYFUNCTION("iferror(MAX(query(filter('Data Recording'!Q:Q,'Data Recording'!D:D=B12), ""Select Col1"")),""-"")"),1.0)</f>
        <v>1</v>
      </c>
      <c r="AH12" s="58" t="str">
        <f>IFERROR(__xludf.DUMMYFUNCTION("if(countif(query(filter('Data Recording'!R:R,'Data Recording'!D:D=B12), ""Select Col1""),""Yes, Engaged"")+countif(query(filter('Data Recording'!R:R,'Data Recording'!D:D=B12), ""Select Col1""),""Yes, Docked"")=0,""0"",countif(query(filter('Data Recording'"&amp;"!R:R,'Data Recording'!D:D=B12), ""Select Col1""),""Yes, Engaged""))+countif(query(filter('Data Recording'!R:R,'Data Recording'!D:D=B12), ""Select Col1""),""Yes, Docked"") &amp; ""/"" &amp; if(COUNTA(query(ifna(filter('Data Recording'!R:R,'Data Recording'!D:D=B12)"&amp;",""""), ""Select Col1""))=0,""0"",COUNTA(query(ifna(filter('Data Recording'!R:R,'Data Recording'!D:D=B12),""""), ""Select Col1"")))"),"8/14")</f>
        <v>8/14</v>
      </c>
      <c r="AI12" s="60" t="str">
        <f>IFERROR(__xludf.DUMMYFUNCTION("if(countif(query(filter('Data Recording'!R:R,'Data Recording'!D:D=B12), ""Select Col1""),""Yes, Engaged"")=0,""0"",countif(query(filter('Data Recording'!R:R,'Data Recording'!D:D=B12), ""Select Col1""),""Yes, Engaged"")) &amp; ""/"" &amp; if(COUNTA(query(ifna(filt"&amp;"er('Data Recording'!R:R,'Data Recording'!D:D=B12),""""), ""Select Col1""))=0,""0"",COUNTA(query(ifna(filter('Data Recording'!R:R,'Data Recording'!D:D=B12),""""), ""Select Col1"")))"),"7/14")</f>
        <v>7/14</v>
      </c>
      <c r="AJ12" s="59">
        <f>IFERROR(__xludf.DUMMYFUNCTION("iferror(SUM(query(filter('Data Recording'!S:S,'Data Recording'!D:D=B12), ""Select Col1"")),""-"")"),15.0)</f>
        <v>15</v>
      </c>
      <c r="AK12" s="59">
        <f>IFERROR(__xludf.DUMMYFUNCTION("iferror(SUM(query(filter('Data Recording'!T:T,'Data Recording'!D:D=B12), ""Select Col1"")),""-"")"),8.0)</f>
        <v>8</v>
      </c>
      <c r="AL12" s="54">
        <f t="shared" si="7"/>
        <v>0.5333333333</v>
      </c>
      <c r="AM12" s="55">
        <f>IFERROR(__xludf.DUMMYFUNCTION("iferror(AVERAGE(query(filter('Data Recording'!T:T,'Data Recording'!D:D=B12), ""Select Col1"")),""0.00"")"),0.8)</f>
        <v>0.8</v>
      </c>
      <c r="AN12" s="61">
        <f>IFERROR(__xludf.DUMMYFUNCTION("iferror(MAX(query(filter('Data Recording'!T:T,'Data Recording'!D:D=B12), ""Select Col1"")),""-"")"),3.0)</f>
        <v>3</v>
      </c>
      <c r="AO12" s="62">
        <f>IFERROR(__xludf.DUMMYFUNCTION("iferror(SUM(query(filter('Data Recording'!U:U,'Data Recording'!D:D=B12), ""Select Col1"")),""-"")"),3.0)</f>
        <v>3</v>
      </c>
      <c r="AP12" s="62">
        <f>IFERROR(__xludf.DUMMYFUNCTION("iferror(SUM(query(filter('Data Recording'!V:V,'Data Recording'!D:D=B12), ""Select Col1"")),""-"")"),3.0)</f>
        <v>3</v>
      </c>
      <c r="AQ12" s="63">
        <f t="shared" si="8"/>
        <v>1</v>
      </c>
      <c r="AR12" s="64">
        <f>IFERROR(__xludf.DUMMYFUNCTION("iferror(AVERAGE(query(filter('Data Recording'!V:V,'Data Recording'!D:D=B12), ""Select Col1"")),""0.00"")"),1.5)</f>
        <v>1.5</v>
      </c>
      <c r="AS12" s="65">
        <f>IFERROR(__xludf.DUMMYFUNCTION("iferror(MAX(query(filter('Data Recording'!V:V,'Data Recording'!D:D=B12), ""Select Col1"")),""-"")"),2.0)</f>
        <v>2</v>
      </c>
      <c r="AT12" s="62">
        <f>IFERROR(__xludf.DUMMYFUNCTION("iferror(SUM(query(filter('Data Recording'!W:W,'Data Recording'!D:D=B12), ""Select Col1"")),""-"")"),6.0)</f>
        <v>6</v>
      </c>
      <c r="AU12" s="62">
        <f>IFERROR(__xludf.DUMMYFUNCTION("iferror(SUM(query(filter('Data Recording'!X:X,'Data Recording'!D:D=B12), ""Select Col1"")),""-"")"),6.0)</f>
        <v>6</v>
      </c>
      <c r="AV12" s="63">
        <f t="shared" si="9"/>
        <v>1</v>
      </c>
      <c r="AW12" s="64">
        <f>IFERROR(__xludf.DUMMYFUNCTION("iferror(AVERAGE(query(filter('Data Recording'!X:X,'Data Recording'!D:D=B12), ""Select Col1"")),""0.00"")"),1.0)</f>
        <v>1</v>
      </c>
      <c r="AX12" s="65">
        <f>IFERROR(__xludf.DUMMYFUNCTION("iferror(MAX(query(filter('Data Recording'!X:X,'Data Recording'!D:D=B12), ""Select Col1"")),""-"")"),1.0)</f>
        <v>1</v>
      </c>
      <c r="AY12" s="62">
        <f>IFERROR(__xludf.DUMMYFUNCTION("iferror(SUM(query(filter('Data Recording'!Y:Y,'Data Recording'!D:D=B12), ""Select Col1"")),""-"")"),12.0)</f>
        <v>12</v>
      </c>
      <c r="AZ12" s="62">
        <f>IFERROR(__xludf.DUMMYFUNCTION("iferror(SUM(query(filter('Data Recording'!Z:Z,'Data Recording'!D:D=B12), ""Select Col1"")),""-"")"),11.0)</f>
        <v>11</v>
      </c>
      <c r="BA12" s="63">
        <f t="shared" si="10"/>
        <v>0.9166666667</v>
      </c>
      <c r="BB12" s="64">
        <f>IFERROR(__xludf.DUMMYFUNCTION("iferror(AVERAGE(query(filter('Data Recording'!Z:Z,'Data Recording'!D:D=B12), ""Select Col1"")),""0.00"")"),1.375)</f>
        <v>1.375</v>
      </c>
      <c r="BC12" s="65">
        <f>IFERROR(__xludf.DUMMYFUNCTION("iferror(MAX(query(filter('Data Recording'!Z:Z,'Data Recording'!D:D=B12), ""Select Col1"")),""-"")"),2.0)</f>
        <v>2</v>
      </c>
      <c r="BD12" s="62">
        <f>IFERROR(__xludf.DUMMYFUNCTION("iferror(SUM(query(filter('Data Recording'!AA:AA,'Data Recording'!D:D=B12), ""Select Col1"")),""-"")"),0.0)</f>
        <v>0</v>
      </c>
      <c r="BE12" s="62">
        <f>IFERROR(__xludf.DUMMYFUNCTION("iferror(SUM(query(filter('Data Recording'!AB:AB,'Data Recording'!D:D=B12), ""Select Col1"")),""-"")"),0.0)</f>
        <v>0</v>
      </c>
      <c r="BF12" s="63" t="str">
        <f t="shared" si="11"/>
        <v>-</v>
      </c>
      <c r="BG12" s="64" t="str">
        <f>IFERROR(__xludf.DUMMYFUNCTION("iferror(AVERAGE(query(filter('Data Recording'!AB:AB,'Data Recording'!D:D=B12), ""Select Col1"")),""0.00"")"),"0.00")</f>
        <v>0.00</v>
      </c>
      <c r="BH12" s="65">
        <f>IFERROR(__xludf.DUMMYFUNCTION("iferror(MAX(query(filter('Data Recording'!AB:AB,'Data Recording'!D:D=B12), ""Select Col1"")),""-"")"),0.0)</f>
        <v>0</v>
      </c>
      <c r="BI12" s="62">
        <f>IFERROR(__xludf.DUMMYFUNCTION("iferror(SUM(query(filter('Data Recording'!AC:AC,'Data Recording'!D:D=B12), ""Select Col1"")),""-"")"),0.0)</f>
        <v>0</v>
      </c>
      <c r="BJ12" s="62">
        <f>IFERROR(__xludf.DUMMYFUNCTION("iferror(SUM(query(filter('Data Recording'!AD:AD,'Data Recording'!D:D=B12), ""Select Col1"")),""-"")"),0.0)</f>
        <v>0</v>
      </c>
      <c r="BK12" s="63" t="str">
        <f t="shared" si="12"/>
        <v>-</v>
      </c>
      <c r="BL12" s="64" t="str">
        <f>IFERROR(__xludf.DUMMYFUNCTION("iferror(AVERAGE(query(filter('Data Recording'!AD:AD,'Data Recording'!D:D=B12), ""Select Col1"")),""0.00"")"),"0.00")</f>
        <v>0.00</v>
      </c>
      <c r="BM12" s="65">
        <f>IFERROR(__xludf.DUMMYFUNCTION("iferror(MAX(query(filter('Data Recording'!AD:AD,'Data Recording'!D:D=B12), ""Select Col1"")),""-"")"),0.0)</f>
        <v>0</v>
      </c>
      <c r="BN12" s="66" t="str">
        <f>IFERROR(__xludf.DUMMYFUNCTION("if(countif(query(filter('Data Recording'!AE:AE,'Data Recording'!D:D=B12), ""Select Col1""),""Yes, Engaged"")+countif(query(filter('Data Recording'!AE:AE,'Data Recording'!D:D=B12), ""Select Col1""),""Yes, Docked"")=0,""0"",countif(query(filter('Data Record"&amp;"ing'!AE:AE,'Data Recording'!D:D=B12), ""Select Col1""),""Yes, Engaged""))+countif(query(filter('Data Recording'!AE:AE,'Data Recording'!D:D=B12), ""Select Col1""),""Yes, Docked"") &amp; ""/"" &amp; if(COUNTA(query(ifna(filter('Data Recording'!AE:AE,'Data Recording"&amp;"'!D:D=B12),""""), ""Select Col1""))=0,""0"",COUNTA(query(ifna(filter('Data Recording'!AE:AE,'Data Recording'!D:D=B12),""""), ""Select Col1"")))"),"10/14")</f>
        <v>10/14</v>
      </c>
      <c r="BO12" s="67" t="str">
        <f>IFERROR(__xludf.DUMMYFUNCTION("if(countif(query(filter('Data Recording'!AE:AE,'Data Recording'!D:D=B12), ""Select Col1""),""Yes, Engaged"")=0,""0"",countif(query(filter('Data Recording'!AE:AE,'Data Recording'!D:D=B12), ""Select Col1""),""Yes, Engaged"")) &amp; ""/"" &amp; if(COUNTA(query(ifna("&amp;"filter('Data Recording'!AE:AE,'Data Recording'!D:D=B12),""""), ""Select Col1""))=0,""0"",COUNTA(query(ifna(filter('Data Recording'!AE:AE,'Data Recording'!D:D=B12),""""), ""Select Col1"")))"),"10/14")</f>
        <v>10/14</v>
      </c>
      <c r="BP12" s="60" t="str">
        <f>IFERROR(__xludf.DUMMYFUNCTION("if(countif(query(filter('Data Recording'!AH:AH,'Data Recording'!D:D=B12), ""Select Col1""),""Yes"")=0,""0"",countif(query(filter('Data Recording'!AH:AH,'Data Recording'!D:D=B12), ""Select Col1""),""Yes"")) &amp; ""/"" &amp; if(COUNTA(query(ifna(filter('Data Recor"&amp;"ding'!AH:AH,'Data Recording'!D:D=B12),""""), ""Select Col1""))=0,""0"",COUNTA(query(ifna(filter('Data Recording'!AH:AH,'Data Recording'!D:D=B12),""""), ""Select Col1"")))"),"0/14")</f>
        <v>0/14</v>
      </c>
      <c r="BQ12" s="68">
        <v>0.0</v>
      </c>
      <c r="BR12" s="55">
        <f>IFERROR(__xludf.DUMMYFUNCTION("iferror(average(query(filter('Data Recording'!AF:AF,'Data Recording'!D:D=B12), ""Select Col1"")),""-"")"),2.0714285714285716)</f>
        <v>2.071428571</v>
      </c>
      <c r="BS12" s="69">
        <f>IFERROR(__xludf.DUMMYFUNCTION("iferror(average(query(filter('Data Recording'!AG:AG,'Data Recording'!D:D=B12), ""Select Col1"")),""-"")"),0.0)</f>
        <v>0</v>
      </c>
      <c r="BT12" s="70">
        <f t="shared" si="13"/>
        <v>47.94642857</v>
      </c>
      <c r="BU12" s="70">
        <f>IFERROR(__xludf.DUMMYFUNCTION("iferror(AVERAGE(query(filter('Data Recording'!AJ:AJ,'Data Recording'!D:D=B12), ""Select Col1"")),""-"")"),28.857142857142858)</f>
        <v>28.85714286</v>
      </c>
      <c r="BV12" s="70">
        <f>IFERROR(__xludf.DUMMYFUNCTION("iferror(AVERAGE(query(filter('Data Recording'!AK:AK,'Data Recording'!D:D=B12), ""Select Col1"")),""-"")"),14.071428571428571)</f>
        <v>14.07142857</v>
      </c>
      <c r="BW12" s="70">
        <f t="shared" si="14"/>
        <v>25.94642857</v>
      </c>
      <c r="BX12" s="71">
        <f>IFERROR(__xludf.DUMMYFUNCTION("iferror(max(query(filter('Data Recording'!AJ:AJ,'Data Recording'!D:D=B12), ""Select Col1"")),""-"")"),48.0)</f>
        <v>48</v>
      </c>
      <c r="BY12" s="72">
        <f>IFERROR(__xludf.DUMMYFUNCTION("iferror(MIN(query(filter('Data Recording'!AJ:AJ,'Data Recording'!D:D=B12), ""Select Col1"")),""-"")"),14.0)</f>
        <v>14</v>
      </c>
      <c r="BZ12" s="73" t="str">
        <f>IFERROR(__xludf.DUMMYFUNCTION("iferror(if(DIVIDE(COUNTIF(query(filter('Data Recording'!R:R,'Data Recording'!D:D=B12), ""Select Col1""),""Yes, Docked"") + countif(query(filter('Data Recording'!R:R,'Data Recording'!D:D=B12), ""Select Col1""),""Yes, Engaged""),COUNTA(query(ifna(filter('Da"&amp;"ta Recording'!R:R,'Data Recording'!D:D=B12),""""), ""Select Col1"")))&gt;=(0.5),""1"",""0""),""-"")"),"1")</f>
        <v>1</v>
      </c>
      <c r="CA12" s="59" t="str">
        <f>IFERROR(__xludf.DUMMYFUNCTION("iferror(if(countif(query(filter('Data Recording'!R:R,'Data Recording'!D:D=B12), ""Select Col1""),""Yes, Engaged"")/COUNTA(query(ifna(filter('Data Recording'!R:R,'Data Recording'!D:D=B12),""""), ""Select Col1""))&gt;=(0.5),""1"",""0""),""-"")"),"1")</f>
        <v>1</v>
      </c>
      <c r="CB12" s="74" t="str">
        <f>IFERROR(__xludf.DUMMYFUNCTION("iferror(if(DIVIDE(COUNTIF(query(filter('Data Recording'!AE:AE,'Data Recording'!D:D=B12), ""Select Col1""),""Yes, Docked"") + countif(query(filter('Data Recording'!AE:AE,'Data Recording'!D:D=B12), ""Select Col1""),""Yes, Engaged""),COUNTA(query(ifna(filter"&amp;"('Data Recording'!AE:AE,'Data Recording'!D:D=B12),""""), ""Select Col1"")))&gt;=(0.5),""1"",""0""),""-"")"),"1")</f>
        <v>1</v>
      </c>
      <c r="CC12" s="59" t="str">
        <f>IFERROR(__xludf.DUMMYFUNCTION("iferror(if(countif(query(filter('Data Recording'!AE:AE,'Data Recording'!D:D=B12), ""Select Col1""),""Yes, Engaged"")/COUNTA(query(ifna(filter('Data Recording'!AE:AE,'Data Recording'!D:D=B12),""""), ""Select Col1""))&gt;=(0.5),""1"",""0""),""-"")"),"1")</f>
        <v>1</v>
      </c>
      <c r="CD12" s="74" t="str">
        <f>IFERROR(__xludf.DUMMYFUNCTION("iferror(if(DIVIDE(countif(query(filter('Data Recording'!E:E,'Data Recording'!D:D=B12), ""Select Col1""),""Yes""),COUNTA(query(ifna(filter('Data Recording'!E:E,'Data Recording'!D:D=B12),""""), ""Select Col1"")))&gt;=(0.5),""1"",""0""),""-"")"),"0")</f>
        <v>0</v>
      </c>
    </row>
    <row r="13">
      <c r="A13" s="51" t="s">
        <v>46</v>
      </c>
      <c r="B13" s="51">
        <v>815.0</v>
      </c>
      <c r="C13" s="52" t="str">
        <f>IFERROR(__xludf.DUMMYFUNCTION("if(countif(query(filter('Data Recording'!E:E,'Data Recording'!D:D=B13), ""Select Col1""),""Yes"")=0,""0"",countif(query(filter('Data Recording'!E:E,'Data Recording'!D:D=B13), ""Select Col1""),""Yes"")) &amp; ""/"" &amp; if(COUNTA(query(ifna(filter('Data Recording"&amp;"'!E:E,'Data Recording'!D:D=B13),""""), ""Select Col1""))=0,""0"",COUNTA(query(ifna(filter('Data Recording'!E:E,'Data Recording'!D:D=B13),""""), ""Select Col1"")))"),"12/15")</f>
        <v>12/15</v>
      </c>
      <c r="D13" s="53">
        <f>IFERROR(__xludf.DUMMYFUNCTION("iferror(SUM(query(filter('Data Recording'!F:F,'Data Recording'!D:D=B13), ""Select Col1"")),""-"")"),10.0)</f>
        <v>10</v>
      </c>
      <c r="E13" s="53">
        <f>IFERROR(__xludf.DUMMYFUNCTION("iferror(SUM(query(filter('Data Recording'!G:G,'Data Recording'!D:D=B13), ""Select Col1"")),""-"")"),10.0)</f>
        <v>10</v>
      </c>
      <c r="F13" s="54">
        <f t="shared" si="1"/>
        <v>1</v>
      </c>
      <c r="G13" s="55">
        <f>IFERROR(__xludf.DUMMYFUNCTION("iferror(AVERAGE(query(filter('Data Recording'!G:G,'Data Recording'!D:D=B13), ""Select Col1"")),""0.00"")"),1.0)</f>
        <v>1</v>
      </c>
      <c r="H13" s="53">
        <f>IFERROR(__xludf.DUMMYFUNCTION("iferror(MAX(query(filter('Data Recording'!G:G,'Data Recording'!D:D=B13), ""Select Col1"")),""-"")"),1.0)</f>
        <v>1</v>
      </c>
      <c r="I13" s="56">
        <f>IFERROR(__xludf.DUMMYFUNCTION("iferror(SUM(query(filter('Data Recording'!H:H,'Data Recording'!D:D=B13), ""Select Col1"")),""-"")"),0.0)</f>
        <v>0</v>
      </c>
      <c r="J13" s="57">
        <f>IFERROR(__xludf.DUMMYFUNCTION("iferror(SUM(query(filter('Data Recording'!I:I,'Data Recording'!D:D=B13), ""Select Col1"")),""-"")"),0.0)</f>
        <v>0</v>
      </c>
      <c r="K13" s="54" t="str">
        <f t="shared" si="2"/>
        <v>-</v>
      </c>
      <c r="L13" s="55" t="str">
        <f>IFERROR(__xludf.DUMMYFUNCTION("iferror(AVERAGE(query(filter('Data Recording'!I:I,'Data Recording'!D:D=B13), ""Select Col1"")),""0.00"")"),"0.00")</f>
        <v>0.00</v>
      </c>
      <c r="M13" s="53">
        <f>IFERROR(__xludf.DUMMYFUNCTION("iferror(MAX(query(filter('Data Recording'!I:I,'Data Recording'!D:D=B13), ""Select Col1"")),""-"")"),0.0)</f>
        <v>0</v>
      </c>
      <c r="N13" s="58">
        <f>IFERROR(__xludf.DUMMYFUNCTION("iferror(SUM(query(filter('Data Recording'!J:J,'Data Recording'!D:D=B13), ""Select Col1"")),""-"")"),0.0)</f>
        <v>0</v>
      </c>
      <c r="O13" s="59">
        <f>IFERROR(__xludf.DUMMYFUNCTION("iferror(SUM(query(filter('Data Recording'!K:K,'Data Recording'!D:D=B13), ""Select Col1"")),""-"")"),0.0)</f>
        <v>0</v>
      </c>
      <c r="P13" s="54" t="str">
        <f t="shared" si="3"/>
        <v>-</v>
      </c>
      <c r="Q13" s="55" t="str">
        <f>IFERROR(__xludf.DUMMYFUNCTION("iferror(AVERAGE(query(filter('Data Recording'!K:K,'Data Recording'!D:D=B13), ""Select Col1"")),""0.00"")"),"0.00")</f>
        <v>0.00</v>
      </c>
      <c r="R13" s="53">
        <f>IFERROR(__xludf.DUMMYFUNCTION("iferror(MAX(query(filter('Data Recording'!K:K,'Data Recording'!D:D=B13), ""Select Col1"")),""-"")"),0.0)</f>
        <v>0</v>
      </c>
      <c r="S13" s="58">
        <f>IFERROR(__xludf.DUMMYFUNCTION("iferror(SUM(query(filter('Data Recording'!L:L,'Data Recording'!D:D=B13), ""Select Col1"")),""-"")"),0.0)</f>
        <v>0</v>
      </c>
      <c r="T13" s="59">
        <f>IFERROR(__xludf.DUMMYFUNCTION("iferror(SUM(query(filter('Data Recording'!M:M,'Data Recording'!D:D=B13), ""Select Col1"")),""-"")"),0.0)</f>
        <v>0</v>
      </c>
      <c r="U13" s="54" t="str">
        <f t="shared" si="4"/>
        <v>-</v>
      </c>
      <c r="V13" s="55" t="str">
        <f>IFERROR(__xludf.DUMMYFUNCTION("iferror(AVERAGE(query(filter('Data Recording'!M:M,'Data Recording'!D:D=B13), ""Select Col1"")),""-"")"),"-")</f>
        <v>-</v>
      </c>
      <c r="W13" s="52">
        <f>IFERROR(__xludf.DUMMYFUNCTION("iferror(MAX(query(filter('Data Recording'!M:M,'Data Recording'!D:D=B13), ""Select Col1"")),""-"")"),0.0)</f>
        <v>0</v>
      </c>
      <c r="X13" s="59">
        <f>IFERROR(__xludf.DUMMYFUNCTION("iferror(SUM(query(filter('Data Recording'!N:N,'Data Recording'!D:D=B13), ""Select Col1"")),""-"")"),0.0)</f>
        <v>0</v>
      </c>
      <c r="Y13" s="59">
        <f>IFERROR(__xludf.DUMMYFUNCTION("iferror(SUM(query(filter('Data Recording'!O:O,'Data Recording'!D:D=B13), ""Select Col1"")),""-"")"),0.0)</f>
        <v>0</v>
      </c>
      <c r="Z13" s="54" t="str">
        <f t="shared" si="5"/>
        <v>-</v>
      </c>
      <c r="AA13" s="55" t="str">
        <f>IFERROR(__xludf.DUMMYFUNCTION("iferror(AVERAGE(query(filter('Data Recording'!O:O,'Data Recording'!D:D=B13), ""Select Col1"")),""0.00"")"),"0.00")</f>
        <v>0.00</v>
      </c>
      <c r="AB13" s="52">
        <f>IFERROR(__xludf.DUMMYFUNCTION("iferror(MAX(query(filter('Data Recording'!O:O,'Data Recording'!D:D=B13), ""Select Col1"")),""-"")"),0.0)</f>
        <v>0</v>
      </c>
      <c r="AC13" s="59">
        <f>IFERROR(__xludf.DUMMYFUNCTION("iferror(SUM(query(filter('Data Recording'!P:P,'Data Recording'!D:D=B13), ""Select Col1"")),""-"")"),0.0)</f>
        <v>0</v>
      </c>
      <c r="AD13" s="59">
        <f>IFERROR(__xludf.DUMMYFUNCTION("iferror(SUM(query(filter('Data Recording'!Q:Q,'Data Recording'!D:D=B13), ""Select Col1"")),""-"")"),0.0)</f>
        <v>0</v>
      </c>
      <c r="AE13" s="54" t="str">
        <f t="shared" si="6"/>
        <v>-</v>
      </c>
      <c r="AF13" s="55" t="str">
        <f>IFERROR(__xludf.DUMMYFUNCTION("iferror(AVERAGE(query(filter('Data Recording'!Q:Q,'Data Recording'!D:D=B13), ""Select Col1"")),""0.00"")"),"0.00")</f>
        <v>0.00</v>
      </c>
      <c r="AG13" s="59">
        <f>IFERROR(__xludf.DUMMYFUNCTION("iferror(MAX(query(filter('Data Recording'!Q:Q,'Data Recording'!D:D=B13), ""Select Col1"")),""-"")"),0.0)</f>
        <v>0</v>
      </c>
      <c r="AH13" s="58" t="str">
        <f>IFERROR(__xludf.DUMMYFUNCTION("if(countif(query(filter('Data Recording'!R:R,'Data Recording'!D:D=B13), ""Select Col1""),""Yes, Engaged"")+countif(query(filter('Data Recording'!R:R,'Data Recording'!D:D=B13), ""Select Col1""),""Yes, Docked"")=0,""0"",countif(query(filter('Data Recording'"&amp;"!R:R,'Data Recording'!D:D=B13), ""Select Col1""),""Yes, Engaged""))+countif(query(filter('Data Recording'!R:R,'Data Recording'!D:D=B13), ""Select Col1""),""Yes, Docked"") &amp; ""/"" &amp; if(COUNTA(query(ifna(filter('Data Recording'!R:R,'Data Recording'!D:D=B13)"&amp;",""""), ""Select Col1""))=0,""0"",COUNTA(query(ifna(filter('Data Recording'!R:R,'Data Recording'!D:D=B13),""""), ""Select Col1"")))"),"6/15")</f>
        <v>6/15</v>
      </c>
      <c r="AI13" s="60" t="str">
        <f>IFERROR(__xludf.DUMMYFUNCTION("if(countif(query(filter('Data Recording'!R:R,'Data Recording'!D:D=B13), ""Select Col1""),""Yes, Engaged"")=0,""0"",countif(query(filter('Data Recording'!R:R,'Data Recording'!D:D=B13), ""Select Col1""),""Yes, Engaged"")) &amp; ""/"" &amp; if(COUNTA(query(ifna(filt"&amp;"er('Data Recording'!R:R,'Data Recording'!D:D=B13),""""), ""Select Col1""))=0,""0"",COUNTA(query(ifna(filter('Data Recording'!R:R,'Data Recording'!D:D=B13),""""), ""Select Col1"")))"),"3/15")</f>
        <v>3/15</v>
      </c>
      <c r="AJ13" s="59">
        <f>IFERROR(__xludf.DUMMYFUNCTION("iferror(SUM(query(filter('Data Recording'!S:S,'Data Recording'!D:D=B13), ""Select Col1"")),""-"")"),21.0)</f>
        <v>21</v>
      </c>
      <c r="AK13" s="59">
        <f>IFERROR(__xludf.DUMMYFUNCTION("iferror(SUM(query(filter('Data Recording'!T:T,'Data Recording'!D:D=B13), ""Select Col1"")),""-"")"),19.0)</f>
        <v>19</v>
      </c>
      <c r="AL13" s="54">
        <f t="shared" si="7"/>
        <v>0.9047619048</v>
      </c>
      <c r="AM13" s="55">
        <f>IFERROR(__xludf.DUMMYFUNCTION("iferror(AVERAGE(query(filter('Data Recording'!T:T,'Data Recording'!D:D=B13), ""Select Col1"")),""0.00"")"),2.111111111111111)</f>
        <v>2.111111111</v>
      </c>
      <c r="AN13" s="61">
        <f>IFERROR(__xludf.DUMMYFUNCTION("iferror(MAX(query(filter('Data Recording'!T:T,'Data Recording'!D:D=B13), ""Select Col1"")),""-"")"),4.0)</f>
        <v>4</v>
      </c>
      <c r="AO13" s="62">
        <f>IFERROR(__xludf.DUMMYFUNCTION("iferror(SUM(query(filter('Data Recording'!U:U,'Data Recording'!D:D=B13), ""Select Col1"")),""-"")"),9.0)</f>
        <v>9</v>
      </c>
      <c r="AP13" s="62">
        <f>IFERROR(__xludf.DUMMYFUNCTION("iferror(SUM(query(filter('Data Recording'!V:V,'Data Recording'!D:D=B13), ""Select Col1"")),""-"")"),8.0)</f>
        <v>8</v>
      </c>
      <c r="AQ13" s="63">
        <f t="shared" si="8"/>
        <v>0.8888888889</v>
      </c>
      <c r="AR13" s="64">
        <f>IFERROR(__xludf.DUMMYFUNCTION("iferror(AVERAGE(query(filter('Data Recording'!V:V,'Data Recording'!D:D=B13), ""Select Col1"")),""0.00"")"),1.3333333333333333)</f>
        <v>1.333333333</v>
      </c>
      <c r="AS13" s="65">
        <f>IFERROR(__xludf.DUMMYFUNCTION("iferror(MAX(query(filter('Data Recording'!V:V,'Data Recording'!D:D=B13), ""Select Col1"")),""-"")"),3.0)</f>
        <v>3</v>
      </c>
      <c r="AT13" s="62">
        <f>IFERROR(__xludf.DUMMYFUNCTION("iferror(SUM(query(filter('Data Recording'!W:W,'Data Recording'!D:D=B13), ""Select Col1"")),""-"")"),6.0)</f>
        <v>6</v>
      </c>
      <c r="AU13" s="62">
        <f>IFERROR(__xludf.DUMMYFUNCTION("iferror(SUM(query(filter('Data Recording'!X:X,'Data Recording'!D:D=B13), ""Select Col1"")),""-"")"),6.0)</f>
        <v>6</v>
      </c>
      <c r="AV13" s="63">
        <f t="shared" si="9"/>
        <v>1</v>
      </c>
      <c r="AW13" s="64">
        <f>IFERROR(__xludf.DUMMYFUNCTION("iferror(AVERAGE(query(filter('Data Recording'!X:X,'Data Recording'!D:D=B13), ""Select Col1"")),""0.00"")"),1.5)</f>
        <v>1.5</v>
      </c>
      <c r="AX13" s="65">
        <f>IFERROR(__xludf.DUMMYFUNCTION("iferror(MAX(query(filter('Data Recording'!X:X,'Data Recording'!D:D=B13), ""Select Col1"")),""-"")"),2.0)</f>
        <v>2</v>
      </c>
      <c r="AY13" s="62">
        <f>IFERROR(__xludf.DUMMYFUNCTION("iferror(SUM(query(filter('Data Recording'!Y:Y,'Data Recording'!D:D=B13), ""Select Col1"")),""-"")"),3.0)</f>
        <v>3</v>
      </c>
      <c r="AZ13" s="62">
        <f>IFERROR(__xludf.DUMMYFUNCTION("iferror(SUM(query(filter('Data Recording'!Z:Z,'Data Recording'!D:D=B13), ""Select Col1"")),""-"")"),3.0)</f>
        <v>3</v>
      </c>
      <c r="BA13" s="63">
        <f t="shared" si="10"/>
        <v>1</v>
      </c>
      <c r="BB13" s="64">
        <f>IFERROR(__xludf.DUMMYFUNCTION("iferror(AVERAGE(query(filter('Data Recording'!Z:Z,'Data Recording'!D:D=B13), ""Select Col1"")),""0.00"")"),1.0)</f>
        <v>1</v>
      </c>
      <c r="BC13" s="65">
        <f>IFERROR(__xludf.DUMMYFUNCTION("iferror(MAX(query(filter('Data Recording'!Z:Z,'Data Recording'!D:D=B13), ""Select Col1"")),""-"")"),1.0)</f>
        <v>1</v>
      </c>
      <c r="BD13" s="62">
        <f>IFERROR(__xludf.DUMMYFUNCTION("iferror(SUM(query(filter('Data Recording'!AA:AA,'Data Recording'!D:D=B13), ""Select Col1"")),""-"")"),1.0)</f>
        <v>1</v>
      </c>
      <c r="BE13" s="62">
        <f>IFERROR(__xludf.DUMMYFUNCTION("iferror(SUM(query(filter('Data Recording'!AB:AB,'Data Recording'!D:D=B13), ""Select Col1"")),""-"")"),1.0)</f>
        <v>1</v>
      </c>
      <c r="BF13" s="63">
        <f t="shared" si="11"/>
        <v>1</v>
      </c>
      <c r="BG13" s="64">
        <f>IFERROR(__xludf.DUMMYFUNCTION("iferror(AVERAGE(query(filter('Data Recording'!AB:AB,'Data Recording'!D:D=B13), ""Select Col1"")),""0.00"")"),1.0)</f>
        <v>1</v>
      </c>
      <c r="BH13" s="65">
        <f>IFERROR(__xludf.DUMMYFUNCTION("iferror(MAX(query(filter('Data Recording'!AB:AB,'Data Recording'!D:D=B13), ""Select Col1"")),""-"")"),1.0)</f>
        <v>1</v>
      </c>
      <c r="BI13" s="62">
        <f>IFERROR(__xludf.DUMMYFUNCTION("iferror(SUM(query(filter('Data Recording'!AC:AC,'Data Recording'!D:D=B13), ""Select Col1"")),""-"")"),2.0)</f>
        <v>2</v>
      </c>
      <c r="BJ13" s="62">
        <f>IFERROR(__xludf.DUMMYFUNCTION("iferror(SUM(query(filter('Data Recording'!AD:AD,'Data Recording'!D:D=B13), ""Select Col1"")),""-"")"),2.0)</f>
        <v>2</v>
      </c>
      <c r="BK13" s="63">
        <f t="shared" si="12"/>
        <v>1</v>
      </c>
      <c r="BL13" s="64">
        <f>IFERROR(__xludf.DUMMYFUNCTION("iferror(AVERAGE(query(filter('Data Recording'!AD:AD,'Data Recording'!D:D=B13), ""Select Col1"")),""0.00"")"),2.0)</f>
        <v>2</v>
      </c>
      <c r="BM13" s="65">
        <f>IFERROR(__xludf.DUMMYFUNCTION("iferror(MAX(query(filter('Data Recording'!AD:AD,'Data Recording'!D:D=B13), ""Select Col1"")),""-"")"),2.0)</f>
        <v>2</v>
      </c>
      <c r="BN13" s="66" t="str">
        <f>IFERROR(__xludf.DUMMYFUNCTION("if(countif(query(filter('Data Recording'!AE:AE,'Data Recording'!D:D=B13), ""Select Col1""),""Yes, Engaged"")+countif(query(filter('Data Recording'!AE:AE,'Data Recording'!D:D=B13), ""Select Col1""),""Yes, Docked"")=0,""0"",countif(query(filter('Data Record"&amp;"ing'!AE:AE,'Data Recording'!D:D=B13), ""Select Col1""),""Yes, Engaged""))+countif(query(filter('Data Recording'!AE:AE,'Data Recording'!D:D=B13), ""Select Col1""),""Yes, Docked"") &amp; ""/"" &amp; if(COUNTA(query(ifna(filter('Data Recording'!AE:AE,'Data Recording"&amp;"'!D:D=B13),""""), ""Select Col1""))=0,""0"",COUNTA(query(ifna(filter('Data Recording'!AE:AE,'Data Recording'!D:D=B13),""""), ""Select Col1"")))"),"10/15")</f>
        <v>10/15</v>
      </c>
      <c r="BO13" s="67" t="str">
        <f>IFERROR(__xludf.DUMMYFUNCTION("if(countif(query(filter('Data Recording'!AE:AE,'Data Recording'!D:D=B13), ""Select Col1""),""Yes, Engaged"")=0,""0"",countif(query(filter('Data Recording'!AE:AE,'Data Recording'!D:D=B13), ""Select Col1""),""Yes, Engaged"")) &amp; ""/"" &amp; if(COUNTA(query(ifna("&amp;"filter('Data Recording'!AE:AE,'Data Recording'!D:D=B13),""""), ""Select Col1""))=0,""0"",COUNTA(query(ifna(filter('Data Recording'!AE:AE,'Data Recording'!D:D=B13),""""), ""Select Col1"")))"),"10/15")</f>
        <v>10/15</v>
      </c>
      <c r="BP13" s="60" t="str">
        <f>IFERROR(__xludf.DUMMYFUNCTION("if(countif(query(filter('Data Recording'!AH:AH,'Data Recording'!D:D=B13), ""Select Col1""),""Yes"")=0,""0"",countif(query(filter('Data Recording'!AH:AH,'Data Recording'!D:D=B13), ""Select Col1""),""Yes"")) &amp; ""/"" &amp; if(COUNTA(query(ifna(filter('Data Recor"&amp;"ding'!AH:AH,'Data Recording'!D:D=B13),""""), ""Select Col1""))=0,""0"",COUNTA(query(ifna(filter('Data Recording'!AH:AH,'Data Recording'!D:D=B13),""""), ""Select Col1"")))"),"4/15")</f>
        <v>4/15</v>
      </c>
      <c r="BQ13" s="75">
        <v>0.2666</v>
      </c>
      <c r="BR13" s="55">
        <f>IFERROR(__xludf.DUMMYFUNCTION("iferror(average(query(filter('Data Recording'!AF:AF,'Data Recording'!D:D=B13), ""Select Col1"")),""-"")"),1.9333333333333333)</f>
        <v>1.933333333</v>
      </c>
      <c r="BS13" s="69">
        <f>IFERROR(__xludf.DUMMYFUNCTION("iferror(average(query(filter('Data Recording'!AG:AG,'Data Recording'!D:D=B13), ""Select Col1"")),""-"")"),0.26666666666666666)</f>
        <v>0.2666666667</v>
      </c>
      <c r="BT13" s="70">
        <f t="shared" si="13"/>
        <v>48.55555556</v>
      </c>
      <c r="BU13" s="70">
        <f>IFERROR(__xludf.DUMMYFUNCTION("iferror(AVERAGE(query(filter('Data Recording'!AJ:AJ,'Data Recording'!D:D=B13), ""Select Col1"")),""-"")"),27.466666666666665)</f>
        <v>27.46666667</v>
      </c>
      <c r="BV13" s="70">
        <f>IFERROR(__xludf.DUMMYFUNCTION("iferror(AVERAGE(query(filter('Data Recording'!AK:AK,'Data Recording'!D:D=B13), ""Select Col1"")),""-"")"),14.2)</f>
        <v>14.2</v>
      </c>
      <c r="BW13" s="70">
        <f t="shared" si="14"/>
        <v>35.55555556</v>
      </c>
      <c r="BX13" s="71">
        <f>IFERROR(__xludf.DUMMYFUNCTION("iferror(max(query(filter('Data Recording'!AJ:AJ,'Data Recording'!D:D=B13), ""Select Col1"")),""-"")"),42.0)</f>
        <v>42</v>
      </c>
      <c r="BY13" s="72">
        <f>IFERROR(__xludf.DUMMYFUNCTION("iferror(MIN(query(filter('Data Recording'!AJ:AJ,'Data Recording'!D:D=B13), ""Select Col1"")),""-"")"),18.0)</f>
        <v>18</v>
      </c>
      <c r="BZ13" s="73" t="str">
        <f>IFERROR(__xludf.DUMMYFUNCTION("iferror(if(DIVIDE(COUNTIF(query(filter('Data Recording'!R:R,'Data Recording'!D:D=B13), ""Select Col1""),""Yes, Docked"") + countif(query(filter('Data Recording'!R:R,'Data Recording'!D:D=B13), ""Select Col1""),""Yes, Engaged""),COUNTA(query(ifna(filter('Da"&amp;"ta Recording'!R:R,'Data Recording'!D:D=B13),""""), ""Select Col1"")))&gt;=(0.5),""1"",""0""),""-"")"),"0")</f>
        <v>0</v>
      </c>
      <c r="CA13" s="59" t="str">
        <f>IFERROR(__xludf.DUMMYFUNCTION("iferror(if(countif(query(filter('Data Recording'!R:R,'Data Recording'!D:D=B13), ""Select Col1""),""Yes, Engaged"")/COUNTA(query(ifna(filter('Data Recording'!R:R,'Data Recording'!D:D=B13),""""), ""Select Col1""))&gt;=(0.5),""1"",""0""),""-"")"),"0")</f>
        <v>0</v>
      </c>
      <c r="CB13" s="74" t="str">
        <f>IFERROR(__xludf.DUMMYFUNCTION("iferror(if(DIVIDE(COUNTIF(query(filter('Data Recording'!AE:AE,'Data Recording'!D:D=B13), ""Select Col1""),""Yes, Docked"") + countif(query(filter('Data Recording'!AE:AE,'Data Recording'!D:D=B13), ""Select Col1""),""Yes, Engaged""),COUNTA(query(ifna(filter"&amp;"('Data Recording'!AE:AE,'Data Recording'!D:D=B13),""""), ""Select Col1"")))&gt;=(0.5),""1"",""0""),""-"")"),"1")</f>
        <v>1</v>
      </c>
      <c r="CC13" s="59" t="str">
        <f>IFERROR(__xludf.DUMMYFUNCTION("iferror(if(countif(query(filter('Data Recording'!AE:AE,'Data Recording'!D:D=B13), ""Select Col1""),""Yes, Engaged"")/COUNTA(query(ifna(filter('Data Recording'!AE:AE,'Data Recording'!D:D=B13),""""), ""Select Col1""))&gt;=(0.5),""1"",""0""),""-"")"),"1")</f>
        <v>1</v>
      </c>
      <c r="CD13" s="74" t="str">
        <f>IFERROR(__xludf.DUMMYFUNCTION("iferror(if(DIVIDE(countif(query(filter('Data Recording'!E:E,'Data Recording'!D:D=B13), ""Select Col1""),""Yes""),COUNTA(query(ifna(filter('Data Recording'!E:E,'Data Recording'!D:D=B13),""""), ""Select Col1"")))&gt;=(0.5),""1"",""0""),""-"")"),"1")</f>
        <v>1</v>
      </c>
    </row>
    <row r="14">
      <c r="A14" s="51" t="s">
        <v>47</v>
      </c>
      <c r="B14" s="51">
        <v>7225.0</v>
      </c>
      <c r="C14" s="52" t="str">
        <f>IFERROR(__xludf.DUMMYFUNCTION("if(countif(query(filter('Data Recording'!E:E,'Data Recording'!D:D=B14), ""Select Col1""),""Yes"")=0,""0"",countif(query(filter('Data Recording'!E:E,'Data Recording'!D:D=B14), ""Select Col1""),""Yes"")) &amp; ""/"" &amp; if(COUNTA(query(ifna(filter('Data Recording"&amp;"'!E:E,'Data Recording'!D:D=B14),""""), ""Select Col1""))=0,""0"",COUNTA(query(ifna(filter('Data Recording'!E:E,'Data Recording'!D:D=B14),""""), ""Select Col1"")))"),"18/19")</f>
        <v>18/19</v>
      </c>
      <c r="D14" s="53">
        <f>IFERROR(__xludf.DUMMYFUNCTION("iferror(SUM(query(filter('Data Recording'!F:F,'Data Recording'!D:D=B14), ""Select Col1"")),""-"")"),1.0)</f>
        <v>1</v>
      </c>
      <c r="E14" s="53">
        <f>IFERROR(__xludf.DUMMYFUNCTION("iferror(SUM(query(filter('Data Recording'!G:G,'Data Recording'!D:D=B14), ""Select Col1"")),""-"")"),0.0)</f>
        <v>0</v>
      </c>
      <c r="F14" s="54">
        <f t="shared" si="1"/>
        <v>0</v>
      </c>
      <c r="G14" s="55">
        <f>IFERROR(__xludf.DUMMYFUNCTION("iferror(AVERAGE(query(filter('Data Recording'!G:G,'Data Recording'!D:D=B14), ""Select Col1"")),""0.00"")"),0.0)</f>
        <v>0</v>
      </c>
      <c r="H14" s="53">
        <f>IFERROR(__xludf.DUMMYFUNCTION("iferror(MAX(query(filter('Data Recording'!G:G,'Data Recording'!D:D=B14), ""Select Col1"")),""-"")"),0.0)</f>
        <v>0</v>
      </c>
      <c r="I14" s="56">
        <f>IFERROR(__xludf.DUMMYFUNCTION("iferror(SUM(query(filter('Data Recording'!H:H,'Data Recording'!D:D=B14), ""Select Col1"")),""-"")"),1.0)</f>
        <v>1</v>
      </c>
      <c r="J14" s="57">
        <f>IFERROR(__xludf.DUMMYFUNCTION("iferror(SUM(query(filter('Data Recording'!I:I,'Data Recording'!D:D=B14), ""Select Col1"")),""-"")"),1.0)</f>
        <v>1</v>
      </c>
      <c r="K14" s="54">
        <f t="shared" si="2"/>
        <v>1</v>
      </c>
      <c r="L14" s="55">
        <f>IFERROR(__xludf.DUMMYFUNCTION("iferror(AVERAGE(query(filter('Data Recording'!I:I,'Data Recording'!D:D=B14), ""Select Col1"")),""0.00"")"),1.0)</f>
        <v>1</v>
      </c>
      <c r="M14" s="53">
        <f>IFERROR(__xludf.DUMMYFUNCTION("iferror(MAX(query(filter('Data Recording'!I:I,'Data Recording'!D:D=B14), ""Select Col1"")),""-"")"),1.0)</f>
        <v>1</v>
      </c>
      <c r="N14" s="58">
        <f>IFERROR(__xludf.DUMMYFUNCTION("iferror(SUM(query(filter('Data Recording'!J:J,'Data Recording'!D:D=B14), ""Select Col1"")),""-"")"),0.0)</f>
        <v>0</v>
      </c>
      <c r="O14" s="59">
        <f>IFERROR(__xludf.DUMMYFUNCTION("iferror(SUM(query(filter('Data Recording'!K:K,'Data Recording'!D:D=B14), ""Select Col1"")),""-"")"),0.0)</f>
        <v>0</v>
      </c>
      <c r="P14" s="54" t="str">
        <f t="shared" si="3"/>
        <v>-</v>
      </c>
      <c r="Q14" s="55" t="str">
        <f>IFERROR(__xludf.DUMMYFUNCTION("iferror(AVERAGE(query(filter('Data Recording'!K:K,'Data Recording'!D:D=B14), ""Select Col1"")),""0.00"")"),"0.00")</f>
        <v>0.00</v>
      </c>
      <c r="R14" s="53">
        <f>IFERROR(__xludf.DUMMYFUNCTION("iferror(MAX(query(filter('Data Recording'!K:K,'Data Recording'!D:D=B14), ""Select Col1"")),""-"")"),0.0)</f>
        <v>0</v>
      </c>
      <c r="S14" s="58">
        <f>IFERROR(__xludf.DUMMYFUNCTION("iferror(SUM(query(filter('Data Recording'!L:L,'Data Recording'!D:D=B14), ""Select Col1"")),""-"")"),18.0)</f>
        <v>18</v>
      </c>
      <c r="T14" s="59">
        <f>IFERROR(__xludf.DUMMYFUNCTION("iferror(SUM(query(filter('Data Recording'!M:M,'Data Recording'!D:D=B14), ""Select Col1"")),""-"")"),18.0)</f>
        <v>18</v>
      </c>
      <c r="U14" s="54">
        <f t="shared" si="4"/>
        <v>1</v>
      </c>
      <c r="V14" s="55">
        <f>IFERROR(__xludf.DUMMYFUNCTION("iferror(AVERAGE(query(filter('Data Recording'!M:M,'Data Recording'!D:D=B14), ""Select Col1"")),""-"")"),1.0)</f>
        <v>1</v>
      </c>
      <c r="W14" s="52">
        <f>IFERROR(__xludf.DUMMYFUNCTION("iferror(MAX(query(filter('Data Recording'!M:M,'Data Recording'!D:D=B14), ""Select Col1"")),""-"")"),1.0)</f>
        <v>1</v>
      </c>
      <c r="X14" s="59">
        <f>IFERROR(__xludf.DUMMYFUNCTION("iferror(SUM(query(filter('Data Recording'!N:N,'Data Recording'!D:D=B14), ""Select Col1"")),""-"")"),0.0)</f>
        <v>0</v>
      </c>
      <c r="Y14" s="59">
        <f>IFERROR(__xludf.DUMMYFUNCTION("iferror(SUM(query(filter('Data Recording'!O:O,'Data Recording'!D:D=B14), ""Select Col1"")),""-"")"),0.0)</f>
        <v>0</v>
      </c>
      <c r="Z14" s="54" t="str">
        <f t="shared" si="5"/>
        <v>-</v>
      </c>
      <c r="AA14" s="55" t="str">
        <f>IFERROR(__xludf.DUMMYFUNCTION("iferror(AVERAGE(query(filter('Data Recording'!O:O,'Data Recording'!D:D=B14), ""Select Col1"")),""0.00"")"),"0.00")</f>
        <v>0.00</v>
      </c>
      <c r="AB14" s="52">
        <f>IFERROR(__xludf.DUMMYFUNCTION("iferror(MAX(query(filter('Data Recording'!O:O,'Data Recording'!D:D=B14), ""Select Col1"")),""-"")"),0.0)</f>
        <v>0</v>
      </c>
      <c r="AC14" s="59">
        <f>IFERROR(__xludf.DUMMYFUNCTION("iferror(SUM(query(filter('Data Recording'!P:P,'Data Recording'!D:D=B14), ""Select Col1"")),""-"")"),0.0)</f>
        <v>0</v>
      </c>
      <c r="AD14" s="59">
        <f>IFERROR(__xludf.DUMMYFUNCTION("iferror(SUM(query(filter('Data Recording'!Q:Q,'Data Recording'!D:D=B14), ""Select Col1"")),""-"")"),0.0)</f>
        <v>0</v>
      </c>
      <c r="AE14" s="54" t="str">
        <f t="shared" si="6"/>
        <v>-</v>
      </c>
      <c r="AF14" s="55" t="str">
        <f>IFERROR(__xludf.DUMMYFUNCTION("iferror(AVERAGE(query(filter('Data Recording'!Q:Q,'Data Recording'!D:D=B14), ""Select Col1"")),""0.00"")"),"0.00")</f>
        <v>0.00</v>
      </c>
      <c r="AG14" s="59">
        <f>IFERROR(__xludf.DUMMYFUNCTION("iferror(MAX(query(filter('Data Recording'!Q:Q,'Data Recording'!D:D=B14), ""Select Col1"")),""-"")"),0.0)</f>
        <v>0</v>
      </c>
      <c r="AH14" s="58" t="str">
        <f>IFERROR(__xludf.DUMMYFUNCTION("if(countif(query(filter('Data Recording'!R:R,'Data Recording'!D:D=B14), ""Select Col1""),""Yes, Engaged"")+countif(query(filter('Data Recording'!R:R,'Data Recording'!D:D=B14), ""Select Col1""),""Yes, Docked"")=0,""0"",countif(query(filter('Data Recording'"&amp;"!R:R,'Data Recording'!D:D=B14), ""Select Col1""),""Yes, Engaged""))+countif(query(filter('Data Recording'!R:R,'Data Recording'!D:D=B14), ""Select Col1""),""Yes, Docked"") &amp; ""/"" &amp; if(COUNTA(query(ifna(filter('Data Recording'!R:R,'Data Recording'!D:D=B14)"&amp;",""""), ""Select Col1""))=0,""0"",COUNTA(query(ifna(filter('Data Recording'!R:R,'Data Recording'!D:D=B14),""""), ""Select Col1"")))"),"0/19")</f>
        <v>0/19</v>
      </c>
      <c r="AI14" s="60" t="str">
        <f>IFERROR(__xludf.DUMMYFUNCTION("if(countif(query(filter('Data Recording'!R:R,'Data Recording'!D:D=B14), ""Select Col1""),""Yes, Engaged"")=0,""0"",countif(query(filter('Data Recording'!R:R,'Data Recording'!D:D=B14), ""Select Col1""),""Yes, Engaged"")) &amp; ""/"" &amp; if(COUNTA(query(ifna(filt"&amp;"er('Data Recording'!R:R,'Data Recording'!D:D=B14),""""), ""Select Col1""))=0,""0"",COUNTA(query(ifna(filter('Data Recording'!R:R,'Data Recording'!D:D=B14),""""), ""Select Col1"")))"),"0/19")</f>
        <v>0/19</v>
      </c>
      <c r="AJ14" s="59">
        <f>IFERROR(__xludf.DUMMYFUNCTION("iferror(SUM(query(filter('Data Recording'!S:S,'Data Recording'!D:D=B14), ""Select Col1"")),""-"")"),47.0)</f>
        <v>47</v>
      </c>
      <c r="AK14" s="59">
        <f>IFERROR(__xludf.DUMMYFUNCTION("iferror(SUM(query(filter('Data Recording'!T:T,'Data Recording'!D:D=B14), ""Select Col1"")),""-"")"),42.0)</f>
        <v>42</v>
      </c>
      <c r="AL14" s="54">
        <f t="shared" si="7"/>
        <v>0.8936170213</v>
      </c>
      <c r="AM14" s="55">
        <f>IFERROR(__xludf.DUMMYFUNCTION("iferror(AVERAGE(query(filter('Data Recording'!T:T,'Data Recording'!D:D=B14), ""Select Col1"")),""0.00"")"),2.3333333333333335)</f>
        <v>2.333333333</v>
      </c>
      <c r="AN14" s="61">
        <f>IFERROR(__xludf.DUMMYFUNCTION("iferror(MAX(query(filter('Data Recording'!T:T,'Data Recording'!D:D=B14), ""Select Col1"")),""-"")"),4.0)</f>
        <v>4</v>
      </c>
      <c r="AO14" s="62">
        <f>IFERROR(__xludf.DUMMYFUNCTION("iferror(SUM(query(filter('Data Recording'!U:U,'Data Recording'!D:D=B14), ""Select Col1"")),""-"")"),20.0)</f>
        <v>20</v>
      </c>
      <c r="AP14" s="62">
        <f>IFERROR(__xludf.DUMMYFUNCTION("iferror(SUM(query(filter('Data Recording'!V:V,'Data Recording'!D:D=B14), ""Select Col1"")),""-"")"),19.0)</f>
        <v>19</v>
      </c>
      <c r="AQ14" s="63">
        <f t="shared" si="8"/>
        <v>0.95</v>
      </c>
      <c r="AR14" s="64">
        <f>IFERROR(__xludf.DUMMYFUNCTION("iferror(AVERAGE(query(filter('Data Recording'!V:V,'Data Recording'!D:D=B14), ""Select Col1"")),""0.00"")"),1.5833333333333333)</f>
        <v>1.583333333</v>
      </c>
      <c r="AS14" s="65">
        <f>IFERROR(__xludf.DUMMYFUNCTION("iferror(MAX(query(filter('Data Recording'!V:V,'Data Recording'!D:D=B14), ""Select Col1"")),""-"")"),3.0)</f>
        <v>3</v>
      </c>
      <c r="AT14" s="62">
        <f>IFERROR(__xludf.DUMMYFUNCTION("iferror(SUM(query(filter('Data Recording'!W:W,'Data Recording'!D:D=B14), ""Select Col1"")),""-"")"),8.0)</f>
        <v>8</v>
      </c>
      <c r="AU14" s="62">
        <f>IFERROR(__xludf.DUMMYFUNCTION("iferror(SUM(query(filter('Data Recording'!X:X,'Data Recording'!D:D=B14), ""Select Col1"")),""-"")"),8.0)</f>
        <v>8</v>
      </c>
      <c r="AV14" s="63">
        <f t="shared" si="9"/>
        <v>1</v>
      </c>
      <c r="AW14" s="64">
        <f>IFERROR(__xludf.DUMMYFUNCTION("iferror(AVERAGE(query(filter('Data Recording'!X:X,'Data Recording'!D:D=B14), ""Select Col1"")),""0.00"")"),1.0)</f>
        <v>1</v>
      </c>
      <c r="AX14" s="65">
        <f>IFERROR(__xludf.DUMMYFUNCTION("iferror(MAX(query(filter('Data Recording'!X:X,'Data Recording'!D:D=B14), ""Select Col1"")),""-"")"),1.0)</f>
        <v>1</v>
      </c>
      <c r="AY14" s="62">
        <f>IFERROR(__xludf.DUMMYFUNCTION("iferror(SUM(query(filter('Data Recording'!Y:Y,'Data Recording'!D:D=B14), ""Select Col1"")),""-"")"),0.0)</f>
        <v>0</v>
      </c>
      <c r="AZ14" s="62">
        <f>IFERROR(__xludf.DUMMYFUNCTION("iferror(SUM(query(filter('Data Recording'!Z:Z,'Data Recording'!D:D=B14), ""Select Col1"")),""-"")"),0.0)</f>
        <v>0</v>
      </c>
      <c r="BA14" s="63" t="str">
        <f t="shared" si="10"/>
        <v>-</v>
      </c>
      <c r="BB14" s="64" t="str">
        <f>IFERROR(__xludf.DUMMYFUNCTION("iferror(AVERAGE(query(filter('Data Recording'!Z:Z,'Data Recording'!D:D=B14), ""Select Col1"")),""0.00"")"),"0.00")</f>
        <v>0.00</v>
      </c>
      <c r="BC14" s="65">
        <f>IFERROR(__xludf.DUMMYFUNCTION("iferror(MAX(query(filter('Data Recording'!Z:Z,'Data Recording'!D:D=B14), ""Select Col1"")),""-"")"),0.0)</f>
        <v>0</v>
      </c>
      <c r="BD14" s="62">
        <f>IFERROR(__xludf.DUMMYFUNCTION("iferror(SUM(query(filter('Data Recording'!AA:AA,'Data Recording'!D:D=B14), ""Select Col1"")),""-"")"),1.0)</f>
        <v>1</v>
      </c>
      <c r="BE14" s="62">
        <f>IFERROR(__xludf.DUMMYFUNCTION("iferror(SUM(query(filter('Data Recording'!AB:AB,'Data Recording'!D:D=B14), ""Select Col1"")),""-"")"),1.0)</f>
        <v>1</v>
      </c>
      <c r="BF14" s="63">
        <f t="shared" si="11"/>
        <v>1</v>
      </c>
      <c r="BG14" s="64">
        <f>IFERROR(__xludf.DUMMYFUNCTION("iferror(AVERAGE(query(filter('Data Recording'!AB:AB,'Data Recording'!D:D=B14), ""Select Col1"")),""0.00"")"),1.0)</f>
        <v>1</v>
      </c>
      <c r="BH14" s="65">
        <f>IFERROR(__xludf.DUMMYFUNCTION("iferror(MAX(query(filter('Data Recording'!AB:AB,'Data Recording'!D:D=B14), ""Select Col1"")),""-"")"),1.0)</f>
        <v>1</v>
      </c>
      <c r="BI14" s="62">
        <f>IFERROR(__xludf.DUMMYFUNCTION("iferror(SUM(query(filter('Data Recording'!AC:AC,'Data Recording'!D:D=B14), ""Select Col1"")),""-"")"),0.0)</f>
        <v>0</v>
      </c>
      <c r="BJ14" s="62">
        <f>IFERROR(__xludf.DUMMYFUNCTION("iferror(SUM(query(filter('Data Recording'!AD:AD,'Data Recording'!D:D=B14), ""Select Col1"")),""-"")"),0.0)</f>
        <v>0</v>
      </c>
      <c r="BK14" s="63" t="str">
        <f t="shared" si="12"/>
        <v>-</v>
      </c>
      <c r="BL14" s="64" t="str">
        <f>IFERROR(__xludf.DUMMYFUNCTION("iferror(AVERAGE(query(filter('Data Recording'!AD:AD,'Data Recording'!D:D=B14), ""Select Col1"")),""0.00"")"),"0.00")</f>
        <v>0.00</v>
      </c>
      <c r="BM14" s="65">
        <f>IFERROR(__xludf.DUMMYFUNCTION("iferror(MAX(query(filter('Data Recording'!AD:AD,'Data Recording'!D:D=B14), ""Select Col1"")),""-"")"),0.0)</f>
        <v>0</v>
      </c>
      <c r="BN14" s="66" t="str">
        <f>IFERROR(__xludf.DUMMYFUNCTION("if(countif(query(filter('Data Recording'!AE:AE,'Data Recording'!D:D=B14), ""Select Col1""),""Yes, Engaged"")+countif(query(filter('Data Recording'!AE:AE,'Data Recording'!D:D=B14), ""Select Col1""),""Yes, Docked"")=0,""0"",countif(query(filter('Data Record"&amp;"ing'!AE:AE,'Data Recording'!D:D=B14), ""Select Col1""),""Yes, Engaged""))+countif(query(filter('Data Recording'!AE:AE,'Data Recording'!D:D=B14), ""Select Col1""),""Yes, Docked"") &amp; ""/"" &amp; if(COUNTA(query(ifna(filter('Data Recording'!AE:AE,'Data Recording"&amp;"'!D:D=B14),""""), ""Select Col1""))=0,""0"",COUNTA(query(ifna(filter('Data Recording'!AE:AE,'Data Recording'!D:D=B14),""""), ""Select Col1"")))"),"1/19")</f>
        <v>1/19</v>
      </c>
      <c r="BO14" s="67" t="str">
        <f>IFERROR(__xludf.DUMMYFUNCTION("if(countif(query(filter('Data Recording'!AE:AE,'Data Recording'!D:D=B14), ""Select Col1""),""Yes, Engaged"")=0,""0"",countif(query(filter('Data Recording'!AE:AE,'Data Recording'!D:D=B14), ""Select Col1""),""Yes, Engaged"")) &amp; ""/"" &amp; if(COUNTA(query(ifna("&amp;"filter('Data Recording'!AE:AE,'Data Recording'!D:D=B14),""""), ""Select Col1""))=0,""0"",COUNTA(query(ifna(filter('Data Recording'!AE:AE,'Data Recording'!D:D=B14),""""), ""Select Col1"")))"),"0/19")</f>
        <v>0/19</v>
      </c>
      <c r="BP14" s="60" t="str">
        <f>IFERROR(__xludf.DUMMYFUNCTION("if(countif(query(filter('Data Recording'!AH:AH,'Data Recording'!D:D=B14), ""Select Col1""),""Yes"")=0,""0"",countif(query(filter('Data Recording'!AH:AH,'Data Recording'!D:D=B14), ""Select Col1""),""Yes"")) &amp; ""/"" &amp; if(COUNTA(query(ifna(filter('Data Recor"&amp;"ding'!AH:AH,'Data Recording'!D:D=B14),""""), ""Select Col1""))=0,""0"",COUNTA(query(ifna(filter('Data Recording'!AH:AH,'Data Recording'!D:D=B14),""""), ""Select Col1"")))"),"2/19")</f>
        <v>2/19</v>
      </c>
      <c r="BQ14" s="75">
        <v>0.1053</v>
      </c>
      <c r="BR14" s="55">
        <f>IFERROR(__xludf.DUMMYFUNCTION("iferror(average(query(filter('Data Recording'!AF:AF,'Data Recording'!D:D=B14), ""Select Col1"")),""-"")"),3.263157894736842)</f>
        <v>3.263157895</v>
      </c>
      <c r="BS14" s="69">
        <f>IFERROR(__xludf.DUMMYFUNCTION("iferror(average(query(filter('Data Recording'!AG:AG,'Data Recording'!D:D=B14), ""Select Col1"")),""-"")"),0.0)</f>
        <v>0</v>
      </c>
      <c r="BT14" s="70">
        <f t="shared" si="13"/>
        <v>34.41666667</v>
      </c>
      <c r="BU14" s="70">
        <f>IFERROR(__xludf.DUMMYFUNCTION("iferror(AVERAGE(query(filter('Data Recording'!AJ:AJ,'Data Recording'!D:D=B14), ""Select Col1"")),""-"")"),26.789473684210527)</f>
        <v>26.78947368</v>
      </c>
      <c r="BV14" s="70">
        <f>IFERROR(__xludf.DUMMYFUNCTION("iferror(AVERAGE(query(filter('Data Recording'!AK:AK,'Data Recording'!D:D=B14), ""Select Col1"")),""-"")"),20.94736842105263)</f>
        <v>20.94736842</v>
      </c>
      <c r="BW14" s="70">
        <f t="shared" si="14"/>
        <v>31.41666667</v>
      </c>
      <c r="BX14" s="71">
        <f>IFERROR(__xludf.DUMMYFUNCTION("iferror(max(query(filter('Data Recording'!AJ:AJ,'Data Recording'!D:D=B14), ""Select Col1"")),""-"")"),33.0)</f>
        <v>33</v>
      </c>
      <c r="BY14" s="72">
        <f>IFERROR(__xludf.DUMMYFUNCTION("iferror(MIN(query(filter('Data Recording'!AJ:AJ,'Data Recording'!D:D=B14), ""Select Col1"")),""-"")"),14.0)</f>
        <v>14</v>
      </c>
      <c r="BZ14" s="73" t="str">
        <f>IFERROR(__xludf.DUMMYFUNCTION("iferror(if(DIVIDE(COUNTIF(query(filter('Data Recording'!R:R,'Data Recording'!D:D=B14), ""Select Col1""),""Yes, Docked"") + countif(query(filter('Data Recording'!R:R,'Data Recording'!D:D=B14), ""Select Col1""),""Yes, Engaged""),COUNTA(query(ifna(filter('Da"&amp;"ta Recording'!R:R,'Data Recording'!D:D=B14),""""), ""Select Col1"")))&gt;=(0.5),""1"",""0""),""-"")"),"0")</f>
        <v>0</v>
      </c>
      <c r="CA14" s="59" t="str">
        <f>IFERROR(__xludf.DUMMYFUNCTION("iferror(if(countif(query(filter('Data Recording'!R:R,'Data Recording'!D:D=B14), ""Select Col1""),""Yes, Engaged"")/COUNTA(query(ifna(filter('Data Recording'!R:R,'Data Recording'!D:D=B14),""""), ""Select Col1""))&gt;=(0.5),""1"",""0""),""-"")"),"0")</f>
        <v>0</v>
      </c>
      <c r="CB14" s="74" t="str">
        <f>IFERROR(__xludf.DUMMYFUNCTION("iferror(if(DIVIDE(COUNTIF(query(filter('Data Recording'!AE:AE,'Data Recording'!D:D=B14), ""Select Col1""),""Yes, Docked"") + countif(query(filter('Data Recording'!AE:AE,'Data Recording'!D:D=B14), ""Select Col1""),""Yes, Engaged""),COUNTA(query(ifna(filter"&amp;"('Data Recording'!AE:AE,'Data Recording'!D:D=B14),""""), ""Select Col1"")))&gt;=(0.5),""1"",""0""),""-"")"),"0")</f>
        <v>0</v>
      </c>
      <c r="CC14" s="59" t="str">
        <f>IFERROR(__xludf.DUMMYFUNCTION("iferror(if(countif(query(filter('Data Recording'!AE:AE,'Data Recording'!D:D=B14), ""Select Col1""),""Yes, Engaged"")/COUNTA(query(ifna(filter('Data Recording'!AE:AE,'Data Recording'!D:D=B14),""""), ""Select Col1""))&gt;=(0.5),""1"",""0""),""-"")"),"0")</f>
        <v>0</v>
      </c>
      <c r="CD14" s="74" t="str">
        <f>IFERROR(__xludf.DUMMYFUNCTION("iferror(if(DIVIDE(countif(query(filter('Data Recording'!E:E,'Data Recording'!D:D=B14), ""Select Col1""),""Yes""),COUNTA(query(ifna(filter('Data Recording'!E:E,'Data Recording'!D:D=B14),""""), ""Select Col1"")))&gt;=(0.5),""1"",""0""),""-"")"),"1")</f>
        <v>1</v>
      </c>
    </row>
    <row r="15">
      <c r="A15" s="51" t="s">
        <v>48</v>
      </c>
      <c r="B15" s="51">
        <v>1504.0</v>
      </c>
      <c r="C15" s="52" t="str">
        <f>IFERROR(__xludf.DUMMYFUNCTION("if(countif(query(filter('Data Recording'!E:E,'Data Recording'!D:D=B15), ""Select Col1""),""Yes"")=0,""0"",countif(query(filter('Data Recording'!E:E,'Data Recording'!D:D=B15), ""Select Col1""),""Yes"")) &amp; ""/"" &amp; if(COUNTA(query(ifna(filter('Data Recording"&amp;"'!E:E,'Data Recording'!D:D=B15),""""), ""Select Col1""))=0,""0"",COUNTA(query(ifna(filter('Data Recording'!E:E,'Data Recording'!D:D=B15),""""), ""Select Col1"")))"),"6/6")</f>
        <v>6/6</v>
      </c>
      <c r="D15" s="53">
        <f>IFERROR(__xludf.DUMMYFUNCTION("iferror(SUM(query(filter('Data Recording'!F:F,'Data Recording'!D:D=B15), ""Select Col1"")),""-"")"),0.0)</f>
        <v>0</v>
      </c>
      <c r="E15" s="53">
        <f>IFERROR(__xludf.DUMMYFUNCTION("iferror(SUM(query(filter('Data Recording'!G:G,'Data Recording'!D:D=B15), ""Select Col1"")),""-"")"),0.0)</f>
        <v>0</v>
      </c>
      <c r="F15" s="54" t="str">
        <f t="shared" si="1"/>
        <v>-</v>
      </c>
      <c r="G15" s="55">
        <f>IFERROR(__xludf.DUMMYFUNCTION("iferror(AVERAGE(query(filter('Data Recording'!G:G,'Data Recording'!D:D=B15), ""Select Col1"")),""0.00"")"),0.0)</f>
        <v>0</v>
      </c>
      <c r="H15" s="53">
        <f>IFERROR(__xludf.DUMMYFUNCTION("iferror(MAX(query(filter('Data Recording'!G:G,'Data Recording'!D:D=B15), ""Select Col1"")),""-"")"),0.0)</f>
        <v>0</v>
      </c>
      <c r="I15" s="56">
        <f>IFERROR(__xludf.DUMMYFUNCTION("iferror(SUM(query(filter('Data Recording'!H:H,'Data Recording'!D:D=B15), ""Select Col1"")),""-"")"),0.0)</f>
        <v>0</v>
      </c>
      <c r="J15" s="57">
        <f>IFERROR(__xludf.DUMMYFUNCTION("iferror(SUM(query(filter('Data Recording'!I:I,'Data Recording'!D:D=B15), ""Select Col1"")),""-"")"),0.0)</f>
        <v>0</v>
      </c>
      <c r="K15" s="54" t="str">
        <f t="shared" si="2"/>
        <v>-</v>
      </c>
      <c r="L15" s="55">
        <f>IFERROR(__xludf.DUMMYFUNCTION("iferror(AVERAGE(query(filter('Data Recording'!I:I,'Data Recording'!D:D=B15), ""Select Col1"")),""0.00"")"),0.0)</f>
        <v>0</v>
      </c>
      <c r="M15" s="53">
        <f>IFERROR(__xludf.DUMMYFUNCTION("iferror(MAX(query(filter('Data Recording'!I:I,'Data Recording'!D:D=B15), ""Select Col1"")),""-"")"),0.0)</f>
        <v>0</v>
      </c>
      <c r="N15" s="58">
        <f>IFERROR(__xludf.DUMMYFUNCTION("iferror(SUM(query(filter('Data Recording'!J:J,'Data Recording'!D:D=B15), ""Select Col1"")),""-"")"),0.0)</f>
        <v>0</v>
      </c>
      <c r="O15" s="59">
        <f>IFERROR(__xludf.DUMMYFUNCTION("iferror(SUM(query(filter('Data Recording'!K:K,'Data Recording'!D:D=B15), ""Select Col1"")),""-"")"),0.0)</f>
        <v>0</v>
      </c>
      <c r="P15" s="54" t="str">
        <f t="shared" si="3"/>
        <v>-</v>
      </c>
      <c r="Q15" s="55">
        <f>IFERROR(__xludf.DUMMYFUNCTION("iferror(AVERAGE(query(filter('Data Recording'!K:K,'Data Recording'!D:D=B15), ""Select Col1"")),""0.00"")"),0.0)</f>
        <v>0</v>
      </c>
      <c r="R15" s="53">
        <f>IFERROR(__xludf.DUMMYFUNCTION("iferror(MAX(query(filter('Data Recording'!K:K,'Data Recording'!D:D=B15), ""Select Col1"")),""-"")"),0.0)</f>
        <v>0</v>
      </c>
      <c r="S15" s="58">
        <f>IFERROR(__xludf.DUMMYFUNCTION("iferror(SUM(query(filter('Data Recording'!L:L,'Data Recording'!D:D=B15), ""Select Col1"")),""-"")"),0.0)</f>
        <v>0</v>
      </c>
      <c r="T15" s="59">
        <f>IFERROR(__xludf.DUMMYFUNCTION("iferror(SUM(query(filter('Data Recording'!M:M,'Data Recording'!D:D=B15), ""Select Col1"")),""-"")"),0.0)</f>
        <v>0</v>
      </c>
      <c r="U15" s="54" t="str">
        <f t="shared" si="4"/>
        <v>-</v>
      </c>
      <c r="V15" s="55">
        <f>IFERROR(__xludf.DUMMYFUNCTION("iferror(AVERAGE(query(filter('Data Recording'!M:M,'Data Recording'!D:D=B15), ""Select Col1"")),""-"")"),0.0)</f>
        <v>0</v>
      </c>
      <c r="W15" s="52">
        <f>IFERROR(__xludf.DUMMYFUNCTION("iferror(MAX(query(filter('Data Recording'!M:M,'Data Recording'!D:D=B15), ""Select Col1"")),""-"")"),0.0)</f>
        <v>0</v>
      </c>
      <c r="X15" s="59">
        <f>IFERROR(__xludf.DUMMYFUNCTION("iferror(SUM(query(filter('Data Recording'!N:N,'Data Recording'!D:D=B15), ""Select Col1"")),""-"")"),0.0)</f>
        <v>0</v>
      </c>
      <c r="Y15" s="59">
        <f>IFERROR(__xludf.DUMMYFUNCTION("iferror(SUM(query(filter('Data Recording'!O:O,'Data Recording'!D:D=B15), ""Select Col1"")),""-"")"),0.0)</f>
        <v>0</v>
      </c>
      <c r="Z15" s="54" t="str">
        <f t="shared" si="5"/>
        <v>-</v>
      </c>
      <c r="AA15" s="55">
        <f>IFERROR(__xludf.DUMMYFUNCTION("iferror(AVERAGE(query(filter('Data Recording'!O:O,'Data Recording'!D:D=B15), ""Select Col1"")),""0.00"")"),0.0)</f>
        <v>0</v>
      </c>
      <c r="AB15" s="52">
        <f>IFERROR(__xludf.DUMMYFUNCTION("iferror(MAX(query(filter('Data Recording'!O:O,'Data Recording'!D:D=B15), ""Select Col1"")),""-"")"),0.0)</f>
        <v>0</v>
      </c>
      <c r="AC15" s="59">
        <f>IFERROR(__xludf.DUMMYFUNCTION("iferror(SUM(query(filter('Data Recording'!P:P,'Data Recording'!D:D=B15), ""Select Col1"")),""-"")"),6.0)</f>
        <v>6</v>
      </c>
      <c r="AD15" s="59">
        <f>IFERROR(__xludf.DUMMYFUNCTION("iferror(SUM(query(filter('Data Recording'!Q:Q,'Data Recording'!D:D=B15), ""Select Col1"")),""-"")"),4.0)</f>
        <v>4</v>
      </c>
      <c r="AE15" s="54">
        <f t="shared" si="6"/>
        <v>0.6666666667</v>
      </c>
      <c r="AF15" s="55">
        <f>IFERROR(__xludf.DUMMYFUNCTION("iferror(AVERAGE(query(filter('Data Recording'!Q:Q,'Data Recording'!D:D=B15), ""Select Col1"")),""0.00"")"),0.6666666666666666)</f>
        <v>0.6666666667</v>
      </c>
      <c r="AG15" s="59">
        <f>IFERROR(__xludf.DUMMYFUNCTION("iferror(MAX(query(filter('Data Recording'!Q:Q,'Data Recording'!D:D=B15), ""Select Col1"")),""-"")"),1.0)</f>
        <v>1</v>
      </c>
      <c r="AH15" s="58" t="str">
        <f>IFERROR(__xludf.DUMMYFUNCTION("if(countif(query(filter('Data Recording'!R:R,'Data Recording'!D:D=B15), ""Select Col1""),""Yes, Engaged"")+countif(query(filter('Data Recording'!R:R,'Data Recording'!D:D=B15), ""Select Col1""),""Yes, Docked"")=0,""0"",countif(query(filter('Data Recording'"&amp;"!R:R,'Data Recording'!D:D=B15), ""Select Col1""),""Yes, Engaged""))+countif(query(filter('Data Recording'!R:R,'Data Recording'!D:D=B15), ""Select Col1""),""Yes, Docked"") &amp; ""/"" &amp; if(COUNTA(query(ifna(filter('Data Recording'!R:R,'Data Recording'!D:D=B15)"&amp;",""""), ""Select Col1""))=0,""0"",COUNTA(query(ifna(filter('Data Recording'!R:R,'Data Recording'!D:D=B15),""""), ""Select Col1"")))"),"0/6")</f>
        <v>0/6</v>
      </c>
      <c r="AI15" s="60" t="str">
        <f>IFERROR(__xludf.DUMMYFUNCTION("if(countif(query(filter('Data Recording'!R:R,'Data Recording'!D:D=B15), ""Select Col1""),""Yes, Engaged"")=0,""0"",countif(query(filter('Data Recording'!R:R,'Data Recording'!D:D=B15), ""Select Col1""),""Yes, Engaged"")) &amp; ""/"" &amp; if(COUNTA(query(ifna(filt"&amp;"er('Data Recording'!R:R,'Data Recording'!D:D=B15),""""), ""Select Col1""))=0,""0"",COUNTA(query(ifna(filter('Data Recording'!R:R,'Data Recording'!D:D=B15),""""), ""Select Col1"")))"),"0/6")</f>
        <v>0/6</v>
      </c>
      <c r="AJ15" s="59">
        <f>IFERROR(__xludf.DUMMYFUNCTION("iferror(SUM(query(filter('Data Recording'!S:S,'Data Recording'!D:D=B15), ""Select Col1"")),""-"")"),0.0)</f>
        <v>0</v>
      </c>
      <c r="AK15" s="59">
        <f>IFERROR(__xludf.DUMMYFUNCTION("iferror(SUM(query(filter('Data Recording'!T:T,'Data Recording'!D:D=B15), ""Select Col1"")),""-"")"),0.0)</f>
        <v>0</v>
      </c>
      <c r="AL15" s="54" t="str">
        <f t="shared" si="7"/>
        <v>-</v>
      </c>
      <c r="AM15" s="55">
        <f>IFERROR(__xludf.DUMMYFUNCTION("iferror(AVERAGE(query(filter('Data Recording'!T:T,'Data Recording'!D:D=B15), ""Select Col1"")),""0.00"")"),0.0)</f>
        <v>0</v>
      </c>
      <c r="AN15" s="61">
        <f>IFERROR(__xludf.DUMMYFUNCTION("iferror(MAX(query(filter('Data Recording'!T:T,'Data Recording'!D:D=B15), ""Select Col1"")),""-"")"),0.0)</f>
        <v>0</v>
      </c>
      <c r="AO15" s="62">
        <f>IFERROR(__xludf.DUMMYFUNCTION("iferror(SUM(query(filter('Data Recording'!U:U,'Data Recording'!D:D=B15), ""Select Col1"")),""-"")"),0.0)</f>
        <v>0</v>
      </c>
      <c r="AP15" s="62">
        <f>IFERROR(__xludf.DUMMYFUNCTION("iferror(SUM(query(filter('Data Recording'!V:V,'Data Recording'!D:D=B15), ""Select Col1"")),""-"")"),0.0)</f>
        <v>0</v>
      </c>
      <c r="AQ15" s="63" t="str">
        <f t="shared" si="8"/>
        <v>-</v>
      </c>
      <c r="AR15" s="64">
        <f>IFERROR(__xludf.DUMMYFUNCTION("iferror(AVERAGE(query(filter('Data Recording'!V:V,'Data Recording'!D:D=B15), ""Select Col1"")),""0.00"")"),0.0)</f>
        <v>0</v>
      </c>
      <c r="AS15" s="65">
        <f>IFERROR(__xludf.DUMMYFUNCTION("iferror(MAX(query(filter('Data Recording'!V:V,'Data Recording'!D:D=B15), ""Select Col1"")),""-"")"),0.0)</f>
        <v>0</v>
      </c>
      <c r="AT15" s="62">
        <f>IFERROR(__xludf.DUMMYFUNCTION("iferror(SUM(query(filter('Data Recording'!W:W,'Data Recording'!D:D=B15), ""Select Col1"")),""-"")"),0.0)</f>
        <v>0</v>
      </c>
      <c r="AU15" s="62">
        <f>IFERROR(__xludf.DUMMYFUNCTION("iferror(SUM(query(filter('Data Recording'!X:X,'Data Recording'!D:D=B15), ""Select Col1"")),""-"")"),0.0)</f>
        <v>0</v>
      </c>
      <c r="AV15" s="63" t="str">
        <f t="shared" si="9"/>
        <v>-</v>
      </c>
      <c r="AW15" s="64">
        <f>IFERROR(__xludf.DUMMYFUNCTION("iferror(AVERAGE(query(filter('Data Recording'!X:X,'Data Recording'!D:D=B15), ""Select Col1"")),""0.00"")"),0.0)</f>
        <v>0</v>
      </c>
      <c r="AX15" s="65">
        <f>IFERROR(__xludf.DUMMYFUNCTION("iferror(MAX(query(filter('Data Recording'!X:X,'Data Recording'!D:D=B15), ""Select Col1"")),""-"")"),0.0)</f>
        <v>0</v>
      </c>
      <c r="AY15" s="62">
        <f>IFERROR(__xludf.DUMMYFUNCTION("iferror(SUM(query(filter('Data Recording'!Y:Y,'Data Recording'!D:D=B15), ""Select Col1"")),""-"")"),10.0)</f>
        <v>10</v>
      </c>
      <c r="AZ15" s="62">
        <f>IFERROR(__xludf.DUMMYFUNCTION("iferror(SUM(query(filter('Data Recording'!Z:Z,'Data Recording'!D:D=B15), ""Select Col1"")),""-"")"),10.0)</f>
        <v>10</v>
      </c>
      <c r="BA15" s="63">
        <f t="shared" si="10"/>
        <v>1</v>
      </c>
      <c r="BB15" s="64">
        <f>IFERROR(__xludf.DUMMYFUNCTION("iferror(AVERAGE(query(filter('Data Recording'!Z:Z,'Data Recording'!D:D=B15), ""Select Col1"")),""0.00"")"),1.6666666666666667)</f>
        <v>1.666666667</v>
      </c>
      <c r="BC15" s="65">
        <f>IFERROR(__xludf.DUMMYFUNCTION("iferror(MAX(query(filter('Data Recording'!Z:Z,'Data Recording'!D:D=B15), ""Select Col1"")),""-"")"),3.0)</f>
        <v>3</v>
      </c>
      <c r="BD15" s="62">
        <f>IFERROR(__xludf.DUMMYFUNCTION("iferror(SUM(query(filter('Data Recording'!AA:AA,'Data Recording'!D:D=B15), ""Select Col1"")),""-"")"),7.0)</f>
        <v>7</v>
      </c>
      <c r="BE15" s="62">
        <f>IFERROR(__xludf.DUMMYFUNCTION("iferror(SUM(query(filter('Data Recording'!AB:AB,'Data Recording'!D:D=B15), ""Select Col1"")),""-"")"),7.0)</f>
        <v>7</v>
      </c>
      <c r="BF15" s="63">
        <f t="shared" si="11"/>
        <v>1</v>
      </c>
      <c r="BG15" s="64">
        <f>IFERROR(__xludf.DUMMYFUNCTION("iferror(AVERAGE(query(filter('Data Recording'!AB:AB,'Data Recording'!D:D=B15), ""Select Col1"")),""0.00"")"),1.1666666666666667)</f>
        <v>1.166666667</v>
      </c>
      <c r="BH15" s="65">
        <f>IFERROR(__xludf.DUMMYFUNCTION("iferror(MAX(query(filter('Data Recording'!AB:AB,'Data Recording'!D:D=B15), ""Select Col1"")),""-"")"),2.0)</f>
        <v>2</v>
      </c>
      <c r="BI15" s="62">
        <f>IFERROR(__xludf.DUMMYFUNCTION("iferror(SUM(query(filter('Data Recording'!AC:AC,'Data Recording'!D:D=B15), ""Select Col1"")),""-"")"),1.0)</f>
        <v>1</v>
      </c>
      <c r="BJ15" s="62">
        <f>IFERROR(__xludf.DUMMYFUNCTION("iferror(SUM(query(filter('Data Recording'!AD:AD,'Data Recording'!D:D=B15), ""Select Col1"")),""-"")"),1.0)</f>
        <v>1</v>
      </c>
      <c r="BK15" s="63">
        <f t="shared" si="12"/>
        <v>1</v>
      </c>
      <c r="BL15" s="64">
        <f>IFERROR(__xludf.DUMMYFUNCTION("iferror(AVERAGE(query(filter('Data Recording'!AD:AD,'Data Recording'!D:D=B15), ""Select Col1"")),""0.00"")"),0.16666666666666666)</f>
        <v>0.1666666667</v>
      </c>
      <c r="BM15" s="65">
        <f>IFERROR(__xludf.DUMMYFUNCTION("iferror(MAX(query(filter('Data Recording'!AD:AD,'Data Recording'!D:D=B15), ""Select Col1"")),""-"")"),1.0)</f>
        <v>1</v>
      </c>
      <c r="BN15" s="66" t="str">
        <f>IFERROR(__xludf.DUMMYFUNCTION("if(countif(query(filter('Data Recording'!AE:AE,'Data Recording'!D:D=B15), ""Select Col1""),""Yes, Engaged"")+countif(query(filter('Data Recording'!AE:AE,'Data Recording'!D:D=B15), ""Select Col1""),""Yes, Docked"")=0,""0"",countif(query(filter('Data Record"&amp;"ing'!AE:AE,'Data Recording'!D:D=B15), ""Select Col1""),""Yes, Engaged""))+countif(query(filter('Data Recording'!AE:AE,'Data Recording'!D:D=B15), ""Select Col1""),""Yes, Docked"") &amp; ""/"" &amp; if(COUNTA(query(ifna(filter('Data Recording'!AE:AE,'Data Recording"&amp;"'!D:D=B15),""""), ""Select Col1""))=0,""0"",COUNTA(query(ifna(filter('Data Recording'!AE:AE,'Data Recording'!D:D=B15),""""), ""Select Col1"")))"),"5/6")</f>
        <v>5/6</v>
      </c>
      <c r="BO15" s="67" t="str">
        <f>IFERROR(__xludf.DUMMYFUNCTION("if(countif(query(filter('Data Recording'!AE:AE,'Data Recording'!D:D=B15), ""Select Col1""),""Yes, Engaged"")=0,""0"",countif(query(filter('Data Recording'!AE:AE,'Data Recording'!D:D=B15), ""Select Col1""),""Yes, Engaged"")) &amp; ""/"" &amp; if(COUNTA(query(ifna("&amp;"filter('Data Recording'!AE:AE,'Data Recording'!D:D=B15),""""), ""Select Col1""))=0,""0"",COUNTA(query(ifna(filter('Data Recording'!AE:AE,'Data Recording'!D:D=B15),""""), ""Select Col1"")))"),"5/6")</f>
        <v>5/6</v>
      </c>
      <c r="BP15" s="60" t="str">
        <f>IFERROR(__xludf.DUMMYFUNCTION("if(countif(query(filter('Data Recording'!AH:AH,'Data Recording'!D:D=B15), ""Select Col1""),""Yes"")=0,""0"",countif(query(filter('Data Recording'!AH:AH,'Data Recording'!D:D=B15), ""Select Col1""),""Yes"")) &amp; ""/"" &amp; if(COUNTA(query(ifna(filter('Data Recor"&amp;"ding'!AH:AH,'Data Recording'!D:D=B15),""""), ""Select Col1""))=0,""0"",COUNTA(query(ifna(filter('Data Recording'!AH:AH,'Data Recording'!D:D=B15),""""), ""Select Col1"")))"),"0/6")</f>
        <v>0/6</v>
      </c>
      <c r="BQ15" s="68">
        <v>0.0</v>
      </c>
      <c r="BR15" s="55">
        <f>IFERROR(__xludf.DUMMYFUNCTION("iferror(average(query(filter('Data Recording'!AF:AF,'Data Recording'!D:D=B15), ""Select Col1"")),""-"")"),2.3333333333333335)</f>
        <v>2.333333333</v>
      </c>
      <c r="BS15" s="69">
        <f>IFERROR(__xludf.DUMMYFUNCTION("iferror(average(query(filter('Data Recording'!AG:AG,'Data Recording'!D:D=B15), ""Select Col1"")),""-"")"),2.1666666666666665)</f>
        <v>2.166666667</v>
      </c>
      <c r="BT15" s="70">
        <f t="shared" si="13"/>
        <v>27.16666667</v>
      </c>
      <c r="BU15" s="70">
        <f>IFERROR(__xludf.DUMMYFUNCTION("iferror(AVERAGE(query(filter('Data Recording'!AJ:AJ,'Data Recording'!D:D=B15), ""Select Col1"")),""-"")"),26.0)</f>
        <v>26</v>
      </c>
      <c r="BV15" s="70">
        <f>IFERROR(__xludf.DUMMYFUNCTION("iferror(AVERAGE(query(filter('Data Recording'!AK:AK,'Data Recording'!D:D=B15), ""Select Col1"")),""-"")"),14.166666666666666)</f>
        <v>14.16666667</v>
      </c>
      <c r="BW15" s="70">
        <f t="shared" si="14"/>
        <v>14.16666667</v>
      </c>
      <c r="BX15" s="71">
        <f>IFERROR(__xludf.DUMMYFUNCTION("iferror(max(query(filter('Data Recording'!AJ:AJ,'Data Recording'!D:D=B15), ""Select Col1"")),""-"")"),34.0)</f>
        <v>34</v>
      </c>
      <c r="BY15" s="72">
        <f>IFERROR(__xludf.DUMMYFUNCTION("iferror(MIN(query(filter('Data Recording'!AJ:AJ,'Data Recording'!D:D=B15), ""Select Col1"")),""-"")"),20.0)</f>
        <v>20</v>
      </c>
      <c r="BZ15" s="73" t="str">
        <f>IFERROR(__xludf.DUMMYFUNCTION("iferror(if(DIVIDE(COUNTIF(query(filter('Data Recording'!R:R,'Data Recording'!D:D=B15), ""Select Col1""),""Yes, Docked"") + countif(query(filter('Data Recording'!R:R,'Data Recording'!D:D=B15), ""Select Col1""),""Yes, Engaged""),COUNTA(query(ifna(filter('Da"&amp;"ta Recording'!R:R,'Data Recording'!D:D=B15),""""), ""Select Col1"")))&gt;=(0.5),""1"",""0""),""-"")"),"0")</f>
        <v>0</v>
      </c>
      <c r="CA15" s="59" t="str">
        <f>IFERROR(__xludf.DUMMYFUNCTION("iferror(if(countif(query(filter('Data Recording'!R:R,'Data Recording'!D:D=B15), ""Select Col1""),""Yes, Engaged"")/COUNTA(query(ifna(filter('Data Recording'!R:R,'Data Recording'!D:D=B15),""""), ""Select Col1""))&gt;=(0.5),""1"",""0""),""-"")"),"0")</f>
        <v>0</v>
      </c>
      <c r="CB15" s="74" t="str">
        <f>IFERROR(__xludf.DUMMYFUNCTION("iferror(if(DIVIDE(COUNTIF(query(filter('Data Recording'!AE:AE,'Data Recording'!D:D=B15), ""Select Col1""),""Yes, Docked"") + countif(query(filter('Data Recording'!AE:AE,'Data Recording'!D:D=B15), ""Select Col1""),""Yes, Engaged""),COUNTA(query(ifna(filter"&amp;"('Data Recording'!AE:AE,'Data Recording'!D:D=B15),""""), ""Select Col1"")))&gt;=(0.5),""1"",""0""),""-"")"),"1")</f>
        <v>1</v>
      </c>
      <c r="CC15" s="59" t="str">
        <f>IFERROR(__xludf.DUMMYFUNCTION("iferror(if(countif(query(filter('Data Recording'!AE:AE,'Data Recording'!D:D=B15), ""Select Col1""),""Yes, Engaged"")/COUNTA(query(ifna(filter('Data Recording'!AE:AE,'Data Recording'!D:D=B15),""""), ""Select Col1""))&gt;=(0.5),""1"",""0""),""-"")"),"1")</f>
        <v>1</v>
      </c>
      <c r="CD15" s="74" t="str">
        <f>IFERROR(__xludf.DUMMYFUNCTION("iferror(if(DIVIDE(countif(query(filter('Data Recording'!E:E,'Data Recording'!D:D=B15), ""Select Col1""),""Yes""),COUNTA(query(ifna(filter('Data Recording'!E:E,'Data Recording'!D:D=B15),""""), ""Select Col1"")))&gt;=(0.5),""1"",""0""),""-"")"),"1")</f>
        <v>1</v>
      </c>
    </row>
    <row r="16">
      <c r="A16" s="51" t="s">
        <v>49</v>
      </c>
      <c r="B16" s="51">
        <v>5641.0</v>
      </c>
      <c r="C16" s="52" t="str">
        <f>IFERROR(__xludf.DUMMYFUNCTION("if(countif(query(filter('Data Recording'!E:E,'Data Recording'!D:D=B16), ""Select Col1""),""Yes"")=0,""0"",countif(query(filter('Data Recording'!E:E,'Data Recording'!D:D=B16), ""Select Col1""),""Yes"")) &amp; ""/"" &amp; if(COUNTA(query(ifna(filter('Data Recording"&amp;"'!E:E,'Data Recording'!D:D=B16),""""), ""Select Col1""))=0,""0"",COUNTA(query(ifna(filter('Data Recording'!E:E,'Data Recording'!D:D=B16),""""), ""Select Col1"")))"),"11/11")</f>
        <v>11/11</v>
      </c>
      <c r="D16" s="53">
        <f>IFERROR(__xludf.DUMMYFUNCTION("iferror(SUM(query(filter('Data Recording'!F:F,'Data Recording'!D:D=B16), ""Select Col1"")),""-"")"),0.0)</f>
        <v>0</v>
      </c>
      <c r="E16" s="53">
        <f>IFERROR(__xludf.DUMMYFUNCTION("iferror(SUM(query(filter('Data Recording'!G:G,'Data Recording'!D:D=B16), ""Select Col1"")),""-"")"),0.0)</f>
        <v>0</v>
      </c>
      <c r="F16" s="54" t="str">
        <f t="shared" si="1"/>
        <v>-</v>
      </c>
      <c r="G16" s="55" t="str">
        <f>IFERROR(__xludf.DUMMYFUNCTION("iferror(AVERAGE(query(filter('Data Recording'!G:G,'Data Recording'!D:D=B16), ""Select Col1"")),""0.00"")"),"0.00")</f>
        <v>0.00</v>
      </c>
      <c r="H16" s="53">
        <f>IFERROR(__xludf.DUMMYFUNCTION("iferror(MAX(query(filter('Data Recording'!G:G,'Data Recording'!D:D=B16), ""Select Col1"")),""-"")"),0.0)</f>
        <v>0</v>
      </c>
      <c r="I16" s="56">
        <f>IFERROR(__xludf.DUMMYFUNCTION("iferror(SUM(query(filter('Data Recording'!H:H,'Data Recording'!D:D=B16), ""Select Col1"")),""-"")"),0.0)</f>
        <v>0</v>
      </c>
      <c r="J16" s="57">
        <f>IFERROR(__xludf.DUMMYFUNCTION("iferror(SUM(query(filter('Data Recording'!I:I,'Data Recording'!D:D=B16), ""Select Col1"")),""-"")"),0.0)</f>
        <v>0</v>
      </c>
      <c r="K16" s="54" t="str">
        <f t="shared" si="2"/>
        <v>-</v>
      </c>
      <c r="L16" s="55" t="str">
        <f>IFERROR(__xludf.DUMMYFUNCTION("iferror(AVERAGE(query(filter('Data Recording'!I:I,'Data Recording'!D:D=B16), ""Select Col1"")),""0.00"")"),"0.00")</f>
        <v>0.00</v>
      </c>
      <c r="M16" s="53">
        <f>IFERROR(__xludf.DUMMYFUNCTION("iferror(MAX(query(filter('Data Recording'!I:I,'Data Recording'!D:D=B16), ""Select Col1"")),""-"")"),0.0)</f>
        <v>0</v>
      </c>
      <c r="N16" s="58">
        <f>IFERROR(__xludf.DUMMYFUNCTION("iferror(SUM(query(filter('Data Recording'!J:J,'Data Recording'!D:D=B16), ""Select Col1"")),""-"")"),0.0)</f>
        <v>0</v>
      </c>
      <c r="O16" s="59">
        <f>IFERROR(__xludf.DUMMYFUNCTION("iferror(SUM(query(filter('Data Recording'!K:K,'Data Recording'!D:D=B16), ""Select Col1"")),""-"")"),0.0)</f>
        <v>0</v>
      </c>
      <c r="P16" s="54" t="str">
        <f t="shared" si="3"/>
        <v>-</v>
      </c>
      <c r="Q16" s="55" t="str">
        <f>IFERROR(__xludf.DUMMYFUNCTION("iferror(AVERAGE(query(filter('Data Recording'!K:K,'Data Recording'!D:D=B16), ""Select Col1"")),""0.00"")"),"0.00")</f>
        <v>0.00</v>
      </c>
      <c r="R16" s="53">
        <f>IFERROR(__xludf.DUMMYFUNCTION("iferror(MAX(query(filter('Data Recording'!K:K,'Data Recording'!D:D=B16), ""Select Col1"")),""-"")"),0.0)</f>
        <v>0</v>
      </c>
      <c r="S16" s="58">
        <f>IFERROR(__xludf.DUMMYFUNCTION("iferror(SUM(query(filter('Data Recording'!L:L,'Data Recording'!D:D=B16), ""Select Col1"")),""-"")"),0.0)</f>
        <v>0</v>
      </c>
      <c r="T16" s="59">
        <f>IFERROR(__xludf.DUMMYFUNCTION("iferror(SUM(query(filter('Data Recording'!M:M,'Data Recording'!D:D=B16), ""Select Col1"")),""-"")"),0.0)</f>
        <v>0</v>
      </c>
      <c r="U16" s="54" t="str">
        <f t="shared" si="4"/>
        <v>-</v>
      </c>
      <c r="V16" s="55" t="str">
        <f>IFERROR(__xludf.DUMMYFUNCTION("iferror(AVERAGE(query(filter('Data Recording'!M:M,'Data Recording'!D:D=B16), ""Select Col1"")),""-"")"),"-")</f>
        <v>-</v>
      </c>
      <c r="W16" s="52">
        <f>IFERROR(__xludf.DUMMYFUNCTION("iferror(MAX(query(filter('Data Recording'!M:M,'Data Recording'!D:D=B16), ""Select Col1"")),""-"")"),0.0)</f>
        <v>0</v>
      </c>
      <c r="X16" s="59">
        <f>IFERROR(__xludf.DUMMYFUNCTION("iferror(SUM(query(filter('Data Recording'!N:N,'Data Recording'!D:D=B16), ""Select Col1"")),""-"")"),0.0)</f>
        <v>0</v>
      </c>
      <c r="Y16" s="59">
        <f>IFERROR(__xludf.DUMMYFUNCTION("iferror(SUM(query(filter('Data Recording'!O:O,'Data Recording'!D:D=B16), ""Select Col1"")),""-"")"),0.0)</f>
        <v>0</v>
      </c>
      <c r="Z16" s="54" t="str">
        <f t="shared" si="5"/>
        <v>-</v>
      </c>
      <c r="AA16" s="55" t="str">
        <f>IFERROR(__xludf.DUMMYFUNCTION("iferror(AVERAGE(query(filter('Data Recording'!O:O,'Data Recording'!D:D=B16), ""Select Col1"")),""0.00"")"),"0.00")</f>
        <v>0.00</v>
      </c>
      <c r="AB16" s="52">
        <f>IFERROR(__xludf.DUMMYFUNCTION("iferror(MAX(query(filter('Data Recording'!O:O,'Data Recording'!D:D=B16), ""Select Col1"")),""-"")"),0.0)</f>
        <v>0</v>
      </c>
      <c r="AC16" s="59">
        <f>IFERROR(__xludf.DUMMYFUNCTION("iferror(SUM(query(filter('Data Recording'!P:P,'Data Recording'!D:D=B16), ""Select Col1"")),""-"")"),0.0)</f>
        <v>0</v>
      </c>
      <c r="AD16" s="59">
        <f>IFERROR(__xludf.DUMMYFUNCTION("iferror(SUM(query(filter('Data Recording'!Q:Q,'Data Recording'!D:D=B16), ""Select Col1"")),""-"")"),0.0)</f>
        <v>0</v>
      </c>
      <c r="AE16" s="54" t="str">
        <f t="shared" si="6"/>
        <v>-</v>
      </c>
      <c r="AF16" s="55" t="str">
        <f>IFERROR(__xludf.DUMMYFUNCTION("iferror(AVERAGE(query(filter('Data Recording'!Q:Q,'Data Recording'!D:D=B16), ""Select Col1"")),""0.00"")"),"0.00")</f>
        <v>0.00</v>
      </c>
      <c r="AG16" s="59">
        <f>IFERROR(__xludf.DUMMYFUNCTION("iferror(MAX(query(filter('Data Recording'!Q:Q,'Data Recording'!D:D=B16), ""Select Col1"")),""-"")"),0.0)</f>
        <v>0</v>
      </c>
      <c r="AH16" s="58" t="str">
        <f>IFERROR(__xludf.DUMMYFUNCTION("if(countif(query(filter('Data Recording'!R:R,'Data Recording'!D:D=B16), ""Select Col1""),""Yes, Engaged"")+countif(query(filter('Data Recording'!R:R,'Data Recording'!D:D=B16), ""Select Col1""),""Yes, Docked"")=0,""0"",countif(query(filter('Data Recording'"&amp;"!R:R,'Data Recording'!D:D=B16), ""Select Col1""),""Yes, Engaged""))+countif(query(filter('Data Recording'!R:R,'Data Recording'!D:D=B16), ""Select Col1""),""Yes, Docked"") &amp; ""/"" &amp; if(COUNTA(query(ifna(filter('Data Recording'!R:R,'Data Recording'!D:D=B16)"&amp;",""""), ""Select Col1""))=0,""0"",COUNTA(query(ifna(filter('Data Recording'!R:R,'Data Recording'!D:D=B16),""""), ""Select Col1"")))"),"10/11")</f>
        <v>10/11</v>
      </c>
      <c r="AI16" s="60" t="str">
        <f>IFERROR(__xludf.DUMMYFUNCTION("if(countif(query(filter('Data Recording'!R:R,'Data Recording'!D:D=B16), ""Select Col1""),""Yes, Engaged"")=0,""0"",countif(query(filter('Data Recording'!R:R,'Data Recording'!D:D=B16), ""Select Col1""),""Yes, Engaged"")) &amp; ""/"" &amp; if(COUNTA(query(ifna(filt"&amp;"er('Data Recording'!R:R,'Data Recording'!D:D=B16),""""), ""Select Col1""))=0,""0"",COUNTA(query(ifna(filter('Data Recording'!R:R,'Data Recording'!D:D=B16),""""), ""Select Col1"")))"),"6/11")</f>
        <v>6/11</v>
      </c>
      <c r="AJ16" s="59">
        <f>IFERROR(__xludf.DUMMYFUNCTION("iferror(SUM(query(filter('Data Recording'!S:S,'Data Recording'!D:D=B16), ""Select Col1"")),""-"")"),0.0)</f>
        <v>0</v>
      </c>
      <c r="AK16" s="59">
        <f>IFERROR(__xludf.DUMMYFUNCTION("iferror(SUM(query(filter('Data Recording'!T:T,'Data Recording'!D:D=B16), ""Select Col1"")),""-"")"),0.0)</f>
        <v>0</v>
      </c>
      <c r="AL16" s="54" t="str">
        <f t="shared" si="7"/>
        <v>-</v>
      </c>
      <c r="AM16" s="55" t="str">
        <f>IFERROR(__xludf.DUMMYFUNCTION("iferror(AVERAGE(query(filter('Data Recording'!T:T,'Data Recording'!D:D=B16), ""Select Col1"")),""0.00"")"),"0.00")</f>
        <v>0.00</v>
      </c>
      <c r="AN16" s="61">
        <f>IFERROR(__xludf.DUMMYFUNCTION("iferror(MAX(query(filter('Data Recording'!T:T,'Data Recording'!D:D=B16), ""Select Col1"")),""-"")"),0.0)</f>
        <v>0</v>
      </c>
      <c r="AO16" s="62">
        <f>IFERROR(__xludf.DUMMYFUNCTION("iferror(SUM(query(filter('Data Recording'!U:U,'Data Recording'!D:D=B16), ""Select Col1"")),""-"")"),0.0)</f>
        <v>0</v>
      </c>
      <c r="AP16" s="62">
        <f>IFERROR(__xludf.DUMMYFUNCTION("iferror(SUM(query(filter('Data Recording'!V:V,'Data Recording'!D:D=B16), ""Select Col1"")),""-"")"),0.0)</f>
        <v>0</v>
      </c>
      <c r="AQ16" s="63" t="str">
        <f t="shared" si="8"/>
        <v>-</v>
      </c>
      <c r="AR16" s="64" t="str">
        <f>IFERROR(__xludf.DUMMYFUNCTION("iferror(AVERAGE(query(filter('Data Recording'!V:V,'Data Recording'!D:D=B16), ""Select Col1"")),""0.00"")"),"0.00")</f>
        <v>0.00</v>
      </c>
      <c r="AS16" s="65">
        <f>IFERROR(__xludf.DUMMYFUNCTION("iferror(MAX(query(filter('Data Recording'!V:V,'Data Recording'!D:D=B16), ""Select Col1"")),""-"")"),0.0)</f>
        <v>0</v>
      </c>
      <c r="AT16" s="62">
        <f>IFERROR(__xludf.DUMMYFUNCTION("iferror(SUM(query(filter('Data Recording'!W:W,'Data Recording'!D:D=B16), ""Select Col1"")),""-"")"),1.0)</f>
        <v>1</v>
      </c>
      <c r="AU16" s="62">
        <f>IFERROR(__xludf.DUMMYFUNCTION("iferror(SUM(query(filter('Data Recording'!X:X,'Data Recording'!D:D=B16), ""Select Col1"")),""-"")"),1.0)</f>
        <v>1</v>
      </c>
      <c r="AV16" s="63">
        <f t="shared" si="9"/>
        <v>1</v>
      </c>
      <c r="AW16" s="64">
        <f>IFERROR(__xludf.DUMMYFUNCTION("iferror(AVERAGE(query(filter('Data Recording'!X:X,'Data Recording'!D:D=B16), ""Select Col1"")),""0.00"")"),1.0)</f>
        <v>1</v>
      </c>
      <c r="AX16" s="65">
        <f>IFERROR(__xludf.DUMMYFUNCTION("iferror(MAX(query(filter('Data Recording'!X:X,'Data Recording'!D:D=B16), ""Select Col1"")),""-"")"),1.0)</f>
        <v>1</v>
      </c>
      <c r="AY16" s="62">
        <f>IFERROR(__xludf.DUMMYFUNCTION("iferror(SUM(query(filter('Data Recording'!Y:Y,'Data Recording'!D:D=B16), ""Select Col1"")),""-"")"),0.0)</f>
        <v>0</v>
      </c>
      <c r="AZ16" s="62">
        <f>IFERROR(__xludf.DUMMYFUNCTION("iferror(SUM(query(filter('Data Recording'!Z:Z,'Data Recording'!D:D=B16), ""Select Col1"")),""-"")"),0.0)</f>
        <v>0</v>
      </c>
      <c r="BA16" s="63" t="str">
        <f t="shared" si="10"/>
        <v>-</v>
      </c>
      <c r="BB16" s="64" t="str">
        <f>IFERROR(__xludf.DUMMYFUNCTION("iferror(AVERAGE(query(filter('Data Recording'!Z:Z,'Data Recording'!D:D=B16), ""Select Col1"")),""0.00"")"),"0.00")</f>
        <v>0.00</v>
      </c>
      <c r="BC16" s="65">
        <f>IFERROR(__xludf.DUMMYFUNCTION("iferror(MAX(query(filter('Data Recording'!Z:Z,'Data Recording'!D:D=B16), ""Select Col1"")),""-"")"),0.0)</f>
        <v>0</v>
      </c>
      <c r="BD16" s="62">
        <f>IFERROR(__xludf.DUMMYFUNCTION("iferror(SUM(query(filter('Data Recording'!AA:AA,'Data Recording'!D:D=B16), ""Select Col1"")),""-"")"),8.0)</f>
        <v>8</v>
      </c>
      <c r="BE16" s="62">
        <f>IFERROR(__xludf.DUMMYFUNCTION("iferror(SUM(query(filter('Data Recording'!AB:AB,'Data Recording'!D:D=B16), ""Select Col1"")),""-"")"),6.0)</f>
        <v>6</v>
      </c>
      <c r="BF16" s="63">
        <f t="shared" si="11"/>
        <v>0.75</v>
      </c>
      <c r="BG16" s="64">
        <f>IFERROR(__xludf.DUMMYFUNCTION("iferror(AVERAGE(query(filter('Data Recording'!AB:AB,'Data Recording'!D:D=B16), ""Select Col1"")),""0.00"")"),1.2)</f>
        <v>1.2</v>
      </c>
      <c r="BH16" s="65">
        <f>IFERROR(__xludf.DUMMYFUNCTION("iferror(MAX(query(filter('Data Recording'!AB:AB,'Data Recording'!D:D=B16), ""Select Col1"")),""-"")"),2.0)</f>
        <v>2</v>
      </c>
      <c r="BI16" s="62">
        <f>IFERROR(__xludf.DUMMYFUNCTION("iferror(SUM(query(filter('Data Recording'!AC:AC,'Data Recording'!D:D=B16), ""Select Col1"")),""-"")"),11.0)</f>
        <v>11</v>
      </c>
      <c r="BJ16" s="62">
        <f>IFERROR(__xludf.DUMMYFUNCTION("iferror(SUM(query(filter('Data Recording'!AD:AD,'Data Recording'!D:D=B16), ""Select Col1"")),""-"")"),11.0)</f>
        <v>11</v>
      </c>
      <c r="BK16" s="63">
        <f t="shared" si="12"/>
        <v>1</v>
      </c>
      <c r="BL16" s="64">
        <f>IFERROR(__xludf.DUMMYFUNCTION("iferror(AVERAGE(query(filter('Data Recording'!AD:AD,'Data Recording'!D:D=B16), ""Select Col1"")),""0.00"")"),1.8333333333333333)</f>
        <v>1.833333333</v>
      </c>
      <c r="BM16" s="65">
        <f>IFERROR(__xludf.DUMMYFUNCTION("iferror(MAX(query(filter('Data Recording'!AD:AD,'Data Recording'!D:D=B16), ""Select Col1"")),""-"")"),3.0)</f>
        <v>3</v>
      </c>
      <c r="BN16" s="66" t="str">
        <f>IFERROR(__xludf.DUMMYFUNCTION("if(countif(query(filter('Data Recording'!AE:AE,'Data Recording'!D:D=B16), ""Select Col1""),""Yes, Engaged"")+countif(query(filter('Data Recording'!AE:AE,'Data Recording'!D:D=B16), ""Select Col1""),""Yes, Docked"")=0,""0"",countif(query(filter('Data Record"&amp;"ing'!AE:AE,'Data Recording'!D:D=B16), ""Select Col1""),""Yes, Engaged""))+countif(query(filter('Data Recording'!AE:AE,'Data Recording'!D:D=B16), ""Select Col1""),""Yes, Docked"") &amp; ""/"" &amp; if(COUNTA(query(ifna(filter('Data Recording'!AE:AE,'Data Recording"&amp;"'!D:D=B16),""""), ""Select Col1""))=0,""0"",COUNTA(query(ifna(filter('Data Recording'!AE:AE,'Data Recording'!D:D=B16),""""), ""Select Col1"")))"),"9/11")</f>
        <v>9/11</v>
      </c>
      <c r="BO16" s="67" t="str">
        <f>IFERROR(__xludf.DUMMYFUNCTION("if(countif(query(filter('Data Recording'!AE:AE,'Data Recording'!D:D=B16), ""Select Col1""),""Yes, Engaged"")=0,""0"",countif(query(filter('Data Recording'!AE:AE,'Data Recording'!D:D=B16), ""Select Col1""),""Yes, Engaged"")) &amp; ""/"" &amp; if(COUNTA(query(ifna("&amp;"filter('Data Recording'!AE:AE,'Data Recording'!D:D=B16),""""), ""Select Col1""))=0,""0"",COUNTA(query(ifna(filter('Data Recording'!AE:AE,'Data Recording'!D:D=B16),""""), ""Select Col1"")))"),"9/11")</f>
        <v>9/11</v>
      </c>
      <c r="BP16" s="60" t="str">
        <f>IFERROR(__xludf.DUMMYFUNCTION("if(countif(query(filter('Data Recording'!AH:AH,'Data Recording'!D:D=B16), ""Select Col1""),""Yes"")=0,""0"",countif(query(filter('Data Recording'!AH:AH,'Data Recording'!D:D=B16), ""Select Col1""),""Yes"")) &amp; ""/"" &amp; if(COUNTA(query(ifna(filter('Data Recor"&amp;"ding'!AH:AH,'Data Recording'!D:D=B16),""""), ""Select Col1""))=0,""0"",COUNTA(query(ifna(filter('Data Recording'!AH:AH,'Data Recording'!D:D=B16),""""), ""Select Col1"")))"),"0/11")</f>
        <v>0/11</v>
      </c>
      <c r="BQ16" s="68">
        <v>0.0</v>
      </c>
      <c r="BR16" s="55">
        <f>IFERROR(__xludf.DUMMYFUNCTION("iferror(average(query(filter('Data Recording'!AF:AF,'Data Recording'!D:D=B16), ""Select Col1"")),""-"")"),0.0)</f>
        <v>0</v>
      </c>
      <c r="BS16" s="69">
        <f>IFERROR(__xludf.DUMMYFUNCTION("iferror(average(query(filter('Data Recording'!AG:AG,'Data Recording'!D:D=B16), ""Select Col1"")),""-"")"),0.9090909090909091)</f>
        <v>0.9090909091</v>
      </c>
      <c r="BT16" s="70">
        <f t="shared" si="13"/>
        <v>34.26666667</v>
      </c>
      <c r="BU16" s="70">
        <f>IFERROR(__xludf.DUMMYFUNCTION("iferror(AVERAGE(query(filter('Data Recording'!AJ:AJ,'Data Recording'!D:D=B16), ""Select Col1"")),""-"")"),24.727272727272727)</f>
        <v>24.72727273</v>
      </c>
      <c r="BV16" s="70">
        <f>IFERROR(__xludf.DUMMYFUNCTION("iferror(AVERAGE(query(filter('Data Recording'!AK:AK,'Data Recording'!D:D=B16), ""Select Col1"")),""-"")"),3.8181818181818183)</f>
        <v>3.818181818</v>
      </c>
      <c r="BW16" s="70">
        <f t="shared" si="14"/>
        <v>9.266666667</v>
      </c>
      <c r="BX16" s="71">
        <f>IFERROR(__xludf.DUMMYFUNCTION("iferror(max(query(filter('Data Recording'!AJ:AJ,'Data Recording'!D:D=B16), ""Select Col1"")),""-"")"),31.0)</f>
        <v>31</v>
      </c>
      <c r="BY16" s="72">
        <f>IFERROR(__xludf.DUMMYFUNCTION("iferror(MIN(query(filter('Data Recording'!AJ:AJ,'Data Recording'!D:D=B16), ""Select Col1"")),""-"")"),11.0)</f>
        <v>11</v>
      </c>
      <c r="BZ16" s="73" t="str">
        <f>IFERROR(__xludf.DUMMYFUNCTION("iferror(if(DIVIDE(COUNTIF(query(filter('Data Recording'!R:R,'Data Recording'!D:D=B16), ""Select Col1""),""Yes, Docked"") + countif(query(filter('Data Recording'!R:R,'Data Recording'!D:D=B16), ""Select Col1""),""Yes, Engaged""),COUNTA(query(ifna(filter('Da"&amp;"ta Recording'!R:R,'Data Recording'!D:D=B16),""""), ""Select Col1"")))&gt;=(0.5),""1"",""0""),""-"")"),"1")</f>
        <v>1</v>
      </c>
      <c r="CA16" s="59" t="str">
        <f>IFERROR(__xludf.DUMMYFUNCTION("iferror(if(countif(query(filter('Data Recording'!R:R,'Data Recording'!D:D=B16), ""Select Col1""),""Yes, Engaged"")/COUNTA(query(ifna(filter('Data Recording'!R:R,'Data Recording'!D:D=B16),""""), ""Select Col1""))&gt;=(0.5),""1"",""0""),""-"")"),"1")</f>
        <v>1</v>
      </c>
      <c r="CB16" s="74" t="str">
        <f>IFERROR(__xludf.DUMMYFUNCTION("iferror(if(DIVIDE(COUNTIF(query(filter('Data Recording'!AE:AE,'Data Recording'!D:D=B16), ""Select Col1""),""Yes, Docked"") + countif(query(filter('Data Recording'!AE:AE,'Data Recording'!D:D=B16), ""Select Col1""),""Yes, Engaged""),COUNTA(query(ifna(filter"&amp;"('Data Recording'!AE:AE,'Data Recording'!D:D=B16),""""), ""Select Col1"")))&gt;=(0.5),""1"",""0""),""-"")"),"1")</f>
        <v>1</v>
      </c>
      <c r="CC16" s="59" t="str">
        <f>IFERROR(__xludf.DUMMYFUNCTION("iferror(if(countif(query(filter('Data Recording'!AE:AE,'Data Recording'!D:D=B16), ""Select Col1""),""Yes, Engaged"")/COUNTA(query(ifna(filter('Data Recording'!AE:AE,'Data Recording'!D:D=B16),""""), ""Select Col1""))&gt;=(0.5),""1"",""0""),""-"")"),"1")</f>
        <v>1</v>
      </c>
      <c r="CD16" s="74" t="str">
        <f>IFERROR(__xludf.DUMMYFUNCTION("iferror(if(DIVIDE(countif(query(filter('Data Recording'!E:E,'Data Recording'!D:D=B16), ""Select Col1""),""Yes""),COUNTA(query(ifna(filter('Data Recording'!E:E,'Data Recording'!D:D=B16),""""), ""Select Col1"")))&gt;=(0.5),""1"",""0""),""-"")"),"1")</f>
        <v>1</v>
      </c>
    </row>
    <row r="17">
      <c r="A17" s="51" t="s">
        <v>50</v>
      </c>
      <c r="B17" s="51">
        <v>3322.0</v>
      </c>
      <c r="C17" s="52" t="str">
        <f>IFERROR(__xludf.DUMMYFUNCTION("if(countif(query(filter('Data Recording'!E:E,'Data Recording'!D:D=B17), ""Select Col1""),""Yes"")=0,""0"",countif(query(filter('Data Recording'!E:E,'Data Recording'!D:D=B17), ""Select Col1""),""Yes"")) &amp; ""/"" &amp; if(COUNTA(query(ifna(filter('Data Recording"&amp;"'!E:E,'Data Recording'!D:D=B17),""""), ""Select Col1""))=0,""0"",COUNTA(query(ifna(filter('Data Recording'!E:E,'Data Recording'!D:D=B17),""""), ""Select Col1"")))"),"14/17")</f>
        <v>14/17</v>
      </c>
      <c r="D17" s="53">
        <f>IFERROR(__xludf.DUMMYFUNCTION("iferror(SUM(query(filter('Data Recording'!F:F,'Data Recording'!D:D=B17), ""Select Col1"")),""-"")"),0.0)</f>
        <v>0</v>
      </c>
      <c r="E17" s="53">
        <f>IFERROR(__xludf.DUMMYFUNCTION("iferror(SUM(query(filter('Data Recording'!G:G,'Data Recording'!D:D=B17), ""Select Col1"")),""-"")"),0.0)</f>
        <v>0</v>
      </c>
      <c r="F17" s="54" t="str">
        <f t="shared" si="1"/>
        <v>-</v>
      </c>
      <c r="G17" s="55">
        <f>IFERROR(__xludf.DUMMYFUNCTION("iferror(AVERAGE(query(filter('Data Recording'!G:G,'Data Recording'!D:D=B17), ""Select Col1"")),""0.00"")"),0.0)</f>
        <v>0</v>
      </c>
      <c r="H17" s="53">
        <f>IFERROR(__xludf.DUMMYFUNCTION("iferror(MAX(query(filter('Data Recording'!G:G,'Data Recording'!D:D=B17), ""Select Col1"")),""-"")"),0.0)</f>
        <v>0</v>
      </c>
      <c r="I17" s="56">
        <f>IFERROR(__xludf.DUMMYFUNCTION("iferror(SUM(query(filter('Data Recording'!H:H,'Data Recording'!D:D=B17), ""Select Col1"")),""-"")"),13.0)</f>
        <v>13</v>
      </c>
      <c r="J17" s="57">
        <f>IFERROR(__xludf.DUMMYFUNCTION("iferror(SUM(query(filter('Data Recording'!I:I,'Data Recording'!D:D=B17), ""Select Col1"")),""-"")"),12.0)</f>
        <v>12</v>
      </c>
      <c r="K17" s="54">
        <f t="shared" si="2"/>
        <v>0.9230769231</v>
      </c>
      <c r="L17" s="55">
        <f>IFERROR(__xludf.DUMMYFUNCTION("iferror(AVERAGE(query(filter('Data Recording'!I:I,'Data Recording'!D:D=B17), ""Select Col1"")),""0.00"")"),0.9230769230769231)</f>
        <v>0.9230769231</v>
      </c>
      <c r="M17" s="53">
        <f>IFERROR(__xludf.DUMMYFUNCTION("iferror(MAX(query(filter('Data Recording'!I:I,'Data Recording'!D:D=B17), ""Select Col1"")),""-"")"),1.0)</f>
        <v>1</v>
      </c>
      <c r="N17" s="58">
        <f>IFERROR(__xludf.DUMMYFUNCTION("iferror(SUM(query(filter('Data Recording'!J:J,'Data Recording'!D:D=B17), ""Select Col1"")),""-"")"),1.0)</f>
        <v>1</v>
      </c>
      <c r="O17" s="59">
        <f>IFERROR(__xludf.DUMMYFUNCTION("iferror(SUM(query(filter('Data Recording'!K:K,'Data Recording'!D:D=B17), ""Select Col1"")),""-"")"),1.0)</f>
        <v>1</v>
      </c>
      <c r="P17" s="54">
        <f t="shared" si="3"/>
        <v>1</v>
      </c>
      <c r="Q17" s="55">
        <f>IFERROR(__xludf.DUMMYFUNCTION("iferror(AVERAGE(query(filter('Data Recording'!K:K,'Data Recording'!D:D=B17), ""Select Col1"")),""0.00"")"),1.0)</f>
        <v>1</v>
      </c>
      <c r="R17" s="53">
        <f>IFERROR(__xludf.DUMMYFUNCTION("iferror(MAX(query(filter('Data Recording'!K:K,'Data Recording'!D:D=B17), ""Select Col1"")),""-"")"),1.0)</f>
        <v>1</v>
      </c>
      <c r="S17" s="58">
        <f>IFERROR(__xludf.DUMMYFUNCTION("iferror(SUM(query(filter('Data Recording'!L:L,'Data Recording'!D:D=B17), ""Select Col1"")),""-"")"),0.0)</f>
        <v>0</v>
      </c>
      <c r="T17" s="59">
        <f>IFERROR(__xludf.DUMMYFUNCTION("iferror(SUM(query(filter('Data Recording'!M:M,'Data Recording'!D:D=B17), ""Select Col1"")),""-"")"),0.0)</f>
        <v>0</v>
      </c>
      <c r="U17" s="54" t="str">
        <f t="shared" si="4"/>
        <v>-</v>
      </c>
      <c r="V17" s="55">
        <f>IFERROR(__xludf.DUMMYFUNCTION("iferror(AVERAGE(query(filter('Data Recording'!M:M,'Data Recording'!D:D=B17), ""Select Col1"")),""-"")"),0.0)</f>
        <v>0</v>
      </c>
      <c r="W17" s="52">
        <f>IFERROR(__xludf.DUMMYFUNCTION("iferror(MAX(query(filter('Data Recording'!M:M,'Data Recording'!D:D=B17), ""Select Col1"")),""-"")"),0.0)</f>
        <v>0</v>
      </c>
      <c r="X17" s="59">
        <f>IFERROR(__xludf.DUMMYFUNCTION("iferror(SUM(query(filter('Data Recording'!N:N,'Data Recording'!D:D=B17), ""Select Col1"")),""-"")"),2.0)</f>
        <v>2</v>
      </c>
      <c r="Y17" s="59">
        <f>IFERROR(__xludf.DUMMYFUNCTION("iferror(SUM(query(filter('Data Recording'!O:O,'Data Recording'!D:D=B17), ""Select Col1"")),""-"")"),2.0)</f>
        <v>2</v>
      </c>
      <c r="Z17" s="54">
        <f t="shared" si="5"/>
        <v>1</v>
      </c>
      <c r="AA17" s="55">
        <f>IFERROR(__xludf.DUMMYFUNCTION("iferror(AVERAGE(query(filter('Data Recording'!O:O,'Data Recording'!D:D=B17), ""Select Col1"")),""0.00"")"),0.6666666666666666)</f>
        <v>0.6666666667</v>
      </c>
      <c r="AB17" s="52">
        <f>IFERROR(__xludf.DUMMYFUNCTION("iferror(MAX(query(filter('Data Recording'!O:O,'Data Recording'!D:D=B17), ""Select Col1"")),""-"")"),1.0)</f>
        <v>1</v>
      </c>
      <c r="AC17" s="59">
        <f>IFERROR(__xludf.DUMMYFUNCTION("iferror(SUM(query(filter('Data Recording'!P:P,'Data Recording'!D:D=B17), ""Select Col1"")),""-"")"),1.0)</f>
        <v>1</v>
      </c>
      <c r="AD17" s="59">
        <f>IFERROR(__xludf.DUMMYFUNCTION("iferror(SUM(query(filter('Data Recording'!Q:Q,'Data Recording'!D:D=B17), ""Select Col1"")),""-"")"),1.0)</f>
        <v>1</v>
      </c>
      <c r="AE17" s="54">
        <f t="shared" si="6"/>
        <v>1</v>
      </c>
      <c r="AF17" s="55">
        <f>IFERROR(__xludf.DUMMYFUNCTION("iferror(AVERAGE(query(filter('Data Recording'!Q:Q,'Data Recording'!D:D=B17), ""Select Col1"")),""0.00"")"),0.5)</f>
        <v>0.5</v>
      </c>
      <c r="AG17" s="59">
        <f>IFERROR(__xludf.DUMMYFUNCTION("iferror(MAX(query(filter('Data Recording'!Q:Q,'Data Recording'!D:D=B17), ""Select Col1"")),""-"")"),1.0)</f>
        <v>1</v>
      </c>
      <c r="AH17" s="58" t="str">
        <f>IFERROR(__xludf.DUMMYFUNCTION("if(countif(query(filter('Data Recording'!R:R,'Data Recording'!D:D=B17), ""Select Col1""),""Yes, Engaged"")+countif(query(filter('Data Recording'!R:R,'Data Recording'!D:D=B17), ""Select Col1""),""Yes, Docked"")=0,""0"",countif(query(filter('Data Recording'"&amp;"!R:R,'Data Recording'!D:D=B17), ""Select Col1""),""Yes, Engaged""))+countif(query(filter('Data Recording'!R:R,'Data Recording'!D:D=B17), ""Select Col1""),""Yes, Docked"") &amp; ""/"" &amp; if(COUNTA(query(ifna(filter('Data Recording'!R:R,'Data Recording'!D:D=B17)"&amp;",""""), ""Select Col1""))=0,""0"",COUNTA(query(ifna(filter('Data Recording'!R:R,'Data Recording'!D:D=B17),""""), ""Select Col1"")))"),"0/17")</f>
        <v>0/17</v>
      </c>
      <c r="AI17" s="60" t="str">
        <f>IFERROR(__xludf.DUMMYFUNCTION("if(countif(query(filter('Data Recording'!R:R,'Data Recording'!D:D=B17), ""Select Col1""),""Yes, Engaged"")=0,""0"",countif(query(filter('Data Recording'!R:R,'Data Recording'!D:D=B17), ""Select Col1""),""Yes, Engaged"")) &amp; ""/"" &amp; if(COUNTA(query(ifna(filt"&amp;"er('Data Recording'!R:R,'Data Recording'!D:D=B17),""""), ""Select Col1""))=0,""0"",COUNTA(query(ifna(filter('Data Recording'!R:R,'Data Recording'!D:D=B17),""""), ""Select Col1"")))"),"0/17")</f>
        <v>0/17</v>
      </c>
      <c r="AJ17" s="59">
        <f>IFERROR(__xludf.DUMMYFUNCTION("iferror(SUM(query(filter('Data Recording'!S:S,'Data Recording'!D:D=B17), ""Select Col1"")),""-"")"),0.0)</f>
        <v>0</v>
      </c>
      <c r="AK17" s="59">
        <f>IFERROR(__xludf.DUMMYFUNCTION("iferror(SUM(query(filter('Data Recording'!T:T,'Data Recording'!D:D=B17), ""Select Col1"")),""-"")"),0.0)</f>
        <v>0</v>
      </c>
      <c r="AL17" s="54" t="str">
        <f t="shared" si="7"/>
        <v>-</v>
      </c>
      <c r="AM17" s="55">
        <f>IFERROR(__xludf.DUMMYFUNCTION("iferror(AVERAGE(query(filter('Data Recording'!T:T,'Data Recording'!D:D=B17), ""Select Col1"")),""0.00"")"),0.0)</f>
        <v>0</v>
      </c>
      <c r="AN17" s="61">
        <f>IFERROR(__xludf.DUMMYFUNCTION("iferror(MAX(query(filter('Data Recording'!T:T,'Data Recording'!D:D=B17), ""Select Col1"")),""-"")"),0.0)</f>
        <v>0</v>
      </c>
      <c r="AO17" s="62">
        <f>IFERROR(__xludf.DUMMYFUNCTION("iferror(SUM(query(filter('Data Recording'!U:U,'Data Recording'!D:D=B17), ""Select Col1"")),""-"")"),10.0)</f>
        <v>10</v>
      </c>
      <c r="AP17" s="62">
        <f>IFERROR(__xludf.DUMMYFUNCTION("iferror(SUM(query(filter('Data Recording'!V:V,'Data Recording'!D:D=B17), ""Select Col1"")),""-"")"),7.0)</f>
        <v>7</v>
      </c>
      <c r="AQ17" s="63">
        <f t="shared" si="8"/>
        <v>0.7</v>
      </c>
      <c r="AR17" s="64">
        <f>IFERROR(__xludf.DUMMYFUNCTION("iferror(AVERAGE(query(filter('Data Recording'!V:V,'Data Recording'!D:D=B17), ""Select Col1"")),""0.00"")"),0.7777777777777778)</f>
        <v>0.7777777778</v>
      </c>
      <c r="AS17" s="65">
        <f>IFERROR(__xludf.DUMMYFUNCTION("iferror(MAX(query(filter('Data Recording'!V:V,'Data Recording'!D:D=B17), ""Select Col1"")),""-"")"),2.0)</f>
        <v>2</v>
      </c>
      <c r="AT17" s="62">
        <f>IFERROR(__xludf.DUMMYFUNCTION("iferror(SUM(query(filter('Data Recording'!W:W,'Data Recording'!D:D=B17), ""Select Col1"")),""-"")"),8.0)</f>
        <v>8</v>
      </c>
      <c r="AU17" s="62">
        <f>IFERROR(__xludf.DUMMYFUNCTION("iferror(SUM(query(filter('Data Recording'!X:X,'Data Recording'!D:D=B17), ""Select Col1"")),""-"")"),8.0)</f>
        <v>8</v>
      </c>
      <c r="AV17" s="63">
        <f t="shared" si="9"/>
        <v>1</v>
      </c>
      <c r="AW17" s="64">
        <f>IFERROR(__xludf.DUMMYFUNCTION("iferror(AVERAGE(query(filter('Data Recording'!X:X,'Data Recording'!D:D=B17), ""Select Col1"")),""0.00"")"),1.1428571428571428)</f>
        <v>1.142857143</v>
      </c>
      <c r="AX17" s="65">
        <f>IFERROR(__xludf.DUMMYFUNCTION("iferror(MAX(query(filter('Data Recording'!X:X,'Data Recording'!D:D=B17), ""Select Col1"")),""-"")"),2.0)</f>
        <v>2</v>
      </c>
      <c r="AY17" s="62">
        <f>IFERROR(__xludf.DUMMYFUNCTION("iferror(SUM(query(filter('Data Recording'!Y:Y,'Data Recording'!D:D=B17), ""Select Col1"")),""-"")"),0.0)</f>
        <v>0</v>
      </c>
      <c r="AZ17" s="62">
        <f>IFERROR(__xludf.DUMMYFUNCTION("iferror(SUM(query(filter('Data Recording'!Z:Z,'Data Recording'!D:D=B17), ""Select Col1"")),""-"")"),0.0)</f>
        <v>0</v>
      </c>
      <c r="BA17" s="63" t="str">
        <f t="shared" si="10"/>
        <v>-</v>
      </c>
      <c r="BB17" s="64">
        <f>IFERROR(__xludf.DUMMYFUNCTION("iferror(AVERAGE(query(filter('Data Recording'!Z:Z,'Data Recording'!D:D=B17), ""Select Col1"")),""0.00"")"),0.0)</f>
        <v>0</v>
      </c>
      <c r="BC17" s="65">
        <f>IFERROR(__xludf.DUMMYFUNCTION("iferror(MAX(query(filter('Data Recording'!Z:Z,'Data Recording'!D:D=B17), ""Select Col1"")),""-"")"),0.0)</f>
        <v>0</v>
      </c>
      <c r="BD17" s="62">
        <f>IFERROR(__xludf.DUMMYFUNCTION("iferror(SUM(query(filter('Data Recording'!AA:AA,'Data Recording'!D:D=B17), ""Select Col1"")),""-"")"),28.0)</f>
        <v>28</v>
      </c>
      <c r="BE17" s="62">
        <f>IFERROR(__xludf.DUMMYFUNCTION("iferror(SUM(query(filter('Data Recording'!AB:AB,'Data Recording'!D:D=B17), ""Select Col1"")),""-"")"),28.0)</f>
        <v>28</v>
      </c>
      <c r="BF17" s="63">
        <f t="shared" si="11"/>
        <v>1</v>
      </c>
      <c r="BG17" s="64">
        <f>IFERROR(__xludf.DUMMYFUNCTION("iferror(AVERAGE(query(filter('Data Recording'!AB:AB,'Data Recording'!D:D=B17), ""Select Col1"")),""0.00"")"),1.75)</f>
        <v>1.75</v>
      </c>
      <c r="BH17" s="65">
        <f>IFERROR(__xludf.DUMMYFUNCTION("iferror(MAX(query(filter('Data Recording'!AB:AB,'Data Recording'!D:D=B17), ""Select Col1"")),""-"")"),3.0)</f>
        <v>3</v>
      </c>
      <c r="BI17" s="62">
        <f>IFERROR(__xludf.DUMMYFUNCTION("iferror(SUM(query(filter('Data Recording'!AC:AC,'Data Recording'!D:D=B17), ""Select Col1"")),""-"")"),22.0)</f>
        <v>22</v>
      </c>
      <c r="BJ17" s="62">
        <f>IFERROR(__xludf.DUMMYFUNCTION("iferror(SUM(query(filter('Data Recording'!AD:AD,'Data Recording'!D:D=B17), ""Select Col1"")),""-"")"),22.0)</f>
        <v>22</v>
      </c>
      <c r="BK17" s="63">
        <f t="shared" si="12"/>
        <v>1</v>
      </c>
      <c r="BL17" s="64">
        <f>IFERROR(__xludf.DUMMYFUNCTION("iferror(AVERAGE(query(filter('Data Recording'!AD:AD,'Data Recording'!D:D=B17), ""Select Col1"")),""0.00"")"),1.8333333333333333)</f>
        <v>1.833333333</v>
      </c>
      <c r="BM17" s="65">
        <f>IFERROR(__xludf.DUMMYFUNCTION("iferror(MAX(query(filter('Data Recording'!AD:AD,'Data Recording'!D:D=B17), ""Select Col1"")),""-"")"),4.0)</f>
        <v>4</v>
      </c>
      <c r="BN17" s="66" t="str">
        <f>IFERROR(__xludf.DUMMYFUNCTION("if(countif(query(filter('Data Recording'!AE:AE,'Data Recording'!D:D=B17), ""Select Col1""),""Yes, Engaged"")+countif(query(filter('Data Recording'!AE:AE,'Data Recording'!D:D=B17), ""Select Col1""),""Yes, Docked"")=0,""0"",countif(query(filter('Data Record"&amp;"ing'!AE:AE,'Data Recording'!D:D=B17), ""Select Col1""),""Yes, Engaged""))+countif(query(filter('Data Recording'!AE:AE,'Data Recording'!D:D=B17), ""Select Col1""),""Yes, Docked"") &amp; ""/"" &amp; if(COUNTA(query(ifna(filter('Data Recording'!AE:AE,'Data Recording"&amp;"'!D:D=B17),""""), ""Select Col1""))=0,""0"",COUNTA(query(ifna(filter('Data Recording'!AE:AE,'Data Recording'!D:D=B17),""""), ""Select Col1"")))"),"11/17")</f>
        <v>11/17</v>
      </c>
      <c r="BO17" s="67" t="str">
        <f>IFERROR(__xludf.DUMMYFUNCTION("if(countif(query(filter('Data Recording'!AE:AE,'Data Recording'!D:D=B17), ""Select Col1""),""Yes, Engaged"")=0,""0"",countif(query(filter('Data Recording'!AE:AE,'Data Recording'!D:D=B17), ""Select Col1""),""Yes, Engaged"")) &amp; ""/"" &amp; if(COUNTA(query(ifna("&amp;"filter('Data Recording'!AE:AE,'Data Recording'!D:D=B17),""""), ""Select Col1""))=0,""0"",COUNTA(query(ifna(filter('Data Recording'!AE:AE,'Data Recording'!D:D=B17),""""), ""Select Col1"")))"),"9/17")</f>
        <v>9/17</v>
      </c>
      <c r="BP17" s="60" t="str">
        <f>IFERROR(__xludf.DUMMYFUNCTION("if(countif(query(filter('Data Recording'!AH:AH,'Data Recording'!D:D=B17), ""Select Col1""),""Yes"")=0,""0"",countif(query(filter('Data Recording'!AH:AH,'Data Recording'!D:D=B17), ""Select Col1""),""Yes"")) &amp; ""/"" &amp; if(COUNTA(query(ifna(filter('Data Recor"&amp;"ding'!AH:AH,'Data Recording'!D:D=B17),""""), ""Select Col1""))=0,""0"",COUNTA(query(ifna(filter('Data Recording'!AH:AH,'Data Recording'!D:D=B17),""""), ""Select Col1"")))"),"0/17")</f>
        <v>0/17</v>
      </c>
      <c r="BQ17" s="68">
        <v>0.0</v>
      </c>
      <c r="BR17" s="55">
        <f>IFERROR(__xludf.DUMMYFUNCTION("iferror(average(query(filter('Data Recording'!AF:AF,'Data Recording'!D:D=B17), ""Select Col1"")),""-"")"),3.0)</f>
        <v>3</v>
      </c>
      <c r="BS17" s="69">
        <f>IFERROR(__xludf.DUMMYFUNCTION("iferror(average(query(filter('Data Recording'!AG:AG,'Data Recording'!D:D=B17), ""Select Col1"")),""-"")"),0.5294117647058824)</f>
        <v>0.5294117647</v>
      </c>
      <c r="BT17" s="70">
        <f t="shared" si="13"/>
        <v>37.39468864</v>
      </c>
      <c r="BU17" s="70">
        <f>IFERROR(__xludf.DUMMYFUNCTION("iferror(AVERAGE(query(filter('Data Recording'!AJ:AJ,'Data Recording'!D:D=B17), ""Select Col1"")),""-"")"),22.529411764705884)</f>
        <v>22.52941176</v>
      </c>
      <c r="BV17" s="70">
        <f>IFERROR(__xludf.DUMMYFUNCTION("iferror(AVERAGE(query(filter('Data Recording'!AK:AK,'Data Recording'!D:D=B17), ""Select Col1"")),""-"")"),13.352941176470589)</f>
        <v>13.35294118</v>
      </c>
      <c r="BW17" s="70">
        <f t="shared" si="14"/>
        <v>24.39468864</v>
      </c>
      <c r="BX17" s="71">
        <f>IFERROR(__xludf.DUMMYFUNCTION("iferror(max(query(filter('Data Recording'!AJ:AJ,'Data Recording'!D:D=B17), ""Select Col1"")),""-"")"),32.0)</f>
        <v>32</v>
      </c>
      <c r="BY17" s="72">
        <f>IFERROR(__xludf.DUMMYFUNCTION("iferror(MIN(query(filter('Data Recording'!AJ:AJ,'Data Recording'!D:D=B17), ""Select Col1"")),""-"")"),9.0)</f>
        <v>9</v>
      </c>
      <c r="BZ17" s="73" t="str">
        <f>IFERROR(__xludf.DUMMYFUNCTION("iferror(if(DIVIDE(COUNTIF(query(filter('Data Recording'!R:R,'Data Recording'!D:D=B17), ""Select Col1""),""Yes, Docked"") + countif(query(filter('Data Recording'!R:R,'Data Recording'!D:D=B17), ""Select Col1""),""Yes, Engaged""),COUNTA(query(ifna(filter('Da"&amp;"ta Recording'!R:R,'Data Recording'!D:D=B17),""""), ""Select Col1"")))&gt;=(0.5),""1"",""0""),""-"")"),"0")</f>
        <v>0</v>
      </c>
      <c r="CA17" s="59" t="str">
        <f>IFERROR(__xludf.DUMMYFUNCTION("iferror(if(countif(query(filter('Data Recording'!R:R,'Data Recording'!D:D=B17), ""Select Col1""),""Yes, Engaged"")/COUNTA(query(ifna(filter('Data Recording'!R:R,'Data Recording'!D:D=B17),""""), ""Select Col1""))&gt;=(0.5),""1"",""0""),""-"")"),"0")</f>
        <v>0</v>
      </c>
      <c r="CB17" s="74" t="str">
        <f>IFERROR(__xludf.DUMMYFUNCTION("iferror(if(DIVIDE(COUNTIF(query(filter('Data Recording'!AE:AE,'Data Recording'!D:D=B17), ""Select Col1""),""Yes, Docked"") + countif(query(filter('Data Recording'!AE:AE,'Data Recording'!D:D=B17), ""Select Col1""),""Yes, Engaged""),COUNTA(query(ifna(filter"&amp;"('Data Recording'!AE:AE,'Data Recording'!D:D=B17),""""), ""Select Col1"")))&gt;=(0.5),""1"",""0""),""-"")"),"1")</f>
        <v>1</v>
      </c>
      <c r="CC17" s="59" t="str">
        <f>IFERROR(__xludf.DUMMYFUNCTION("iferror(if(countif(query(filter('Data Recording'!AE:AE,'Data Recording'!D:D=B17), ""Select Col1""),""Yes, Engaged"")/COUNTA(query(ifna(filter('Data Recording'!AE:AE,'Data Recording'!D:D=B17),""""), ""Select Col1""))&gt;=(0.5),""1"",""0""),""-"")"),"1")</f>
        <v>1</v>
      </c>
      <c r="CD17" s="74" t="str">
        <f>IFERROR(__xludf.DUMMYFUNCTION("iferror(if(DIVIDE(countif(query(filter('Data Recording'!E:E,'Data Recording'!D:D=B17), ""Select Col1""),""Yes""),COUNTA(query(ifna(filter('Data Recording'!E:E,'Data Recording'!D:D=B17),""""), ""Select Col1"")))&gt;=(0.5),""1"",""0""),""-"")"),"1")</f>
        <v>1</v>
      </c>
    </row>
    <row r="18">
      <c r="A18" s="51" t="s">
        <v>51</v>
      </c>
      <c r="B18" s="51">
        <v>5067.0</v>
      </c>
      <c r="C18" s="52" t="str">
        <f>IFERROR(__xludf.DUMMYFUNCTION("if(countif(query(filter('Data Recording'!E:E,'Data Recording'!D:D=B18), ""Select Col1""),""Yes"")=0,""0"",countif(query(filter('Data Recording'!E:E,'Data Recording'!D:D=B18), ""Select Col1""),""Yes"")) &amp; ""/"" &amp; if(COUNTA(query(ifna(filter('Data Recording"&amp;"'!E:E,'Data Recording'!D:D=B18),""""), ""Select Col1""))=0,""0"",COUNTA(query(ifna(filter('Data Recording'!E:E,'Data Recording'!D:D=B18),""""), ""Select Col1"")))"),"5/6")</f>
        <v>5/6</v>
      </c>
      <c r="D18" s="53">
        <f>IFERROR(__xludf.DUMMYFUNCTION("iferror(SUM(query(filter('Data Recording'!F:F,'Data Recording'!D:D=B18), ""Select Col1"")),""-"")"),5.0)</f>
        <v>5</v>
      </c>
      <c r="E18" s="53">
        <f>IFERROR(__xludf.DUMMYFUNCTION("iferror(SUM(query(filter('Data Recording'!G:G,'Data Recording'!D:D=B18), ""Select Col1"")),""-"")"),2.0)</f>
        <v>2</v>
      </c>
      <c r="F18" s="54">
        <f t="shared" si="1"/>
        <v>0.4</v>
      </c>
      <c r="G18" s="55">
        <f>IFERROR(__xludf.DUMMYFUNCTION("iferror(AVERAGE(query(filter('Data Recording'!G:G,'Data Recording'!D:D=B18), ""Select Col1"")),""0.00"")"),0.4)</f>
        <v>0.4</v>
      </c>
      <c r="H18" s="53">
        <f>IFERROR(__xludf.DUMMYFUNCTION("iferror(MAX(query(filter('Data Recording'!G:G,'Data Recording'!D:D=B18), ""Select Col1"")),""-"")"),1.0)</f>
        <v>1</v>
      </c>
      <c r="I18" s="56">
        <f>IFERROR(__xludf.DUMMYFUNCTION("iferror(SUM(query(filter('Data Recording'!H:H,'Data Recording'!D:D=B18), ""Select Col1"")),""-"")"),1.0)</f>
        <v>1</v>
      </c>
      <c r="J18" s="57">
        <f>IFERROR(__xludf.DUMMYFUNCTION("iferror(SUM(query(filter('Data Recording'!I:I,'Data Recording'!D:D=B18), ""Select Col1"")),""-"")"),0.0)</f>
        <v>0</v>
      </c>
      <c r="K18" s="54">
        <f t="shared" si="2"/>
        <v>0</v>
      </c>
      <c r="L18" s="55">
        <f>IFERROR(__xludf.DUMMYFUNCTION("iferror(AVERAGE(query(filter('Data Recording'!I:I,'Data Recording'!D:D=B18), ""Select Col1"")),""0.00"")"),0.0)</f>
        <v>0</v>
      </c>
      <c r="M18" s="53">
        <f>IFERROR(__xludf.DUMMYFUNCTION("iferror(MAX(query(filter('Data Recording'!I:I,'Data Recording'!D:D=B18), ""Select Col1"")),""-"")"),0.0)</f>
        <v>0</v>
      </c>
      <c r="N18" s="58">
        <f>IFERROR(__xludf.DUMMYFUNCTION("iferror(SUM(query(filter('Data Recording'!J:J,'Data Recording'!D:D=B18), ""Select Col1"")),""-"")"),0.0)</f>
        <v>0</v>
      </c>
      <c r="O18" s="59">
        <f>IFERROR(__xludf.DUMMYFUNCTION("iferror(SUM(query(filter('Data Recording'!K:K,'Data Recording'!D:D=B18), ""Select Col1"")),""-"")"),1.0)</f>
        <v>1</v>
      </c>
      <c r="P18" s="54" t="str">
        <f t="shared" si="3"/>
        <v>-</v>
      </c>
      <c r="Q18" s="55">
        <f>IFERROR(__xludf.DUMMYFUNCTION("iferror(AVERAGE(query(filter('Data Recording'!K:K,'Data Recording'!D:D=B18), ""Select Col1"")),""0.00"")"),1.0)</f>
        <v>1</v>
      </c>
      <c r="R18" s="53">
        <f>IFERROR(__xludf.DUMMYFUNCTION("iferror(MAX(query(filter('Data Recording'!K:K,'Data Recording'!D:D=B18), ""Select Col1"")),""-"")"),1.0)</f>
        <v>1</v>
      </c>
      <c r="S18" s="58">
        <f>IFERROR(__xludf.DUMMYFUNCTION("iferror(SUM(query(filter('Data Recording'!L:L,'Data Recording'!D:D=B18), ""Select Col1"")),""-"")"),0.0)</f>
        <v>0</v>
      </c>
      <c r="T18" s="59">
        <f>IFERROR(__xludf.DUMMYFUNCTION("iferror(SUM(query(filter('Data Recording'!M:M,'Data Recording'!D:D=B18), ""Select Col1"")),""-"")"),0.0)</f>
        <v>0</v>
      </c>
      <c r="U18" s="54" t="str">
        <f t="shared" si="4"/>
        <v>-</v>
      </c>
      <c r="V18" s="55" t="str">
        <f>IFERROR(__xludf.DUMMYFUNCTION("iferror(AVERAGE(query(filter('Data Recording'!M:M,'Data Recording'!D:D=B18), ""Select Col1"")),""-"")"),"-")</f>
        <v>-</v>
      </c>
      <c r="W18" s="52">
        <f>IFERROR(__xludf.DUMMYFUNCTION("iferror(MAX(query(filter('Data Recording'!M:M,'Data Recording'!D:D=B18), ""Select Col1"")),""-"")"),0.0)</f>
        <v>0</v>
      </c>
      <c r="X18" s="59">
        <f>IFERROR(__xludf.DUMMYFUNCTION("iferror(SUM(query(filter('Data Recording'!N:N,'Data Recording'!D:D=B18), ""Select Col1"")),""-"")"),0.0)</f>
        <v>0</v>
      </c>
      <c r="Y18" s="59">
        <f>IFERROR(__xludf.DUMMYFUNCTION("iferror(SUM(query(filter('Data Recording'!O:O,'Data Recording'!D:D=B18), ""Select Col1"")),""-"")"),0.0)</f>
        <v>0</v>
      </c>
      <c r="Z18" s="54" t="str">
        <f t="shared" si="5"/>
        <v>-</v>
      </c>
      <c r="AA18" s="55" t="str">
        <f>IFERROR(__xludf.DUMMYFUNCTION("iferror(AVERAGE(query(filter('Data Recording'!O:O,'Data Recording'!D:D=B18), ""Select Col1"")),""0.00"")"),"0.00")</f>
        <v>0.00</v>
      </c>
      <c r="AB18" s="52">
        <f>IFERROR(__xludf.DUMMYFUNCTION("iferror(MAX(query(filter('Data Recording'!O:O,'Data Recording'!D:D=B18), ""Select Col1"")),""-"")"),0.0)</f>
        <v>0</v>
      </c>
      <c r="AC18" s="59">
        <f>IFERROR(__xludf.DUMMYFUNCTION("iferror(SUM(query(filter('Data Recording'!P:P,'Data Recording'!D:D=B18), ""Select Col1"")),""-"")"),0.0)</f>
        <v>0</v>
      </c>
      <c r="AD18" s="59">
        <f>IFERROR(__xludf.DUMMYFUNCTION("iferror(SUM(query(filter('Data Recording'!Q:Q,'Data Recording'!D:D=B18), ""Select Col1"")),""-"")"),0.0)</f>
        <v>0</v>
      </c>
      <c r="AE18" s="54" t="str">
        <f t="shared" si="6"/>
        <v>-</v>
      </c>
      <c r="AF18" s="55" t="str">
        <f>IFERROR(__xludf.DUMMYFUNCTION("iferror(AVERAGE(query(filter('Data Recording'!Q:Q,'Data Recording'!D:D=B18), ""Select Col1"")),""0.00"")"),"0.00")</f>
        <v>0.00</v>
      </c>
      <c r="AG18" s="59">
        <f>IFERROR(__xludf.DUMMYFUNCTION("iferror(MAX(query(filter('Data Recording'!Q:Q,'Data Recording'!D:D=B18), ""Select Col1"")),""-"")"),0.0)</f>
        <v>0</v>
      </c>
      <c r="AH18" s="58" t="str">
        <f>IFERROR(__xludf.DUMMYFUNCTION("if(countif(query(filter('Data Recording'!R:R,'Data Recording'!D:D=B18), ""Select Col1""),""Yes, Engaged"")+countif(query(filter('Data Recording'!R:R,'Data Recording'!D:D=B18), ""Select Col1""),""Yes, Docked"")=0,""0"",countif(query(filter('Data Recording'"&amp;"!R:R,'Data Recording'!D:D=B18), ""Select Col1""),""Yes, Engaged""))+countif(query(filter('Data Recording'!R:R,'Data Recording'!D:D=B18), ""Select Col1""),""Yes, Docked"") &amp; ""/"" &amp; if(COUNTA(query(ifna(filter('Data Recording'!R:R,'Data Recording'!D:D=B18)"&amp;",""""), ""Select Col1""))=0,""0"",COUNTA(query(ifna(filter('Data Recording'!R:R,'Data Recording'!D:D=B18),""""), ""Select Col1"")))"),"1/6")</f>
        <v>1/6</v>
      </c>
      <c r="AI18" s="60" t="str">
        <f>IFERROR(__xludf.DUMMYFUNCTION("if(countif(query(filter('Data Recording'!R:R,'Data Recording'!D:D=B18), ""Select Col1""),""Yes, Engaged"")=0,""0"",countif(query(filter('Data Recording'!R:R,'Data Recording'!D:D=B18), ""Select Col1""),""Yes, Engaged"")) &amp; ""/"" &amp; if(COUNTA(query(ifna(filt"&amp;"er('Data Recording'!R:R,'Data Recording'!D:D=B18),""""), ""Select Col1""))=0,""0"",COUNTA(query(ifna(filter('Data Recording'!R:R,'Data Recording'!D:D=B18),""""), ""Select Col1"")))"),"0/6")</f>
        <v>0/6</v>
      </c>
      <c r="AJ18" s="59">
        <f>IFERROR(__xludf.DUMMYFUNCTION("iferror(SUM(query(filter('Data Recording'!S:S,'Data Recording'!D:D=B18), ""Select Col1"")),""-"")"),7.0)</f>
        <v>7</v>
      </c>
      <c r="AK18" s="59">
        <f>IFERROR(__xludf.DUMMYFUNCTION("iferror(SUM(query(filter('Data Recording'!T:T,'Data Recording'!D:D=B18), ""Select Col1"")),""-"")"),7.0)</f>
        <v>7</v>
      </c>
      <c r="AL18" s="54">
        <f t="shared" si="7"/>
        <v>1</v>
      </c>
      <c r="AM18" s="55">
        <f>IFERROR(__xludf.DUMMYFUNCTION("iferror(AVERAGE(query(filter('Data Recording'!T:T,'Data Recording'!D:D=B18), ""Select Col1"")),""0.00"")"),1.75)</f>
        <v>1.75</v>
      </c>
      <c r="AN18" s="61">
        <f>IFERROR(__xludf.DUMMYFUNCTION("iferror(MAX(query(filter('Data Recording'!T:T,'Data Recording'!D:D=B18), ""Select Col1"")),""-"")"),2.0)</f>
        <v>2</v>
      </c>
      <c r="AO18" s="62">
        <f>IFERROR(__xludf.DUMMYFUNCTION("iferror(SUM(query(filter('Data Recording'!U:U,'Data Recording'!D:D=B18), ""Select Col1"")),""-"")"),0.0)</f>
        <v>0</v>
      </c>
      <c r="AP18" s="62">
        <f>IFERROR(__xludf.DUMMYFUNCTION("iferror(SUM(query(filter('Data Recording'!V:V,'Data Recording'!D:D=B18), ""Select Col1"")),""-"")"),0.0)</f>
        <v>0</v>
      </c>
      <c r="AQ18" s="63" t="str">
        <f t="shared" si="8"/>
        <v>-</v>
      </c>
      <c r="AR18" s="64" t="str">
        <f>IFERROR(__xludf.DUMMYFUNCTION("iferror(AVERAGE(query(filter('Data Recording'!V:V,'Data Recording'!D:D=B18), ""Select Col1"")),""0.00"")"),"0.00")</f>
        <v>0.00</v>
      </c>
      <c r="AS18" s="65">
        <f>IFERROR(__xludf.DUMMYFUNCTION("iferror(MAX(query(filter('Data Recording'!V:V,'Data Recording'!D:D=B18), ""Select Col1"")),""-"")"),0.0)</f>
        <v>0</v>
      </c>
      <c r="AT18" s="62">
        <f>IFERROR(__xludf.DUMMYFUNCTION("iferror(SUM(query(filter('Data Recording'!W:W,'Data Recording'!D:D=B18), ""Select Col1"")),""-"")"),0.0)</f>
        <v>0</v>
      </c>
      <c r="AU18" s="62">
        <f>IFERROR(__xludf.DUMMYFUNCTION("iferror(SUM(query(filter('Data Recording'!X:X,'Data Recording'!D:D=B18), ""Select Col1"")),""-"")"),0.0)</f>
        <v>0</v>
      </c>
      <c r="AV18" s="63" t="str">
        <f t="shared" si="9"/>
        <v>-</v>
      </c>
      <c r="AW18" s="64" t="str">
        <f>IFERROR(__xludf.DUMMYFUNCTION("iferror(AVERAGE(query(filter('Data Recording'!X:X,'Data Recording'!D:D=B18), ""Select Col1"")),""0.00"")"),"0.00")</f>
        <v>0.00</v>
      </c>
      <c r="AX18" s="65">
        <f>IFERROR(__xludf.DUMMYFUNCTION("iferror(MAX(query(filter('Data Recording'!X:X,'Data Recording'!D:D=B18), ""Select Col1"")),""-"")"),0.0)</f>
        <v>0</v>
      </c>
      <c r="AY18" s="62">
        <f>IFERROR(__xludf.DUMMYFUNCTION("iferror(SUM(query(filter('Data Recording'!Y:Y,'Data Recording'!D:D=B18), ""Select Col1"")),""-"")"),3.0)</f>
        <v>3</v>
      </c>
      <c r="AZ18" s="62">
        <f>IFERROR(__xludf.DUMMYFUNCTION("iferror(SUM(query(filter('Data Recording'!Z:Z,'Data Recording'!D:D=B18), ""Select Col1"")),""-"")"),3.0)</f>
        <v>3</v>
      </c>
      <c r="BA18" s="63">
        <f t="shared" si="10"/>
        <v>1</v>
      </c>
      <c r="BB18" s="64">
        <f>IFERROR(__xludf.DUMMYFUNCTION("iferror(AVERAGE(query(filter('Data Recording'!Z:Z,'Data Recording'!D:D=B18), ""Select Col1"")),""0.00"")"),1.0)</f>
        <v>1</v>
      </c>
      <c r="BC18" s="65">
        <f>IFERROR(__xludf.DUMMYFUNCTION("iferror(MAX(query(filter('Data Recording'!Z:Z,'Data Recording'!D:D=B18), ""Select Col1"")),""-"")"),1.0)</f>
        <v>1</v>
      </c>
      <c r="BD18" s="62">
        <f>IFERROR(__xludf.DUMMYFUNCTION("iferror(SUM(query(filter('Data Recording'!AA:AA,'Data Recording'!D:D=B18), ""Select Col1"")),""-"")"),0.0)</f>
        <v>0</v>
      </c>
      <c r="BE18" s="62">
        <f>IFERROR(__xludf.DUMMYFUNCTION("iferror(SUM(query(filter('Data Recording'!AB:AB,'Data Recording'!D:D=B18), ""Select Col1"")),""-"")"),0.0)</f>
        <v>0</v>
      </c>
      <c r="BF18" s="63" t="str">
        <f t="shared" si="11"/>
        <v>-</v>
      </c>
      <c r="BG18" s="64" t="str">
        <f>IFERROR(__xludf.DUMMYFUNCTION("iferror(AVERAGE(query(filter('Data Recording'!AB:AB,'Data Recording'!D:D=B18), ""Select Col1"")),""0.00"")"),"0.00")</f>
        <v>0.00</v>
      </c>
      <c r="BH18" s="65">
        <f>IFERROR(__xludf.DUMMYFUNCTION("iferror(MAX(query(filter('Data Recording'!AB:AB,'Data Recording'!D:D=B18), ""Select Col1"")),""-"")"),0.0)</f>
        <v>0</v>
      </c>
      <c r="BI18" s="62">
        <f>IFERROR(__xludf.DUMMYFUNCTION("iferror(SUM(query(filter('Data Recording'!AC:AC,'Data Recording'!D:D=B18), ""Select Col1"")),""-"")"),0.0)</f>
        <v>0</v>
      </c>
      <c r="BJ18" s="62">
        <f>IFERROR(__xludf.DUMMYFUNCTION("iferror(SUM(query(filter('Data Recording'!AD:AD,'Data Recording'!D:D=B18), ""Select Col1"")),""-"")"),0.0)</f>
        <v>0</v>
      </c>
      <c r="BK18" s="63" t="str">
        <f t="shared" si="12"/>
        <v>-</v>
      </c>
      <c r="BL18" s="64" t="str">
        <f>IFERROR(__xludf.DUMMYFUNCTION("iferror(AVERAGE(query(filter('Data Recording'!AD:AD,'Data Recording'!D:D=B18), ""Select Col1"")),""0.00"")"),"0.00")</f>
        <v>0.00</v>
      </c>
      <c r="BM18" s="65">
        <f>IFERROR(__xludf.DUMMYFUNCTION("iferror(MAX(query(filter('Data Recording'!AD:AD,'Data Recording'!D:D=B18), ""Select Col1"")),""-"")"),0.0)</f>
        <v>0</v>
      </c>
      <c r="BN18" s="66" t="str">
        <f>IFERROR(__xludf.DUMMYFUNCTION("if(countif(query(filter('Data Recording'!AE:AE,'Data Recording'!D:D=B18), ""Select Col1""),""Yes, Engaged"")+countif(query(filter('Data Recording'!AE:AE,'Data Recording'!D:D=B18), ""Select Col1""),""Yes, Docked"")=0,""0"",countif(query(filter('Data Record"&amp;"ing'!AE:AE,'Data Recording'!D:D=B18), ""Select Col1""),""Yes, Engaged""))+countif(query(filter('Data Recording'!AE:AE,'Data Recording'!D:D=B18), ""Select Col1""),""Yes, Docked"") &amp; ""/"" &amp; if(COUNTA(query(ifna(filter('Data Recording'!AE:AE,'Data Recording"&amp;"'!D:D=B18),""""), ""Select Col1""))=0,""0"",COUNTA(query(ifna(filter('Data Recording'!AE:AE,'Data Recording'!D:D=B18),""""), ""Select Col1"")))"),"4/6")</f>
        <v>4/6</v>
      </c>
      <c r="BO18" s="67" t="str">
        <f>IFERROR(__xludf.DUMMYFUNCTION("if(countif(query(filter('Data Recording'!AE:AE,'Data Recording'!D:D=B18), ""Select Col1""),""Yes, Engaged"")=0,""0"",countif(query(filter('Data Recording'!AE:AE,'Data Recording'!D:D=B18), ""Select Col1""),""Yes, Engaged"")) &amp; ""/"" &amp; if(COUNTA(query(ifna("&amp;"filter('Data Recording'!AE:AE,'Data Recording'!D:D=B18),""""), ""Select Col1""))=0,""0"",COUNTA(query(ifna(filter('Data Recording'!AE:AE,'Data Recording'!D:D=B18),""""), ""Select Col1"")))"),"4/6")</f>
        <v>4/6</v>
      </c>
      <c r="BP18" s="60" t="str">
        <f>IFERROR(__xludf.DUMMYFUNCTION("if(countif(query(filter('Data Recording'!AH:AH,'Data Recording'!D:D=B18), ""Select Col1""),""Yes"")=0,""0"",countif(query(filter('Data Recording'!AH:AH,'Data Recording'!D:D=B18), ""Select Col1""),""Yes"")) &amp; ""/"" &amp; if(COUNTA(query(ifna(filter('Data Recor"&amp;"ding'!AH:AH,'Data Recording'!D:D=B18),""""), ""Select Col1""))=0,""0"",COUNTA(query(ifna(filter('Data Recording'!AH:AH,'Data Recording'!D:D=B18),""""), ""Select Col1"")))"),"1/6")</f>
        <v>1/6</v>
      </c>
      <c r="BQ18" s="75">
        <v>0.1666</v>
      </c>
      <c r="BR18" s="55">
        <f>IFERROR(__xludf.DUMMYFUNCTION("iferror(average(query(filter('Data Recording'!AF:AF,'Data Recording'!D:D=B18), ""Select Col1"")),""-"")"),2.0)</f>
        <v>2</v>
      </c>
      <c r="BS18" s="69">
        <f>IFERROR(__xludf.DUMMYFUNCTION("iferror(average(query(filter('Data Recording'!AG:AG,'Data Recording'!D:D=B18), ""Select Col1"")),""-"")"),1.1666666666666667)</f>
        <v>1.166666667</v>
      </c>
      <c r="BT18" s="70">
        <f t="shared" si="13"/>
        <v>32.15</v>
      </c>
      <c r="BU18" s="70">
        <f>IFERROR(__xludf.DUMMYFUNCTION("iferror(AVERAGE(query(filter('Data Recording'!AJ:AJ,'Data Recording'!D:D=B18), ""Select Col1"")),""-"")"),21.833333333333332)</f>
        <v>21.83333333</v>
      </c>
      <c r="BV18" s="70">
        <f>IFERROR(__xludf.DUMMYFUNCTION("iferror(AVERAGE(query(filter('Data Recording'!AK:AK,'Data Recording'!D:D=B18), ""Select Col1"")),""-"")"),10.833333333333334)</f>
        <v>10.83333333</v>
      </c>
      <c r="BW18" s="70">
        <f t="shared" si="14"/>
        <v>19.15</v>
      </c>
      <c r="BX18" s="71">
        <f>IFERROR(__xludf.DUMMYFUNCTION("iferror(max(query(filter('Data Recording'!AJ:AJ,'Data Recording'!D:D=B18), ""Select Col1"")),""-"")"),36.0)</f>
        <v>36</v>
      </c>
      <c r="BY18" s="72">
        <f>IFERROR(__xludf.DUMMYFUNCTION("iferror(MIN(query(filter('Data Recording'!AJ:AJ,'Data Recording'!D:D=B18), ""Select Col1"")),""-"")"),13.0)</f>
        <v>13</v>
      </c>
      <c r="BZ18" s="73" t="str">
        <f>IFERROR(__xludf.DUMMYFUNCTION("iferror(if(DIVIDE(COUNTIF(query(filter('Data Recording'!R:R,'Data Recording'!D:D=B18), ""Select Col1""),""Yes, Docked"") + countif(query(filter('Data Recording'!R:R,'Data Recording'!D:D=B18), ""Select Col1""),""Yes, Engaged""),COUNTA(query(ifna(filter('Da"&amp;"ta Recording'!R:R,'Data Recording'!D:D=B18),""""), ""Select Col1"")))&gt;=(0.5),""1"",""0""),""-"")"),"0")</f>
        <v>0</v>
      </c>
      <c r="CA18" s="59" t="str">
        <f>IFERROR(__xludf.DUMMYFUNCTION("iferror(if(countif(query(filter('Data Recording'!R:R,'Data Recording'!D:D=B18), ""Select Col1""),""Yes, Engaged"")/COUNTA(query(ifna(filter('Data Recording'!R:R,'Data Recording'!D:D=B18),""""), ""Select Col1""))&gt;=(0.5),""1"",""0""),""-"")"),"0")</f>
        <v>0</v>
      </c>
      <c r="CB18" s="74" t="str">
        <f>IFERROR(__xludf.DUMMYFUNCTION("iferror(if(DIVIDE(COUNTIF(query(filter('Data Recording'!AE:AE,'Data Recording'!D:D=B18), ""Select Col1""),""Yes, Docked"") + countif(query(filter('Data Recording'!AE:AE,'Data Recording'!D:D=B18), ""Select Col1""),""Yes, Engaged""),COUNTA(query(ifna(filter"&amp;"('Data Recording'!AE:AE,'Data Recording'!D:D=B18),""""), ""Select Col1"")))&gt;=(0.5),""1"",""0""),""-"")"),"1")</f>
        <v>1</v>
      </c>
      <c r="CC18" s="59" t="str">
        <f>IFERROR(__xludf.DUMMYFUNCTION("iferror(if(countif(query(filter('Data Recording'!AE:AE,'Data Recording'!D:D=B18), ""Select Col1""),""Yes, Engaged"")/COUNTA(query(ifna(filter('Data Recording'!AE:AE,'Data Recording'!D:D=B18),""""), ""Select Col1""))&gt;=(0.5),""1"",""0""),""-"")"),"1")</f>
        <v>1</v>
      </c>
      <c r="CD18" s="74" t="str">
        <f>IFERROR(__xludf.DUMMYFUNCTION("iferror(if(DIVIDE(countif(query(filter('Data Recording'!E:E,'Data Recording'!D:D=B18), ""Select Col1""),""Yes""),COUNTA(query(ifna(filter('Data Recording'!E:E,'Data Recording'!D:D=B18),""""), ""Select Col1"")))&gt;=(0.5),""1"",""0""),""-"")"),"1")</f>
        <v>1</v>
      </c>
    </row>
    <row r="19">
      <c r="A19" s="51" t="s">
        <v>52</v>
      </c>
      <c r="B19" s="51">
        <v>3707.0</v>
      </c>
      <c r="C19" s="52" t="str">
        <f>IFERROR(__xludf.DUMMYFUNCTION("if(countif(query(filter('Data Recording'!E:E,'Data Recording'!D:D=B19), ""Select Col1""),""Yes"")=0,""0"",countif(query(filter('Data Recording'!E:E,'Data Recording'!D:D=B19), ""Select Col1""),""Yes"")) &amp; ""/"" &amp; if(COUNTA(query(ifna(filter('Data Recording"&amp;"'!E:E,'Data Recording'!D:D=B19),""""), ""Select Col1""))=0,""0"",COUNTA(query(ifna(filter('Data Recording'!E:E,'Data Recording'!D:D=B19),""""), ""Select Col1"")))"),"12/14")</f>
        <v>12/14</v>
      </c>
      <c r="D19" s="53">
        <f>IFERROR(__xludf.DUMMYFUNCTION("iferror(SUM(query(filter('Data Recording'!F:F,'Data Recording'!D:D=B19), ""Select Col1"")),""-"")"),0.0)</f>
        <v>0</v>
      </c>
      <c r="E19" s="53">
        <f>IFERROR(__xludf.DUMMYFUNCTION("iferror(SUM(query(filter('Data Recording'!G:G,'Data Recording'!D:D=B19), ""Select Col1"")),""-"")"),0.0)</f>
        <v>0</v>
      </c>
      <c r="F19" s="54" t="str">
        <f t="shared" si="1"/>
        <v>-</v>
      </c>
      <c r="G19" s="55">
        <f>IFERROR(__xludf.DUMMYFUNCTION("iferror(AVERAGE(query(filter('Data Recording'!G:G,'Data Recording'!D:D=B19), ""Select Col1"")),""0.00"")"),0.0)</f>
        <v>0</v>
      </c>
      <c r="H19" s="53">
        <f>IFERROR(__xludf.DUMMYFUNCTION("iferror(MAX(query(filter('Data Recording'!G:G,'Data Recording'!D:D=B19), ""Select Col1"")),""-"")"),0.0)</f>
        <v>0</v>
      </c>
      <c r="I19" s="56">
        <f>IFERROR(__xludf.DUMMYFUNCTION("iferror(SUM(query(filter('Data Recording'!H:H,'Data Recording'!D:D=B19), ""Select Col1"")),""-"")"),0.0)</f>
        <v>0</v>
      </c>
      <c r="J19" s="57">
        <f>IFERROR(__xludf.DUMMYFUNCTION("iferror(SUM(query(filter('Data Recording'!I:I,'Data Recording'!D:D=B19), ""Select Col1"")),""-"")"),0.0)</f>
        <v>0</v>
      </c>
      <c r="K19" s="54" t="str">
        <f t="shared" si="2"/>
        <v>-</v>
      </c>
      <c r="L19" s="55">
        <f>IFERROR(__xludf.DUMMYFUNCTION("iferror(AVERAGE(query(filter('Data Recording'!I:I,'Data Recording'!D:D=B19), ""Select Col1"")),""0.00"")"),0.0)</f>
        <v>0</v>
      </c>
      <c r="M19" s="53">
        <f>IFERROR(__xludf.DUMMYFUNCTION("iferror(MAX(query(filter('Data Recording'!I:I,'Data Recording'!D:D=B19), ""Select Col1"")),""-"")"),0.0)</f>
        <v>0</v>
      </c>
      <c r="N19" s="58">
        <f>IFERROR(__xludf.DUMMYFUNCTION("iferror(SUM(query(filter('Data Recording'!J:J,'Data Recording'!D:D=B19), ""Select Col1"")),""-"")"),0.0)</f>
        <v>0</v>
      </c>
      <c r="O19" s="59">
        <f>IFERROR(__xludf.DUMMYFUNCTION("iferror(SUM(query(filter('Data Recording'!K:K,'Data Recording'!D:D=B19), ""Select Col1"")),""-"")"),0.0)</f>
        <v>0</v>
      </c>
      <c r="P19" s="54" t="str">
        <f t="shared" si="3"/>
        <v>-</v>
      </c>
      <c r="Q19" s="55">
        <f>IFERROR(__xludf.DUMMYFUNCTION("iferror(AVERAGE(query(filter('Data Recording'!K:K,'Data Recording'!D:D=B19), ""Select Col1"")),""0.00"")"),0.0)</f>
        <v>0</v>
      </c>
      <c r="R19" s="53">
        <f>IFERROR(__xludf.DUMMYFUNCTION("iferror(MAX(query(filter('Data Recording'!K:K,'Data Recording'!D:D=B19), ""Select Col1"")),""-"")"),0.0)</f>
        <v>0</v>
      </c>
      <c r="S19" s="58">
        <f>IFERROR(__xludf.DUMMYFUNCTION("iferror(SUM(query(filter('Data Recording'!L:L,'Data Recording'!D:D=B19), ""Select Col1"")),""-"")"),0.0)</f>
        <v>0</v>
      </c>
      <c r="T19" s="59">
        <f>IFERROR(__xludf.DUMMYFUNCTION("iferror(SUM(query(filter('Data Recording'!M:M,'Data Recording'!D:D=B19), ""Select Col1"")),""-"")"),0.0)</f>
        <v>0</v>
      </c>
      <c r="U19" s="54" t="str">
        <f t="shared" si="4"/>
        <v>-</v>
      </c>
      <c r="V19" s="55">
        <f>IFERROR(__xludf.DUMMYFUNCTION("iferror(AVERAGE(query(filter('Data Recording'!M:M,'Data Recording'!D:D=B19), ""Select Col1"")),""-"")"),0.0)</f>
        <v>0</v>
      </c>
      <c r="W19" s="52">
        <f>IFERROR(__xludf.DUMMYFUNCTION("iferror(MAX(query(filter('Data Recording'!M:M,'Data Recording'!D:D=B19), ""Select Col1"")),""-"")"),0.0)</f>
        <v>0</v>
      </c>
      <c r="X19" s="59">
        <f>IFERROR(__xludf.DUMMYFUNCTION("iferror(SUM(query(filter('Data Recording'!N:N,'Data Recording'!D:D=B19), ""Select Col1"")),""-"")"),0.0)</f>
        <v>0</v>
      </c>
      <c r="Y19" s="59">
        <f>IFERROR(__xludf.DUMMYFUNCTION("iferror(SUM(query(filter('Data Recording'!O:O,'Data Recording'!D:D=B19), ""Select Col1"")),""-"")"),0.0)</f>
        <v>0</v>
      </c>
      <c r="Z19" s="54" t="str">
        <f t="shared" si="5"/>
        <v>-</v>
      </c>
      <c r="AA19" s="55">
        <f>IFERROR(__xludf.DUMMYFUNCTION("iferror(AVERAGE(query(filter('Data Recording'!O:O,'Data Recording'!D:D=B19), ""Select Col1"")),""0.00"")"),0.0)</f>
        <v>0</v>
      </c>
      <c r="AB19" s="52">
        <f>IFERROR(__xludf.DUMMYFUNCTION("iferror(MAX(query(filter('Data Recording'!O:O,'Data Recording'!D:D=B19), ""Select Col1"")),""-"")"),0.0)</f>
        <v>0</v>
      </c>
      <c r="AC19" s="59">
        <f>IFERROR(__xludf.DUMMYFUNCTION("iferror(SUM(query(filter('Data Recording'!P:P,'Data Recording'!D:D=B19), ""Select Col1"")),""-"")"),0.0)</f>
        <v>0</v>
      </c>
      <c r="AD19" s="59">
        <f>IFERROR(__xludf.DUMMYFUNCTION("iferror(SUM(query(filter('Data Recording'!Q:Q,'Data Recording'!D:D=B19), ""Select Col1"")),""-"")"),0.0)</f>
        <v>0</v>
      </c>
      <c r="AE19" s="54" t="str">
        <f t="shared" si="6"/>
        <v>-</v>
      </c>
      <c r="AF19" s="55">
        <f>IFERROR(__xludf.DUMMYFUNCTION("iferror(AVERAGE(query(filter('Data Recording'!Q:Q,'Data Recording'!D:D=B19), ""Select Col1"")),""0.00"")"),0.0)</f>
        <v>0</v>
      </c>
      <c r="AG19" s="59">
        <f>IFERROR(__xludf.DUMMYFUNCTION("iferror(MAX(query(filter('Data Recording'!Q:Q,'Data Recording'!D:D=B19), ""Select Col1"")),""-"")"),0.0)</f>
        <v>0</v>
      </c>
      <c r="AH19" s="58" t="str">
        <f>IFERROR(__xludf.DUMMYFUNCTION("if(countif(query(filter('Data Recording'!R:R,'Data Recording'!D:D=B19), ""Select Col1""),""Yes, Engaged"")+countif(query(filter('Data Recording'!R:R,'Data Recording'!D:D=B19), ""Select Col1""),""Yes, Docked"")=0,""0"",countif(query(filter('Data Recording'"&amp;"!R:R,'Data Recording'!D:D=B19), ""Select Col1""),""Yes, Engaged""))+countif(query(filter('Data Recording'!R:R,'Data Recording'!D:D=B19), ""Select Col1""),""Yes, Docked"") &amp; ""/"" &amp; if(COUNTA(query(ifna(filter('Data Recording'!R:R,'Data Recording'!D:D=B19)"&amp;",""""), ""Select Col1""))=0,""0"",COUNTA(query(ifna(filter('Data Recording'!R:R,'Data Recording'!D:D=B19),""""), ""Select Col1"")))"),"5/14")</f>
        <v>5/14</v>
      </c>
      <c r="AI19" s="60" t="str">
        <f>IFERROR(__xludf.DUMMYFUNCTION("if(countif(query(filter('Data Recording'!R:R,'Data Recording'!D:D=B19), ""Select Col1""),""Yes, Engaged"")=0,""0"",countif(query(filter('Data Recording'!R:R,'Data Recording'!D:D=B19), ""Select Col1""),""Yes, Engaged"")) &amp; ""/"" &amp; if(COUNTA(query(ifna(filt"&amp;"er('Data Recording'!R:R,'Data Recording'!D:D=B19),""""), ""Select Col1""))=0,""0"",COUNTA(query(ifna(filter('Data Recording'!R:R,'Data Recording'!D:D=B19),""""), ""Select Col1"")))"),"4/14")</f>
        <v>4/14</v>
      </c>
      <c r="AJ19" s="59">
        <f>IFERROR(__xludf.DUMMYFUNCTION("iferror(SUM(query(filter('Data Recording'!S:S,'Data Recording'!D:D=B19), ""Select Col1"")),""-"")"),0.0)</f>
        <v>0</v>
      </c>
      <c r="AK19" s="59">
        <f>IFERROR(__xludf.DUMMYFUNCTION("iferror(SUM(query(filter('Data Recording'!T:T,'Data Recording'!D:D=B19), ""Select Col1"")),""-"")"),0.0)</f>
        <v>0</v>
      </c>
      <c r="AL19" s="54" t="str">
        <f t="shared" si="7"/>
        <v>-</v>
      </c>
      <c r="AM19" s="55" t="str">
        <f>IFERROR(__xludf.DUMMYFUNCTION("iferror(AVERAGE(query(filter('Data Recording'!T:T,'Data Recording'!D:D=B19), ""Select Col1"")),""0.00"")"),"0.00")</f>
        <v>0.00</v>
      </c>
      <c r="AN19" s="61">
        <f>IFERROR(__xludf.DUMMYFUNCTION("iferror(MAX(query(filter('Data Recording'!T:T,'Data Recording'!D:D=B19), ""Select Col1"")),""-"")"),0.0)</f>
        <v>0</v>
      </c>
      <c r="AO19" s="62">
        <f>IFERROR(__xludf.DUMMYFUNCTION("iferror(SUM(query(filter('Data Recording'!U:U,'Data Recording'!D:D=B19), ""Select Col1"")),""-"")"),1.0)</f>
        <v>1</v>
      </c>
      <c r="AP19" s="62">
        <f>IFERROR(__xludf.DUMMYFUNCTION("iferror(SUM(query(filter('Data Recording'!V:V,'Data Recording'!D:D=B19), ""Select Col1"")),""-"")"),1.0)</f>
        <v>1</v>
      </c>
      <c r="AQ19" s="63">
        <f t="shared" si="8"/>
        <v>1</v>
      </c>
      <c r="AR19" s="64">
        <f>IFERROR(__xludf.DUMMYFUNCTION("iferror(AVERAGE(query(filter('Data Recording'!V:V,'Data Recording'!D:D=B19), ""Select Col1"")),""0.00"")"),1.0)</f>
        <v>1</v>
      </c>
      <c r="AS19" s="65">
        <f>IFERROR(__xludf.DUMMYFUNCTION("iferror(MAX(query(filter('Data Recording'!V:V,'Data Recording'!D:D=B19), ""Select Col1"")),""-"")"),1.0)</f>
        <v>1</v>
      </c>
      <c r="AT19" s="62">
        <f>IFERROR(__xludf.DUMMYFUNCTION("iferror(SUM(query(filter('Data Recording'!W:W,'Data Recording'!D:D=B19), ""Select Col1"")),""-"")"),3.0)</f>
        <v>3</v>
      </c>
      <c r="AU19" s="62">
        <f>IFERROR(__xludf.DUMMYFUNCTION("iferror(SUM(query(filter('Data Recording'!X:X,'Data Recording'!D:D=B19), ""Select Col1"")),""-"")"),3.0)</f>
        <v>3</v>
      </c>
      <c r="AV19" s="63">
        <f t="shared" si="9"/>
        <v>1</v>
      </c>
      <c r="AW19" s="64">
        <f>IFERROR(__xludf.DUMMYFUNCTION("iferror(AVERAGE(query(filter('Data Recording'!X:X,'Data Recording'!D:D=B19), ""Select Col1"")),""0.00"")"),1.5)</f>
        <v>1.5</v>
      </c>
      <c r="AX19" s="65">
        <f>IFERROR(__xludf.DUMMYFUNCTION("iferror(MAX(query(filter('Data Recording'!X:X,'Data Recording'!D:D=B19), ""Select Col1"")),""-"")"),2.0)</f>
        <v>2</v>
      </c>
      <c r="AY19" s="62">
        <f>IFERROR(__xludf.DUMMYFUNCTION("iferror(SUM(query(filter('Data Recording'!Y:Y,'Data Recording'!D:D=B19), ""Select Col1"")),""-"")"),1.0)</f>
        <v>1</v>
      </c>
      <c r="AZ19" s="62">
        <f>IFERROR(__xludf.DUMMYFUNCTION("iferror(SUM(query(filter('Data Recording'!Z:Z,'Data Recording'!D:D=B19), ""Select Col1"")),""-"")"),1.0)</f>
        <v>1</v>
      </c>
      <c r="BA19" s="63">
        <f t="shared" si="10"/>
        <v>1</v>
      </c>
      <c r="BB19" s="64">
        <f>IFERROR(__xludf.DUMMYFUNCTION("iferror(AVERAGE(query(filter('Data Recording'!Z:Z,'Data Recording'!D:D=B19), ""Select Col1"")),""0.00"")"),1.0)</f>
        <v>1</v>
      </c>
      <c r="BC19" s="65">
        <f>IFERROR(__xludf.DUMMYFUNCTION("iferror(MAX(query(filter('Data Recording'!Z:Z,'Data Recording'!D:D=B19), ""Select Col1"")),""-"")"),1.0)</f>
        <v>1</v>
      </c>
      <c r="BD19" s="62">
        <f>IFERROR(__xludf.DUMMYFUNCTION("iferror(SUM(query(filter('Data Recording'!AA:AA,'Data Recording'!D:D=B19), ""Select Col1"")),""-"")"),20.0)</f>
        <v>20</v>
      </c>
      <c r="BE19" s="62">
        <f>IFERROR(__xludf.DUMMYFUNCTION("iferror(SUM(query(filter('Data Recording'!AB:AB,'Data Recording'!D:D=B19), ""Select Col1"")),""-"")"),18.0)</f>
        <v>18</v>
      </c>
      <c r="BF19" s="63">
        <f t="shared" si="11"/>
        <v>0.9</v>
      </c>
      <c r="BG19" s="64">
        <f>IFERROR(__xludf.DUMMYFUNCTION("iferror(AVERAGE(query(filter('Data Recording'!AB:AB,'Data Recording'!D:D=B19), ""Select Col1"")),""0.00"")"),2.0)</f>
        <v>2</v>
      </c>
      <c r="BH19" s="65">
        <f>IFERROR(__xludf.DUMMYFUNCTION("iferror(MAX(query(filter('Data Recording'!AB:AB,'Data Recording'!D:D=B19), ""Select Col1"")),""-"")"),3.0)</f>
        <v>3</v>
      </c>
      <c r="BI19" s="62">
        <f>IFERROR(__xludf.DUMMYFUNCTION("iferror(SUM(query(filter('Data Recording'!AC:AC,'Data Recording'!D:D=B19), ""Select Col1"")),""-"")"),28.0)</f>
        <v>28</v>
      </c>
      <c r="BJ19" s="62">
        <f>IFERROR(__xludf.DUMMYFUNCTION("iferror(SUM(query(filter('Data Recording'!AD:AD,'Data Recording'!D:D=B19), ""Select Col1"")),""-"")"),28.0)</f>
        <v>28</v>
      </c>
      <c r="BK19" s="63">
        <f t="shared" si="12"/>
        <v>1</v>
      </c>
      <c r="BL19" s="64">
        <f>IFERROR(__xludf.DUMMYFUNCTION("iferror(AVERAGE(query(filter('Data Recording'!AD:AD,'Data Recording'!D:D=B19), ""Select Col1"")),""0.00"")"),2.3333333333333335)</f>
        <v>2.333333333</v>
      </c>
      <c r="BM19" s="65">
        <f>IFERROR(__xludf.DUMMYFUNCTION("iferror(MAX(query(filter('Data Recording'!AD:AD,'Data Recording'!D:D=B19), ""Select Col1"")),""-"")"),5.0)</f>
        <v>5</v>
      </c>
      <c r="BN19" s="66" t="str">
        <f>IFERROR(__xludf.DUMMYFUNCTION("if(countif(query(filter('Data Recording'!AE:AE,'Data Recording'!D:D=B19), ""Select Col1""),""Yes, Engaged"")+countif(query(filter('Data Recording'!AE:AE,'Data Recording'!D:D=B19), ""Select Col1""),""Yes, Docked"")=0,""0"",countif(query(filter('Data Record"&amp;"ing'!AE:AE,'Data Recording'!D:D=B19), ""Select Col1""),""Yes, Engaged""))+countif(query(filter('Data Recording'!AE:AE,'Data Recording'!D:D=B19), ""Select Col1""),""Yes, Docked"") &amp; ""/"" &amp; if(COUNTA(query(ifna(filter('Data Recording'!AE:AE,'Data Recording"&amp;"'!D:D=B19),""""), ""Select Col1""))=0,""0"",COUNTA(query(ifna(filter('Data Recording'!AE:AE,'Data Recording'!D:D=B19),""""), ""Select Col1"")))"),"8/14")</f>
        <v>8/14</v>
      </c>
      <c r="BO19" s="67" t="str">
        <f>IFERROR(__xludf.DUMMYFUNCTION("if(countif(query(filter('Data Recording'!AE:AE,'Data Recording'!D:D=B19), ""Select Col1""),""Yes, Engaged"")=0,""0"",countif(query(filter('Data Recording'!AE:AE,'Data Recording'!D:D=B19), ""Select Col1""),""Yes, Engaged"")) &amp; ""/"" &amp; if(COUNTA(query(ifna("&amp;"filter('Data Recording'!AE:AE,'Data Recording'!D:D=B19),""""), ""Select Col1""))=0,""0"",COUNTA(query(ifna(filter('Data Recording'!AE:AE,'Data Recording'!D:D=B19),""""), ""Select Col1"")))"),"6/14")</f>
        <v>6/14</v>
      </c>
      <c r="BP19" s="60" t="str">
        <f>IFERROR(__xludf.DUMMYFUNCTION("if(countif(query(filter('Data Recording'!AH:AH,'Data Recording'!D:D=B19), ""Select Col1""),""Yes"")=0,""0"",countif(query(filter('Data Recording'!AH:AH,'Data Recording'!D:D=B19), ""Select Col1""),""Yes"")) &amp; ""/"" &amp; if(COUNTA(query(ifna(filter('Data Recor"&amp;"ding'!AH:AH,'Data Recording'!D:D=B19),""""), ""Select Col1""))=0,""0"",COUNTA(query(ifna(filter('Data Recording'!AH:AH,'Data Recording'!D:D=B19),""""), ""Select Col1"")))"),"1/14")</f>
        <v>1/14</v>
      </c>
      <c r="BQ19" s="75">
        <v>0.0714</v>
      </c>
      <c r="BR19" s="55">
        <f>IFERROR(__xludf.DUMMYFUNCTION("iferror(average(query(filter('Data Recording'!AF:AF,'Data Recording'!D:D=B19), ""Select Col1"")),""-"")"),0.42857142857142855)</f>
        <v>0.4285714286</v>
      </c>
      <c r="BS19" s="69">
        <f>IFERROR(__xludf.DUMMYFUNCTION("iferror(average(query(filter('Data Recording'!AG:AG,'Data Recording'!D:D=B19), ""Select Col1"")),""-"")"),1.1428571428571428)</f>
        <v>1.142857143</v>
      </c>
      <c r="BT19" s="70">
        <f t="shared" si="13"/>
        <v>30.66666667</v>
      </c>
      <c r="BU19" s="70">
        <f>IFERROR(__xludf.DUMMYFUNCTION("iferror(AVERAGE(query(filter('Data Recording'!AJ:AJ,'Data Recording'!D:D=B19), ""Select Col1"")),""-"")"),21.642857142857142)</f>
        <v>21.64285714</v>
      </c>
      <c r="BV19" s="70">
        <f>IFERROR(__xludf.DUMMYFUNCTION("iferror(AVERAGE(query(filter('Data Recording'!AK:AK,'Data Recording'!D:D=B19), ""Select Col1"")),""-"")"),8.857142857142858)</f>
        <v>8.857142857</v>
      </c>
      <c r="BW19" s="70">
        <f t="shared" si="14"/>
        <v>21.66666667</v>
      </c>
      <c r="BX19" s="71">
        <f>IFERROR(__xludf.DUMMYFUNCTION("iferror(max(query(filter('Data Recording'!AJ:AJ,'Data Recording'!D:D=B19), ""Select Col1"")),""-"")"),33.0)</f>
        <v>33</v>
      </c>
      <c r="BY19" s="72">
        <f>IFERROR(__xludf.DUMMYFUNCTION("iferror(MIN(query(filter('Data Recording'!AJ:AJ,'Data Recording'!D:D=B19), ""Select Col1"")),""-"")"),6.0)</f>
        <v>6</v>
      </c>
      <c r="BZ19" s="73" t="str">
        <f>IFERROR(__xludf.DUMMYFUNCTION("iferror(if(DIVIDE(COUNTIF(query(filter('Data Recording'!R:R,'Data Recording'!D:D=B19), ""Select Col1""),""Yes, Docked"") + countif(query(filter('Data Recording'!R:R,'Data Recording'!D:D=B19), ""Select Col1""),""Yes, Engaged""),COUNTA(query(ifna(filter('Da"&amp;"ta Recording'!R:R,'Data Recording'!D:D=B19),""""), ""Select Col1"")))&gt;=(0.5),""1"",""0""),""-"")"),"0")</f>
        <v>0</v>
      </c>
      <c r="CA19" s="59" t="str">
        <f>IFERROR(__xludf.DUMMYFUNCTION("iferror(if(countif(query(filter('Data Recording'!R:R,'Data Recording'!D:D=B19), ""Select Col1""),""Yes, Engaged"")/COUNTA(query(ifna(filter('Data Recording'!R:R,'Data Recording'!D:D=B19),""""), ""Select Col1""))&gt;=(0.5),""1"",""0""),""-"")"),"0")</f>
        <v>0</v>
      </c>
      <c r="CB19" s="74" t="str">
        <f>IFERROR(__xludf.DUMMYFUNCTION("iferror(if(DIVIDE(COUNTIF(query(filter('Data Recording'!AE:AE,'Data Recording'!D:D=B19), ""Select Col1""),""Yes, Docked"") + countif(query(filter('Data Recording'!AE:AE,'Data Recording'!D:D=B19), ""Select Col1""),""Yes, Engaged""),COUNTA(query(ifna(filter"&amp;"('Data Recording'!AE:AE,'Data Recording'!D:D=B19),""""), ""Select Col1"")))&gt;=(0.5),""1"",""0""),""-"")"),"1")</f>
        <v>1</v>
      </c>
      <c r="CC19" s="59" t="str">
        <f>IFERROR(__xludf.DUMMYFUNCTION("iferror(if(countif(query(filter('Data Recording'!AE:AE,'Data Recording'!D:D=B19), ""Select Col1""),""Yes, Engaged"")/COUNTA(query(ifna(filter('Data Recording'!AE:AE,'Data Recording'!D:D=B19),""""), ""Select Col1""))&gt;=(0.5),""1"",""0""),""-"")"),"0")</f>
        <v>0</v>
      </c>
      <c r="CD19" s="74" t="str">
        <f>IFERROR(__xludf.DUMMYFUNCTION("iferror(if(DIVIDE(countif(query(filter('Data Recording'!E:E,'Data Recording'!D:D=B19), ""Select Col1""),""Yes""),COUNTA(query(ifna(filter('Data Recording'!E:E,'Data Recording'!D:D=B19),""""), ""Select Col1"")))&gt;=(0.5),""1"",""0""),""-"")"),"1")</f>
        <v>1</v>
      </c>
    </row>
    <row r="20">
      <c r="A20" s="51" t="s">
        <v>53</v>
      </c>
      <c r="B20" s="51">
        <v>5674.0</v>
      </c>
      <c r="C20" s="52" t="str">
        <f>IFERROR(__xludf.DUMMYFUNCTION("if(countif(query(filter('Data Recording'!E:E,'Data Recording'!D:D=B20), ""Select Col1""),""Yes"")=0,""0"",countif(query(filter('Data Recording'!E:E,'Data Recording'!D:D=B20), ""Select Col1""),""Yes"")) &amp; ""/"" &amp; if(COUNTA(query(ifna(filter('Data Recording"&amp;"'!E:E,'Data Recording'!D:D=B20),""""), ""Select Col1""))=0,""0"",COUNTA(query(ifna(filter('Data Recording'!E:E,'Data Recording'!D:D=B20),""""), ""Select Col1"")))"),"13/14")</f>
        <v>13/14</v>
      </c>
      <c r="D20" s="53">
        <f>IFERROR(__xludf.DUMMYFUNCTION("iferror(SUM(query(filter('Data Recording'!F:F,'Data Recording'!D:D=B20), ""Select Col1"")),""-"")"),0.0)</f>
        <v>0</v>
      </c>
      <c r="E20" s="53">
        <f>IFERROR(__xludf.DUMMYFUNCTION("iferror(SUM(query(filter('Data Recording'!G:G,'Data Recording'!D:D=B20), ""Select Col1"")),""-"")"),0.0)</f>
        <v>0</v>
      </c>
      <c r="F20" s="54" t="str">
        <f t="shared" si="1"/>
        <v>-</v>
      </c>
      <c r="G20" s="55">
        <f>IFERROR(__xludf.DUMMYFUNCTION("iferror(AVERAGE(query(filter('Data Recording'!G:G,'Data Recording'!D:D=B20), ""Select Col1"")),""0.00"")"),0.0)</f>
        <v>0</v>
      </c>
      <c r="H20" s="53">
        <f>IFERROR(__xludf.DUMMYFUNCTION("iferror(MAX(query(filter('Data Recording'!G:G,'Data Recording'!D:D=B20), ""Select Col1"")),""-"")"),0.0)</f>
        <v>0</v>
      </c>
      <c r="I20" s="56">
        <f>IFERROR(__xludf.DUMMYFUNCTION("iferror(SUM(query(filter('Data Recording'!H:H,'Data Recording'!D:D=B20), ""Select Col1"")),""-"")"),1.0)</f>
        <v>1</v>
      </c>
      <c r="J20" s="57">
        <f>IFERROR(__xludf.DUMMYFUNCTION("iferror(SUM(query(filter('Data Recording'!I:I,'Data Recording'!D:D=B20), ""Select Col1"")),""-"")"),1.0)</f>
        <v>1</v>
      </c>
      <c r="K20" s="54">
        <f t="shared" si="2"/>
        <v>1</v>
      </c>
      <c r="L20" s="55">
        <f>IFERROR(__xludf.DUMMYFUNCTION("iferror(AVERAGE(query(filter('Data Recording'!I:I,'Data Recording'!D:D=B20), ""Select Col1"")),""0.00"")"),0.5)</f>
        <v>0.5</v>
      </c>
      <c r="M20" s="53">
        <f>IFERROR(__xludf.DUMMYFUNCTION("iferror(MAX(query(filter('Data Recording'!I:I,'Data Recording'!D:D=B20), ""Select Col1"")),""-"")"),1.0)</f>
        <v>1</v>
      </c>
      <c r="N20" s="58">
        <f>IFERROR(__xludf.DUMMYFUNCTION("iferror(SUM(query(filter('Data Recording'!J:J,'Data Recording'!D:D=B20), ""Select Col1"")),""-"")"),0.0)</f>
        <v>0</v>
      </c>
      <c r="O20" s="59">
        <f>IFERROR(__xludf.DUMMYFUNCTION("iferror(SUM(query(filter('Data Recording'!K:K,'Data Recording'!D:D=B20), ""Select Col1"")),""-"")"),0.0)</f>
        <v>0</v>
      </c>
      <c r="P20" s="54" t="str">
        <f t="shared" si="3"/>
        <v>-</v>
      </c>
      <c r="Q20" s="55">
        <f>IFERROR(__xludf.DUMMYFUNCTION("iferror(AVERAGE(query(filter('Data Recording'!K:K,'Data Recording'!D:D=B20), ""Select Col1"")),""0.00"")"),0.0)</f>
        <v>0</v>
      </c>
      <c r="R20" s="53">
        <f>IFERROR(__xludf.DUMMYFUNCTION("iferror(MAX(query(filter('Data Recording'!K:K,'Data Recording'!D:D=B20), ""Select Col1"")),""-"")"),0.0)</f>
        <v>0</v>
      </c>
      <c r="S20" s="58">
        <f>IFERROR(__xludf.DUMMYFUNCTION("iferror(SUM(query(filter('Data Recording'!L:L,'Data Recording'!D:D=B20), ""Select Col1"")),""-"")"),0.0)</f>
        <v>0</v>
      </c>
      <c r="T20" s="59">
        <f>IFERROR(__xludf.DUMMYFUNCTION("iferror(SUM(query(filter('Data Recording'!M:M,'Data Recording'!D:D=B20), ""Select Col1"")),""-"")"),0.0)</f>
        <v>0</v>
      </c>
      <c r="U20" s="54" t="str">
        <f t="shared" si="4"/>
        <v>-</v>
      </c>
      <c r="V20" s="55">
        <f>IFERROR(__xludf.DUMMYFUNCTION("iferror(AVERAGE(query(filter('Data Recording'!M:M,'Data Recording'!D:D=B20), ""Select Col1"")),""-"")"),0.0)</f>
        <v>0</v>
      </c>
      <c r="W20" s="52">
        <f>IFERROR(__xludf.DUMMYFUNCTION("iferror(MAX(query(filter('Data Recording'!M:M,'Data Recording'!D:D=B20), ""Select Col1"")),""-"")"),0.0)</f>
        <v>0</v>
      </c>
      <c r="X20" s="59">
        <f>IFERROR(__xludf.DUMMYFUNCTION("iferror(SUM(query(filter('Data Recording'!N:N,'Data Recording'!D:D=B20), ""Select Col1"")),""-"")"),8.0)</f>
        <v>8</v>
      </c>
      <c r="Y20" s="59">
        <f>IFERROR(__xludf.DUMMYFUNCTION("iferror(SUM(query(filter('Data Recording'!O:O,'Data Recording'!D:D=B20), ""Select Col1"")),""-"")"),7.0)</f>
        <v>7</v>
      </c>
      <c r="Z20" s="54">
        <f t="shared" si="5"/>
        <v>0.875</v>
      </c>
      <c r="AA20" s="55">
        <f>IFERROR(__xludf.DUMMYFUNCTION("iferror(AVERAGE(query(filter('Data Recording'!O:O,'Data Recording'!D:D=B20), ""Select Col1"")),""0.00"")"),0.875)</f>
        <v>0.875</v>
      </c>
      <c r="AB20" s="52">
        <f>IFERROR(__xludf.DUMMYFUNCTION("iferror(MAX(query(filter('Data Recording'!O:O,'Data Recording'!D:D=B20), ""Select Col1"")),""-"")"),1.0)</f>
        <v>1</v>
      </c>
      <c r="AC20" s="59">
        <f>IFERROR(__xludf.DUMMYFUNCTION("iferror(SUM(query(filter('Data Recording'!P:P,'Data Recording'!D:D=B20), ""Select Col1"")),""-"")"),5.0)</f>
        <v>5</v>
      </c>
      <c r="AD20" s="59">
        <f>IFERROR(__xludf.DUMMYFUNCTION("iferror(SUM(query(filter('Data Recording'!Q:Q,'Data Recording'!D:D=B20), ""Select Col1"")),""-"")"),3.0)</f>
        <v>3</v>
      </c>
      <c r="AE20" s="54">
        <f t="shared" si="6"/>
        <v>0.6</v>
      </c>
      <c r="AF20" s="55">
        <f>IFERROR(__xludf.DUMMYFUNCTION("iferror(AVERAGE(query(filter('Data Recording'!Q:Q,'Data Recording'!D:D=B20), ""Select Col1"")),""0.00"")"),0.5)</f>
        <v>0.5</v>
      </c>
      <c r="AG20" s="59">
        <f>IFERROR(__xludf.DUMMYFUNCTION("iferror(MAX(query(filter('Data Recording'!Q:Q,'Data Recording'!D:D=B20), ""Select Col1"")),""-"")"),1.0)</f>
        <v>1</v>
      </c>
      <c r="AH20" s="58" t="str">
        <f>IFERROR(__xludf.DUMMYFUNCTION("if(countif(query(filter('Data Recording'!R:R,'Data Recording'!D:D=B20), ""Select Col1""),""Yes, Engaged"")+countif(query(filter('Data Recording'!R:R,'Data Recording'!D:D=B20), ""Select Col1""),""Yes, Docked"")=0,""0"",countif(query(filter('Data Recording'"&amp;"!R:R,'Data Recording'!D:D=B20), ""Select Col1""),""Yes, Engaged""))+countif(query(filter('Data Recording'!R:R,'Data Recording'!D:D=B20), ""Select Col1""),""Yes, Docked"") &amp; ""/"" &amp; if(COUNTA(query(ifna(filter('Data Recording'!R:R,'Data Recording'!D:D=B20)"&amp;",""""), ""Select Col1""))=0,""0"",COUNTA(query(ifna(filter('Data Recording'!R:R,'Data Recording'!D:D=B20),""""), ""Select Col1"")))"),"3/14")</f>
        <v>3/14</v>
      </c>
      <c r="AI20" s="60" t="str">
        <f>IFERROR(__xludf.DUMMYFUNCTION("if(countif(query(filter('Data Recording'!R:R,'Data Recording'!D:D=B20), ""Select Col1""),""Yes, Engaged"")=0,""0"",countif(query(filter('Data Recording'!R:R,'Data Recording'!D:D=B20), ""Select Col1""),""Yes, Engaged"")) &amp; ""/"" &amp; if(COUNTA(query(ifna(filt"&amp;"er('Data Recording'!R:R,'Data Recording'!D:D=B20),""""), ""Select Col1""))=0,""0"",COUNTA(query(ifna(filter('Data Recording'!R:R,'Data Recording'!D:D=B20),""""), ""Select Col1"")))"),"2/14")</f>
        <v>2/14</v>
      </c>
      <c r="AJ20" s="59">
        <f>IFERROR(__xludf.DUMMYFUNCTION("iferror(SUM(query(filter('Data Recording'!S:S,'Data Recording'!D:D=B20), ""Select Col1"")),""-"")"),9.0)</f>
        <v>9</v>
      </c>
      <c r="AK20" s="59">
        <f>IFERROR(__xludf.DUMMYFUNCTION("iferror(SUM(query(filter('Data Recording'!T:T,'Data Recording'!D:D=B20), ""Select Col1"")),""-"")"),7.0)</f>
        <v>7</v>
      </c>
      <c r="AL20" s="54">
        <f t="shared" si="7"/>
        <v>0.7777777778</v>
      </c>
      <c r="AM20" s="55">
        <f>IFERROR(__xludf.DUMMYFUNCTION("iferror(AVERAGE(query(filter('Data Recording'!T:T,'Data Recording'!D:D=B20), ""Select Col1"")),""0.00"")"),1.1666666666666667)</f>
        <v>1.166666667</v>
      </c>
      <c r="AN20" s="61">
        <f>IFERROR(__xludf.DUMMYFUNCTION("iferror(MAX(query(filter('Data Recording'!T:T,'Data Recording'!D:D=B20), ""Select Col1"")),""-"")"),2.0)</f>
        <v>2</v>
      </c>
      <c r="AO20" s="62">
        <f>IFERROR(__xludf.DUMMYFUNCTION("iferror(SUM(query(filter('Data Recording'!U:U,'Data Recording'!D:D=B20), ""Select Col1"")),""-"")"),4.0)</f>
        <v>4</v>
      </c>
      <c r="AP20" s="62">
        <f>IFERROR(__xludf.DUMMYFUNCTION("iferror(SUM(query(filter('Data Recording'!V:V,'Data Recording'!D:D=B20), ""Select Col1"")),""-"")"),1.0)</f>
        <v>1</v>
      </c>
      <c r="AQ20" s="63">
        <f t="shared" si="8"/>
        <v>0.25</v>
      </c>
      <c r="AR20" s="64">
        <f>IFERROR(__xludf.DUMMYFUNCTION("iferror(AVERAGE(query(filter('Data Recording'!V:V,'Data Recording'!D:D=B20), ""Select Col1"")),""0.00"")"),0.25)</f>
        <v>0.25</v>
      </c>
      <c r="AS20" s="65">
        <f>IFERROR(__xludf.DUMMYFUNCTION("iferror(MAX(query(filter('Data Recording'!V:V,'Data Recording'!D:D=B20), ""Select Col1"")),""-"")"),1.0)</f>
        <v>1</v>
      </c>
      <c r="AT20" s="62">
        <f>IFERROR(__xludf.DUMMYFUNCTION("iferror(SUM(query(filter('Data Recording'!W:W,'Data Recording'!D:D=B20), ""Select Col1"")),""-"")"),13.0)</f>
        <v>13</v>
      </c>
      <c r="AU20" s="62">
        <f>IFERROR(__xludf.DUMMYFUNCTION("iferror(SUM(query(filter('Data Recording'!X:X,'Data Recording'!D:D=B20), ""Select Col1"")),""-"")"),12.0)</f>
        <v>12</v>
      </c>
      <c r="AV20" s="63">
        <f t="shared" si="9"/>
        <v>0.9230769231</v>
      </c>
      <c r="AW20" s="64">
        <f>IFERROR(__xludf.DUMMYFUNCTION("iferror(AVERAGE(query(filter('Data Recording'!X:X,'Data Recording'!D:D=B20), ""Select Col1"")),""0.00"")"),1.0909090909090908)</f>
        <v>1.090909091</v>
      </c>
      <c r="AX20" s="65">
        <f>IFERROR(__xludf.DUMMYFUNCTION("iferror(MAX(query(filter('Data Recording'!X:X,'Data Recording'!D:D=B20), ""Select Col1"")),""-"")"),2.0)</f>
        <v>2</v>
      </c>
      <c r="AY20" s="62">
        <f>IFERROR(__xludf.DUMMYFUNCTION("iferror(SUM(query(filter('Data Recording'!Y:Y,'Data Recording'!D:D=B20), ""Select Col1"")),""-"")"),11.0)</f>
        <v>11</v>
      </c>
      <c r="AZ20" s="62">
        <f>IFERROR(__xludf.DUMMYFUNCTION("iferror(SUM(query(filter('Data Recording'!Z:Z,'Data Recording'!D:D=B20), ""Select Col1"")),""-"")"),10.0)</f>
        <v>10</v>
      </c>
      <c r="BA20" s="63">
        <f t="shared" si="10"/>
        <v>0.9090909091</v>
      </c>
      <c r="BB20" s="64">
        <f>IFERROR(__xludf.DUMMYFUNCTION("iferror(AVERAGE(query(filter('Data Recording'!Z:Z,'Data Recording'!D:D=B20), ""Select Col1"")),""0.00"")"),1.6666666666666667)</f>
        <v>1.666666667</v>
      </c>
      <c r="BC20" s="65">
        <f>IFERROR(__xludf.DUMMYFUNCTION("iferror(MAX(query(filter('Data Recording'!Z:Z,'Data Recording'!D:D=B20), ""Select Col1"")),""-"")"),2.0)</f>
        <v>2</v>
      </c>
      <c r="BD20" s="62">
        <f>IFERROR(__xludf.DUMMYFUNCTION("iferror(SUM(query(filter('Data Recording'!AA:AA,'Data Recording'!D:D=B20), ""Select Col1"")),""-"")"),5.0)</f>
        <v>5</v>
      </c>
      <c r="BE20" s="62">
        <f>IFERROR(__xludf.DUMMYFUNCTION("iferror(SUM(query(filter('Data Recording'!AB:AB,'Data Recording'!D:D=B20), ""Select Col1"")),""-"")"),5.0)</f>
        <v>5</v>
      </c>
      <c r="BF20" s="63">
        <f t="shared" si="11"/>
        <v>1</v>
      </c>
      <c r="BG20" s="64">
        <f>IFERROR(__xludf.DUMMYFUNCTION("iferror(AVERAGE(query(filter('Data Recording'!AB:AB,'Data Recording'!D:D=B20), ""Select Col1"")),""0.00"")"),1.0)</f>
        <v>1</v>
      </c>
      <c r="BH20" s="65">
        <f>IFERROR(__xludf.DUMMYFUNCTION("iferror(MAX(query(filter('Data Recording'!AB:AB,'Data Recording'!D:D=B20), ""Select Col1"")),""-"")"),1.0)</f>
        <v>1</v>
      </c>
      <c r="BI20" s="62">
        <f>IFERROR(__xludf.DUMMYFUNCTION("iferror(SUM(query(filter('Data Recording'!AC:AC,'Data Recording'!D:D=B20), ""Select Col1"")),""-"")"),6.0)</f>
        <v>6</v>
      </c>
      <c r="BJ20" s="62">
        <f>IFERROR(__xludf.DUMMYFUNCTION("iferror(SUM(query(filter('Data Recording'!AD:AD,'Data Recording'!D:D=B20), ""Select Col1"")),""-"")"),6.0)</f>
        <v>6</v>
      </c>
      <c r="BK20" s="63">
        <f t="shared" si="12"/>
        <v>1</v>
      </c>
      <c r="BL20" s="64">
        <f>IFERROR(__xludf.DUMMYFUNCTION("iferror(AVERAGE(query(filter('Data Recording'!AD:AD,'Data Recording'!D:D=B20), ""Select Col1"")),""0.00"")"),1.5)</f>
        <v>1.5</v>
      </c>
      <c r="BM20" s="65">
        <f>IFERROR(__xludf.DUMMYFUNCTION("iferror(MAX(query(filter('Data Recording'!AD:AD,'Data Recording'!D:D=B20), ""Select Col1"")),""-"")"),2.0)</f>
        <v>2</v>
      </c>
      <c r="BN20" s="66" t="str">
        <f>IFERROR(__xludf.DUMMYFUNCTION("if(countif(query(filter('Data Recording'!AE:AE,'Data Recording'!D:D=B20), ""Select Col1""),""Yes, Engaged"")+countif(query(filter('Data Recording'!AE:AE,'Data Recording'!D:D=B20), ""Select Col1""),""Yes, Docked"")=0,""0"",countif(query(filter('Data Record"&amp;"ing'!AE:AE,'Data Recording'!D:D=B20), ""Select Col1""),""Yes, Engaged""))+countif(query(filter('Data Recording'!AE:AE,'Data Recording'!D:D=B20), ""Select Col1""),""Yes, Docked"") &amp; ""/"" &amp; if(COUNTA(query(ifna(filter('Data Recording'!AE:AE,'Data Recording"&amp;"'!D:D=B20),""""), ""Select Col1""))=0,""0"",COUNTA(query(ifna(filter('Data Recording'!AE:AE,'Data Recording'!D:D=B20),""""), ""Select Col1"")))"),"3/14")</f>
        <v>3/14</v>
      </c>
      <c r="BO20" s="67" t="str">
        <f>IFERROR(__xludf.DUMMYFUNCTION("if(countif(query(filter('Data Recording'!AE:AE,'Data Recording'!D:D=B20), ""Select Col1""),""Yes, Engaged"")=0,""0"",countif(query(filter('Data Recording'!AE:AE,'Data Recording'!D:D=B20), ""Select Col1""),""Yes, Engaged"")) &amp; ""/"" &amp; if(COUNTA(query(ifna("&amp;"filter('Data Recording'!AE:AE,'Data Recording'!D:D=B20),""""), ""Select Col1""))=0,""0"",COUNTA(query(ifna(filter('Data Recording'!AE:AE,'Data Recording'!D:D=B20),""""), ""Select Col1"")))"),"3/14")</f>
        <v>3/14</v>
      </c>
      <c r="BP20" s="60" t="str">
        <f>IFERROR(__xludf.DUMMYFUNCTION("if(countif(query(filter('Data Recording'!AH:AH,'Data Recording'!D:D=B20), ""Select Col1""),""Yes"")=0,""0"",countif(query(filter('Data Recording'!AH:AH,'Data Recording'!D:D=B20), ""Select Col1""),""Yes"")) &amp; ""/"" &amp; if(COUNTA(query(ifna(filter('Data Recor"&amp;"ding'!AH:AH,'Data Recording'!D:D=B20),""""), ""Select Col1""))=0,""0"",COUNTA(query(ifna(filter('Data Recording'!AH:AH,'Data Recording'!D:D=B20),""""), ""Select Col1"")))"),"1/14")</f>
        <v>1/14</v>
      </c>
      <c r="BQ20" s="75">
        <v>0.0714</v>
      </c>
      <c r="BR20" s="55">
        <f>IFERROR(__xludf.DUMMYFUNCTION("iferror(average(query(filter('Data Recording'!AF:AF,'Data Recording'!D:D=B20), ""Select Col1"")),""-"")"),3.5)</f>
        <v>3.5</v>
      </c>
      <c r="BS20" s="69">
        <f>IFERROR(__xludf.DUMMYFUNCTION("iferror(average(query(filter('Data Recording'!AG:AG,'Data Recording'!D:D=B20), ""Select Col1"")),""-"")"),0.0)</f>
        <v>0</v>
      </c>
      <c r="BT20" s="70">
        <f t="shared" si="13"/>
        <v>33.09848485</v>
      </c>
      <c r="BU20" s="70">
        <f>IFERROR(__xludf.DUMMYFUNCTION("iferror(AVERAGE(query(filter('Data Recording'!AJ:AJ,'Data Recording'!D:D=B20), ""Select Col1"")),""-"")"),20.285714285714285)</f>
        <v>20.28571429</v>
      </c>
      <c r="BV20" s="70">
        <f>IFERROR(__xludf.DUMMYFUNCTION("iferror(AVERAGE(query(filter('Data Recording'!AK:AK,'Data Recording'!D:D=B20), ""Select Col1"")),""-"")"),12.857142857142858)</f>
        <v>12.85714286</v>
      </c>
      <c r="BW20" s="70">
        <f t="shared" si="14"/>
        <v>30.09848485</v>
      </c>
      <c r="BX20" s="71">
        <f>IFERROR(__xludf.DUMMYFUNCTION("iferror(max(query(filter('Data Recording'!AJ:AJ,'Data Recording'!D:D=B20), ""Select Col1"")),""-"")"),36.0)</f>
        <v>36</v>
      </c>
      <c r="BY20" s="72">
        <f>IFERROR(__xludf.DUMMYFUNCTION("iferror(MIN(query(filter('Data Recording'!AJ:AJ,'Data Recording'!D:D=B20), ""Select Col1"")),""-"")"),7.0)</f>
        <v>7</v>
      </c>
      <c r="BZ20" s="73" t="str">
        <f>IFERROR(__xludf.DUMMYFUNCTION("iferror(if(DIVIDE(COUNTIF(query(filter('Data Recording'!R:R,'Data Recording'!D:D=B20), ""Select Col1""),""Yes, Docked"") + countif(query(filter('Data Recording'!R:R,'Data Recording'!D:D=B20), ""Select Col1""),""Yes, Engaged""),COUNTA(query(ifna(filter('Da"&amp;"ta Recording'!R:R,'Data Recording'!D:D=B20),""""), ""Select Col1"")))&gt;=(0.5),""1"",""0""),""-"")"),"0")</f>
        <v>0</v>
      </c>
      <c r="CA20" s="59" t="str">
        <f>IFERROR(__xludf.DUMMYFUNCTION("iferror(if(countif(query(filter('Data Recording'!R:R,'Data Recording'!D:D=B20), ""Select Col1""),""Yes, Engaged"")/COUNTA(query(ifna(filter('Data Recording'!R:R,'Data Recording'!D:D=B20),""""), ""Select Col1""))&gt;=(0.5),""1"",""0""),""-"")"),"0")</f>
        <v>0</v>
      </c>
      <c r="CB20" s="74" t="str">
        <f>IFERROR(__xludf.DUMMYFUNCTION("iferror(if(DIVIDE(COUNTIF(query(filter('Data Recording'!AE:AE,'Data Recording'!D:D=B20), ""Select Col1""),""Yes, Docked"") + countif(query(filter('Data Recording'!AE:AE,'Data Recording'!D:D=B20), ""Select Col1""),""Yes, Engaged""),COUNTA(query(ifna(filter"&amp;"('Data Recording'!AE:AE,'Data Recording'!D:D=B20),""""), ""Select Col1"")))&gt;=(0.5),""1"",""0""),""-"")"),"0")</f>
        <v>0</v>
      </c>
      <c r="CC20" s="59" t="str">
        <f>IFERROR(__xludf.DUMMYFUNCTION("iferror(if(countif(query(filter('Data Recording'!AE:AE,'Data Recording'!D:D=B20), ""Select Col1""),""Yes, Engaged"")/COUNTA(query(ifna(filter('Data Recording'!AE:AE,'Data Recording'!D:D=B20),""""), ""Select Col1""))&gt;=(0.5),""1"",""0""),""-"")"),"0")</f>
        <v>0</v>
      </c>
      <c r="CD20" s="74" t="str">
        <f>IFERROR(__xludf.DUMMYFUNCTION("iferror(if(DIVIDE(countif(query(filter('Data Recording'!E:E,'Data Recording'!D:D=B20), ""Select Col1""),""Yes""),COUNTA(query(ifna(filter('Data Recording'!E:E,'Data Recording'!D:D=B20),""""), ""Select Col1"")))&gt;=(0.5),""1"",""0""),""-"")"),"1")</f>
        <v>1</v>
      </c>
    </row>
    <row r="21">
      <c r="A21" s="51" t="s">
        <v>54</v>
      </c>
      <c r="B21" s="51">
        <v>3568.0</v>
      </c>
      <c r="C21" s="52" t="str">
        <f>IFERROR(__xludf.DUMMYFUNCTION("if(countif(query(filter('Data Recording'!E:E,'Data Recording'!D:D=B21), ""Select Col1""),""Yes"")=0,""0"",countif(query(filter('Data Recording'!E:E,'Data Recording'!D:D=B21), ""Select Col1""),""Yes"")) &amp; ""/"" &amp; if(COUNTA(query(ifna(filter('Data Recording"&amp;"'!E:E,'Data Recording'!D:D=B21),""""), ""Select Col1""))=0,""0"",COUNTA(query(ifna(filter('Data Recording'!E:E,'Data Recording'!D:D=B21),""""), ""Select Col1"")))"),"5/8")</f>
        <v>5/8</v>
      </c>
      <c r="D21" s="53">
        <f>IFERROR(__xludf.DUMMYFUNCTION("iferror(SUM(query(filter('Data Recording'!F:F,'Data Recording'!D:D=B21), ""Select Col1"")),""-"")"),0.0)</f>
        <v>0</v>
      </c>
      <c r="E21" s="53">
        <f>IFERROR(__xludf.DUMMYFUNCTION("iferror(SUM(query(filter('Data Recording'!G:G,'Data Recording'!D:D=B21), ""Select Col1"")),""-"")"),0.0)</f>
        <v>0</v>
      </c>
      <c r="F21" s="54" t="str">
        <f t="shared" si="1"/>
        <v>-</v>
      </c>
      <c r="G21" s="55">
        <f>IFERROR(__xludf.DUMMYFUNCTION("iferror(AVERAGE(query(filter('Data Recording'!G:G,'Data Recording'!D:D=B21), ""Select Col1"")),""0.00"")"),0.0)</f>
        <v>0</v>
      </c>
      <c r="H21" s="53">
        <f>IFERROR(__xludf.DUMMYFUNCTION("iferror(MAX(query(filter('Data Recording'!G:G,'Data Recording'!D:D=B21), ""Select Col1"")),""-"")"),0.0)</f>
        <v>0</v>
      </c>
      <c r="I21" s="56">
        <f>IFERROR(__xludf.DUMMYFUNCTION("iferror(SUM(query(filter('Data Recording'!H:H,'Data Recording'!D:D=B21), ""Select Col1"")),""-"")"),0.0)</f>
        <v>0</v>
      </c>
      <c r="J21" s="57">
        <f>IFERROR(__xludf.DUMMYFUNCTION("iferror(SUM(query(filter('Data Recording'!I:I,'Data Recording'!D:D=B21), ""Select Col1"")),""-"")"),0.0)</f>
        <v>0</v>
      </c>
      <c r="K21" s="54" t="str">
        <f t="shared" si="2"/>
        <v>-</v>
      </c>
      <c r="L21" s="55">
        <f>IFERROR(__xludf.DUMMYFUNCTION("iferror(AVERAGE(query(filter('Data Recording'!I:I,'Data Recording'!D:D=B21), ""Select Col1"")),""0.00"")"),0.0)</f>
        <v>0</v>
      </c>
      <c r="M21" s="53">
        <f>IFERROR(__xludf.DUMMYFUNCTION("iferror(MAX(query(filter('Data Recording'!I:I,'Data Recording'!D:D=B21), ""Select Col1"")),""-"")"),0.0)</f>
        <v>0</v>
      </c>
      <c r="N21" s="58">
        <f>IFERROR(__xludf.DUMMYFUNCTION("iferror(SUM(query(filter('Data Recording'!J:J,'Data Recording'!D:D=B21), ""Select Col1"")),""-"")"),0.0)</f>
        <v>0</v>
      </c>
      <c r="O21" s="59">
        <f>IFERROR(__xludf.DUMMYFUNCTION("iferror(SUM(query(filter('Data Recording'!K:K,'Data Recording'!D:D=B21), ""Select Col1"")),""-"")"),0.0)</f>
        <v>0</v>
      </c>
      <c r="P21" s="54" t="str">
        <f t="shared" si="3"/>
        <v>-</v>
      </c>
      <c r="Q21" s="55">
        <f>IFERROR(__xludf.DUMMYFUNCTION("iferror(AVERAGE(query(filter('Data Recording'!K:K,'Data Recording'!D:D=B21), ""Select Col1"")),""0.00"")"),0.0)</f>
        <v>0</v>
      </c>
      <c r="R21" s="53">
        <f>IFERROR(__xludf.DUMMYFUNCTION("iferror(MAX(query(filter('Data Recording'!K:K,'Data Recording'!D:D=B21), ""Select Col1"")),""-"")"),0.0)</f>
        <v>0</v>
      </c>
      <c r="S21" s="58">
        <f>IFERROR(__xludf.DUMMYFUNCTION("iferror(SUM(query(filter('Data Recording'!L:L,'Data Recording'!D:D=B21), ""Select Col1"")),""-"")"),4.0)</f>
        <v>4</v>
      </c>
      <c r="T21" s="59">
        <f>IFERROR(__xludf.DUMMYFUNCTION("iferror(SUM(query(filter('Data Recording'!M:M,'Data Recording'!D:D=B21), ""Select Col1"")),""-"")"),2.0)</f>
        <v>2</v>
      </c>
      <c r="U21" s="54">
        <f t="shared" si="4"/>
        <v>0.5</v>
      </c>
      <c r="V21" s="55">
        <f>IFERROR(__xludf.DUMMYFUNCTION("iferror(AVERAGE(query(filter('Data Recording'!M:M,'Data Recording'!D:D=B21), ""Select Col1"")),""-"")"),0.5)</f>
        <v>0.5</v>
      </c>
      <c r="W21" s="52">
        <f>IFERROR(__xludf.DUMMYFUNCTION("iferror(MAX(query(filter('Data Recording'!M:M,'Data Recording'!D:D=B21), ""Select Col1"")),""-"")"),1.0)</f>
        <v>1</v>
      </c>
      <c r="X21" s="59">
        <f>IFERROR(__xludf.DUMMYFUNCTION("iferror(SUM(query(filter('Data Recording'!N:N,'Data Recording'!D:D=B21), ""Select Col1"")),""-"")"),4.0)</f>
        <v>4</v>
      </c>
      <c r="Y21" s="59">
        <f>IFERROR(__xludf.DUMMYFUNCTION("iferror(SUM(query(filter('Data Recording'!O:O,'Data Recording'!D:D=B21), ""Select Col1"")),""-"")"),4.0)</f>
        <v>4</v>
      </c>
      <c r="Z21" s="54">
        <f t="shared" si="5"/>
        <v>1</v>
      </c>
      <c r="AA21" s="55">
        <f>IFERROR(__xludf.DUMMYFUNCTION("iferror(AVERAGE(query(filter('Data Recording'!O:O,'Data Recording'!D:D=B21), ""Select Col1"")),""0.00"")"),0.8)</f>
        <v>0.8</v>
      </c>
      <c r="AB21" s="52">
        <f>IFERROR(__xludf.DUMMYFUNCTION("iferror(MAX(query(filter('Data Recording'!O:O,'Data Recording'!D:D=B21), ""Select Col1"")),""-"")"),1.0)</f>
        <v>1</v>
      </c>
      <c r="AC21" s="59">
        <f>IFERROR(__xludf.DUMMYFUNCTION("iferror(SUM(query(filter('Data Recording'!P:P,'Data Recording'!D:D=B21), ""Select Col1"")),""-"")"),2.0)</f>
        <v>2</v>
      </c>
      <c r="AD21" s="59">
        <f>IFERROR(__xludf.DUMMYFUNCTION("iferror(SUM(query(filter('Data Recording'!Q:Q,'Data Recording'!D:D=B21), ""Select Col1"")),""-"")"),2.0)</f>
        <v>2</v>
      </c>
      <c r="AE21" s="54">
        <f t="shared" si="6"/>
        <v>1</v>
      </c>
      <c r="AF21" s="55">
        <f>IFERROR(__xludf.DUMMYFUNCTION("iferror(AVERAGE(query(filter('Data Recording'!Q:Q,'Data Recording'!D:D=B21), ""Select Col1"")),""0.00"")"),0.6666666666666666)</f>
        <v>0.6666666667</v>
      </c>
      <c r="AG21" s="59">
        <f>IFERROR(__xludf.DUMMYFUNCTION("iferror(MAX(query(filter('Data Recording'!Q:Q,'Data Recording'!D:D=B21), ""Select Col1"")),""-"")"),1.0)</f>
        <v>1</v>
      </c>
      <c r="AH21" s="58" t="str">
        <f>IFERROR(__xludf.DUMMYFUNCTION("if(countif(query(filter('Data Recording'!R:R,'Data Recording'!D:D=B21), ""Select Col1""),""Yes, Engaged"")+countif(query(filter('Data Recording'!R:R,'Data Recording'!D:D=B21), ""Select Col1""),""Yes, Docked"")=0,""0"",countif(query(filter('Data Recording'"&amp;"!R:R,'Data Recording'!D:D=B21), ""Select Col1""),""Yes, Engaged""))+countif(query(filter('Data Recording'!R:R,'Data Recording'!D:D=B21), ""Select Col1""),""Yes, Docked"") &amp; ""/"" &amp; if(COUNTA(query(ifna(filter('Data Recording'!R:R,'Data Recording'!D:D=B21)"&amp;",""""), ""Select Col1""))=0,""0"",COUNTA(query(ifna(filter('Data Recording'!R:R,'Data Recording'!D:D=B21),""""), ""Select Col1"")))"),"0/8")</f>
        <v>0/8</v>
      </c>
      <c r="AI21" s="60" t="str">
        <f>IFERROR(__xludf.DUMMYFUNCTION("if(countif(query(filter('Data Recording'!R:R,'Data Recording'!D:D=B21), ""Select Col1""),""Yes, Engaged"")=0,""0"",countif(query(filter('Data Recording'!R:R,'Data Recording'!D:D=B21), ""Select Col1""),""Yes, Engaged"")) &amp; ""/"" &amp; if(COUNTA(query(ifna(filt"&amp;"er('Data Recording'!R:R,'Data Recording'!D:D=B21),""""), ""Select Col1""))=0,""0"",COUNTA(query(ifna(filter('Data Recording'!R:R,'Data Recording'!D:D=B21),""""), ""Select Col1"")))"),"0/8")</f>
        <v>0/8</v>
      </c>
      <c r="AJ21" s="59">
        <f>IFERROR(__xludf.DUMMYFUNCTION("iferror(SUM(query(filter('Data Recording'!S:S,'Data Recording'!D:D=B21), ""Select Col1"")),""-"")"),1.0)</f>
        <v>1</v>
      </c>
      <c r="AK21" s="59">
        <f>IFERROR(__xludf.DUMMYFUNCTION("iferror(SUM(query(filter('Data Recording'!T:T,'Data Recording'!D:D=B21), ""Select Col1"")),""-"")"),1.0)</f>
        <v>1</v>
      </c>
      <c r="AL21" s="54">
        <f t="shared" si="7"/>
        <v>1</v>
      </c>
      <c r="AM21" s="55">
        <f>IFERROR(__xludf.DUMMYFUNCTION("iferror(AVERAGE(query(filter('Data Recording'!T:T,'Data Recording'!D:D=B21), ""Select Col1"")),""0.00"")"),0.5)</f>
        <v>0.5</v>
      </c>
      <c r="AN21" s="61">
        <f>IFERROR(__xludf.DUMMYFUNCTION("iferror(MAX(query(filter('Data Recording'!T:T,'Data Recording'!D:D=B21), ""Select Col1"")),""-"")"),1.0)</f>
        <v>1</v>
      </c>
      <c r="AO21" s="62">
        <f>IFERROR(__xludf.DUMMYFUNCTION("iferror(SUM(query(filter('Data Recording'!U:U,'Data Recording'!D:D=B21), ""Select Col1"")),""-"")"),0.0)</f>
        <v>0</v>
      </c>
      <c r="AP21" s="62">
        <f>IFERROR(__xludf.DUMMYFUNCTION("iferror(SUM(query(filter('Data Recording'!V:V,'Data Recording'!D:D=B21), ""Select Col1"")),""-"")"),0.0)</f>
        <v>0</v>
      </c>
      <c r="AQ21" s="63" t="str">
        <f t="shared" si="8"/>
        <v>-</v>
      </c>
      <c r="AR21" s="64">
        <f>IFERROR(__xludf.DUMMYFUNCTION("iferror(AVERAGE(query(filter('Data Recording'!V:V,'Data Recording'!D:D=B21), ""Select Col1"")),""0.00"")"),0.0)</f>
        <v>0</v>
      </c>
      <c r="AS21" s="65">
        <f>IFERROR(__xludf.DUMMYFUNCTION("iferror(MAX(query(filter('Data Recording'!V:V,'Data Recording'!D:D=B21), ""Select Col1"")),""-"")"),0.0)</f>
        <v>0</v>
      </c>
      <c r="AT21" s="62">
        <f>IFERROR(__xludf.DUMMYFUNCTION("iferror(SUM(query(filter('Data Recording'!W:W,'Data Recording'!D:D=B21), ""Select Col1"")),""-"")"),1.0)</f>
        <v>1</v>
      </c>
      <c r="AU21" s="62">
        <f>IFERROR(__xludf.DUMMYFUNCTION("iferror(SUM(query(filter('Data Recording'!X:X,'Data Recording'!D:D=B21), ""Select Col1"")),""-"")"),1.0)</f>
        <v>1</v>
      </c>
      <c r="AV21" s="63">
        <f t="shared" si="9"/>
        <v>1</v>
      </c>
      <c r="AW21" s="64">
        <f>IFERROR(__xludf.DUMMYFUNCTION("iferror(AVERAGE(query(filter('Data Recording'!X:X,'Data Recording'!D:D=B21), ""Select Col1"")),""0.00"")"),0.5)</f>
        <v>0.5</v>
      </c>
      <c r="AX21" s="65">
        <f>IFERROR(__xludf.DUMMYFUNCTION("iferror(MAX(query(filter('Data Recording'!X:X,'Data Recording'!D:D=B21), ""Select Col1"")),""-"")"),1.0)</f>
        <v>1</v>
      </c>
      <c r="AY21" s="62">
        <f>IFERROR(__xludf.DUMMYFUNCTION("iferror(SUM(query(filter('Data Recording'!Y:Y,'Data Recording'!D:D=B21), ""Select Col1"")),""-"")"),11.0)</f>
        <v>11</v>
      </c>
      <c r="AZ21" s="62">
        <f>IFERROR(__xludf.DUMMYFUNCTION("iferror(SUM(query(filter('Data Recording'!Z:Z,'Data Recording'!D:D=B21), ""Select Col1"")),""-"")"),10.0)</f>
        <v>10</v>
      </c>
      <c r="BA21" s="63">
        <f t="shared" si="10"/>
        <v>0.9090909091</v>
      </c>
      <c r="BB21" s="64">
        <f>IFERROR(__xludf.DUMMYFUNCTION("iferror(AVERAGE(query(filter('Data Recording'!Z:Z,'Data Recording'!D:D=B21), ""Select Col1"")),""0.00"")"),1.4285714285714286)</f>
        <v>1.428571429</v>
      </c>
      <c r="BC21" s="65">
        <f>IFERROR(__xludf.DUMMYFUNCTION("iferror(MAX(query(filter('Data Recording'!Z:Z,'Data Recording'!D:D=B21), ""Select Col1"")),""-"")"),3.0)</f>
        <v>3</v>
      </c>
      <c r="BD21" s="62">
        <f>IFERROR(__xludf.DUMMYFUNCTION("iferror(SUM(query(filter('Data Recording'!AA:AA,'Data Recording'!D:D=B21), ""Select Col1"")),""-"")"),5.0)</f>
        <v>5</v>
      </c>
      <c r="BE21" s="62">
        <f>IFERROR(__xludf.DUMMYFUNCTION("iferror(SUM(query(filter('Data Recording'!AB:AB,'Data Recording'!D:D=B21), ""Select Col1"")),""-"")"),5.0)</f>
        <v>5</v>
      </c>
      <c r="BF21" s="63">
        <f t="shared" si="11"/>
        <v>1</v>
      </c>
      <c r="BG21" s="64">
        <f>IFERROR(__xludf.DUMMYFUNCTION("iferror(AVERAGE(query(filter('Data Recording'!AB:AB,'Data Recording'!D:D=B21), ""Select Col1"")),""0.00"")"),1.0)</f>
        <v>1</v>
      </c>
      <c r="BH21" s="65">
        <f>IFERROR(__xludf.DUMMYFUNCTION("iferror(MAX(query(filter('Data Recording'!AB:AB,'Data Recording'!D:D=B21), ""Select Col1"")),""-"")"),2.0)</f>
        <v>2</v>
      </c>
      <c r="BI21" s="62">
        <f>IFERROR(__xludf.DUMMYFUNCTION("iferror(SUM(query(filter('Data Recording'!AC:AC,'Data Recording'!D:D=B21), ""Select Col1"")),""-"")"),2.0)</f>
        <v>2</v>
      </c>
      <c r="BJ21" s="62">
        <f>IFERROR(__xludf.DUMMYFUNCTION("iferror(SUM(query(filter('Data Recording'!AD:AD,'Data Recording'!D:D=B21), ""Select Col1"")),""-"")"),2.0)</f>
        <v>2</v>
      </c>
      <c r="BK21" s="63">
        <f t="shared" si="12"/>
        <v>1</v>
      </c>
      <c r="BL21" s="64">
        <f>IFERROR(__xludf.DUMMYFUNCTION("iferror(AVERAGE(query(filter('Data Recording'!AD:AD,'Data Recording'!D:D=B21), ""Select Col1"")),""0.00"")"),0.6666666666666666)</f>
        <v>0.6666666667</v>
      </c>
      <c r="BM21" s="65">
        <f>IFERROR(__xludf.DUMMYFUNCTION("iferror(MAX(query(filter('Data Recording'!AD:AD,'Data Recording'!D:D=B21), ""Select Col1"")),""-"")"),1.0)</f>
        <v>1</v>
      </c>
      <c r="BN21" s="66" t="str">
        <f>IFERROR(__xludf.DUMMYFUNCTION("if(countif(query(filter('Data Recording'!AE:AE,'Data Recording'!D:D=B21), ""Select Col1""),""Yes, Engaged"")+countif(query(filter('Data Recording'!AE:AE,'Data Recording'!D:D=B21), ""Select Col1""),""Yes, Docked"")=0,""0"",countif(query(filter('Data Record"&amp;"ing'!AE:AE,'Data Recording'!D:D=B21), ""Select Col1""),""Yes, Engaged""))+countif(query(filter('Data Recording'!AE:AE,'Data Recording'!D:D=B21), ""Select Col1""),""Yes, Docked"") &amp; ""/"" &amp; if(COUNTA(query(ifna(filter('Data Recording'!AE:AE,'Data Recording"&amp;"'!D:D=B21),""""), ""Select Col1""))=0,""0"",COUNTA(query(ifna(filter('Data Recording'!AE:AE,'Data Recording'!D:D=B21),""""), ""Select Col1"")))"),"2/8")</f>
        <v>2/8</v>
      </c>
      <c r="BO21" s="67" t="str">
        <f>IFERROR(__xludf.DUMMYFUNCTION("if(countif(query(filter('Data Recording'!AE:AE,'Data Recording'!D:D=B21), ""Select Col1""),""Yes, Engaged"")=0,""0"",countif(query(filter('Data Recording'!AE:AE,'Data Recording'!D:D=B21), ""Select Col1""),""Yes, Engaged"")) &amp; ""/"" &amp; if(COUNTA(query(ifna("&amp;"filter('Data Recording'!AE:AE,'Data Recording'!D:D=B21),""""), ""Select Col1""))=0,""0"",COUNTA(query(ifna(filter('Data Recording'!AE:AE,'Data Recording'!D:D=B21),""""), ""Select Col1"")))"),"2/8")</f>
        <v>2/8</v>
      </c>
      <c r="BP21" s="60" t="str">
        <f>IFERROR(__xludf.DUMMYFUNCTION("if(countif(query(filter('Data Recording'!AH:AH,'Data Recording'!D:D=B21), ""Select Col1""),""Yes"")=0,""0"",countif(query(filter('Data Recording'!AH:AH,'Data Recording'!D:D=B21), ""Select Col1""),""Yes"")) &amp; ""/"" &amp; if(COUNTA(query(ifna(filter('Data Recor"&amp;"ding'!AH:AH,'Data Recording'!D:D=B21),""""), ""Select Col1""))=0,""0"",COUNTA(query(ifna(filter('Data Recording'!AH:AH,'Data Recording'!D:D=B21),""""), ""Select Col1"")))"),"1/8")</f>
        <v>1/8</v>
      </c>
      <c r="BQ21" s="75">
        <v>0.125</v>
      </c>
      <c r="BR21" s="55">
        <f>IFERROR(__xludf.DUMMYFUNCTION("iferror(average(query(filter('Data Recording'!AF:AF,'Data Recording'!D:D=B21), ""Select Col1"")),""-"")"),2.0)</f>
        <v>2</v>
      </c>
      <c r="BS21" s="69">
        <f>IFERROR(__xludf.DUMMYFUNCTION("iferror(average(query(filter('Data Recording'!AG:AG,'Data Recording'!D:D=B21), ""Select Col1"")),""-"")"),0.0)</f>
        <v>0</v>
      </c>
      <c r="BT21" s="70">
        <f t="shared" si="13"/>
        <v>26.17619048</v>
      </c>
      <c r="BU21" s="70">
        <f>IFERROR(__xludf.DUMMYFUNCTION("iferror(AVERAGE(query(filter('Data Recording'!AJ:AJ,'Data Recording'!D:D=B21), ""Select Col1"")),""-"")"),20.0)</f>
        <v>20</v>
      </c>
      <c r="BV21" s="70">
        <f>IFERROR(__xludf.DUMMYFUNCTION("iferror(AVERAGE(query(filter('Data Recording'!AK:AK,'Data Recording'!D:D=B21), ""Select Col1"")),""-"")"),13.75)</f>
        <v>13.75</v>
      </c>
      <c r="BW21" s="70">
        <f t="shared" si="14"/>
        <v>23.17619048</v>
      </c>
      <c r="BX21" s="71">
        <f>IFERROR(__xludf.DUMMYFUNCTION("iferror(max(query(filter('Data Recording'!AJ:AJ,'Data Recording'!D:D=B21), ""Select Col1"")),""-"")"),29.0)</f>
        <v>29</v>
      </c>
      <c r="BY21" s="72">
        <f>IFERROR(__xludf.DUMMYFUNCTION("iferror(MIN(query(filter('Data Recording'!AJ:AJ,'Data Recording'!D:D=B21), ""Select Col1"")),""-"")"),9.0)</f>
        <v>9</v>
      </c>
      <c r="BZ21" s="73" t="str">
        <f>IFERROR(__xludf.DUMMYFUNCTION("iferror(if(DIVIDE(COUNTIF(query(filter('Data Recording'!R:R,'Data Recording'!D:D=B21), ""Select Col1""),""Yes, Docked"") + countif(query(filter('Data Recording'!R:R,'Data Recording'!D:D=B21), ""Select Col1""),""Yes, Engaged""),COUNTA(query(ifna(filter('Da"&amp;"ta Recording'!R:R,'Data Recording'!D:D=B21),""""), ""Select Col1"")))&gt;=(0.5),""1"",""0""),""-"")"),"0")</f>
        <v>0</v>
      </c>
      <c r="CA21" s="59" t="str">
        <f>IFERROR(__xludf.DUMMYFUNCTION("iferror(if(countif(query(filter('Data Recording'!R:R,'Data Recording'!D:D=B21), ""Select Col1""),""Yes, Engaged"")/COUNTA(query(ifna(filter('Data Recording'!R:R,'Data Recording'!D:D=B21),""""), ""Select Col1""))&gt;=(0.5),""1"",""0""),""-"")"),"0")</f>
        <v>0</v>
      </c>
      <c r="CB21" s="74" t="str">
        <f>IFERROR(__xludf.DUMMYFUNCTION("iferror(if(DIVIDE(COUNTIF(query(filter('Data Recording'!AE:AE,'Data Recording'!D:D=B21), ""Select Col1""),""Yes, Docked"") + countif(query(filter('Data Recording'!AE:AE,'Data Recording'!D:D=B21), ""Select Col1""),""Yes, Engaged""),COUNTA(query(ifna(filter"&amp;"('Data Recording'!AE:AE,'Data Recording'!D:D=B21),""""), ""Select Col1"")))&gt;=(0.5),""1"",""0""),""-"")"),"0")</f>
        <v>0</v>
      </c>
      <c r="CC21" s="59" t="str">
        <f>IFERROR(__xludf.DUMMYFUNCTION("iferror(if(countif(query(filter('Data Recording'!AE:AE,'Data Recording'!D:D=B21), ""Select Col1""),""Yes, Engaged"")/COUNTA(query(ifna(filter('Data Recording'!AE:AE,'Data Recording'!D:D=B21),""""), ""Select Col1""))&gt;=(0.5),""1"",""0""),""-"")"),"0")</f>
        <v>0</v>
      </c>
      <c r="CD21" s="74" t="str">
        <f>IFERROR(__xludf.DUMMYFUNCTION("iferror(if(DIVIDE(countif(query(filter('Data Recording'!E:E,'Data Recording'!D:D=B21), ""Select Col1""),""Yes""),COUNTA(query(ifna(filter('Data Recording'!E:E,'Data Recording'!D:D=B21),""""), ""Select Col1"")))&gt;=(0.5),""1"",""0""),""-"")"),"1")</f>
        <v>1</v>
      </c>
    </row>
    <row r="22">
      <c r="A22" s="51" t="s">
        <v>55</v>
      </c>
      <c r="B22" s="51">
        <v>8374.0</v>
      </c>
      <c r="C22" s="52" t="str">
        <f>IFERROR(__xludf.DUMMYFUNCTION("if(countif(query(filter('Data Recording'!E:E,'Data Recording'!D:D=B22), ""Select Col1""),""Yes"")=0,""0"",countif(query(filter('Data Recording'!E:E,'Data Recording'!D:D=B22), ""Select Col1""),""Yes"")) &amp; ""/"" &amp; if(COUNTA(query(ifna(filter('Data Recording"&amp;"'!E:E,'Data Recording'!D:D=B22),""""), ""Select Col1""))=0,""0"",COUNTA(query(ifna(filter('Data Recording'!E:E,'Data Recording'!D:D=B22),""""), ""Select Col1"")))"),"2/5")</f>
        <v>2/5</v>
      </c>
      <c r="D22" s="53">
        <f>IFERROR(__xludf.DUMMYFUNCTION("iferror(SUM(query(filter('Data Recording'!F:F,'Data Recording'!D:D=B22), ""Select Col1"")),""-"")"),0.0)</f>
        <v>0</v>
      </c>
      <c r="E22" s="53">
        <f>IFERROR(__xludf.DUMMYFUNCTION("iferror(SUM(query(filter('Data Recording'!G:G,'Data Recording'!D:D=B22), ""Select Col1"")),""-"")"),0.0)</f>
        <v>0</v>
      </c>
      <c r="F22" s="54" t="str">
        <f t="shared" si="1"/>
        <v>-</v>
      </c>
      <c r="G22" s="55">
        <f>IFERROR(__xludf.DUMMYFUNCTION("iferror(AVERAGE(query(filter('Data Recording'!G:G,'Data Recording'!D:D=B22), ""Select Col1"")),""0.00"")"),0.0)</f>
        <v>0</v>
      </c>
      <c r="H22" s="53">
        <f>IFERROR(__xludf.DUMMYFUNCTION("iferror(MAX(query(filter('Data Recording'!G:G,'Data Recording'!D:D=B22), ""Select Col1"")),""-"")"),0.0)</f>
        <v>0</v>
      </c>
      <c r="I22" s="56">
        <f>IFERROR(__xludf.DUMMYFUNCTION("iferror(SUM(query(filter('Data Recording'!H:H,'Data Recording'!D:D=B22), ""Select Col1"")),""-"")"),0.0)</f>
        <v>0</v>
      </c>
      <c r="J22" s="57">
        <f>IFERROR(__xludf.DUMMYFUNCTION("iferror(SUM(query(filter('Data Recording'!I:I,'Data Recording'!D:D=B22), ""Select Col1"")),""-"")"),0.0)</f>
        <v>0</v>
      </c>
      <c r="K22" s="54" t="str">
        <f t="shared" si="2"/>
        <v>-</v>
      </c>
      <c r="L22" s="55">
        <f>IFERROR(__xludf.DUMMYFUNCTION("iferror(AVERAGE(query(filter('Data Recording'!I:I,'Data Recording'!D:D=B22), ""Select Col1"")),""0.00"")"),0.0)</f>
        <v>0</v>
      </c>
      <c r="M22" s="53">
        <f>IFERROR(__xludf.DUMMYFUNCTION("iferror(MAX(query(filter('Data Recording'!I:I,'Data Recording'!D:D=B22), ""Select Col1"")),""-"")"),0.0)</f>
        <v>0</v>
      </c>
      <c r="N22" s="58">
        <f>IFERROR(__xludf.DUMMYFUNCTION("iferror(SUM(query(filter('Data Recording'!J:J,'Data Recording'!D:D=B22), ""Select Col1"")),""-"")"),0.0)</f>
        <v>0</v>
      </c>
      <c r="O22" s="59">
        <f>IFERROR(__xludf.DUMMYFUNCTION("iferror(SUM(query(filter('Data Recording'!K:K,'Data Recording'!D:D=B22), ""Select Col1"")),""-"")"),0.0)</f>
        <v>0</v>
      </c>
      <c r="P22" s="54" t="str">
        <f t="shared" si="3"/>
        <v>-</v>
      </c>
      <c r="Q22" s="55">
        <f>IFERROR(__xludf.DUMMYFUNCTION("iferror(AVERAGE(query(filter('Data Recording'!K:K,'Data Recording'!D:D=B22), ""Select Col1"")),""0.00"")"),0.0)</f>
        <v>0</v>
      </c>
      <c r="R22" s="53">
        <f>IFERROR(__xludf.DUMMYFUNCTION("iferror(MAX(query(filter('Data Recording'!K:K,'Data Recording'!D:D=B22), ""Select Col1"")),""-"")"),0.0)</f>
        <v>0</v>
      </c>
      <c r="S22" s="58">
        <f>IFERROR(__xludf.DUMMYFUNCTION("iferror(SUM(query(filter('Data Recording'!L:L,'Data Recording'!D:D=B22), ""Select Col1"")),""-"")"),0.0)</f>
        <v>0</v>
      </c>
      <c r="T22" s="59">
        <f>IFERROR(__xludf.DUMMYFUNCTION("iferror(SUM(query(filter('Data Recording'!M:M,'Data Recording'!D:D=B22), ""Select Col1"")),""-"")"),0.0)</f>
        <v>0</v>
      </c>
      <c r="U22" s="54" t="str">
        <f t="shared" si="4"/>
        <v>-</v>
      </c>
      <c r="V22" s="55">
        <f>IFERROR(__xludf.DUMMYFUNCTION("iferror(AVERAGE(query(filter('Data Recording'!M:M,'Data Recording'!D:D=B22), ""Select Col1"")),""-"")"),0.0)</f>
        <v>0</v>
      </c>
      <c r="W22" s="52">
        <f>IFERROR(__xludf.DUMMYFUNCTION("iferror(MAX(query(filter('Data Recording'!M:M,'Data Recording'!D:D=B22), ""Select Col1"")),""-"")"),0.0)</f>
        <v>0</v>
      </c>
      <c r="X22" s="59">
        <f>IFERROR(__xludf.DUMMYFUNCTION("iferror(SUM(query(filter('Data Recording'!N:N,'Data Recording'!D:D=B22), ""Select Col1"")),""-"")"),0.0)</f>
        <v>0</v>
      </c>
      <c r="Y22" s="59">
        <f>IFERROR(__xludf.DUMMYFUNCTION("iferror(SUM(query(filter('Data Recording'!O:O,'Data Recording'!D:D=B22), ""Select Col1"")),""-"")"),0.0)</f>
        <v>0</v>
      </c>
      <c r="Z22" s="54" t="str">
        <f t="shared" si="5"/>
        <v>-</v>
      </c>
      <c r="AA22" s="55">
        <f>IFERROR(__xludf.DUMMYFUNCTION("iferror(AVERAGE(query(filter('Data Recording'!O:O,'Data Recording'!D:D=B22), ""Select Col1"")),""0.00"")"),0.0)</f>
        <v>0</v>
      </c>
      <c r="AB22" s="52">
        <f>IFERROR(__xludf.DUMMYFUNCTION("iferror(MAX(query(filter('Data Recording'!O:O,'Data Recording'!D:D=B22), ""Select Col1"")),""-"")"),0.0)</f>
        <v>0</v>
      </c>
      <c r="AC22" s="59">
        <f>IFERROR(__xludf.DUMMYFUNCTION("iferror(SUM(query(filter('Data Recording'!P:P,'Data Recording'!D:D=B22), ""Select Col1"")),""-"")"),0.0)</f>
        <v>0</v>
      </c>
      <c r="AD22" s="59">
        <f>IFERROR(__xludf.DUMMYFUNCTION("iferror(SUM(query(filter('Data Recording'!Q:Q,'Data Recording'!D:D=B22), ""Select Col1"")),""-"")"),0.0)</f>
        <v>0</v>
      </c>
      <c r="AE22" s="54" t="str">
        <f t="shared" si="6"/>
        <v>-</v>
      </c>
      <c r="AF22" s="55">
        <f>IFERROR(__xludf.DUMMYFUNCTION("iferror(AVERAGE(query(filter('Data Recording'!Q:Q,'Data Recording'!D:D=B22), ""Select Col1"")),""0.00"")"),0.0)</f>
        <v>0</v>
      </c>
      <c r="AG22" s="59">
        <f>IFERROR(__xludf.DUMMYFUNCTION("iferror(MAX(query(filter('Data Recording'!Q:Q,'Data Recording'!D:D=B22), ""Select Col1"")),""-"")"),0.0)</f>
        <v>0</v>
      </c>
      <c r="AH22" s="58" t="str">
        <f>IFERROR(__xludf.DUMMYFUNCTION("if(countif(query(filter('Data Recording'!R:R,'Data Recording'!D:D=B22), ""Select Col1""),""Yes, Engaged"")+countif(query(filter('Data Recording'!R:R,'Data Recording'!D:D=B22), ""Select Col1""),""Yes, Docked"")=0,""0"",countif(query(filter('Data Recording'"&amp;"!R:R,'Data Recording'!D:D=B22), ""Select Col1""),""Yes, Engaged""))+countif(query(filter('Data Recording'!R:R,'Data Recording'!D:D=B22), ""Select Col1""),""Yes, Docked"") &amp; ""/"" &amp; if(COUNTA(query(ifna(filter('Data Recording'!R:R,'Data Recording'!D:D=B22)"&amp;",""""), ""Select Col1""))=0,""0"",COUNTA(query(ifna(filter('Data Recording'!R:R,'Data Recording'!D:D=B22),""""), ""Select Col1"")))"),"0/5")</f>
        <v>0/5</v>
      </c>
      <c r="AI22" s="60" t="str">
        <f>IFERROR(__xludf.DUMMYFUNCTION("if(countif(query(filter('Data Recording'!R:R,'Data Recording'!D:D=B22), ""Select Col1""),""Yes, Engaged"")=0,""0"",countif(query(filter('Data Recording'!R:R,'Data Recording'!D:D=B22), ""Select Col1""),""Yes, Engaged"")) &amp; ""/"" &amp; if(COUNTA(query(ifna(filt"&amp;"er('Data Recording'!R:R,'Data Recording'!D:D=B22),""""), ""Select Col1""))=0,""0"",COUNTA(query(ifna(filter('Data Recording'!R:R,'Data Recording'!D:D=B22),""""), ""Select Col1"")))"),"0/5")</f>
        <v>0/5</v>
      </c>
      <c r="AJ22" s="59">
        <f>IFERROR(__xludf.DUMMYFUNCTION("iferror(SUM(query(filter('Data Recording'!S:S,'Data Recording'!D:D=B22), ""Select Col1"")),""-"")"),0.0)</f>
        <v>0</v>
      </c>
      <c r="AK22" s="59">
        <f>IFERROR(__xludf.DUMMYFUNCTION("iferror(SUM(query(filter('Data Recording'!T:T,'Data Recording'!D:D=B22), ""Select Col1"")),""-"")"),0.0)</f>
        <v>0</v>
      </c>
      <c r="AL22" s="54" t="str">
        <f t="shared" si="7"/>
        <v>-</v>
      </c>
      <c r="AM22" s="55">
        <f>IFERROR(__xludf.DUMMYFUNCTION("iferror(AVERAGE(query(filter('Data Recording'!T:T,'Data Recording'!D:D=B22), ""Select Col1"")),""0.00"")"),0.0)</f>
        <v>0</v>
      </c>
      <c r="AN22" s="61">
        <f>IFERROR(__xludf.DUMMYFUNCTION("iferror(MAX(query(filter('Data Recording'!T:T,'Data Recording'!D:D=B22), ""Select Col1"")),""-"")"),0.0)</f>
        <v>0</v>
      </c>
      <c r="AO22" s="62">
        <f>IFERROR(__xludf.DUMMYFUNCTION("iferror(SUM(query(filter('Data Recording'!U:U,'Data Recording'!D:D=B22), ""Select Col1"")),""-"")"),0.0)</f>
        <v>0</v>
      </c>
      <c r="AP22" s="62">
        <f>IFERROR(__xludf.DUMMYFUNCTION("iferror(SUM(query(filter('Data Recording'!V:V,'Data Recording'!D:D=B22), ""Select Col1"")),""-"")"),0.0)</f>
        <v>0</v>
      </c>
      <c r="AQ22" s="63" t="str">
        <f t="shared" si="8"/>
        <v>-</v>
      </c>
      <c r="AR22" s="64">
        <f>IFERROR(__xludf.DUMMYFUNCTION("iferror(AVERAGE(query(filter('Data Recording'!V:V,'Data Recording'!D:D=B22), ""Select Col1"")),""0.00"")"),0.0)</f>
        <v>0</v>
      </c>
      <c r="AS22" s="65">
        <f>IFERROR(__xludf.DUMMYFUNCTION("iferror(MAX(query(filter('Data Recording'!V:V,'Data Recording'!D:D=B22), ""Select Col1"")),""-"")"),0.0)</f>
        <v>0</v>
      </c>
      <c r="AT22" s="62">
        <f>IFERROR(__xludf.DUMMYFUNCTION("iferror(SUM(query(filter('Data Recording'!W:W,'Data Recording'!D:D=B22), ""Select Col1"")),""-"")"),0.0)</f>
        <v>0</v>
      </c>
      <c r="AU22" s="62">
        <f>IFERROR(__xludf.DUMMYFUNCTION("iferror(SUM(query(filter('Data Recording'!X:X,'Data Recording'!D:D=B22), ""Select Col1"")),""-"")"),0.0)</f>
        <v>0</v>
      </c>
      <c r="AV22" s="63" t="str">
        <f t="shared" si="9"/>
        <v>-</v>
      </c>
      <c r="AW22" s="64">
        <f>IFERROR(__xludf.DUMMYFUNCTION("iferror(AVERAGE(query(filter('Data Recording'!X:X,'Data Recording'!D:D=B22), ""Select Col1"")),""0.00"")"),0.0)</f>
        <v>0</v>
      </c>
      <c r="AX22" s="65">
        <f>IFERROR(__xludf.DUMMYFUNCTION("iferror(MAX(query(filter('Data Recording'!X:X,'Data Recording'!D:D=B22), ""Select Col1"")),""-"")"),0.0)</f>
        <v>0</v>
      </c>
      <c r="AY22" s="62">
        <f>IFERROR(__xludf.DUMMYFUNCTION("iferror(SUM(query(filter('Data Recording'!Y:Y,'Data Recording'!D:D=B22), ""Select Col1"")),""-"")"),8.0)</f>
        <v>8</v>
      </c>
      <c r="AZ22" s="62">
        <f>IFERROR(__xludf.DUMMYFUNCTION("iferror(SUM(query(filter('Data Recording'!Z:Z,'Data Recording'!D:D=B22), ""Select Col1"")),""-"")"),8.0)</f>
        <v>8</v>
      </c>
      <c r="BA22" s="63">
        <f t="shared" si="10"/>
        <v>1</v>
      </c>
      <c r="BB22" s="64">
        <f>IFERROR(__xludf.DUMMYFUNCTION("iferror(AVERAGE(query(filter('Data Recording'!Z:Z,'Data Recording'!D:D=B22), ""Select Col1"")),""0.00"")"),1.6)</f>
        <v>1.6</v>
      </c>
      <c r="BC22" s="65">
        <f>IFERROR(__xludf.DUMMYFUNCTION("iferror(MAX(query(filter('Data Recording'!Z:Z,'Data Recording'!D:D=B22), ""Select Col1"")),""-"")"),2.0)</f>
        <v>2</v>
      </c>
      <c r="BD22" s="62">
        <f>IFERROR(__xludf.DUMMYFUNCTION("iferror(SUM(query(filter('Data Recording'!AA:AA,'Data Recording'!D:D=B22), ""Select Col1"")),""-"")"),2.0)</f>
        <v>2</v>
      </c>
      <c r="BE22" s="62">
        <f>IFERROR(__xludf.DUMMYFUNCTION("iferror(SUM(query(filter('Data Recording'!AB:AB,'Data Recording'!D:D=B22), ""Select Col1"")),""-"")"),1.0)</f>
        <v>1</v>
      </c>
      <c r="BF22" s="63">
        <f t="shared" si="11"/>
        <v>0.5</v>
      </c>
      <c r="BG22" s="64">
        <f>IFERROR(__xludf.DUMMYFUNCTION("iferror(AVERAGE(query(filter('Data Recording'!AB:AB,'Data Recording'!D:D=B22), ""Select Col1"")),""0.00"")"),0.3333333333333333)</f>
        <v>0.3333333333</v>
      </c>
      <c r="BH22" s="65">
        <f>IFERROR(__xludf.DUMMYFUNCTION("iferror(MAX(query(filter('Data Recording'!AB:AB,'Data Recording'!D:D=B22), ""Select Col1"")),""-"")"),1.0)</f>
        <v>1</v>
      </c>
      <c r="BI22" s="62">
        <f>IFERROR(__xludf.DUMMYFUNCTION("iferror(SUM(query(filter('Data Recording'!AC:AC,'Data Recording'!D:D=B22), ""Select Col1"")),""-"")"),1.0)</f>
        <v>1</v>
      </c>
      <c r="BJ22" s="62">
        <f>IFERROR(__xludf.DUMMYFUNCTION("iferror(SUM(query(filter('Data Recording'!AD:AD,'Data Recording'!D:D=B22), ""Select Col1"")),""-"")"),1.0)</f>
        <v>1</v>
      </c>
      <c r="BK22" s="63">
        <f t="shared" si="12"/>
        <v>1</v>
      </c>
      <c r="BL22" s="64">
        <f>IFERROR(__xludf.DUMMYFUNCTION("iferror(AVERAGE(query(filter('Data Recording'!AD:AD,'Data Recording'!D:D=B22), ""Select Col1"")),""0.00"")"),0.5)</f>
        <v>0.5</v>
      </c>
      <c r="BM22" s="65">
        <f>IFERROR(__xludf.DUMMYFUNCTION("iferror(MAX(query(filter('Data Recording'!AD:AD,'Data Recording'!D:D=B22), ""Select Col1"")),""-"")"),1.0)</f>
        <v>1</v>
      </c>
      <c r="BN22" s="66" t="str">
        <f>IFERROR(__xludf.DUMMYFUNCTION("if(countif(query(filter('Data Recording'!AE:AE,'Data Recording'!D:D=B22), ""Select Col1""),""Yes, Engaged"")+countif(query(filter('Data Recording'!AE:AE,'Data Recording'!D:D=B22), ""Select Col1""),""Yes, Docked"")=0,""0"",countif(query(filter('Data Record"&amp;"ing'!AE:AE,'Data Recording'!D:D=B22), ""Select Col1""),""Yes, Engaged""))+countif(query(filter('Data Recording'!AE:AE,'Data Recording'!D:D=B22), ""Select Col1""),""Yes, Docked"") &amp; ""/"" &amp; if(COUNTA(query(ifna(filter('Data Recording'!AE:AE,'Data Recording"&amp;"'!D:D=B22),""""), ""Select Col1""))=0,""0"",COUNTA(query(ifna(filter('Data Recording'!AE:AE,'Data Recording'!D:D=B22),""""), ""Select Col1"")))"),"4/5")</f>
        <v>4/5</v>
      </c>
      <c r="BO22" s="67" t="str">
        <f>IFERROR(__xludf.DUMMYFUNCTION("if(countif(query(filter('Data Recording'!AE:AE,'Data Recording'!D:D=B22), ""Select Col1""),""Yes, Engaged"")=0,""0"",countif(query(filter('Data Recording'!AE:AE,'Data Recording'!D:D=B22), ""Select Col1""),""Yes, Engaged"")) &amp; ""/"" &amp; if(COUNTA(query(ifna("&amp;"filter('Data Recording'!AE:AE,'Data Recording'!D:D=B22),""""), ""Select Col1""))=0,""0"",COUNTA(query(ifna(filter('Data Recording'!AE:AE,'Data Recording'!D:D=B22),""""), ""Select Col1"")))"),"4/5")</f>
        <v>4/5</v>
      </c>
      <c r="BP22" s="60" t="str">
        <f>IFERROR(__xludf.DUMMYFUNCTION("if(countif(query(filter('Data Recording'!AH:AH,'Data Recording'!D:D=B22), ""Select Col1""),""Yes"")=0,""0"",countif(query(filter('Data Recording'!AH:AH,'Data Recording'!D:D=B22), ""Select Col1""),""Yes"")) &amp; ""/"" &amp; if(COUNTA(query(ifna(filter('Data Recor"&amp;"ding'!AH:AH,'Data Recording'!D:D=B22),""""), ""Select Col1""))=0,""0"",COUNTA(query(ifna(filter('Data Recording'!AH:AH,'Data Recording'!D:D=B22),""""), ""Select Col1"")))"),"0/5")</f>
        <v>0/5</v>
      </c>
      <c r="BQ22" s="68">
        <v>0.0</v>
      </c>
      <c r="BR22" s="55">
        <f>IFERROR(__xludf.DUMMYFUNCTION("iferror(average(query(filter('Data Recording'!AF:AF,'Data Recording'!D:D=B22), ""Select Col1"")),""-"")"),0.8)</f>
        <v>0.8</v>
      </c>
      <c r="BS22" s="69">
        <f>IFERROR(__xludf.DUMMYFUNCTION("iferror(average(query(filter('Data Recording'!AG:AG,'Data Recording'!D:D=B22), ""Select Col1"")),""-"")"),0.0)</f>
        <v>0</v>
      </c>
      <c r="BT22" s="70">
        <f t="shared" si="13"/>
        <v>20</v>
      </c>
      <c r="BU22" s="70">
        <f>IFERROR(__xludf.DUMMYFUNCTION("iferror(AVERAGE(query(filter('Data Recording'!AJ:AJ,'Data Recording'!D:D=B22), ""Select Col1"")),""-"")"),18.8)</f>
        <v>18.8</v>
      </c>
      <c r="BV22" s="70">
        <f>IFERROR(__xludf.DUMMYFUNCTION("iferror(AVERAGE(query(filter('Data Recording'!AK:AK,'Data Recording'!D:D=B22), ""Select Col1"")),""-"")"),9.0)</f>
        <v>9</v>
      </c>
      <c r="BW22" s="70">
        <f t="shared" si="14"/>
        <v>10</v>
      </c>
      <c r="BX22" s="71">
        <f>IFERROR(__xludf.DUMMYFUNCTION("iferror(max(query(filter('Data Recording'!AJ:AJ,'Data Recording'!D:D=B22), ""Select Col1"")),""-"")"),23.0)</f>
        <v>23</v>
      </c>
      <c r="BY22" s="72">
        <f>IFERROR(__xludf.DUMMYFUNCTION("iferror(MIN(query(filter('Data Recording'!AJ:AJ,'Data Recording'!D:D=B22), ""Select Col1"")),""-"")"),13.0)</f>
        <v>13</v>
      </c>
      <c r="BZ22" s="73" t="str">
        <f>IFERROR(__xludf.DUMMYFUNCTION("iferror(if(DIVIDE(COUNTIF(query(filter('Data Recording'!R:R,'Data Recording'!D:D=B22), ""Select Col1""),""Yes, Docked"") + countif(query(filter('Data Recording'!R:R,'Data Recording'!D:D=B22), ""Select Col1""),""Yes, Engaged""),COUNTA(query(ifna(filter('Da"&amp;"ta Recording'!R:R,'Data Recording'!D:D=B22),""""), ""Select Col1"")))&gt;=(0.5),""1"",""0""),""-"")"),"0")</f>
        <v>0</v>
      </c>
      <c r="CA22" s="59" t="str">
        <f>IFERROR(__xludf.DUMMYFUNCTION("iferror(if(countif(query(filter('Data Recording'!R:R,'Data Recording'!D:D=B22), ""Select Col1""),""Yes, Engaged"")/COUNTA(query(ifna(filter('Data Recording'!R:R,'Data Recording'!D:D=B22),""""), ""Select Col1""))&gt;=(0.5),""1"",""0""),""-"")"),"0")</f>
        <v>0</v>
      </c>
      <c r="CB22" s="74" t="str">
        <f>IFERROR(__xludf.DUMMYFUNCTION("iferror(if(DIVIDE(COUNTIF(query(filter('Data Recording'!AE:AE,'Data Recording'!D:D=B22), ""Select Col1""),""Yes, Docked"") + countif(query(filter('Data Recording'!AE:AE,'Data Recording'!D:D=B22), ""Select Col1""),""Yes, Engaged""),COUNTA(query(ifna(filter"&amp;"('Data Recording'!AE:AE,'Data Recording'!D:D=B22),""""), ""Select Col1"")))&gt;=(0.5),""1"",""0""),""-"")"),"1")</f>
        <v>1</v>
      </c>
      <c r="CC22" s="59" t="str">
        <f>IFERROR(__xludf.DUMMYFUNCTION("iferror(if(countif(query(filter('Data Recording'!AE:AE,'Data Recording'!D:D=B22), ""Select Col1""),""Yes, Engaged"")/COUNTA(query(ifna(filter('Data Recording'!AE:AE,'Data Recording'!D:D=B22),""""), ""Select Col1""))&gt;=(0.5),""1"",""0""),""-"")"),"1")</f>
        <v>1</v>
      </c>
      <c r="CD22" s="74" t="str">
        <f>IFERROR(__xludf.DUMMYFUNCTION("iferror(if(DIVIDE(countif(query(filter('Data Recording'!E:E,'Data Recording'!D:D=B22), ""Select Col1""),""Yes""),COUNTA(query(ifna(filter('Data Recording'!E:E,'Data Recording'!D:D=B22),""""), ""Select Col1"")))&gt;=(0.5),""1"",""0""),""-"")"),"0")</f>
        <v>0</v>
      </c>
    </row>
    <row r="23">
      <c r="A23" s="51" t="s">
        <v>56</v>
      </c>
      <c r="B23" s="51">
        <v>6101.0</v>
      </c>
      <c r="C23" s="52" t="str">
        <f>IFERROR(__xludf.DUMMYFUNCTION("if(countif(query(filter('Data Recording'!E:E,'Data Recording'!D:D=B23), ""Select Col1""),""Yes"")=0,""0"",countif(query(filter('Data Recording'!E:E,'Data Recording'!D:D=B23), ""Select Col1""),""Yes"")) &amp; ""/"" &amp; if(COUNTA(query(ifna(filter('Data Recording"&amp;"'!E:E,'Data Recording'!D:D=B23),""""), ""Select Col1""))=0,""0"",COUNTA(query(ifna(filter('Data Recording'!E:E,'Data Recording'!D:D=B23),""""), ""Select Col1"")))"),"4/4")</f>
        <v>4/4</v>
      </c>
      <c r="D23" s="53">
        <f>IFERROR(__xludf.DUMMYFUNCTION("iferror(SUM(query(filter('Data Recording'!F:F,'Data Recording'!D:D=B23), ""Select Col1"")),""-"")"),0.0)</f>
        <v>0</v>
      </c>
      <c r="E23" s="53">
        <f>IFERROR(__xludf.DUMMYFUNCTION("iferror(SUM(query(filter('Data Recording'!G:G,'Data Recording'!D:D=B23), ""Select Col1"")),""-"")"),0.0)</f>
        <v>0</v>
      </c>
      <c r="F23" s="54" t="str">
        <f t="shared" si="1"/>
        <v>-</v>
      </c>
      <c r="G23" s="55" t="str">
        <f>IFERROR(__xludf.DUMMYFUNCTION("iferror(AVERAGE(query(filter('Data Recording'!G:G,'Data Recording'!D:D=B23), ""Select Col1"")),""0.00"")"),"0.00")</f>
        <v>0.00</v>
      </c>
      <c r="H23" s="53">
        <f>IFERROR(__xludf.DUMMYFUNCTION("iferror(MAX(query(filter('Data Recording'!G:G,'Data Recording'!D:D=B23), ""Select Col1"")),""-"")"),0.0)</f>
        <v>0</v>
      </c>
      <c r="I23" s="56">
        <f>IFERROR(__xludf.DUMMYFUNCTION("iferror(SUM(query(filter('Data Recording'!H:H,'Data Recording'!D:D=B23), ""Select Col1"")),""-"")"),0.0)</f>
        <v>0</v>
      </c>
      <c r="J23" s="57">
        <f>IFERROR(__xludf.DUMMYFUNCTION("iferror(SUM(query(filter('Data Recording'!I:I,'Data Recording'!D:D=B23), ""Select Col1"")),""-"")"),0.0)</f>
        <v>0</v>
      </c>
      <c r="K23" s="54" t="str">
        <f t="shared" si="2"/>
        <v>-</v>
      </c>
      <c r="L23" s="55" t="str">
        <f>IFERROR(__xludf.DUMMYFUNCTION("iferror(AVERAGE(query(filter('Data Recording'!I:I,'Data Recording'!D:D=B23), ""Select Col1"")),""0.00"")"),"0.00")</f>
        <v>0.00</v>
      </c>
      <c r="M23" s="53">
        <f>IFERROR(__xludf.DUMMYFUNCTION("iferror(MAX(query(filter('Data Recording'!I:I,'Data Recording'!D:D=B23), ""Select Col1"")),""-"")"),0.0)</f>
        <v>0</v>
      </c>
      <c r="N23" s="58">
        <f>IFERROR(__xludf.DUMMYFUNCTION("iferror(SUM(query(filter('Data Recording'!J:J,'Data Recording'!D:D=B23), ""Select Col1"")),""-"")"),0.0)</f>
        <v>0</v>
      </c>
      <c r="O23" s="59">
        <f>IFERROR(__xludf.DUMMYFUNCTION("iferror(SUM(query(filter('Data Recording'!K:K,'Data Recording'!D:D=B23), ""Select Col1"")),""-"")"),0.0)</f>
        <v>0</v>
      </c>
      <c r="P23" s="54" t="str">
        <f t="shared" si="3"/>
        <v>-</v>
      </c>
      <c r="Q23" s="55" t="str">
        <f>IFERROR(__xludf.DUMMYFUNCTION("iferror(AVERAGE(query(filter('Data Recording'!K:K,'Data Recording'!D:D=B23), ""Select Col1"")),""0.00"")"),"0.00")</f>
        <v>0.00</v>
      </c>
      <c r="R23" s="53">
        <f>IFERROR(__xludf.DUMMYFUNCTION("iferror(MAX(query(filter('Data Recording'!K:K,'Data Recording'!D:D=B23), ""Select Col1"")),""-"")"),0.0)</f>
        <v>0</v>
      </c>
      <c r="S23" s="58">
        <f>IFERROR(__xludf.DUMMYFUNCTION("iferror(SUM(query(filter('Data Recording'!L:L,'Data Recording'!D:D=B23), ""Select Col1"")),""-"")"),4.0)</f>
        <v>4</v>
      </c>
      <c r="T23" s="59">
        <f>IFERROR(__xludf.DUMMYFUNCTION("iferror(SUM(query(filter('Data Recording'!M:M,'Data Recording'!D:D=B23), ""Select Col1"")),""-"")"),3.0)</f>
        <v>3</v>
      </c>
      <c r="U23" s="54">
        <f t="shared" si="4"/>
        <v>0.75</v>
      </c>
      <c r="V23" s="55">
        <f>IFERROR(__xludf.DUMMYFUNCTION("iferror(AVERAGE(query(filter('Data Recording'!M:M,'Data Recording'!D:D=B23), ""Select Col1"")),""-"")"),0.75)</f>
        <v>0.75</v>
      </c>
      <c r="W23" s="52">
        <f>IFERROR(__xludf.DUMMYFUNCTION("iferror(MAX(query(filter('Data Recording'!M:M,'Data Recording'!D:D=B23), ""Select Col1"")),""-"")"),1.0)</f>
        <v>1</v>
      </c>
      <c r="X23" s="59">
        <f>IFERROR(__xludf.DUMMYFUNCTION("iferror(SUM(query(filter('Data Recording'!N:N,'Data Recording'!D:D=B23), ""Select Col1"")),""-"")"),0.0)</f>
        <v>0</v>
      </c>
      <c r="Y23" s="59">
        <f>IFERROR(__xludf.DUMMYFUNCTION("iferror(SUM(query(filter('Data Recording'!O:O,'Data Recording'!D:D=B23), ""Select Col1"")),""-"")"),1.0)</f>
        <v>1</v>
      </c>
      <c r="Z23" s="54" t="str">
        <f t="shared" si="5"/>
        <v>-</v>
      </c>
      <c r="AA23" s="55">
        <f>IFERROR(__xludf.DUMMYFUNCTION("iferror(AVERAGE(query(filter('Data Recording'!O:O,'Data Recording'!D:D=B23), ""Select Col1"")),""0.00"")"),1.0)</f>
        <v>1</v>
      </c>
      <c r="AB23" s="52">
        <f>IFERROR(__xludf.DUMMYFUNCTION("iferror(MAX(query(filter('Data Recording'!O:O,'Data Recording'!D:D=B23), ""Select Col1"")),""-"")"),1.0)</f>
        <v>1</v>
      </c>
      <c r="AC23" s="59">
        <f>IFERROR(__xludf.DUMMYFUNCTION("iferror(SUM(query(filter('Data Recording'!P:P,'Data Recording'!D:D=B23), ""Select Col1"")),""-"")"),0.0)</f>
        <v>0</v>
      </c>
      <c r="AD23" s="59">
        <f>IFERROR(__xludf.DUMMYFUNCTION("iferror(SUM(query(filter('Data Recording'!Q:Q,'Data Recording'!D:D=B23), ""Select Col1"")),""-"")"),0.0)</f>
        <v>0</v>
      </c>
      <c r="AE23" s="54" t="str">
        <f t="shared" si="6"/>
        <v>-</v>
      </c>
      <c r="AF23" s="55" t="str">
        <f>IFERROR(__xludf.DUMMYFUNCTION("iferror(AVERAGE(query(filter('Data Recording'!Q:Q,'Data Recording'!D:D=B23), ""Select Col1"")),""0.00"")"),"0.00")</f>
        <v>0.00</v>
      </c>
      <c r="AG23" s="59">
        <f>IFERROR(__xludf.DUMMYFUNCTION("iferror(MAX(query(filter('Data Recording'!Q:Q,'Data Recording'!D:D=B23), ""Select Col1"")),""-"")"),0.0)</f>
        <v>0</v>
      </c>
      <c r="AH23" s="58" t="str">
        <f>IFERROR(__xludf.DUMMYFUNCTION("if(countif(query(filter('Data Recording'!R:R,'Data Recording'!D:D=B23), ""Select Col1""),""Yes, Engaged"")+countif(query(filter('Data Recording'!R:R,'Data Recording'!D:D=B23), ""Select Col1""),""Yes, Docked"")=0,""0"",countif(query(filter('Data Recording'"&amp;"!R:R,'Data Recording'!D:D=B23), ""Select Col1""),""Yes, Engaged""))+countif(query(filter('Data Recording'!R:R,'Data Recording'!D:D=B23), ""Select Col1""),""Yes, Docked"") &amp; ""/"" &amp; if(COUNTA(query(ifna(filter('Data Recording'!R:R,'Data Recording'!D:D=B23)"&amp;",""""), ""Select Col1""))=0,""0"",COUNTA(query(ifna(filter('Data Recording'!R:R,'Data Recording'!D:D=B23),""""), ""Select Col1"")))"),"0/4")</f>
        <v>0/4</v>
      </c>
      <c r="AI23" s="60" t="str">
        <f>IFERROR(__xludf.DUMMYFUNCTION("if(countif(query(filter('Data Recording'!R:R,'Data Recording'!D:D=B23), ""Select Col1""),""Yes, Engaged"")=0,""0"",countif(query(filter('Data Recording'!R:R,'Data Recording'!D:D=B23), ""Select Col1""),""Yes, Engaged"")) &amp; ""/"" &amp; if(COUNTA(query(ifna(filt"&amp;"er('Data Recording'!R:R,'Data Recording'!D:D=B23),""""), ""Select Col1""))=0,""0"",COUNTA(query(ifna(filter('Data Recording'!R:R,'Data Recording'!D:D=B23),""""), ""Select Col1"")))"),"0/4")</f>
        <v>0/4</v>
      </c>
      <c r="AJ23" s="59">
        <f>IFERROR(__xludf.DUMMYFUNCTION("iferror(SUM(query(filter('Data Recording'!S:S,'Data Recording'!D:D=B23), ""Select Col1"")),""-"")"),0.0)</f>
        <v>0</v>
      </c>
      <c r="AK23" s="59">
        <f>IFERROR(__xludf.DUMMYFUNCTION("iferror(SUM(query(filter('Data Recording'!T:T,'Data Recording'!D:D=B23), ""Select Col1"")),""-"")"),0.0)</f>
        <v>0</v>
      </c>
      <c r="AL23" s="54" t="str">
        <f t="shared" si="7"/>
        <v>-</v>
      </c>
      <c r="AM23" s="55" t="str">
        <f>IFERROR(__xludf.DUMMYFUNCTION("iferror(AVERAGE(query(filter('Data Recording'!T:T,'Data Recording'!D:D=B23), ""Select Col1"")),""0.00"")"),"0.00")</f>
        <v>0.00</v>
      </c>
      <c r="AN23" s="61">
        <f>IFERROR(__xludf.DUMMYFUNCTION("iferror(MAX(query(filter('Data Recording'!T:T,'Data Recording'!D:D=B23), ""Select Col1"")),""-"")"),0.0)</f>
        <v>0</v>
      </c>
      <c r="AO23" s="62">
        <f>IFERROR(__xludf.DUMMYFUNCTION("iferror(SUM(query(filter('Data Recording'!U:U,'Data Recording'!D:D=B23), ""Select Col1"")),""-"")"),0.0)</f>
        <v>0</v>
      </c>
      <c r="AP23" s="62">
        <f>IFERROR(__xludf.DUMMYFUNCTION("iferror(SUM(query(filter('Data Recording'!V:V,'Data Recording'!D:D=B23), ""Select Col1"")),""-"")"),0.0)</f>
        <v>0</v>
      </c>
      <c r="AQ23" s="63" t="str">
        <f t="shared" si="8"/>
        <v>-</v>
      </c>
      <c r="AR23" s="64" t="str">
        <f>IFERROR(__xludf.DUMMYFUNCTION("iferror(AVERAGE(query(filter('Data Recording'!V:V,'Data Recording'!D:D=B23), ""Select Col1"")),""0.00"")"),"0.00")</f>
        <v>0.00</v>
      </c>
      <c r="AS23" s="65">
        <f>IFERROR(__xludf.DUMMYFUNCTION("iferror(MAX(query(filter('Data Recording'!V:V,'Data Recording'!D:D=B23), ""Select Col1"")),""-"")"),0.0)</f>
        <v>0</v>
      </c>
      <c r="AT23" s="62">
        <f>IFERROR(__xludf.DUMMYFUNCTION("iferror(SUM(query(filter('Data Recording'!W:W,'Data Recording'!D:D=B23), ""Select Col1"")),""-"")"),0.0)</f>
        <v>0</v>
      </c>
      <c r="AU23" s="62">
        <f>IFERROR(__xludf.DUMMYFUNCTION("iferror(SUM(query(filter('Data Recording'!X:X,'Data Recording'!D:D=B23), ""Select Col1"")),""-"")"),0.0)</f>
        <v>0</v>
      </c>
      <c r="AV23" s="63" t="str">
        <f t="shared" si="9"/>
        <v>-</v>
      </c>
      <c r="AW23" s="64" t="str">
        <f>IFERROR(__xludf.DUMMYFUNCTION("iferror(AVERAGE(query(filter('Data Recording'!X:X,'Data Recording'!D:D=B23), ""Select Col1"")),""0.00"")"),"0.00")</f>
        <v>0.00</v>
      </c>
      <c r="AX23" s="65">
        <f>IFERROR(__xludf.DUMMYFUNCTION("iferror(MAX(query(filter('Data Recording'!X:X,'Data Recording'!D:D=B23), ""Select Col1"")),""-"")"),0.0)</f>
        <v>0</v>
      </c>
      <c r="AY23" s="62">
        <f>IFERROR(__xludf.DUMMYFUNCTION("iferror(SUM(query(filter('Data Recording'!Y:Y,'Data Recording'!D:D=B23), ""Select Col1"")),""-"")"),3.0)</f>
        <v>3</v>
      </c>
      <c r="AZ23" s="62">
        <f>IFERROR(__xludf.DUMMYFUNCTION("iferror(SUM(query(filter('Data Recording'!Z:Z,'Data Recording'!D:D=B23), ""Select Col1"")),""-"")"),3.0)</f>
        <v>3</v>
      </c>
      <c r="BA23" s="63">
        <f t="shared" si="10"/>
        <v>1</v>
      </c>
      <c r="BB23" s="64">
        <f>IFERROR(__xludf.DUMMYFUNCTION("iferror(AVERAGE(query(filter('Data Recording'!Z:Z,'Data Recording'!D:D=B23), ""Select Col1"")),""0.00"")"),3.0)</f>
        <v>3</v>
      </c>
      <c r="BC23" s="65">
        <f>IFERROR(__xludf.DUMMYFUNCTION("iferror(MAX(query(filter('Data Recording'!Z:Z,'Data Recording'!D:D=B23), ""Select Col1"")),""-"")"),3.0)</f>
        <v>3</v>
      </c>
      <c r="BD23" s="62">
        <f>IFERROR(__xludf.DUMMYFUNCTION("iferror(SUM(query(filter('Data Recording'!AA:AA,'Data Recording'!D:D=B23), ""Select Col1"")),""-"")"),0.0)</f>
        <v>0</v>
      </c>
      <c r="BE23" s="62">
        <f>IFERROR(__xludf.DUMMYFUNCTION("iferror(SUM(query(filter('Data Recording'!AB:AB,'Data Recording'!D:D=B23), ""Select Col1"")),""-"")"),0.0)</f>
        <v>0</v>
      </c>
      <c r="BF23" s="63" t="str">
        <f t="shared" si="11"/>
        <v>-</v>
      </c>
      <c r="BG23" s="64" t="str">
        <f>IFERROR(__xludf.DUMMYFUNCTION("iferror(AVERAGE(query(filter('Data Recording'!AB:AB,'Data Recording'!D:D=B23), ""Select Col1"")),""0.00"")"),"0.00")</f>
        <v>0.00</v>
      </c>
      <c r="BH23" s="65">
        <f>IFERROR(__xludf.DUMMYFUNCTION("iferror(MAX(query(filter('Data Recording'!AB:AB,'Data Recording'!D:D=B23), ""Select Col1"")),""-"")"),0.0)</f>
        <v>0</v>
      </c>
      <c r="BI23" s="62">
        <f>IFERROR(__xludf.DUMMYFUNCTION("iferror(SUM(query(filter('Data Recording'!AC:AC,'Data Recording'!D:D=B23), ""Select Col1"")),""-"")"),3.0)</f>
        <v>3</v>
      </c>
      <c r="BJ23" s="62">
        <f>IFERROR(__xludf.DUMMYFUNCTION("iferror(SUM(query(filter('Data Recording'!AD:AD,'Data Recording'!D:D=B23), ""Select Col1"")),""-"")"),3.0)</f>
        <v>3</v>
      </c>
      <c r="BK23" s="63">
        <f t="shared" si="12"/>
        <v>1</v>
      </c>
      <c r="BL23" s="64">
        <f>IFERROR(__xludf.DUMMYFUNCTION("iferror(AVERAGE(query(filter('Data Recording'!AD:AD,'Data Recording'!D:D=B23), ""Select Col1"")),""0.00"")"),1.0)</f>
        <v>1</v>
      </c>
      <c r="BM23" s="65">
        <f>IFERROR(__xludf.DUMMYFUNCTION("iferror(MAX(query(filter('Data Recording'!AD:AD,'Data Recording'!D:D=B23), ""Select Col1"")),""-"")"),1.0)</f>
        <v>1</v>
      </c>
      <c r="BN23" s="66" t="str">
        <f>IFERROR(__xludf.DUMMYFUNCTION("if(countif(query(filter('Data Recording'!AE:AE,'Data Recording'!D:D=B23), ""Select Col1""),""Yes, Engaged"")+countif(query(filter('Data Recording'!AE:AE,'Data Recording'!D:D=B23), ""Select Col1""),""Yes, Docked"")=0,""0"",countif(query(filter('Data Record"&amp;"ing'!AE:AE,'Data Recording'!D:D=B23), ""Select Col1""),""Yes, Engaged""))+countif(query(filter('Data Recording'!AE:AE,'Data Recording'!D:D=B23), ""Select Col1""),""Yes, Docked"") &amp; ""/"" &amp; if(COUNTA(query(ifna(filter('Data Recording'!AE:AE,'Data Recording"&amp;"'!D:D=B23),""""), ""Select Col1""))=0,""0"",COUNTA(query(ifna(filter('Data Recording'!AE:AE,'Data Recording'!D:D=B23),""""), ""Select Col1"")))"),"1/4")</f>
        <v>1/4</v>
      </c>
      <c r="BO23" s="67" t="str">
        <f>IFERROR(__xludf.DUMMYFUNCTION("if(countif(query(filter('Data Recording'!AE:AE,'Data Recording'!D:D=B23), ""Select Col1""),""Yes, Engaged"")=0,""0"",countif(query(filter('Data Recording'!AE:AE,'Data Recording'!D:D=B23), ""Select Col1""),""Yes, Engaged"")) &amp; ""/"" &amp; if(COUNTA(query(ifna("&amp;"filter('Data Recording'!AE:AE,'Data Recording'!D:D=B23),""""), ""Select Col1""))=0,""0"",COUNTA(query(ifna(filter('Data Recording'!AE:AE,'Data Recording'!D:D=B23),""""), ""Select Col1"")))"),"1/4")</f>
        <v>1/4</v>
      </c>
      <c r="BP23" s="60" t="str">
        <f>IFERROR(__xludf.DUMMYFUNCTION("if(countif(query(filter('Data Recording'!AH:AH,'Data Recording'!D:D=B23), ""Select Col1""),""Yes"")=0,""0"",countif(query(filter('Data Recording'!AH:AH,'Data Recording'!D:D=B23), ""Select Col1""),""Yes"")) &amp; ""/"" &amp; if(COUNTA(query(ifna(filter('Data Recor"&amp;"ding'!AH:AH,'Data Recording'!D:D=B23),""""), ""Select Col1""))=0,""0"",COUNTA(query(ifna(filter('Data Recording'!AH:AH,'Data Recording'!D:D=B23),""""), ""Select Col1"")))"),"1/4")</f>
        <v>1/4</v>
      </c>
      <c r="BQ23" s="68">
        <v>0.25</v>
      </c>
      <c r="BR23" s="55">
        <f>IFERROR(__xludf.DUMMYFUNCTION("iferror(average(query(filter('Data Recording'!AF:AF,'Data Recording'!D:D=B23), ""Select Col1"")),""-"")"),1.75)</f>
        <v>1.75</v>
      </c>
      <c r="BS23" s="69">
        <f>IFERROR(__xludf.DUMMYFUNCTION("iferror(average(query(filter('Data Recording'!AG:AG,'Data Recording'!D:D=B23), ""Select Col1"")),""-"")"),0.25)</f>
        <v>0.25</v>
      </c>
      <c r="BT23" s="70">
        <f t="shared" si="13"/>
        <v>28.5</v>
      </c>
      <c r="BU23" s="70">
        <f>IFERROR(__xludf.DUMMYFUNCTION("iferror(AVERAGE(query(filter('Data Recording'!AJ:AJ,'Data Recording'!D:D=B23), ""Select Col1"")),""-"")"),18.5)</f>
        <v>18.5</v>
      </c>
      <c r="BV23" s="70">
        <f>IFERROR(__xludf.DUMMYFUNCTION("iferror(AVERAGE(query(filter('Data Recording'!AK:AK,'Data Recording'!D:D=B23), ""Select Col1"")),""-"")"),10.75)</f>
        <v>10.75</v>
      </c>
      <c r="BW23" s="70">
        <f t="shared" si="14"/>
        <v>25.5</v>
      </c>
      <c r="BX23" s="71">
        <f>IFERROR(__xludf.DUMMYFUNCTION("iferror(max(query(filter('Data Recording'!AJ:AJ,'Data Recording'!D:D=B23), ""Select Col1"")),""-"")"),25.0)</f>
        <v>25</v>
      </c>
      <c r="BY23" s="72">
        <f>IFERROR(__xludf.DUMMYFUNCTION("iferror(MIN(query(filter('Data Recording'!AJ:AJ,'Data Recording'!D:D=B23), ""Select Col1"")),""-"")"),14.0)</f>
        <v>14</v>
      </c>
      <c r="BZ23" s="73" t="str">
        <f>IFERROR(__xludf.DUMMYFUNCTION("iferror(if(DIVIDE(COUNTIF(query(filter('Data Recording'!R:R,'Data Recording'!D:D=B23), ""Select Col1""),""Yes, Docked"") + countif(query(filter('Data Recording'!R:R,'Data Recording'!D:D=B23), ""Select Col1""),""Yes, Engaged""),COUNTA(query(ifna(filter('Da"&amp;"ta Recording'!R:R,'Data Recording'!D:D=B23),""""), ""Select Col1"")))&gt;=(0.5),""1"",""0""),""-"")"),"0")</f>
        <v>0</v>
      </c>
      <c r="CA23" s="59" t="str">
        <f>IFERROR(__xludf.DUMMYFUNCTION("iferror(if(countif(query(filter('Data Recording'!R:R,'Data Recording'!D:D=B23), ""Select Col1""),""Yes, Engaged"")/COUNTA(query(ifna(filter('Data Recording'!R:R,'Data Recording'!D:D=B23),""""), ""Select Col1""))&gt;=(0.5),""1"",""0""),""-"")"),"0")</f>
        <v>0</v>
      </c>
      <c r="CB23" s="74" t="str">
        <f>IFERROR(__xludf.DUMMYFUNCTION("iferror(if(DIVIDE(COUNTIF(query(filter('Data Recording'!AE:AE,'Data Recording'!D:D=B23), ""Select Col1""),""Yes, Docked"") + countif(query(filter('Data Recording'!AE:AE,'Data Recording'!D:D=B23), ""Select Col1""),""Yes, Engaged""),COUNTA(query(ifna(filter"&amp;"('Data Recording'!AE:AE,'Data Recording'!D:D=B23),""""), ""Select Col1"")))&gt;=(0.5),""1"",""0""),""-"")"),"0")</f>
        <v>0</v>
      </c>
      <c r="CC23" s="59" t="str">
        <f>IFERROR(__xludf.DUMMYFUNCTION("iferror(if(countif(query(filter('Data Recording'!AE:AE,'Data Recording'!D:D=B23), ""Select Col1""),""Yes, Engaged"")/COUNTA(query(ifna(filter('Data Recording'!AE:AE,'Data Recording'!D:D=B23),""""), ""Select Col1""))&gt;=(0.5),""1"",""0""),""-"")"),"0")</f>
        <v>0</v>
      </c>
      <c r="CD23" s="74" t="str">
        <f>IFERROR(__xludf.DUMMYFUNCTION("iferror(if(DIVIDE(countif(query(filter('Data Recording'!E:E,'Data Recording'!D:D=B23), ""Select Col1""),""Yes""),COUNTA(query(ifna(filter('Data Recording'!E:E,'Data Recording'!D:D=B23),""""), ""Select Col1"")))&gt;=(0.5),""1"",""0""),""-"")"),"1")</f>
        <v>1</v>
      </c>
    </row>
    <row r="24">
      <c r="A24" s="51" t="s">
        <v>57</v>
      </c>
      <c r="B24" s="51">
        <v>5708.0</v>
      </c>
      <c r="C24" s="52" t="str">
        <f>IFERROR(__xludf.DUMMYFUNCTION("if(countif(query(filter('Data Recording'!E:E,'Data Recording'!D:D=B24), ""Select Col1""),""Yes"")=0,""0"",countif(query(filter('Data Recording'!E:E,'Data Recording'!D:D=B24), ""Select Col1""),""Yes"")) &amp; ""/"" &amp; if(COUNTA(query(ifna(filter('Data Recording"&amp;"'!E:E,'Data Recording'!D:D=B24),""""), ""Select Col1""))=0,""0"",COUNTA(query(ifna(filter('Data Recording'!E:E,'Data Recording'!D:D=B24),""""), ""Select Col1"")))"),"11/12")</f>
        <v>11/12</v>
      </c>
      <c r="D24" s="53">
        <f>IFERROR(__xludf.DUMMYFUNCTION("iferror(SUM(query(filter('Data Recording'!F:F,'Data Recording'!D:D=B24), ""Select Col1"")),""-"")"),0.0)</f>
        <v>0</v>
      </c>
      <c r="E24" s="53">
        <f>IFERROR(__xludf.DUMMYFUNCTION("iferror(SUM(query(filter('Data Recording'!G:G,'Data Recording'!D:D=B24), ""Select Col1"")),""-"")"),0.0)</f>
        <v>0</v>
      </c>
      <c r="F24" s="54" t="str">
        <f t="shared" si="1"/>
        <v>-</v>
      </c>
      <c r="G24" s="55" t="str">
        <f>IFERROR(__xludf.DUMMYFUNCTION("iferror(AVERAGE(query(filter('Data Recording'!G:G,'Data Recording'!D:D=B24), ""Select Col1"")),""0.00"")"),"0.00")</f>
        <v>0.00</v>
      </c>
      <c r="H24" s="53">
        <f>IFERROR(__xludf.DUMMYFUNCTION("iferror(MAX(query(filter('Data Recording'!G:G,'Data Recording'!D:D=B24), ""Select Col1"")),""-"")"),0.0)</f>
        <v>0</v>
      </c>
      <c r="I24" s="56">
        <f>IFERROR(__xludf.DUMMYFUNCTION("iferror(SUM(query(filter('Data Recording'!H:H,'Data Recording'!D:D=B24), ""Select Col1"")),""-"")"),0.0)</f>
        <v>0</v>
      </c>
      <c r="J24" s="57">
        <f>IFERROR(__xludf.DUMMYFUNCTION("iferror(SUM(query(filter('Data Recording'!I:I,'Data Recording'!D:D=B24), ""Select Col1"")),""-"")"),0.0)</f>
        <v>0</v>
      </c>
      <c r="K24" s="54" t="str">
        <f t="shared" si="2"/>
        <v>-</v>
      </c>
      <c r="L24" s="55" t="str">
        <f>IFERROR(__xludf.DUMMYFUNCTION("iferror(AVERAGE(query(filter('Data Recording'!I:I,'Data Recording'!D:D=B24), ""Select Col1"")),""0.00"")"),"0.00")</f>
        <v>0.00</v>
      </c>
      <c r="M24" s="53">
        <f>IFERROR(__xludf.DUMMYFUNCTION("iferror(MAX(query(filter('Data Recording'!I:I,'Data Recording'!D:D=B24), ""Select Col1"")),""-"")"),0.0)</f>
        <v>0</v>
      </c>
      <c r="N24" s="58">
        <f>IFERROR(__xludf.DUMMYFUNCTION("iferror(SUM(query(filter('Data Recording'!J:J,'Data Recording'!D:D=B24), ""Select Col1"")),""-"")"),0.0)</f>
        <v>0</v>
      </c>
      <c r="O24" s="59">
        <f>IFERROR(__xludf.DUMMYFUNCTION("iferror(SUM(query(filter('Data Recording'!K:K,'Data Recording'!D:D=B24), ""Select Col1"")),""-"")"),0.0)</f>
        <v>0</v>
      </c>
      <c r="P24" s="54" t="str">
        <f t="shared" si="3"/>
        <v>-</v>
      </c>
      <c r="Q24" s="55" t="str">
        <f>IFERROR(__xludf.DUMMYFUNCTION("iferror(AVERAGE(query(filter('Data Recording'!K:K,'Data Recording'!D:D=B24), ""Select Col1"")),""0.00"")"),"0.00")</f>
        <v>0.00</v>
      </c>
      <c r="R24" s="53">
        <f>IFERROR(__xludf.DUMMYFUNCTION("iferror(MAX(query(filter('Data Recording'!K:K,'Data Recording'!D:D=B24), ""Select Col1"")),""-"")"),0.0)</f>
        <v>0</v>
      </c>
      <c r="S24" s="58">
        <f>IFERROR(__xludf.DUMMYFUNCTION("iferror(SUM(query(filter('Data Recording'!L:L,'Data Recording'!D:D=B24), ""Select Col1"")),""-"")"),0.0)</f>
        <v>0</v>
      </c>
      <c r="T24" s="59">
        <f>IFERROR(__xludf.DUMMYFUNCTION("iferror(SUM(query(filter('Data Recording'!M:M,'Data Recording'!D:D=B24), ""Select Col1"")),""-"")"),0.0)</f>
        <v>0</v>
      </c>
      <c r="U24" s="54" t="str">
        <f t="shared" si="4"/>
        <v>-</v>
      </c>
      <c r="V24" s="55" t="str">
        <f>IFERROR(__xludf.DUMMYFUNCTION("iferror(AVERAGE(query(filter('Data Recording'!M:M,'Data Recording'!D:D=B24), ""Select Col1"")),""-"")"),"-")</f>
        <v>-</v>
      </c>
      <c r="W24" s="52">
        <f>IFERROR(__xludf.DUMMYFUNCTION("iferror(MAX(query(filter('Data Recording'!M:M,'Data Recording'!D:D=B24), ""Select Col1"")),""-"")"),0.0)</f>
        <v>0</v>
      </c>
      <c r="X24" s="59">
        <f>IFERROR(__xludf.DUMMYFUNCTION("iferror(SUM(query(filter('Data Recording'!N:N,'Data Recording'!D:D=B24), ""Select Col1"")),""-"")"),0.0)</f>
        <v>0</v>
      </c>
      <c r="Y24" s="59">
        <f>IFERROR(__xludf.DUMMYFUNCTION("iferror(SUM(query(filter('Data Recording'!O:O,'Data Recording'!D:D=B24), ""Select Col1"")),""-"")"),0.0)</f>
        <v>0</v>
      </c>
      <c r="Z24" s="54" t="str">
        <f t="shared" si="5"/>
        <v>-</v>
      </c>
      <c r="AA24" s="55" t="str">
        <f>IFERROR(__xludf.DUMMYFUNCTION("iferror(AVERAGE(query(filter('Data Recording'!O:O,'Data Recording'!D:D=B24), ""Select Col1"")),""0.00"")"),"0.00")</f>
        <v>0.00</v>
      </c>
      <c r="AB24" s="52">
        <f>IFERROR(__xludf.DUMMYFUNCTION("iferror(MAX(query(filter('Data Recording'!O:O,'Data Recording'!D:D=B24), ""Select Col1"")),""-"")"),0.0)</f>
        <v>0</v>
      </c>
      <c r="AC24" s="59">
        <f>IFERROR(__xludf.DUMMYFUNCTION("iferror(SUM(query(filter('Data Recording'!P:P,'Data Recording'!D:D=B24), ""Select Col1"")),""-"")"),0.0)</f>
        <v>0</v>
      </c>
      <c r="AD24" s="59">
        <f>IFERROR(__xludf.DUMMYFUNCTION("iferror(SUM(query(filter('Data Recording'!Q:Q,'Data Recording'!D:D=B24), ""Select Col1"")),""-"")"),0.0)</f>
        <v>0</v>
      </c>
      <c r="AE24" s="54" t="str">
        <f t="shared" si="6"/>
        <v>-</v>
      </c>
      <c r="AF24" s="55" t="str">
        <f>IFERROR(__xludf.DUMMYFUNCTION("iferror(AVERAGE(query(filter('Data Recording'!Q:Q,'Data Recording'!D:D=B24), ""Select Col1"")),""0.00"")"),"0.00")</f>
        <v>0.00</v>
      </c>
      <c r="AG24" s="59">
        <f>IFERROR(__xludf.DUMMYFUNCTION("iferror(MAX(query(filter('Data Recording'!Q:Q,'Data Recording'!D:D=B24), ""Select Col1"")),""-"")"),0.0)</f>
        <v>0</v>
      </c>
      <c r="AH24" s="58" t="str">
        <f>IFERROR(__xludf.DUMMYFUNCTION("if(countif(query(filter('Data Recording'!R:R,'Data Recording'!D:D=B24), ""Select Col1""),""Yes, Engaged"")+countif(query(filter('Data Recording'!R:R,'Data Recording'!D:D=B24), ""Select Col1""),""Yes, Docked"")=0,""0"",countif(query(filter('Data Recording'"&amp;"!R:R,'Data Recording'!D:D=B24), ""Select Col1""),""Yes, Engaged""))+countif(query(filter('Data Recording'!R:R,'Data Recording'!D:D=B24), ""Select Col1""),""Yes, Docked"") &amp; ""/"" &amp; if(COUNTA(query(ifna(filter('Data Recording'!R:R,'Data Recording'!D:D=B24)"&amp;",""""), ""Select Col1""))=0,""0"",COUNTA(query(ifna(filter('Data Recording'!R:R,'Data Recording'!D:D=B24),""""), ""Select Col1"")))"),"0/12")</f>
        <v>0/12</v>
      </c>
      <c r="AI24" s="60" t="str">
        <f>IFERROR(__xludf.DUMMYFUNCTION("if(countif(query(filter('Data Recording'!R:R,'Data Recording'!D:D=B24), ""Select Col1""),""Yes, Engaged"")=0,""0"",countif(query(filter('Data Recording'!R:R,'Data Recording'!D:D=B24), ""Select Col1""),""Yes, Engaged"")) &amp; ""/"" &amp; if(COUNTA(query(ifna(filt"&amp;"er('Data Recording'!R:R,'Data Recording'!D:D=B24),""""), ""Select Col1""))=0,""0"",COUNTA(query(ifna(filter('Data Recording'!R:R,'Data Recording'!D:D=B24),""""), ""Select Col1"")))"),"0/12")</f>
        <v>0/12</v>
      </c>
      <c r="AJ24" s="59">
        <f>IFERROR(__xludf.DUMMYFUNCTION("iferror(SUM(query(filter('Data Recording'!S:S,'Data Recording'!D:D=B24), ""Select Col1"")),""-"")"),1.0)</f>
        <v>1</v>
      </c>
      <c r="AK24" s="59">
        <f>IFERROR(__xludf.DUMMYFUNCTION("iferror(SUM(query(filter('Data Recording'!T:T,'Data Recording'!D:D=B24), ""Select Col1"")),""-"")"),0.0)</f>
        <v>0</v>
      </c>
      <c r="AL24" s="54">
        <f t="shared" si="7"/>
        <v>0</v>
      </c>
      <c r="AM24" s="55">
        <f>IFERROR(__xludf.DUMMYFUNCTION("iferror(AVERAGE(query(filter('Data Recording'!T:T,'Data Recording'!D:D=B24), ""Select Col1"")),""0.00"")"),0.0)</f>
        <v>0</v>
      </c>
      <c r="AN24" s="61">
        <f>IFERROR(__xludf.DUMMYFUNCTION("iferror(MAX(query(filter('Data Recording'!T:T,'Data Recording'!D:D=B24), ""Select Col1"")),""-"")"),0.0)</f>
        <v>0</v>
      </c>
      <c r="AO24" s="62">
        <f>IFERROR(__xludf.DUMMYFUNCTION("iferror(SUM(query(filter('Data Recording'!U:U,'Data Recording'!D:D=B24), ""Select Col1"")),""-"")"),1.0)</f>
        <v>1</v>
      </c>
      <c r="AP24" s="62">
        <f>IFERROR(__xludf.DUMMYFUNCTION("iferror(SUM(query(filter('Data Recording'!V:V,'Data Recording'!D:D=B24), ""Select Col1"")),""-"")"),1.0)</f>
        <v>1</v>
      </c>
      <c r="AQ24" s="63">
        <f t="shared" si="8"/>
        <v>1</v>
      </c>
      <c r="AR24" s="64">
        <f>IFERROR(__xludf.DUMMYFUNCTION("iferror(AVERAGE(query(filter('Data Recording'!V:V,'Data Recording'!D:D=B24), ""Select Col1"")),""0.00"")"),1.0)</f>
        <v>1</v>
      </c>
      <c r="AS24" s="65">
        <f>IFERROR(__xludf.DUMMYFUNCTION("iferror(MAX(query(filter('Data Recording'!V:V,'Data Recording'!D:D=B24), ""Select Col1"")),""-"")"),1.0)</f>
        <v>1</v>
      </c>
      <c r="AT24" s="62">
        <f>IFERROR(__xludf.DUMMYFUNCTION("iferror(SUM(query(filter('Data Recording'!W:W,'Data Recording'!D:D=B24), ""Select Col1"")),""-"")"),1.0)</f>
        <v>1</v>
      </c>
      <c r="AU24" s="62">
        <f>IFERROR(__xludf.DUMMYFUNCTION("iferror(SUM(query(filter('Data Recording'!X:X,'Data Recording'!D:D=B24), ""Select Col1"")),""-"")"),1.0)</f>
        <v>1</v>
      </c>
      <c r="AV24" s="63">
        <f t="shared" si="9"/>
        <v>1</v>
      </c>
      <c r="AW24" s="64">
        <f>IFERROR(__xludf.DUMMYFUNCTION("iferror(AVERAGE(query(filter('Data Recording'!X:X,'Data Recording'!D:D=B24), ""Select Col1"")),""0.00"")"),1.0)</f>
        <v>1</v>
      </c>
      <c r="AX24" s="65">
        <f>IFERROR(__xludf.DUMMYFUNCTION("iferror(MAX(query(filter('Data Recording'!X:X,'Data Recording'!D:D=B24), ""Select Col1"")),""-"")"),1.0)</f>
        <v>1</v>
      </c>
      <c r="AY24" s="62">
        <f>IFERROR(__xludf.DUMMYFUNCTION("iferror(SUM(query(filter('Data Recording'!Y:Y,'Data Recording'!D:D=B24), ""Select Col1"")),""-"")"),17.0)</f>
        <v>17</v>
      </c>
      <c r="AZ24" s="62">
        <f>IFERROR(__xludf.DUMMYFUNCTION("iferror(SUM(query(filter('Data Recording'!Z:Z,'Data Recording'!D:D=B24), ""Select Col1"")),""-"")"),16.0)</f>
        <v>16</v>
      </c>
      <c r="BA24" s="63">
        <f t="shared" si="10"/>
        <v>0.9411764706</v>
      </c>
      <c r="BB24" s="64">
        <f>IFERROR(__xludf.DUMMYFUNCTION("iferror(AVERAGE(query(filter('Data Recording'!Z:Z,'Data Recording'!D:D=B24), ""Select Col1"")),""0.00"")"),1.7777777777777777)</f>
        <v>1.777777778</v>
      </c>
      <c r="BC24" s="65">
        <f>IFERROR(__xludf.DUMMYFUNCTION("iferror(MAX(query(filter('Data Recording'!Z:Z,'Data Recording'!D:D=B24), ""Select Col1"")),""-"")"),2.0)</f>
        <v>2</v>
      </c>
      <c r="BD24" s="62">
        <f>IFERROR(__xludf.DUMMYFUNCTION("iferror(SUM(query(filter('Data Recording'!AA:AA,'Data Recording'!D:D=B24), ""Select Col1"")),""-"")"),7.0)</f>
        <v>7</v>
      </c>
      <c r="BE24" s="62">
        <f>IFERROR(__xludf.DUMMYFUNCTION("iferror(SUM(query(filter('Data Recording'!AB:AB,'Data Recording'!D:D=B24), ""Select Col1"")),""-"")"),7.0)</f>
        <v>7</v>
      </c>
      <c r="BF24" s="63">
        <f t="shared" si="11"/>
        <v>1</v>
      </c>
      <c r="BG24" s="64">
        <f>IFERROR(__xludf.DUMMYFUNCTION("iferror(AVERAGE(query(filter('Data Recording'!AB:AB,'Data Recording'!D:D=B24), ""Select Col1"")),""0.00"")"),1.4)</f>
        <v>1.4</v>
      </c>
      <c r="BH24" s="65">
        <f>IFERROR(__xludf.DUMMYFUNCTION("iferror(MAX(query(filter('Data Recording'!AB:AB,'Data Recording'!D:D=B24), ""Select Col1"")),""-"")"),2.0)</f>
        <v>2</v>
      </c>
      <c r="BI24" s="62">
        <f>IFERROR(__xludf.DUMMYFUNCTION("iferror(SUM(query(filter('Data Recording'!AC:AC,'Data Recording'!D:D=B24), ""Select Col1"")),""-"")"),7.0)</f>
        <v>7</v>
      </c>
      <c r="BJ24" s="62">
        <f>IFERROR(__xludf.DUMMYFUNCTION("iferror(SUM(query(filter('Data Recording'!AD:AD,'Data Recording'!D:D=B24), ""Select Col1"")),""-"")"),6.0)</f>
        <v>6</v>
      </c>
      <c r="BK24" s="63">
        <f t="shared" si="12"/>
        <v>0.8571428571</v>
      </c>
      <c r="BL24" s="64">
        <f>IFERROR(__xludf.DUMMYFUNCTION("iferror(AVERAGE(query(filter('Data Recording'!AD:AD,'Data Recording'!D:D=B24), ""Select Col1"")),""0.00"")"),2.0)</f>
        <v>2</v>
      </c>
      <c r="BM24" s="65">
        <f>IFERROR(__xludf.DUMMYFUNCTION("iferror(MAX(query(filter('Data Recording'!AD:AD,'Data Recording'!D:D=B24), ""Select Col1"")),""-"")"),4.0)</f>
        <v>4</v>
      </c>
      <c r="BN24" s="66" t="str">
        <f>IFERROR(__xludf.DUMMYFUNCTION("if(countif(query(filter('Data Recording'!AE:AE,'Data Recording'!D:D=B24), ""Select Col1""),""Yes, Engaged"")+countif(query(filter('Data Recording'!AE:AE,'Data Recording'!D:D=B24), ""Select Col1""),""Yes, Docked"")=0,""0"",countif(query(filter('Data Record"&amp;"ing'!AE:AE,'Data Recording'!D:D=B24), ""Select Col1""),""Yes, Engaged""))+countif(query(filter('Data Recording'!AE:AE,'Data Recording'!D:D=B24), ""Select Col1""),""Yes, Docked"") &amp; ""/"" &amp; if(COUNTA(query(ifna(filter('Data Recording'!AE:AE,'Data Recording"&amp;"'!D:D=B24),""""), ""Select Col1""))=0,""0"",COUNTA(query(ifna(filter('Data Recording'!AE:AE,'Data Recording'!D:D=B24),""""), ""Select Col1"")))"),"5/12")</f>
        <v>5/12</v>
      </c>
      <c r="BO24" s="67" t="str">
        <f>IFERROR(__xludf.DUMMYFUNCTION("if(countif(query(filter('Data Recording'!AE:AE,'Data Recording'!D:D=B24), ""Select Col1""),""Yes, Engaged"")=0,""0"",countif(query(filter('Data Recording'!AE:AE,'Data Recording'!D:D=B24), ""Select Col1""),""Yes, Engaged"")) &amp; ""/"" &amp; if(COUNTA(query(ifna("&amp;"filter('Data Recording'!AE:AE,'Data Recording'!D:D=B24),""""), ""Select Col1""))=0,""0"",COUNTA(query(ifna(filter('Data Recording'!AE:AE,'Data Recording'!D:D=B24),""""), ""Select Col1"")))"),"4/12")</f>
        <v>4/12</v>
      </c>
      <c r="BP24" s="60" t="str">
        <f>IFERROR(__xludf.DUMMYFUNCTION("if(countif(query(filter('Data Recording'!AH:AH,'Data Recording'!D:D=B24), ""Select Col1""),""Yes"")=0,""0"",countif(query(filter('Data Recording'!AH:AH,'Data Recording'!D:D=B24), ""Select Col1""),""Yes"")) &amp; ""/"" &amp; if(COUNTA(query(ifna(filter('Data Recor"&amp;"ding'!AH:AH,'Data Recording'!D:D=B24),""""), ""Select Col1""))=0,""0"",COUNTA(query(ifna(filter('Data Recording'!AH:AH,'Data Recording'!D:D=B24),""""), ""Select Col1"")))"),"4/12")</f>
        <v>4/12</v>
      </c>
      <c r="BQ24" s="75">
        <v>0.3333</v>
      </c>
      <c r="BR24" s="55">
        <f>IFERROR(__xludf.DUMMYFUNCTION("iferror(average(query(filter('Data Recording'!AF:AF,'Data Recording'!D:D=B24), ""Select Col1"")),""-"")"),1.0833333333333333)</f>
        <v>1.083333333</v>
      </c>
      <c r="BS24" s="69">
        <f>IFERROR(__xludf.DUMMYFUNCTION("iferror(average(query(filter('Data Recording'!AG:AG,'Data Recording'!D:D=B24), ""Select Col1"")),""-"")"),1.0833333333333333)</f>
        <v>1.083333333</v>
      </c>
      <c r="BT24" s="70">
        <f t="shared" si="13"/>
        <v>25.08888889</v>
      </c>
      <c r="BU24" s="70">
        <f>IFERROR(__xludf.DUMMYFUNCTION("iferror(AVERAGE(query(filter('Data Recording'!AJ:AJ,'Data Recording'!D:D=B24), ""Select Col1"")),""-"")"),17.166666666666668)</f>
        <v>17.16666667</v>
      </c>
      <c r="BV24" s="70">
        <f>IFERROR(__xludf.DUMMYFUNCTION("iferror(AVERAGE(query(filter('Data Recording'!AK:AK,'Data Recording'!D:D=B24), ""Select Col1"")),""-"")"),9.833333333333334)</f>
        <v>9.833333333</v>
      </c>
      <c r="BW24" s="70">
        <f t="shared" si="14"/>
        <v>22.08888889</v>
      </c>
      <c r="BX24" s="71">
        <f>IFERROR(__xludf.DUMMYFUNCTION("iferror(max(query(filter('Data Recording'!AJ:AJ,'Data Recording'!D:D=B24), ""Select Col1"")),""-"")"),28.0)</f>
        <v>28</v>
      </c>
      <c r="BY24" s="72">
        <f>IFERROR(__xludf.DUMMYFUNCTION("iferror(MIN(query(filter('Data Recording'!AJ:AJ,'Data Recording'!D:D=B24), ""Select Col1"")),""-"")"),5.0)</f>
        <v>5</v>
      </c>
      <c r="BZ24" s="73" t="str">
        <f>IFERROR(__xludf.DUMMYFUNCTION("iferror(if(DIVIDE(COUNTIF(query(filter('Data Recording'!R:R,'Data Recording'!D:D=B24), ""Select Col1""),""Yes, Docked"") + countif(query(filter('Data Recording'!R:R,'Data Recording'!D:D=B24), ""Select Col1""),""Yes, Engaged""),COUNTA(query(ifna(filter('Da"&amp;"ta Recording'!R:R,'Data Recording'!D:D=B24),""""), ""Select Col1"")))&gt;=(0.5),""1"",""0""),""-"")"),"0")</f>
        <v>0</v>
      </c>
      <c r="CA24" s="59" t="str">
        <f>IFERROR(__xludf.DUMMYFUNCTION("iferror(if(countif(query(filter('Data Recording'!R:R,'Data Recording'!D:D=B24), ""Select Col1""),""Yes, Engaged"")/COUNTA(query(ifna(filter('Data Recording'!R:R,'Data Recording'!D:D=B24),""""), ""Select Col1""))&gt;=(0.5),""1"",""0""),""-"")"),"0")</f>
        <v>0</v>
      </c>
      <c r="CB24" s="74" t="str">
        <f>IFERROR(__xludf.DUMMYFUNCTION("iferror(if(DIVIDE(COUNTIF(query(filter('Data Recording'!AE:AE,'Data Recording'!D:D=B24), ""Select Col1""),""Yes, Docked"") + countif(query(filter('Data Recording'!AE:AE,'Data Recording'!D:D=B24), ""Select Col1""),""Yes, Engaged""),COUNTA(query(ifna(filter"&amp;"('Data Recording'!AE:AE,'Data Recording'!D:D=B24),""""), ""Select Col1"")))&gt;=(0.5),""1"",""0""),""-"")"),"0")</f>
        <v>0</v>
      </c>
      <c r="CC24" s="59" t="str">
        <f>IFERROR(__xludf.DUMMYFUNCTION("iferror(if(countif(query(filter('Data Recording'!AE:AE,'Data Recording'!D:D=B24), ""Select Col1""),""Yes, Engaged"")/COUNTA(query(ifna(filter('Data Recording'!AE:AE,'Data Recording'!D:D=B24),""""), ""Select Col1""))&gt;=(0.5),""1"",""0""),""-"")"),"0")</f>
        <v>0</v>
      </c>
      <c r="CD24" s="74" t="str">
        <f>IFERROR(__xludf.DUMMYFUNCTION("iferror(if(DIVIDE(countif(query(filter('Data Recording'!E:E,'Data Recording'!D:D=B24), ""Select Col1""),""Yes""),COUNTA(query(ifna(filter('Data Recording'!E:E,'Data Recording'!D:D=B24),""""), ""Select Col1"")))&gt;=(0.5),""1"",""0""),""-"")"),"1")</f>
        <v>1</v>
      </c>
    </row>
    <row r="25">
      <c r="A25" s="51" t="s">
        <v>58</v>
      </c>
      <c r="B25" s="51">
        <v>8424.0</v>
      </c>
      <c r="C25" s="52" t="str">
        <f>IFERROR(__xludf.DUMMYFUNCTION("if(countif(query(filter('Data Recording'!E:E,'Data Recording'!D:D=B25), ""Select Col1""),""Yes"")=0,""0"",countif(query(filter('Data Recording'!E:E,'Data Recording'!D:D=B25), ""Select Col1""),""Yes"")) &amp; ""/"" &amp; if(COUNTA(query(ifna(filter('Data Recording"&amp;"'!E:E,'Data Recording'!D:D=B25),""""), ""Select Col1""))=0,""0"",COUNTA(query(ifna(filter('Data Recording'!E:E,'Data Recording'!D:D=B25),""""), ""Select Col1"")))"),"2/9")</f>
        <v>2/9</v>
      </c>
      <c r="D25" s="53">
        <f>IFERROR(__xludf.DUMMYFUNCTION("iferror(SUM(query(filter('Data Recording'!F:F,'Data Recording'!D:D=B25), ""Select Col1"")),""-"")"),4.0)</f>
        <v>4</v>
      </c>
      <c r="E25" s="53">
        <f>IFERROR(__xludf.DUMMYFUNCTION("iferror(SUM(query(filter('Data Recording'!G:G,'Data Recording'!D:D=B25), ""Select Col1"")),""-"")"),0.0)</f>
        <v>0</v>
      </c>
      <c r="F25" s="54">
        <f t="shared" si="1"/>
        <v>0</v>
      </c>
      <c r="G25" s="55">
        <f>IFERROR(__xludf.DUMMYFUNCTION("iferror(AVERAGE(query(filter('Data Recording'!G:G,'Data Recording'!D:D=B25), ""Select Col1"")),""0.00"")"),0.0)</f>
        <v>0</v>
      </c>
      <c r="H25" s="53">
        <f>IFERROR(__xludf.DUMMYFUNCTION("iferror(MAX(query(filter('Data Recording'!G:G,'Data Recording'!D:D=B25), ""Select Col1"")),""-"")"),0.0)</f>
        <v>0</v>
      </c>
      <c r="I25" s="56">
        <f>IFERROR(__xludf.DUMMYFUNCTION("iferror(SUM(query(filter('Data Recording'!H:H,'Data Recording'!D:D=B25), ""Select Col1"")),""-"")"),0.0)</f>
        <v>0</v>
      </c>
      <c r="J25" s="57">
        <f>IFERROR(__xludf.DUMMYFUNCTION("iferror(SUM(query(filter('Data Recording'!I:I,'Data Recording'!D:D=B25), ""Select Col1"")),""-"")"),0.0)</f>
        <v>0</v>
      </c>
      <c r="K25" s="54" t="str">
        <f t="shared" si="2"/>
        <v>-</v>
      </c>
      <c r="L25" s="55">
        <f>IFERROR(__xludf.DUMMYFUNCTION("iferror(AVERAGE(query(filter('Data Recording'!I:I,'Data Recording'!D:D=B25), ""Select Col1"")),""0.00"")"),0.0)</f>
        <v>0</v>
      </c>
      <c r="M25" s="53">
        <f>IFERROR(__xludf.DUMMYFUNCTION("iferror(MAX(query(filter('Data Recording'!I:I,'Data Recording'!D:D=B25), ""Select Col1"")),""-"")"),0.0)</f>
        <v>0</v>
      </c>
      <c r="N25" s="58">
        <f>IFERROR(__xludf.DUMMYFUNCTION("iferror(SUM(query(filter('Data Recording'!J:J,'Data Recording'!D:D=B25), ""Select Col1"")),""-"")"),5.0)</f>
        <v>5</v>
      </c>
      <c r="O25" s="59">
        <f>IFERROR(__xludf.DUMMYFUNCTION("iferror(SUM(query(filter('Data Recording'!K:K,'Data Recording'!D:D=B25), ""Select Col1"")),""-"")"),5.0)</f>
        <v>5</v>
      </c>
      <c r="P25" s="54">
        <f t="shared" si="3"/>
        <v>1</v>
      </c>
      <c r="Q25" s="55">
        <f>IFERROR(__xludf.DUMMYFUNCTION("iferror(AVERAGE(query(filter('Data Recording'!K:K,'Data Recording'!D:D=B25), ""Select Col1"")),""0.00"")"),0.8333333333333334)</f>
        <v>0.8333333333</v>
      </c>
      <c r="R25" s="53">
        <f>IFERROR(__xludf.DUMMYFUNCTION("iferror(MAX(query(filter('Data Recording'!K:K,'Data Recording'!D:D=B25), ""Select Col1"")),""-"")"),1.0)</f>
        <v>1</v>
      </c>
      <c r="S25" s="58">
        <f>IFERROR(__xludf.DUMMYFUNCTION("iferror(SUM(query(filter('Data Recording'!L:L,'Data Recording'!D:D=B25), ""Select Col1"")),""-"")"),2.0)</f>
        <v>2</v>
      </c>
      <c r="T25" s="59">
        <f>IFERROR(__xludf.DUMMYFUNCTION("iferror(SUM(query(filter('Data Recording'!M:M,'Data Recording'!D:D=B25), ""Select Col1"")),""-"")"),1.0)</f>
        <v>1</v>
      </c>
      <c r="U25" s="54">
        <f t="shared" si="4"/>
        <v>0.5</v>
      </c>
      <c r="V25" s="55">
        <f>IFERROR(__xludf.DUMMYFUNCTION("iferror(AVERAGE(query(filter('Data Recording'!M:M,'Data Recording'!D:D=B25), ""Select Col1"")),""-"")"),0.5)</f>
        <v>0.5</v>
      </c>
      <c r="W25" s="52">
        <f>IFERROR(__xludf.DUMMYFUNCTION("iferror(MAX(query(filter('Data Recording'!M:M,'Data Recording'!D:D=B25), ""Select Col1"")),""-"")"),1.0)</f>
        <v>1</v>
      </c>
      <c r="X25" s="59">
        <f>IFERROR(__xludf.DUMMYFUNCTION("iferror(SUM(query(filter('Data Recording'!N:N,'Data Recording'!D:D=B25), ""Select Col1"")),""-"")"),0.0)</f>
        <v>0</v>
      </c>
      <c r="Y25" s="59">
        <f>IFERROR(__xludf.DUMMYFUNCTION("iferror(SUM(query(filter('Data Recording'!O:O,'Data Recording'!D:D=B25), ""Select Col1"")),""-"")"),0.0)</f>
        <v>0</v>
      </c>
      <c r="Z25" s="54" t="str">
        <f t="shared" si="5"/>
        <v>-</v>
      </c>
      <c r="AA25" s="55">
        <f>IFERROR(__xludf.DUMMYFUNCTION("iferror(AVERAGE(query(filter('Data Recording'!O:O,'Data Recording'!D:D=B25), ""Select Col1"")),""0.00"")"),0.0)</f>
        <v>0</v>
      </c>
      <c r="AB25" s="52">
        <f>IFERROR(__xludf.DUMMYFUNCTION("iferror(MAX(query(filter('Data Recording'!O:O,'Data Recording'!D:D=B25), ""Select Col1"")),""-"")"),0.0)</f>
        <v>0</v>
      </c>
      <c r="AC25" s="59">
        <f>IFERROR(__xludf.DUMMYFUNCTION("iferror(SUM(query(filter('Data Recording'!P:P,'Data Recording'!D:D=B25), ""Select Col1"")),""-"")"),0.0)</f>
        <v>0</v>
      </c>
      <c r="AD25" s="59">
        <f>IFERROR(__xludf.DUMMYFUNCTION("iferror(SUM(query(filter('Data Recording'!Q:Q,'Data Recording'!D:D=B25), ""Select Col1"")),""-"")"),0.0)</f>
        <v>0</v>
      </c>
      <c r="AE25" s="54" t="str">
        <f t="shared" si="6"/>
        <v>-</v>
      </c>
      <c r="AF25" s="55">
        <f>IFERROR(__xludf.DUMMYFUNCTION("iferror(AVERAGE(query(filter('Data Recording'!Q:Q,'Data Recording'!D:D=B25), ""Select Col1"")),""0.00"")"),0.0)</f>
        <v>0</v>
      </c>
      <c r="AG25" s="59">
        <f>IFERROR(__xludf.DUMMYFUNCTION("iferror(MAX(query(filter('Data Recording'!Q:Q,'Data Recording'!D:D=B25), ""Select Col1"")),""-"")"),0.0)</f>
        <v>0</v>
      </c>
      <c r="AH25" s="58" t="str">
        <f>IFERROR(__xludf.DUMMYFUNCTION("if(countif(query(filter('Data Recording'!R:R,'Data Recording'!D:D=B25), ""Select Col1""),""Yes, Engaged"")+countif(query(filter('Data Recording'!R:R,'Data Recording'!D:D=B25), ""Select Col1""),""Yes, Docked"")=0,""0"",countif(query(filter('Data Recording'"&amp;"!R:R,'Data Recording'!D:D=B25), ""Select Col1""),""Yes, Engaged""))+countif(query(filter('Data Recording'!R:R,'Data Recording'!D:D=B25), ""Select Col1""),""Yes, Docked"") &amp; ""/"" &amp; if(COUNTA(query(ifna(filter('Data Recording'!R:R,'Data Recording'!D:D=B25)"&amp;",""""), ""Select Col1""))=0,""0"",COUNTA(query(ifna(filter('Data Recording'!R:R,'Data Recording'!D:D=B25),""""), ""Select Col1"")))"),"5/9")</f>
        <v>5/9</v>
      </c>
      <c r="AI25" s="60" t="str">
        <f>IFERROR(__xludf.DUMMYFUNCTION("if(countif(query(filter('Data Recording'!R:R,'Data Recording'!D:D=B25), ""Select Col1""),""Yes, Engaged"")=0,""0"",countif(query(filter('Data Recording'!R:R,'Data Recording'!D:D=B25), ""Select Col1""),""Yes, Engaged"")) &amp; ""/"" &amp; if(COUNTA(query(ifna(filt"&amp;"er('Data Recording'!R:R,'Data Recording'!D:D=B25),""""), ""Select Col1""))=0,""0"",COUNTA(query(ifna(filter('Data Recording'!R:R,'Data Recording'!D:D=B25),""""), ""Select Col1"")))"),"4/9")</f>
        <v>4/9</v>
      </c>
      <c r="AJ25" s="59">
        <f>IFERROR(__xludf.DUMMYFUNCTION("iferror(SUM(query(filter('Data Recording'!S:S,'Data Recording'!D:D=B25), ""Select Col1"")),""-"")"),0.0)</f>
        <v>0</v>
      </c>
      <c r="AK25" s="59">
        <f>IFERROR(__xludf.DUMMYFUNCTION("iferror(SUM(query(filter('Data Recording'!T:T,'Data Recording'!D:D=B25), ""Select Col1"")),""-"")"),0.0)</f>
        <v>0</v>
      </c>
      <c r="AL25" s="54" t="str">
        <f t="shared" si="7"/>
        <v>-</v>
      </c>
      <c r="AM25" s="55">
        <f>IFERROR(__xludf.DUMMYFUNCTION("iferror(AVERAGE(query(filter('Data Recording'!T:T,'Data Recording'!D:D=B25), ""Select Col1"")),""0.00"")"),0.0)</f>
        <v>0</v>
      </c>
      <c r="AN25" s="61">
        <f>IFERROR(__xludf.DUMMYFUNCTION("iferror(MAX(query(filter('Data Recording'!T:T,'Data Recording'!D:D=B25), ""Select Col1"")),""-"")"),0.0)</f>
        <v>0</v>
      </c>
      <c r="AO25" s="62">
        <f>IFERROR(__xludf.DUMMYFUNCTION("iferror(SUM(query(filter('Data Recording'!U:U,'Data Recording'!D:D=B25), ""Select Col1"")),""-"")"),0.0)</f>
        <v>0</v>
      </c>
      <c r="AP25" s="62">
        <f>IFERROR(__xludf.DUMMYFUNCTION("iferror(SUM(query(filter('Data Recording'!V:V,'Data Recording'!D:D=B25), ""Select Col1"")),""-"")"),0.0)</f>
        <v>0</v>
      </c>
      <c r="AQ25" s="63" t="str">
        <f t="shared" si="8"/>
        <v>-</v>
      </c>
      <c r="AR25" s="64">
        <f>IFERROR(__xludf.DUMMYFUNCTION("iferror(AVERAGE(query(filter('Data Recording'!V:V,'Data Recording'!D:D=B25), ""Select Col1"")),""0.00"")"),0.0)</f>
        <v>0</v>
      </c>
      <c r="AS25" s="65">
        <f>IFERROR(__xludf.DUMMYFUNCTION("iferror(MAX(query(filter('Data Recording'!V:V,'Data Recording'!D:D=B25), ""Select Col1"")),""-"")"),0.0)</f>
        <v>0</v>
      </c>
      <c r="AT25" s="62">
        <f>IFERROR(__xludf.DUMMYFUNCTION("iferror(SUM(query(filter('Data Recording'!W:W,'Data Recording'!D:D=B25), ""Select Col1"")),""-"")"),1.0)</f>
        <v>1</v>
      </c>
      <c r="AU25" s="62">
        <f>IFERROR(__xludf.DUMMYFUNCTION("iferror(SUM(query(filter('Data Recording'!X:X,'Data Recording'!D:D=B25), ""Select Col1"")),""-"")"),1.0)</f>
        <v>1</v>
      </c>
      <c r="AV25" s="63">
        <f t="shared" si="9"/>
        <v>1</v>
      </c>
      <c r="AW25" s="64">
        <f>IFERROR(__xludf.DUMMYFUNCTION("iferror(AVERAGE(query(filter('Data Recording'!X:X,'Data Recording'!D:D=B25), ""Select Col1"")),""0.00"")"),1.0)</f>
        <v>1</v>
      </c>
      <c r="AX25" s="65">
        <f>IFERROR(__xludf.DUMMYFUNCTION("iferror(MAX(query(filter('Data Recording'!X:X,'Data Recording'!D:D=B25), ""Select Col1"")),""-"")"),1.0)</f>
        <v>1</v>
      </c>
      <c r="AY25" s="62">
        <f>IFERROR(__xludf.DUMMYFUNCTION("iferror(SUM(query(filter('Data Recording'!Y:Y,'Data Recording'!D:D=B25), ""Select Col1"")),""-"")"),0.0)</f>
        <v>0</v>
      </c>
      <c r="AZ25" s="62">
        <f>IFERROR(__xludf.DUMMYFUNCTION("iferror(SUM(query(filter('Data Recording'!Z:Z,'Data Recording'!D:D=B25), ""Select Col1"")),""-"")"),0.0)</f>
        <v>0</v>
      </c>
      <c r="BA25" s="63" t="str">
        <f t="shared" si="10"/>
        <v>-</v>
      </c>
      <c r="BB25" s="64" t="str">
        <f>IFERROR(__xludf.DUMMYFUNCTION("iferror(AVERAGE(query(filter('Data Recording'!Z:Z,'Data Recording'!D:D=B25), ""Select Col1"")),""0.00"")"),"0.00")</f>
        <v>0.00</v>
      </c>
      <c r="BC25" s="65">
        <f>IFERROR(__xludf.DUMMYFUNCTION("iferror(MAX(query(filter('Data Recording'!Z:Z,'Data Recording'!D:D=B25), ""Select Col1"")),""-"")"),0.0)</f>
        <v>0</v>
      </c>
      <c r="BD25" s="62">
        <f>IFERROR(__xludf.DUMMYFUNCTION("iferror(SUM(query(filter('Data Recording'!AA:AA,'Data Recording'!D:D=B25), ""Select Col1"")),""-"")"),1.0)</f>
        <v>1</v>
      </c>
      <c r="BE25" s="62">
        <f>IFERROR(__xludf.DUMMYFUNCTION("iferror(SUM(query(filter('Data Recording'!AB:AB,'Data Recording'!D:D=B25), ""Select Col1"")),""-"")"),1.0)</f>
        <v>1</v>
      </c>
      <c r="BF25" s="63">
        <f t="shared" si="11"/>
        <v>1</v>
      </c>
      <c r="BG25" s="64">
        <f>IFERROR(__xludf.DUMMYFUNCTION("iferror(AVERAGE(query(filter('Data Recording'!AB:AB,'Data Recording'!D:D=B25), ""Select Col1"")),""0.00"")"),1.0)</f>
        <v>1</v>
      </c>
      <c r="BH25" s="65">
        <f>IFERROR(__xludf.DUMMYFUNCTION("iferror(MAX(query(filter('Data Recording'!AB:AB,'Data Recording'!D:D=B25), ""Select Col1"")),""-"")"),1.0)</f>
        <v>1</v>
      </c>
      <c r="BI25" s="62">
        <f>IFERROR(__xludf.DUMMYFUNCTION("iferror(SUM(query(filter('Data Recording'!AC:AC,'Data Recording'!D:D=B25), ""Select Col1"")),""-"")"),2.0)</f>
        <v>2</v>
      </c>
      <c r="BJ25" s="62">
        <f>IFERROR(__xludf.DUMMYFUNCTION("iferror(SUM(query(filter('Data Recording'!AD:AD,'Data Recording'!D:D=B25), ""Select Col1"")),""-"")"),2.0)</f>
        <v>2</v>
      </c>
      <c r="BK25" s="63">
        <f t="shared" si="12"/>
        <v>1</v>
      </c>
      <c r="BL25" s="64">
        <f>IFERROR(__xludf.DUMMYFUNCTION("iferror(AVERAGE(query(filter('Data Recording'!AD:AD,'Data Recording'!D:D=B25), ""Select Col1"")),""0.00"")"),1.0)</f>
        <v>1</v>
      </c>
      <c r="BM25" s="65">
        <f>IFERROR(__xludf.DUMMYFUNCTION("iferror(MAX(query(filter('Data Recording'!AD:AD,'Data Recording'!D:D=B25), ""Select Col1"")),""-"")"),1.0)</f>
        <v>1</v>
      </c>
      <c r="BN25" s="66" t="str">
        <f>IFERROR(__xludf.DUMMYFUNCTION("if(countif(query(filter('Data Recording'!AE:AE,'Data Recording'!D:D=B25), ""Select Col1""),""Yes, Engaged"")+countif(query(filter('Data Recording'!AE:AE,'Data Recording'!D:D=B25), ""Select Col1""),""Yes, Docked"")=0,""0"",countif(query(filter('Data Record"&amp;"ing'!AE:AE,'Data Recording'!D:D=B25), ""Select Col1""),""Yes, Engaged""))+countif(query(filter('Data Recording'!AE:AE,'Data Recording'!D:D=B25), ""Select Col1""),""Yes, Docked"") &amp; ""/"" &amp; if(COUNTA(query(ifna(filter('Data Recording'!AE:AE,'Data Recording"&amp;"'!D:D=B25),""""), ""Select Col1""))=0,""0"",COUNTA(query(ifna(filter('Data Recording'!AE:AE,'Data Recording'!D:D=B25),""""), ""Select Col1"")))"),"6/9")</f>
        <v>6/9</v>
      </c>
      <c r="BO25" s="67" t="str">
        <f>IFERROR(__xludf.DUMMYFUNCTION("if(countif(query(filter('Data Recording'!AE:AE,'Data Recording'!D:D=B25), ""Select Col1""),""Yes, Engaged"")=0,""0"",countif(query(filter('Data Recording'!AE:AE,'Data Recording'!D:D=B25), ""Select Col1""),""Yes, Engaged"")) &amp; ""/"" &amp; if(COUNTA(query(ifna("&amp;"filter('Data Recording'!AE:AE,'Data Recording'!D:D=B25),""""), ""Select Col1""))=0,""0"",COUNTA(query(ifna(filter('Data Recording'!AE:AE,'Data Recording'!D:D=B25),""""), ""Select Col1"")))"),"5/9")</f>
        <v>5/9</v>
      </c>
      <c r="BP25" s="60" t="str">
        <f>IFERROR(__xludf.DUMMYFUNCTION("if(countif(query(filter('Data Recording'!AH:AH,'Data Recording'!D:D=B25), ""Select Col1""),""Yes"")=0,""0"",countif(query(filter('Data Recording'!AH:AH,'Data Recording'!D:D=B25), ""Select Col1""),""Yes"")) &amp; ""/"" &amp; if(COUNTA(query(ifna(filter('Data Recor"&amp;"ding'!AH:AH,'Data Recording'!D:D=B25),""""), ""Select Col1""))=0,""0"",COUNTA(query(ifna(filter('Data Recording'!AH:AH,'Data Recording'!D:D=B25),""""), ""Select Col1"")))"),"1/9")</f>
        <v>1/9</v>
      </c>
      <c r="BQ25" s="75">
        <v>0.1111</v>
      </c>
      <c r="BR25" s="55">
        <f>IFERROR(__xludf.DUMMYFUNCTION("iferror(average(query(filter('Data Recording'!AF:AF,'Data Recording'!D:D=B25), ""Select Col1"")),""-"")"),0.4444444444444444)</f>
        <v>0.4444444444</v>
      </c>
      <c r="BS25" s="69">
        <f>IFERROR(__xludf.DUMMYFUNCTION("iferror(average(query(filter('Data Recording'!AG:AG,'Data Recording'!D:D=B25), ""Select Col1"")),""-"")"),1.3333333333333333)</f>
        <v>1.333333333</v>
      </c>
      <c r="BT25" s="70">
        <f t="shared" si="13"/>
        <v>30.5</v>
      </c>
      <c r="BU25" s="70">
        <f>IFERROR(__xludf.DUMMYFUNCTION("iferror(AVERAGE(query(filter('Data Recording'!AJ:AJ,'Data Recording'!D:D=B25), ""Select Col1"")),""-"")"),16.77777777777778)</f>
        <v>16.77777778</v>
      </c>
      <c r="BV25" s="70">
        <f>IFERROR(__xludf.DUMMYFUNCTION("iferror(AVERAGE(query(filter('Data Recording'!AK:AK,'Data Recording'!D:D=B25), ""Select Col1"")),""-"")"),3.3333333333333335)</f>
        <v>3.333333333</v>
      </c>
      <c r="BW25" s="70">
        <f t="shared" si="14"/>
        <v>12.5</v>
      </c>
      <c r="BX25" s="71">
        <f>IFERROR(__xludf.DUMMYFUNCTION("iferror(max(query(filter('Data Recording'!AJ:AJ,'Data Recording'!D:D=B25), ""Select Col1"")),""-"")"),25.0)</f>
        <v>25</v>
      </c>
      <c r="BY25" s="72">
        <f>IFERROR(__xludf.DUMMYFUNCTION("iferror(MIN(query(filter('Data Recording'!AJ:AJ,'Data Recording'!D:D=B25), ""Select Col1"")),""-"")"),6.0)</f>
        <v>6</v>
      </c>
      <c r="BZ25" s="73" t="str">
        <f>IFERROR(__xludf.DUMMYFUNCTION("iferror(if(DIVIDE(COUNTIF(query(filter('Data Recording'!R:R,'Data Recording'!D:D=B25), ""Select Col1""),""Yes, Docked"") + countif(query(filter('Data Recording'!R:R,'Data Recording'!D:D=B25), ""Select Col1""),""Yes, Engaged""),COUNTA(query(ifna(filter('Da"&amp;"ta Recording'!R:R,'Data Recording'!D:D=B25),""""), ""Select Col1"")))&gt;=(0.5),""1"",""0""),""-"")"),"1")</f>
        <v>1</v>
      </c>
      <c r="CA25" s="59" t="str">
        <f>IFERROR(__xludf.DUMMYFUNCTION("iferror(if(countif(query(filter('Data Recording'!R:R,'Data Recording'!D:D=B25), ""Select Col1""),""Yes, Engaged"")/COUNTA(query(ifna(filter('Data Recording'!R:R,'Data Recording'!D:D=B25),""""), ""Select Col1""))&gt;=(0.5),""1"",""0""),""-"")"),"0")</f>
        <v>0</v>
      </c>
      <c r="CB25" s="74" t="str">
        <f>IFERROR(__xludf.DUMMYFUNCTION("iferror(if(DIVIDE(COUNTIF(query(filter('Data Recording'!AE:AE,'Data Recording'!D:D=B25), ""Select Col1""),""Yes, Docked"") + countif(query(filter('Data Recording'!AE:AE,'Data Recording'!D:D=B25), ""Select Col1""),""Yes, Engaged""),COUNTA(query(ifna(filter"&amp;"('Data Recording'!AE:AE,'Data Recording'!D:D=B25),""""), ""Select Col1"")))&gt;=(0.5),""1"",""0""),""-"")"),"1")</f>
        <v>1</v>
      </c>
      <c r="CC25" s="59" t="str">
        <f>IFERROR(__xludf.DUMMYFUNCTION("iferror(if(countif(query(filter('Data Recording'!AE:AE,'Data Recording'!D:D=B25), ""Select Col1""),""Yes, Engaged"")/COUNTA(query(ifna(filter('Data Recording'!AE:AE,'Data Recording'!D:D=B25),""""), ""Select Col1""))&gt;=(0.5),""1"",""0""),""-"")"),"1")</f>
        <v>1</v>
      </c>
      <c r="CD25" s="74" t="str">
        <f>IFERROR(__xludf.DUMMYFUNCTION("iferror(if(DIVIDE(countif(query(filter('Data Recording'!E:E,'Data Recording'!D:D=B25), ""Select Col1""),""Yes""),COUNTA(query(ifna(filter('Data Recording'!E:E,'Data Recording'!D:D=B25),""""), ""Select Col1"")))&gt;=(0.5),""1"",""0""),""-"")"),"0")</f>
        <v>0</v>
      </c>
    </row>
    <row r="26">
      <c r="A26" s="51" t="s">
        <v>59</v>
      </c>
      <c r="B26" s="51">
        <v>9241.0</v>
      </c>
      <c r="C26" s="52" t="str">
        <f>IFERROR(__xludf.DUMMYFUNCTION("if(countif(query(filter('Data Recording'!E:E,'Data Recording'!D:D=B26), ""Select Col1""),""Yes"")=0,""0"",countif(query(filter('Data Recording'!E:E,'Data Recording'!D:D=B26), ""Select Col1""),""Yes"")) &amp; ""/"" &amp; if(COUNTA(query(ifna(filter('Data Recording"&amp;"'!E:E,'Data Recording'!D:D=B26),""""), ""Select Col1""))=0,""0"",COUNTA(query(ifna(filter('Data Recording'!E:E,'Data Recording'!D:D=B26),""""), ""Select Col1"")))"),"3/3")</f>
        <v>3/3</v>
      </c>
      <c r="D26" s="53">
        <f>IFERROR(__xludf.DUMMYFUNCTION("iferror(SUM(query(filter('Data Recording'!F:F,'Data Recording'!D:D=B26), ""Select Col1"")),""-"")"),0.0)</f>
        <v>0</v>
      </c>
      <c r="E26" s="53">
        <f>IFERROR(__xludf.DUMMYFUNCTION("iferror(SUM(query(filter('Data Recording'!G:G,'Data Recording'!D:D=B26), ""Select Col1"")),""-"")"),0.0)</f>
        <v>0</v>
      </c>
      <c r="F26" s="54" t="str">
        <f t="shared" si="1"/>
        <v>-</v>
      </c>
      <c r="G26" s="55" t="str">
        <f>IFERROR(__xludf.DUMMYFUNCTION("iferror(AVERAGE(query(filter('Data Recording'!G:G,'Data Recording'!D:D=B26), ""Select Col1"")),""0.00"")"),"0.00")</f>
        <v>0.00</v>
      </c>
      <c r="H26" s="53">
        <f>IFERROR(__xludf.DUMMYFUNCTION("iferror(MAX(query(filter('Data Recording'!G:G,'Data Recording'!D:D=B26), ""Select Col1"")),""-"")"),0.0)</f>
        <v>0</v>
      </c>
      <c r="I26" s="56">
        <f>IFERROR(__xludf.DUMMYFUNCTION("iferror(SUM(query(filter('Data Recording'!H:H,'Data Recording'!D:D=B26), ""Select Col1"")),""-"")"),0.0)</f>
        <v>0</v>
      </c>
      <c r="J26" s="57">
        <f>IFERROR(__xludf.DUMMYFUNCTION("iferror(SUM(query(filter('Data Recording'!I:I,'Data Recording'!D:D=B26), ""Select Col1"")),""-"")"),0.0)</f>
        <v>0</v>
      </c>
      <c r="K26" s="54" t="str">
        <f t="shared" si="2"/>
        <v>-</v>
      </c>
      <c r="L26" s="55" t="str">
        <f>IFERROR(__xludf.DUMMYFUNCTION("iferror(AVERAGE(query(filter('Data Recording'!I:I,'Data Recording'!D:D=B26), ""Select Col1"")),""0.00"")"),"0.00")</f>
        <v>0.00</v>
      </c>
      <c r="M26" s="53">
        <f>IFERROR(__xludf.DUMMYFUNCTION("iferror(MAX(query(filter('Data Recording'!I:I,'Data Recording'!D:D=B26), ""Select Col1"")),""-"")"),0.0)</f>
        <v>0</v>
      </c>
      <c r="N26" s="58">
        <f>IFERROR(__xludf.DUMMYFUNCTION("iferror(SUM(query(filter('Data Recording'!J:J,'Data Recording'!D:D=B26), ""Select Col1"")),""-"")"),0.0)</f>
        <v>0</v>
      </c>
      <c r="O26" s="59">
        <f>IFERROR(__xludf.DUMMYFUNCTION("iferror(SUM(query(filter('Data Recording'!K:K,'Data Recording'!D:D=B26), ""Select Col1"")),""-"")"),0.0)</f>
        <v>0</v>
      </c>
      <c r="P26" s="54" t="str">
        <f t="shared" si="3"/>
        <v>-</v>
      </c>
      <c r="Q26" s="55" t="str">
        <f>IFERROR(__xludf.DUMMYFUNCTION("iferror(AVERAGE(query(filter('Data Recording'!K:K,'Data Recording'!D:D=B26), ""Select Col1"")),""0.00"")"),"0.00")</f>
        <v>0.00</v>
      </c>
      <c r="R26" s="53">
        <f>IFERROR(__xludf.DUMMYFUNCTION("iferror(MAX(query(filter('Data Recording'!K:K,'Data Recording'!D:D=B26), ""Select Col1"")),""-"")"),0.0)</f>
        <v>0</v>
      </c>
      <c r="S26" s="58">
        <f>IFERROR(__xludf.DUMMYFUNCTION("iferror(SUM(query(filter('Data Recording'!L:L,'Data Recording'!D:D=B26), ""Select Col1"")),""-"")"),0.0)</f>
        <v>0</v>
      </c>
      <c r="T26" s="59">
        <f>IFERROR(__xludf.DUMMYFUNCTION("iferror(SUM(query(filter('Data Recording'!M:M,'Data Recording'!D:D=B26), ""Select Col1"")),""-"")"),0.0)</f>
        <v>0</v>
      </c>
      <c r="U26" s="54" t="str">
        <f t="shared" si="4"/>
        <v>-</v>
      </c>
      <c r="V26" s="55" t="str">
        <f>IFERROR(__xludf.DUMMYFUNCTION("iferror(AVERAGE(query(filter('Data Recording'!M:M,'Data Recording'!D:D=B26), ""Select Col1"")),""-"")"),"-")</f>
        <v>-</v>
      </c>
      <c r="W26" s="52">
        <f>IFERROR(__xludf.DUMMYFUNCTION("iferror(MAX(query(filter('Data Recording'!M:M,'Data Recording'!D:D=B26), ""Select Col1"")),""-"")"),0.0)</f>
        <v>0</v>
      </c>
      <c r="X26" s="59">
        <f>IFERROR(__xludf.DUMMYFUNCTION("iferror(SUM(query(filter('Data Recording'!N:N,'Data Recording'!D:D=B26), ""Select Col1"")),""-"")"),0.0)</f>
        <v>0</v>
      </c>
      <c r="Y26" s="59">
        <f>IFERROR(__xludf.DUMMYFUNCTION("iferror(SUM(query(filter('Data Recording'!O:O,'Data Recording'!D:D=B26), ""Select Col1"")),""-"")"),0.0)</f>
        <v>0</v>
      </c>
      <c r="Z26" s="54" t="str">
        <f t="shared" si="5"/>
        <v>-</v>
      </c>
      <c r="AA26" s="55" t="str">
        <f>IFERROR(__xludf.DUMMYFUNCTION("iferror(AVERAGE(query(filter('Data Recording'!O:O,'Data Recording'!D:D=B26), ""Select Col1"")),""0.00"")"),"0.00")</f>
        <v>0.00</v>
      </c>
      <c r="AB26" s="52">
        <f>IFERROR(__xludf.DUMMYFUNCTION("iferror(MAX(query(filter('Data Recording'!O:O,'Data Recording'!D:D=B26), ""Select Col1"")),""-"")"),0.0)</f>
        <v>0</v>
      </c>
      <c r="AC26" s="59">
        <f>IFERROR(__xludf.DUMMYFUNCTION("iferror(SUM(query(filter('Data Recording'!P:P,'Data Recording'!D:D=B26), ""Select Col1"")),""-"")"),0.0)</f>
        <v>0</v>
      </c>
      <c r="AD26" s="59">
        <f>IFERROR(__xludf.DUMMYFUNCTION("iferror(SUM(query(filter('Data Recording'!Q:Q,'Data Recording'!D:D=B26), ""Select Col1"")),""-"")"),0.0)</f>
        <v>0</v>
      </c>
      <c r="AE26" s="54" t="str">
        <f t="shared" si="6"/>
        <v>-</v>
      </c>
      <c r="AF26" s="55" t="str">
        <f>IFERROR(__xludf.DUMMYFUNCTION("iferror(AVERAGE(query(filter('Data Recording'!Q:Q,'Data Recording'!D:D=B26), ""Select Col1"")),""0.00"")"),"0.00")</f>
        <v>0.00</v>
      </c>
      <c r="AG26" s="59">
        <f>IFERROR(__xludf.DUMMYFUNCTION("iferror(MAX(query(filter('Data Recording'!Q:Q,'Data Recording'!D:D=B26), ""Select Col1"")),""-"")"),0.0)</f>
        <v>0</v>
      </c>
      <c r="AH26" s="58" t="str">
        <f>IFERROR(__xludf.DUMMYFUNCTION("if(countif(query(filter('Data Recording'!R:R,'Data Recording'!D:D=B26), ""Select Col1""),""Yes, Engaged"")+countif(query(filter('Data Recording'!R:R,'Data Recording'!D:D=B26), ""Select Col1""),""Yes, Docked"")=0,""0"",countif(query(filter('Data Recording'"&amp;"!R:R,'Data Recording'!D:D=B26), ""Select Col1""),""Yes, Engaged""))+countif(query(filter('Data Recording'!R:R,'Data Recording'!D:D=B26), ""Select Col1""),""Yes, Docked"") &amp; ""/"" &amp; if(COUNTA(query(ifna(filter('Data Recording'!R:R,'Data Recording'!D:D=B26)"&amp;",""""), ""Select Col1""))=0,""0"",COUNTA(query(ifna(filter('Data Recording'!R:R,'Data Recording'!D:D=B26),""""), ""Select Col1"")))"),"0/3")</f>
        <v>0/3</v>
      </c>
      <c r="AI26" s="60" t="str">
        <f>IFERROR(__xludf.DUMMYFUNCTION("if(countif(query(filter('Data Recording'!R:R,'Data Recording'!D:D=B26), ""Select Col1""),""Yes, Engaged"")=0,""0"",countif(query(filter('Data Recording'!R:R,'Data Recording'!D:D=B26), ""Select Col1""),""Yes, Engaged"")) &amp; ""/"" &amp; if(COUNTA(query(ifna(filt"&amp;"er('Data Recording'!R:R,'Data Recording'!D:D=B26),""""), ""Select Col1""))=0,""0"",COUNTA(query(ifna(filter('Data Recording'!R:R,'Data Recording'!D:D=B26),""""), ""Select Col1"")))"),"0/3")</f>
        <v>0/3</v>
      </c>
      <c r="AJ26" s="59">
        <f>IFERROR(__xludf.DUMMYFUNCTION("iferror(SUM(query(filter('Data Recording'!S:S,'Data Recording'!D:D=B26), ""Select Col1"")),""-"")"),0.0)</f>
        <v>0</v>
      </c>
      <c r="AK26" s="59">
        <f>IFERROR(__xludf.DUMMYFUNCTION("iferror(SUM(query(filter('Data Recording'!T:T,'Data Recording'!D:D=B26), ""Select Col1"")),""-"")"),0.0)</f>
        <v>0</v>
      </c>
      <c r="AL26" s="54" t="str">
        <f t="shared" si="7"/>
        <v>-</v>
      </c>
      <c r="AM26" s="55" t="str">
        <f>IFERROR(__xludf.DUMMYFUNCTION("iferror(AVERAGE(query(filter('Data Recording'!T:T,'Data Recording'!D:D=B26), ""Select Col1"")),""0.00"")"),"0.00")</f>
        <v>0.00</v>
      </c>
      <c r="AN26" s="61">
        <f>IFERROR(__xludf.DUMMYFUNCTION("iferror(MAX(query(filter('Data Recording'!T:T,'Data Recording'!D:D=B26), ""Select Col1"")),""-"")"),0.0)</f>
        <v>0</v>
      </c>
      <c r="AO26" s="62">
        <f>IFERROR(__xludf.DUMMYFUNCTION("iferror(SUM(query(filter('Data Recording'!U:U,'Data Recording'!D:D=B26), ""Select Col1"")),""-"")"),0.0)</f>
        <v>0</v>
      </c>
      <c r="AP26" s="62">
        <f>IFERROR(__xludf.DUMMYFUNCTION("iferror(SUM(query(filter('Data Recording'!V:V,'Data Recording'!D:D=B26), ""Select Col1"")),""-"")"),0.0)</f>
        <v>0</v>
      </c>
      <c r="AQ26" s="63" t="str">
        <f t="shared" si="8"/>
        <v>-</v>
      </c>
      <c r="AR26" s="64" t="str">
        <f>IFERROR(__xludf.DUMMYFUNCTION("iferror(AVERAGE(query(filter('Data Recording'!V:V,'Data Recording'!D:D=B26), ""Select Col1"")),""0.00"")"),"0.00")</f>
        <v>0.00</v>
      </c>
      <c r="AS26" s="65">
        <f>IFERROR(__xludf.DUMMYFUNCTION("iferror(MAX(query(filter('Data Recording'!V:V,'Data Recording'!D:D=B26), ""Select Col1"")),""-"")"),0.0)</f>
        <v>0</v>
      </c>
      <c r="AT26" s="62">
        <f>IFERROR(__xludf.DUMMYFUNCTION("iferror(SUM(query(filter('Data Recording'!W:W,'Data Recording'!D:D=B26), ""Select Col1"")),""-"")"),4.0)</f>
        <v>4</v>
      </c>
      <c r="AU26" s="62">
        <f>IFERROR(__xludf.DUMMYFUNCTION("iferror(SUM(query(filter('Data Recording'!X:X,'Data Recording'!D:D=B26), ""Select Col1"")),""-"")"),4.0)</f>
        <v>4</v>
      </c>
      <c r="AV26" s="63">
        <f t="shared" si="9"/>
        <v>1</v>
      </c>
      <c r="AW26" s="64">
        <f>IFERROR(__xludf.DUMMYFUNCTION("iferror(AVERAGE(query(filter('Data Recording'!X:X,'Data Recording'!D:D=B26), ""Select Col1"")),""0.00"")"),1.3333333333333333)</f>
        <v>1.333333333</v>
      </c>
      <c r="AX26" s="65">
        <f>IFERROR(__xludf.DUMMYFUNCTION("iferror(MAX(query(filter('Data Recording'!X:X,'Data Recording'!D:D=B26), ""Select Col1"")),""-"")"),2.0)</f>
        <v>2</v>
      </c>
      <c r="AY26" s="62">
        <f>IFERROR(__xludf.DUMMYFUNCTION("iferror(SUM(query(filter('Data Recording'!Y:Y,'Data Recording'!D:D=B26), ""Select Col1"")),""-"")"),0.0)</f>
        <v>0</v>
      </c>
      <c r="AZ26" s="62">
        <f>IFERROR(__xludf.DUMMYFUNCTION("iferror(SUM(query(filter('Data Recording'!Z:Z,'Data Recording'!D:D=B26), ""Select Col1"")),""-"")"),0.0)</f>
        <v>0</v>
      </c>
      <c r="BA26" s="63" t="str">
        <f t="shared" si="10"/>
        <v>-</v>
      </c>
      <c r="BB26" s="64" t="str">
        <f>IFERROR(__xludf.DUMMYFUNCTION("iferror(AVERAGE(query(filter('Data Recording'!Z:Z,'Data Recording'!D:D=B26), ""Select Col1"")),""0.00"")"),"0.00")</f>
        <v>0.00</v>
      </c>
      <c r="BC26" s="65">
        <f>IFERROR(__xludf.DUMMYFUNCTION("iferror(MAX(query(filter('Data Recording'!Z:Z,'Data Recording'!D:D=B26), ""Select Col1"")),""-"")"),0.0)</f>
        <v>0</v>
      </c>
      <c r="BD26" s="62">
        <f>IFERROR(__xludf.DUMMYFUNCTION("iferror(SUM(query(filter('Data Recording'!AA:AA,'Data Recording'!D:D=B26), ""Select Col1"")),""-"")"),0.0)</f>
        <v>0</v>
      </c>
      <c r="BE26" s="62">
        <f>IFERROR(__xludf.DUMMYFUNCTION("iferror(SUM(query(filter('Data Recording'!AB:AB,'Data Recording'!D:D=B26), ""Select Col1"")),""-"")"),0.0)</f>
        <v>0</v>
      </c>
      <c r="BF26" s="63" t="str">
        <f t="shared" si="11"/>
        <v>-</v>
      </c>
      <c r="BG26" s="64" t="str">
        <f>IFERROR(__xludf.DUMMYFUNCTION("iferror(AVERAGE(query(filter('Data Recording'!AB:AB,'Data Recording'!D:D=B26), ""Select Col1"")),""0.00"")"),"0.00")</f>
        <v>0.00</v>
      </c>
      <c r="BH26" s="65">
        <f>IFERROR(__xludf.DUMMYFUNCTION("iferror(MAX(query(filter('Data Recording'!AB:AB,'Data Recording'!D:D=B26), ""Select Col1"")),""-"")"),0.0)</f>
        <v>0</v>
      </c>
      <c r="BI26" s="62">
        <f>IFERROR(__xludf.DUMMYFUNCTION("iferror(SUM(query(filter('Data Recording'!AC:AC,'Data Recording'!D:D=B26), ""Select Col1"")),""-"")"),3.0)</f>
        <v>3</v>
      </c>
      <c r="BJ26" s="62">
        <f>IFERROR(__xludf.DUMMYFUNCTION("iferror(SUM(query(filter('Data Recording'!AD:AD,'Data Recording'!D:D=B26), ""Select Col1"")),""-"")"),3.0)</f>
        <v>3</v>
      </c>
      <c r="BK26" s="63">
        <f t="shared" si="12"/>
        <v>1</v>
      </c>
      <c r="BL26" s="64">
        <f>IFERROR(__xludf.DUMMYFUNCTION("iferror(AVERAGE(query(filter('Data Recording'!AD:AD,'Data Recording'!D:D=B26), ""Select Col1"")),""0.00"")"),1.5)</f>
        <v>1.5</v>
      </c>
      <c r="BM26" s="65">
        <f>IFERROR(__xludf.DUMMYFUNCTION("iferror(MAX(query(filter('Data Recording'!AD:AD,'Data Recording'!D:D=B26), ""Select Col1"")),""-"")"),2.0)</f>
        <v>2</v>
      </c>
      <c r="BN26" s="66" t="str">
        <f>IFERROR(__xludf.DUMMYFUNCTION("if(countif(query(filter('Data Recording'!AE:AE,'Data Recording'!D:D=B26), ""Select Col1""),""Yes, Engaged"")+countif(query(filter('Data Recording'!AE:AE,'Data Recording'!D:D=B26), ""Select Col1""),""Yes, Docked"")=0,""0"",countif(query(filter('Data Record"&amp;"ing'!AE:AE,'Data Recording'!D:D=B26), ""Select Col1""),""Yes, Engaged""))+countif(query(filter('Data Recording'!AE:AE,'Data Recording'!D:D=B26), ""Select Col1""),""Yes, Docked"") &amp; ""/"" &amp; if(COUNTA(query(ifna(filter('Data Recording'!AE:AE,'Data Recording"&amp;"'!D:D=B26),""""), ""Select Col1""))=0,""0"",COUNTA(query(ifna(filter('Data Recording'!AE:AE,'Data Recording'!D:D=B26),""""), ""Select Col1"")))"),"2/3")</f>
        <v>2/3</v>
      </c>
      <c r="BO26" s="67" t="str">
        <f>IFERROR(__xludf.DUMMYFUNCTION("if(countif(query(filter('Data Recording'!AE:AE,'Data Recording'!D:D=B26), ""Select Col1""),""Yes, Engaged"")=0,""0"",countif(query(filter('Data Recording'!AE:AE,'Data Recording'!D:D=B26), ""Select Col1""),""Yes, Engaged"")) &amp; ""/"" &amp; if(COUNTA(query(ifna("&amp;"filter('Data Recording'!AE:AE,'Data Recording'!D:D=B26),""""), ""Select Col1""))=0,""0"",COUNTA(query(ifna(filter('Data Recording'!AE:AE,'Data Recording'!D:D=B26),""""), ""Select Col1"")))"),"2/3")</f>
        <v>2/3</v>
      </c>
      <c r="BP26" s="60" t="str">
        <f>IFERROR(__xludf.DUMMYFUNCTION("if(countif(query(filter('Data Recording'!AH:AH,'Data Recording'!D:D=B26), ""Select Col1""),""Yes"")=0,""0"",countif(query(filter('Data Recording'!AH:AH,'Data Recording'!D:D=B26), ""Select Col1""),""Yes"")) &amp; ""/"" &amp; if(COUNTA(query(ifna(filter('Data Recor"&amp;"ding'!AH:AH,'Data Recording'!D:D=B26),""""), ""Select Col1""))=0,""0"",COUNTA(query(ifna(filter('Data Recording'!AH:AH,'Data Recording'!D:D=B26),""""), ""Select Col1"")))"),"1/3")</f>
        <v>1/3</v>
      </c>
      <c r="BQ26" s="75">
        <v>0.3333</v>
      </c>
      <c r="BR26" s="55">
        <f>IFERROR(__xludf.DUMMYFUNCTION("iferror(average(query(filter('Data Recording'!AF:AF,'Data Recording'!D:D=B26), ""Select Col1"")),""-"")"),0.6666666666666666)</f>
        <v>0.6666666667</v>
      </c>
      <c r="BS26" s="69">
        <f>IFERROR(__xludf.DUMMYFUNCTION("iferror(average(query(filter('Data Recording'!AG:AG,'Data Recording'!D:D=B26), ""Select Col1"")),""-"")"),0.3333333333333333)</f>
        <v>0.3333333333</v>
      </c>
      <c r="BT26" s="70">
        <f t="shared" si="13"/>
        <v>18.66666667</v>
      </c>
      <c r="BU26" s="70">
        <f>IFERROR(__xludf.DUMMYFUNCTION("iferror(AVERAGE(query(filter('Data Recording'!AJ:AJ,'Data Recording'!D:D=B26), ""Select Col1"")),""-"")"),15.333333333333334)</f>
        <v>15.33333333</v>
      </c>
      <c r="BV26" s="70">
        <f>IFERROR(__xludf.DUMMYFUNCTION("iferror(AVERAGE(query(filter('Data Recording'!AK:AK,'Data Recording'!D:D=B26), ""Select Col1"")),""-"")"),4.666666666666667)</f>
        <v>4.666666667</v>
      </c>
      <c r="BW26" s="70">
        <f t="shared" si="14"/>
        <v>5.666666667</v>
      </c>
      <c r="BX26" s="71">
        <f>IFERROR(__xludf.DUMMYFUNCTION("iferror(max(query(filter('Data Recording'!AJ:AJ,'Data Recording'!D:D=B26), ""Select Col1"")),""-"")"),19.0)</f>
        <v>19</v>
      </c>
      <c r="BY26" s="72">
        <f>IFERROR(__xludf.DUMMYFUNCTION("iferror(MIN(query(filter('Data Recording'!AJ:AJ,'Data Recording'!D:D=B26), ""Select Col1"")),""-"")"),8.0)</f>
        <v>8</v>
      </c>
      <c r="BZ26" s="73" t="str">
        <f>IFERROR(__xludf.DUMMYFUNCTION("iferror(if(DIVIDE(COUNTIF(query(filter('Data Recording'!R:R,'Data Recording'!D:D=B26), ""Select Col1""),""Yes, Docked"") + countif(query(filter('Data Recording'!R:R,'Data Recording'!D:D=B26), ""Select Col1""),""Yes, Engaged""),COUNTA(query(ifna(filter('Da"&amp;"ta Recording'!R:R,'Data Recording'!D:D=B26),""""), ""Select Col1"")))&gt;=(0.5),""1"",""0""),""-"")"),"0")</f>
        <v>0</v>
      </c>
      <c r="CA26" s="59" t="str">
        <f>IFERROR(__xludf.DUMMYFUNCTION("iferror(if(countif(query(filter('Data Recording'!R:R,'Data Recording'!D:D=B26), ""Select Col1""),""Yes, Engaged"")/COUNTA(query(ifna(filter('Data Recording'!R:R,'Data Recording'!D:D=B26),""""), ""Select Col1""))&gt;=(0.5),""1"",""0""),""-"")"),"0")</f>
        <v>0</v>
      </c>
      <c r="CB26" s="74" t="str">
        <f>IFERROR(__xludf.DUMMYFUNCTION("iferror(if(DIVIDE(COUNTIF(query(filter('Data Recording'!AE:AE,'Data Recording'!D:D=B26), ""Select Col1""),""Yes, Docked"") + countif(query(filter('Data Recording'!AE:AE,'Data Recording'!D:D=B26), ""Select Col1""),""Yes, Engaged""),COUNTA(query(ifna(filter"&amp;"('Data Recording'!AE:AE,'Data Recording'!D:D=B26),""""), ""Select Col1"")))&gt;=(0.5),""1"",""0""),""-"")"),"1")</f>
        <v>1</v>
      </c>
      <c r="CC26" s="59" t="str">
        <f>IFERROR(__xludf.DUMMYFUNCTION("iferror(if(countif(query(filter('Data Recording'!AE:AE,'Data Recording'!D:D=B26), ""Select Col1""),""Yes, Engaged"")/COUNTA(query(ifna(filter('Data Recording'!AE:AE,'Data Recording'!D:D=B26),""""), ""Select Col1""))&gt;=(0.5),""1"",""0""),""-"")"),"1")</f>
        <v>1</v>
      </c>
      <c r="CD26" s="74" t="str">
        <f>IFERROR(__xludf.DUMMYFUNCTION("iferror(if(DIVIDE(countif(query(filter('Data Recording'!E:E,'Data Recording'!D:D=B26), ""Select Col1""),""Yes""),COUNTA(query(ifna(filter('Data Recording'!E:E,'Data Recording'!D:D=B26),""""), ""Select Col1"")))&gt;=(0.5),""1"",""0""),""-"")"),"1")</f>
        <v>1</v>
      </c>
    </row>
    <row r="27">
      <c r="A27" s="51" t="s">
        <v>60</v>
      </c>
      <c r="B27" s="51">
        <v>9210.0</v>
      </c>
      <c r="C27" s="52" t="str">
        <f>IFERROR(__xludf.DUMMYFUNCTION("if(countif(query(filter('Data Recording'!E:E,'Data Recording'!D:D=B27), ""Select Col1""),""Yes"")=0,""0"",countif(query(filter('Data Recording'!E:E,'Data Recording'!D:D=B27), ""Select Col1""),""Yes"")) &amp; ""/"" &amp; if(COUNTA(query(ifna(filter('Data Recording"&amp;"'!E:E,'Data Recording'!D:D=B27),""""), ""Select Col1""))=0,""0"",COUNTA(query(ifna(filter('Data Recording'!E:E,'Data Recording'!D:D=B27),""""), ""Select Col1"")))"),"4/4")</f>
        <v>4/4</v>
      </c>
      <c r="D27" s="53">
        <f>IFERROR(__xludf.DUMMYFUNCTION("iferror(SUM(query(filter('Data Recording'!F:F,'Data Recording'!D:D=B27), ""Select Col1"")),""-"")"),0.0)</f>
        <v>0</v>
      </c>
      <c r="E27" s="53">
        <f>IFERROR(__xludf.DUMMYFUNCTION("iferror(SUM(query(filter('Data Recording'!G:G,'Data Recording'!D:D=B27), ""Select Col1"")),""-"")"),0.0)</f>
        <v>0</v>
      </c>
      <c r="F27" s="54" t="str">
        <f t="shared" si="1"/>
        <v>-</v>
      </c>
      <c r="G27" s="55" t="str">
        <f>IFERROR(__xludf.DUMMYFUNCTION("iferror(AVERAGE(query(filter('Data Recording'!G:G,'Data Recording'!D:D=B27), ""Select Col1"")),""0.00"")"),"0.00")</f>
        <v>0.00</v>
      </c>
      <c r="H27" s="53">
        <f>IFERROR(__xludf.DUMMYFUNCTION("iferror(MAX(query(filter('Data Recording'!G:G,'Data Recording'!D:D=B27), ""Select Col1"")),""-"")"),0.0)</f>
        <v>0</v>
      </c>
      <c r="I27" s="56">
        <f>IFERROR(__xludf.DUMMYFUNCTION("iferror(SUM(query(filter('Data Recording'!H:H,'Data Recording'!D:D=B27), ""Select Col1"")),""-"")"),0.0)</f>
        <v>0</v>
      </c>
      <c r="J27" s="57">
        <f>IFERROR(__xludf.DUMMYFUNCTION("iferror(SUM(query(filter('Data Recording'!I:I,'Data Recording'!D:D=B27), ""Select Col1"")),""-"")"),0.0)</f>
        <v>0</v>
      </c>
      <c r="K27" s="54" t="str">
        <f t="shared" si="2"/>
        <v>-</v>
      </c>
      <c r="L27" s="55" t="str">
        <f>IFERROR(__xludf.DUMMYFUNCTION("iferror(AVERAGE(query(filter('Data Recording'!I:I,'Data Recording'!D:D=B27), ""Select Col1"")),""0.00"")"),"0.00")</f>
        <v>0.00</v>
      </c>
      <c r="M27" s="53">
        <f>IFERROR(__xludf.DUMMYFUNCTION("iferror(MAX(query(filter('Data Recording'!I:I,'Data Recording'!D:D=B27), ""Select Col1"")),""-"")"),0.0)</f>
        <v>0</v>
      </c>
      <c r="N27" s="58">
        <f>IFERROR(__xludf.DUMMYFUNCTION("iferror(SUM(query(filter('Data Recording'!J:J,'Data Recording'!D:D=B27), ""Select Col1"")),""-"")"),0.0)</f>
        <v>0</v>
      </c>
      <c r="O27" s="59">
        <f>IFERROR(__xludf.DUMMYFUNCTION("iferror(SUM(query(filter('Data Recording'!K:K,'Data Recording'!D:D=B27), ""Select Col1"")),""-"")"),0.0)</f>
        <v>0</v>
      </c>
      <c r="P27" s="54" t="str">
        <f t="shared" si="3"/>
        <v>-</v>
      </c>
      <c r="Q27" s="55" t="str">
        <f>IFERROR(__xludf.DUMMYFUNCTION("iferror(AVERAGE(query(filter('Data Recording'!K:K,'Data Recording'!D:D=B27), ""Select Col1"")),""0.00"")"),"0.00")</f>
        <v>0.00</v>
      </c>
      <c r="R27" s="53">
        <f>IFERROR(__xludf.DUMMYFUNCTION("iferror(MAX(query(filter('Data Recording'!K:K,'Data Recording'!D:D=B27), ""Select Col1"")),""-"")"),0.0)</f>
        <v>0</v>
      </c>
      <c r="S27" s="58">
        <f>IFERROR(__xludf.DUMMYFUNCTION("iferror(SUM(query(filter('Data Recording'!L:L,'Data Recording'!D:D=B27), ""Select Col1"")),""-"")"),0.0)</f>
        <v>0</v>
      </c>
      <c r="T27" s="59">
        <f>IFERROR(__xludf.DUMMYFUNCTION("iferror(SUM(query(filter('Data Recording'!M:M,'Data Recording'!D:D=B27), ""Select Col1"")),""-"")"),0.0)</f>
        <v>0</v>
      </c>
      <c r="U27" s="54" t="str">
        <f t="shared" si="4"/>
        <v>-</v>
      </c>
      <c r="V27" s="55" t="str">
        <f>IFERROR(__xludf.DUMMYFUNCTION("iferror(AVERAGE(query(filter('Data Recording'!M:M,'Data Recording'!D:D=B27), ""Select Col1"")),""-"")"),"-")</f>
        <v>-</v>
      </c>
      <c r="W27" s="52">
        <f>IFERROR(__xludf.DUMMYFUNCTION("iferror(MAX(query(filter('Data Recording'!M:M,'Data Recording'!D:D=B27), ""Select Col1"")),""-"")"),0.0)</f>
        <v>0</v>
      </c>
      <c r="X27" s="59">
        <f>IFERROR(__xludf.DUMMYFUNCTION("iferror(SUM(query(filter('Data Recording'!N:N,'Data Recording'!D:D=B27), ""Select Col1"")),""-"")"),0.0)</f>
        <v>0</v>
      </c>
      <c r="Y27" s="59">
        <f>IFERROR(__xludf.DUMMYFUNCTION("iferror(SUM(query(filter('Data Recording'!O:O,'Data Recording'!D:D=B27), ""Select Col1"")),""-"")"),0.0)</f>
        <v>0</v>
      </c>
      <c r="Z27" s="54" t="str">
        <f t="shared" si="5"/>
        <v>-</v>
      </c>
      <c r="AA27" s="55" t="str">
        <f>IFERROR(__xludf.DUMMYFUNCTION("iferror(AVERAGE(query(filter('Data Recording'!O:O,'Data Recording'!D:D=B27), ""Select Col1"")),""0.00"")"),"0.00")</f>
        <v>0.00</v>
      </c>
      <c r="AB27" s="52">
        <f>IFERROR(__xludf.DUMMYFUNCTION("iferror(MAX(query(filter('Data Recording'!O:O,'Data Recording'!D:D=B27), ""Select Col1"")),""-"")"),0.0)</f>
        <v>0</v>
      </c>
      <c r="AC27" s="59">
        <f>IFERROR(__xludf.DUMMYFUNCTION("iferror(SUM(query(filter('Data Recording'!P:P,'Data Recording'!D:D=B27), ""Select Col1"")),""-"")"),0.0)</f>
        <v>0</v>
      </c>
      <c r="AD27" s="59">
        <f>IFERROR(__xludf.DUMMYFUNCTION("iferror(SUM(query(filter('Data Recording'!Q:Q,'Data Recording'!D:D=B27), ""Select Col1"")),""-"")"),0.0)</f>
        <v>0</v>
      </c>
      <c r="AE27" s="54" t="str">
        <f t="shared" si="6"/>
        <v>-</v>
      </c>
      <c r="AF27" s="55" t="str">
        <f>IFERROR(__xludf.DUMMYFUNCTION("iferror(AVERAGE(query(filter('Data Recording'!Q:Q,'Data Recording'!D:D=B27), ""Select Col1"")),""0.00"")"),"0.00")</f>
        <v>0.00</v>
      </c>
      <c r="AG27" s="59">
        <f>IFERROR(__xludf.DUMMYFUNCTION("iferror(MAX(query(filter('Data Recording'!Q:Q,'Data Recording'!D:D=B27), ""Select Col1"")),""-"")"),0.0)</f>
        <v>0</v>
      </c>
      <c r="AH27" s="58" t="str">
        <f>IFERROR(__xludf.DUMMYFUNCTION("if(countif(query(filter('Data Recording'!R:R,'Data Recording'!D:D=B27), ""Select Col1""),""Yes, Engaged"")+countif(query(filter('Data Recording'!R:R,'Data Recording'!D:D=B27), ""Select Col1""),""Yes, Docked"")=0,""0"",countif(query(filter('Data Recording'"&amp;"!R:R,'Data Recording'!D:D=B27), ""Select Col1""),""Yes, Engaged""))+countif(query(filter('Data Recording'!R:R,'Data Recording'!D:D=B27), ""Select Col1""),""Yes, Docked"") &amp; ""/"" &amp; if(COUNTA(query(ifna(filter('Data Recording'!R:R,'Data Recording'!D:D=B27)"&amp;",""""), ""Select Col1""))=0,""0"",COUNTA(query(ifna(filter('Data Recording'!R:R,'Data Recording'!D:D=B27),""""), ""Select Col1"")))"),"0/4")</f>
        <v>0/4</v>
      </c>
      <c r="AI27" s="60" t="str">
        <f>IFERROR(__xludf.DUMMYFUNCTION("if(countif(query(filter('Data Recording'!R:R,'Data Recording'!D:D=B27), ""Select Col1""),""Yes, Engaged"")=0,""0"",countif(query(filter('Data Recording'!R:R,'Data Recording'!D:D=B27), ""Select Col1""),""Yes, Engaged"")) &amp; ""/"" &amp; if(COUNTA(query(ifna(filt"&amp;"er('Data Recording'!R:R,'Data Recording'!D:D=B27),""""), ""Select Col1""))=0,""0"",COUNTA(query(ifna(filter('Data Recording'!R:R,'Data Recording'!D:D=B27),""""), ""Select Col1"")))"),"0/4")</f>
        <v>0/4</v>
      </c>
      <c r="AJ27" s="59">
        <f>IFERROR(__xludf.DUMMYFUNCTION("iferror(SUM(query(filter('Data Recording'!S:S,'Data Recording'!D:D=B27), ""Select Col1"")),""-"")"),0.0)</f>
        <v>0</v>
      </c>
      <c r="AK27" s="59">
        <f>IFERROR(__xludf.DUMMYFUNCTION("iferror(SUM(query(filter('Data Recording'!T:T,'Data Recording'!D:D=B27), ""Select Col1"")),""-"")"),0.0)</f>
        <v>0</v>
      </c>
      <c r="AL27" s="54" t="str">
        <f t="shared" si="7"/>
        <v>-</v>
      </c>
      <c r="AM27" s="55" t="str">
        <f>IFERROR(__xludf.DUMMYFUNCTION("iferror(AVERAGE(query(filter('Data Recording'!T:T,'Data Recording'!D:D=B27), ""Select Col1"")),""0.00"")"),"0.00")</f>
        <v>0.00</v>
      </c>
      <c r="AN27" s="61">
        <f>IFERROR(__xludf.DUMMYFUNCTION("iferror(MAX(query(filter('Data Recording'!T:T,'Data Recording'!D:D=B27), ""Select Col1"")),""-"")"),0.0)</f>
        <v>0</v>
      </c>
      <c r="AO27" s="62">
        <f>IFERROR(__xludf.DUMMYFUNCTION("iferror(SUM(query(filter('Data Recording'!U:U,'Data Recording'!D:D=B27), ""Select Col1"")),""-"")"),0.0)</f>
        <v>0</v>
      </c>
      <c r="AP27" s="62">
        <f>IFERROR(__xludf.DUMMYFUNCTION("iferror(SUM(query(filter('Data Recording'!V:V,'Data Recording'!D:D=B27), ""Select Col1"")),""-"")"),0.0)</f>
        <v>0</v>
      </c>
      <c r="AQ27" s="63" t="str">
        <f t="shared" si="8"/>
        <v>-</v>
      </c>
      <c r="AR27" s="64" t="str">
        <f>IFERROR(__xludf.DUMMYFUNCTION("iferror(AVERAGE(query(filter('Data Recording'!V:V,'Data Recording'!D:D=B27), ""Select Col1"")),""0.00"")"),"0.00")</f>
        <v>0.00</v>
      </c>
      <c r="AS27" s="65">
        <f>IFERROR(__xludf.DUMMYFUNCTION("iferror(MAX(query(filter('Data Recording'!V:V,'Data Recording'!D:D=B27), ""Select Col1"")),""-"")"),0.0)</f>
        <v>0</v>
      </c>
      <c r="AT27" s="62">
        <f>IFERROR(__xludf.DUMMYFUNCTION("iferror(SUM(query(filter('Data Recording'!W:W,'Data Recording'!D:D=B27), ""Select Col1"")),""-"")"),0.0)</f>
        <v>0</v>
      </c>
      <c r="AU27" s="62">
        <f>IFERROR(__xludf.DUMMYFUNCTION("iferror(SUM(query(filter('Data Recording'!X:X,'Data Recording'!D:D=B27), ""Select Col1"")),""-"")"),0.0)</f>
        <v>0</v>
      </c>
      <c r="AV27" s="63" t="str">
        <f t="shared" si="9"/>
        <v>-</v>
      </c>
      <c r="AW27" s="64" t="str">
        <f>IFERROR(__xludf.DUMMYFUNCTION("iferror(AVERAGE(query(filter('Data Recording'!X:X,'Data Recording'!D:D=B27), ""Select Col1"")),""0.00"")"),"0.00")</f>
        <v>0.00</v>
      </c>
      <c r="AX27" s="65">
        <f>IFERROR(__xludf.DUMMYFUNCTION("iferror(MAX(query(filter('Data Recording'!X:X,'Data Recording'!D:D=B27), ""Select Col1"")),""-"")"),0.0)</f>
        <v>0</v>
      </c>
      <c r="AY27" s="62">
        <f>IFERROR(__xludf.DUMMYFUNCTION("iferror(SUM(query(filter('Data Recording'!Y:Y,'Data Recording'!D:D=B27), ""Select Col1"")),""-"")"),0.0)</f>
        <v>0</v>
      </c>
      <c r="AZ27" s="62">
        <f>IFERROR(__xludf.DUMMYFUNCTION("iferror(SUM(query(filter('Data Recording'!Z:Z,'Data Recording'!D:D=B27), ""Select Col1"")),""-"")"),0.0)</f>
        <v>0</v>
      </c>
      <c r="BA27" s="63" t="str">
        <f t="shared" si="10"/>
        <v>-</v>
      </c>
      <c r="BB27" s="64" t="str">
        <f>IFERROR(__xludf.DUMMYFUNCTION("iferror(AVERAGE(query(filter('Data Recording'!Z:Z,'Data Recording'!D:D=B27), ""Select Col1"")),""0.00"")"),"0.00")</f>
        <v>0.00</v>
      </c>
      <c r="BC27" s="65">
        <f>IFERROR(__xludf.DUMMYFUNCTION("iferror(MAX(query(filter('Data Recording'!Z:Z,'Data Recording'!D:D=B27), ""Select Col1"")),""-"")"),0.0)</f>
        <v>0</v>
      </c>
      <c r="BD27" s="62">
        <f>IFERROR(__xludf.DUMMYFUNCTION("iferror(SUM(query(filter('Data Recording'!AA:AA,'Data Recording'!D:D=B27), ""Select Col1"")),""-"")"),0.0)</f>
        <v>0</v>
      </c>
      <c r="BE27" s="62">
        <f>IFERROR(__xludf.DUMMYFUNCTION("iferror(SUM(query(filter('Data Recording'!AB:AB,'Data Recording'!D:D=B27), ""Select Col1"")),""-"")"),0.0)</f>
        <v>0</v>
      </c>
      <c r="BF27" s="63" t="str">
        <f t="shared" si="11"/>
        <v>-</v>
      </c>
      <c r="BG27" s="64" t="str">
        <f>IFERROR(__xludf.DUMMYFUNCTION("iferror(AVERAGE(query(filter('Data Recording'!AB:AB,'Data Recording'!D:D=B27), ""Select Col1"")),""0.00"")"),"0.00")</f>
        <v>0.00</v>
      </c>
      <c r="BH27" s="65">
        <f>IFERROR(__xludf.DUMMYFUNCTION("iferror(MAX(query(filter('Data Recording'!AB:AB,'Data Recording'!D:D=B27), ""Select Col1"")),""-"")"),0.0)</f>
        <v>0</v>
      </c>
      <c r="BI27" s="62">
        <f>IFERROR(__xludf.DUMMYFUNCTION("iferror(SUM(query(filter('Data Recording'!AC:AC,'Data Recording'!D:D=B27), ""Select Col1"")),""-"")"),5.0)</f>
        <v>5</v>
      </c>
      <c r="BJ27" s="76">
        <v>5.0</v>
      </c>
      <c r="BK27" s="63">
        <f t="shared" si="12"/>
        <v>1</v>
      </c>
      <c r="BL27" s="64">
        <f>IFERROR(__xludf.DUMMYFUNCTION("iferror(AVERAGE(query(filter('Data Recording'!AD:AD,'Data Recording'!D:D=B27), ""Select Col1"")),""0.00"")"),1.0)</f>
        <v>1</v>
      </c>
      <c r="BM27" s="65">
        <f>IFERROR(__xludf.DUMMYFUNCTION("iferror(MAX(query(filter('Data Recording'!AD:AD,'Data Recording'!D:D=B27), ""Select Col1"")),""-"")"),2.0)</f>
        <v>2</v>
      </c>
      <c r="BN27" s="66" t="str">
        <f>IFERROR(__xludf.DUMMYFUNCTION("if(countif(query(filter('Data Recording'!AE:AE,'Data Recording'!D:D=B27), ""Select Col1""),""Yes, Engaged"")+countif(query(filter('Data Recording'!AE:AE,'Data Recording'!D:D=B27), ""Select Col1""),""Yes, Docked"")=0,""0"",countif(query(filter('Data Record"&amp;"ing'!AE:AE,'Data Recording'!D:D=B27), ""Select Col1""),""Yes, Engaged""))+countif(query(filter('Data Recording'!AE:AE,'Data Recording'!D:D=B27), ""Select Col1""),""Yes, Docked"") &amp; ""/"" &amp; if(COUNTA(query(ifna(filter('Data Recording'!AE:AE,'Data Recording"&amp;"'!D:D=B27),""""), ""Select Col1""))=0,""0"",COUNTA(query(ifna(filter('Data Recording'!AE:AE,'Data Recording'!D:D=B27),""""), ""Select Col1"")))"),"4/4")</f>
        <v>4/4</v>
      </c>
      <c r="BO27" s="67" t="str">
        <f>IFERROR(__xludf.DUMMYFUNCTION("if(countif(query(filter('Data Recording'!AE:AE,'Data Recording'!D:D=B27), ""Select Col1""),""Yes, Engaged"")=0,""0"",countif(query(filter('Data Recording'!AE:AE,'Data Recording'!D:D=B27), ""Select Col1""),""Yes, Engaged"")) &amp; ""/"" &amp; if(COUNTA(query(ifna("&amp;"filter('Data Recording'!AE:AE,'Data Recording'!D:D=B27),""""), ""Select Col1""))=0,""0"",COUNTA(query(ifna(filter('Data Recording'!AE:AE,'Data Recording'!D:D=B27),""""), ""Select Col1"")))"),"4/4")</f>
        <v>4/4</v>
      </c>
      <c r="BP27" s="60" t="str">
        <f>IFERROR(__xludf.DUMMYFUNCTION("if(countif(query(filter('Data Recording'!AH:AH,'Data Recording'!D:D=B27), ""Select Col1""),""Yes"")=0,""0"",countif(query(filter('Data Recording'!AH:AH,'Data Recording'!D:D=B27), ""Select Col1""),""Yes"")) &amp; ""/"" &amp; if(COUNTA(query(ifna(filter('Data Recor"&amp;"ding'!AH:AH,'Data Recording'!D:D=B27),""""), ""Select Col1""))=0,""0"",COUNTA(query(ifna(filter('Data Recording'!AH:AH,'Data Recording'!D:D=B27),""""), ""Select Col1"")))"),"0/4")</f>
        <v>0/4</v>
      </c>
      <c r="BQ27" s="68">
        <v>0.0</v>
      </c>
      <c r="BR27" s="55">
        <f>IFERROR(__xludf.DUMMYFUNCTION("iferror(average(query(filter('Data Recording'!AF:AF,'Data Recording'!D:D=B27), ""Select Col1"")),""-"")"),1.75)</f>
        <v>1.75</v>
      </c>
      <c r="BS27" s="69">
        <f>IFERROR(__xludf.DUMMYFUNCTION("iferror(average(query(filter('Data Recording'!AG:AG,'Data Recording'!D:D=B27), ""Select Col1"")),""-"")"),0.75)</f>
        <v>0.75</v>
      </c>
      <c r="BT27" s="70">
        <f t="shared" si="13"/>
        <v>15</v>
      </c>
      <c r="BU27" s="70">
        <f>IFERROR(__xludf.DUMMYFUNCTION("iferror(AVERAGE(query(filter('Data Recording'!AJ:AJ,'Data Recording'!D:D=B27), ""Select Col1"")),""-"")"),15.0)</f>
        <v>15</v>
      </c>
      <c r="BV27" s="70">
        <f>IFERROR(__xludf.DUMMYFUNCTION("iferror(AVERAGE(query(filter('Data Recording'!AK:AK,'Data Recording'!D:D=B27), ""Select Col1"")),""-"")"),2.0)</f>
        <v>2</v>
      </c>
      <c r="BW27" s="70">
        <f t="shared" si="14"/>
        <v>2</v>
      </c>
      <c r="BX27" s="71">
        <f>IFERROR(__xludf.DUMMYFUNCTION("iferror(max(query(filter('Data Recording'!AJ:AJ,'Data Recording'!D:D=B27), ""Select Col1"")),""-"")"),17.0)</f>
        <v>17</v>
      </c>
      <c r="BY27" s="72">
        <f>IFERROR(__xludf.DUMMYFUNCTION("iferror(MIN(query(filter('Data Recording'!AJ:AJ,'Data Recording'!D:D=B27), ""Select Col1"")),""-"")"),13.0)</f>
        <v>13</v>
      </c>
      <c r="BZ27" s="73" t="str">
        <f>IFERROR(__xludf.DUMMYFUNCTION("iferror(if(DIVIDE(COUNTIF(query(filter('Data Recording'!R:R,'Data Recording'!D:D=B27), ""Select Col1""),""Yes, Docked"") + countif(query(filter('Data Recording'!R:R,'Data Recording'!D:D=B27), ""Select Col1""),""Yes, Engaged""),COUNTA(query(ifna(filter('Da"&amp;"ta Recording'!R:R,'Data Recording'!D:D=B27),""""), ""Select Col1"")))&gt;=(0.5),""1"",""0""),""-"")"),"0")</f>
        <v>0</v>
      </c>
      <c r="CA27" s="59" t="str">
        <f>IFERROR(__xludf.DUMMYFUNCTION("iferror(if(countif(query(filter('Data Recording'!R:R,'Data Recording'!D:D=B27), ""Select Col1""),""Yes, Engaged"")/COUNTA(query(ifna(filter('Data Recording'!R:R,'Data Recording'!D:D=B27),""""), ""Select Col1""))&gt;=(0.5),""1"",""0""),""-"")"),"0")</f>
        <v>0</v>
      </c>
      <c r="CB27" s="74" t="str">
        <f>IFERROR(__xludf.DUMMYFUNCTION("iferror(if(DIVIDE(COUNTIF(query(filter('Data Recording'!AE:AE,'Data Recording'!D:D=B27), ""Select Col1""),""Yes, Docked"") + countif(query(filter('Data Recording'!AE:AE,'Data Recording'!D:D=B27), ""Select Col1""),""Yes, Engaged""),COUNTA(query(ifna(filter"&amp;"('Data Recording'!AE:AE,'Data Recording'!D:D=B27),""""), ""Select Col1"")))&gt;=(0.5),""1"",""0""),""-"")"),"1")</f>
        <v>1</v>
      </c>
      <c r="CC27" s="59" t="str">
        <f>IFERROR(__xludf.DUMMYFUNCTION("iferror(if(countif(query(filter('Data Recording'!AE:AE,'Data Recording'!D:D=B27), ""Select Col1""),""Yes, Engaged"")/COUNTA(query(ifna(filter('Data Recording'!AE:AE,'Data Recording'!D:D=B27),""""), ""Select Col1""))&gt;=(0.5),""1"",""0""),""-"")"),"1")</f>
        <v>1</v>
      </c>
      <c r="CD27" s="74" t="str">
        <f>IFERROR(__xludf.DUMMYFUNCTION("iferror(if(DIVIDE(countif(query(filter('Data Recording'!E:E,'Data Recording'!D:D=B27), ""Select Col1""),""Yes""),COUNTA(query(ifna(filter('Data Recording'!E:E,'Data Recording'!D:D=B27),""""), ""Select Col1"")))&gt;=(0.5),""1"",""0""),""-"")"),"1")</f>
        <v>1</v>
      </c>
    </row>
    <row r="28">
      <c r="A28" s="51" t="s">
        <v>61</v>
      </c>
      <c r="B28" s="51">
        <v>7598.0</v>
      </c>
      <c r="C28" s="52" t="str">
        <f>IFERROR(__xludf.DUMMYFUNCTION("if(countif(query(filter('Data Recording'!E:E,'Data Recording'!D:D=B28), ""Select Col1""),""Yes"")=0,""0"",countif(query(filter('Data Recording'!E:E,'Data Recording'!D:D=B28), ""Select Col1""),""Yes"")) &amp; ""/"" &amp; if(COUNTA(query(ifna(filter('Data Recording"&amp;"'!E:E,'Data Recording'!D:D=B28),""""), ""Select Col1""))=0,""0"",COUNTA(query(ifna(filter('Data Recording'!E:E,'Data Recording'!D:D=B28),""""), ""Select Col1"")))"),"9/9")</f>
        <v>9/9</v>
      </c>
      <c r="D28" s="53">
        <f>IFERROR(__xludf.DUMMYFUNCTION("iferror(SUM(query(filter('Data Recording'!F:F,'Data Recording'!D:D=B28), ""Select Col1"")),""-"")"),0.0)</f>
        <v>0</v>
      </c>
      <c r="E28" s="53">
        <f>IFERROR(__xludf.DUMMYFUNCTION("iferror(SUM(query(filter('Data Recording'!G:G,'Data Recording'!D:D=B28), ""Select Col1"")),""-"")"),0.0)</f>
        <v>0</v>
      </c>
      <c r="F28" s="54" t="str">
        <f t="shared" si="1"/>
        <v>-</v>
      </c>
      <c r="G28" s="55">
        <f>IFERROR(__xludf.DUMMYFUNCTION("iferror(AVERAGE(query(filter('Data Recording'!G:G,'Data Recording'!D:D=B28), ""Select Col1"")),""0.00"")"),0.0)</f>
        <v>0</v>
      </c>
      <c r="H28" s="53">
        <f>IFERROR(__xludf.DUMMYFUNCTION("iferror(MAX(query(filter('Data Recording'!G:G,'Data Recording'!D:D=B28), ""Select Col1"")),""-"")"),0.0)</f>
        <v>0</v>
      </c>
      <c r="I28" s="56">
        <f>IFERROR(__xludf.DUMMYFUNCTION("iferror(SUM(query(filter('Data Recording'!H:H,'Data Recording'!D:D=B28), ""Select Col1"")),""-"")"),0.0)</f>
        <v>0</v>
      </c>
      <c r="J28" s="57">
        <f>IFERROR(__xludf.DUMMYFUNCTION("iferror(SUM(query(filter('Data Recording'!I:I,'Data Recording'!D:D=B28), ""Select Col1"")),""-"")"),0.0)</f>
        <v>0</v>
      </c>
      <c r="K28" s="54" t="str">
        <f t="shared" si="2"/>
        <v>-</v>
      </c>
      <c r="L28" s="55" t="str">
        <f>IFERROR(__xludf.DUMMYFUNCTION("iferror(AVERAGE(query(filter('Data Recording'!I:I,'Data Recording'!D:D=B28), ""Select Col1"")),""0.00"")"),"0.00")</f>
        <v>0.00</v>
      </c>
      <c r="M28" s="53">
        <f>IFERROR(__xludf.DUMMYFUNCTION("iferror(MAX(query(filter('Data Recording'!I:I,'Data Recording'!D:D=B28), ""Select Col1"")),""-"")"),0.0)</f>
        <v>0</v>
      </c>
      <c r="N28" s="58">
        <f>IFERROR(__xludf.DUMMYFUNCTION("iferror(SUM(query(filter('Data Recording'!J:J,'Data Recording'!D:D=B28), ""Select Col1"")),""-"")"),0.0)</f>
        <v>0</v>
      </c>
      <c r="O28" s="59">
        <f>IFERROR(__xludf.DUMMYFUNCTION("iferror(SUM(query(filter('Data Recording'!K:K,'Data Recording'!D:D=B28), ""Select Col1"")),""-"")"),0.0)</f>
        <v>0</v>
      </c>
      <c r="P28" s="54" t="str">
        <f t="shared" si="3"/>
        <v>-</v>
      </c>
      <c r="Q28" s="55" t="str">
        <f>IFERROR(__xludf.DUMMYFUNCTION("iferror(AVERAGE(query(filter('Data Recording'!K:K,'Data Recording'!D:D=B28), ""Select Col1"")),""0.00"")"),"0.00")</f>
        <v>0.00</v>
      </c>
      <c r="R28" s="53">
        <f>IFERROR(__xludf.DUMMYFUNCTION("iferror(MAX(query(filter('Data Recording'!K:K,'Data Recording'!D:D=B28), ""Select Col1"")),""-"")"),0.0)</f>
        <v>0</v>
      </c>
      <c r="S28" s="58">
        <f>IFERROR(__xludf.DUMMYFUNCTION("iferror(SUM(query(filter('Data Recording'!L:L,'Data Recording'!D:D=B28), ""Select Col1"")),""-"")"),0.0)</f>
        <v>0</v>
      </c>
      <c r="T28" s="59">
        <f>IFERROR(__xludf.DUMMYFUNCTION("iferror(SUM(query(filter('Data Recording'!M:M,'Data Recording'!D:D=B28), ""Select Col1"")),""-"")"),0.0)</f>
        <v>0</v>
      </c>
      <c r="U28" s="54" t="str">
        <f t="shared" si="4"/>
        <v>-</v>
      </c>
      <c r="V28" s="55" t="str">
        <f>IFERROR(__xludf.DUMMYFUNCTION("iferror(AVERAGE(query(filter('Data Recording'!M:M,'Data Recording'!D:D=B28), ""Select Col1"")),""-"")"),"-")</f>
        <v>-</v>
      </c>
      <c r="W28" s="52">
        <f>IFERROR(__xludf.DUMMYFUNCTION("iferror(MAX(query(filter('Data Recording'!M:M,'Data Recording'!D:D=B28), ""Select Col1"")),""-"")"),0.0)</f>
        <v>0</v>
      </c>
      <c r="X28" s="59">
        <f>IFERROR(__xludf.DUMMYFUNCTION("iferror(SUM(query(filter('Data Recording'!N:N,'Data Recording'!D:D=B28), ""Select Col1"")),""-"")"),0.0)</f>
        <v>0</v>
      </c>
      <c r="Y28" s="59">
        <f>IFERROR(__xludf.DUMMYFUNCTION("iferror(SUM(query(filter('Data Recording'!O:O,'Data Recording'!D:D=B28), ""Select Col1"")),""-"")"),0.0)</f>
        <v>0</v>
      </c>
      <c r="Z28" s="54" t="str">
        <f t="shared" si="5"/>
        <v>-</v>
      </c>
      <c r="AA28" s="55" t="str">
        <f>IFERROR(__xludf.DUMMYFUNCTION("iferror(AVERAGE(query(filter('Data Recording'!O:O,'Data Recording'!D:D=B28), ""Select Col1"")),""0.00"")"),"0.00")</f>
        <v>0.00</v>
      </c>
      <c r="AB28" s="52">
        <f>IFERROR(__xludf.DUMMYFUNCTION("iferror(MAX(query(filter('Data Recording'!O:O,'Data Recording'!D:D=B28), ""Select Col1"")),""-"")"),0.0)</f>
        <v>0</v>
      </c>
      <c r="AC28" s="59">
        <f>IFERROR(__xludf.DUMMYFUNCTION("iferror(SUM(query(filter('Data Recording'!P:P,'Data Recording'!D:D=B28), ""Select Col1"")),""-"")"),0.0)</f>
        <v>0</v>
      </c>
      <c r="AD28" s="59">
        <f>IFERROR(__xludf.DUMMYFUNCTION("iferror(SUM(query(filter('Data Recording'!Q:Q,'Data Recording'!D:D=B28), ""Select Col1"")),""-"")"),0.0)</f>
        <v>0</v>
      </c>
      <c r="AE28" s="54" t="str">
        <f t="shared" si="6"/>
        <v>-</v>
      </c>
      <c r="AF28" s="55" t="str">
        <f>IFERROR(__xludf.DUMMYFUNCTION("iferror(AVERAGE(query(filter('Data Recording'!Q:Q,'Data Recording'!D:D=B28), ""Select Col1"")),""0.00"")"),"0.00")</f>
        <v>0.00</v>
      </c>
      <c r="AG28" s="59">
        <f>IFERROR(__xludf.DUMMYFUNCTION("iferror(MAX(query(filter('Data Recording'!Q:Q,'Data Recording'!D:D=B28), ""Select Col1"")),""-"")"),0.0)</f>
        <v>0</v>
      </c>
      <c r="AH28" s="58" t="str">
        <f>IFERROR(__xludf.DUMMYFUNCTION("if(countif(query(filter('Data Recording'!R:R,'Data Recording'!D:D=B28), ""Select Col1""),""Yes, Engaged"")+countif(query(filter('Data Recording'!R:R,'Data Recording'!D:D=B28), ""Select Col1""),""Yes, Docked"")=0,""0"",countif(query(filter('Data Recording'"&amp;"!R:R,'Data Recording'!D:D=B28), ""Select Col1""),""Yes, Engaged""))+countif(query(filter('Data Recording'!R:R,'Data Recording'!D:D=B28), ""Select Col1""),""Yes, Docked"") &amp; ""/"" &amp; if(COUNTA(query(ifna(filter('Data Recording'!R:R,'Data Recording'!D:D=B28)"&amp;",""""), ""Select Col1""))=0,""0"",COUNTA(query(ifna(filter('Data Recording'!R:R,'Data Recording'!D:D=B28),""""), ""Select Col1"")))"),"0/9")</f>
        <v>0/9</v>
      </c>
      <c r="AI28" s="60" t="str">
        <f>IFERROR(__xludf.DUMMYFUNCTION("if(countif(query(filter('Data Recording'!R:R,'Data Recording'!D:D=B28), ""Select Col1""),""Yes, Engaged"")=0,""0"",countif(query(filter('Data Recording'!R:R,'Data Recording'!D:D=B28), ""Select Col1""),""Yes, Engaged"")) &amp; ""/"" &amp; if(COUNTA(query(ifna(filt"&amp;"er('Data Recording'!R:R,'Data Recording'!D:D=B28),""""), ""Select Col1""))=0,""0"",COUNTA(query(ifna(filter('Data Recording'!R:R,'Data Recording'!D:D=B28),""""), ""Select Col1"")))"),"0/9")</f>
        <v>0/9</v>
      </c>
      <c r="AJ28" s="59">
        <f>IFERROR(__xludf.DUMMYFUNCTION("iferror(SUM(query(filter('Data Recording'!S:S,'Data Recording'!D:D=B28), ""Select Col1"")),""-"")"),0.0)</f>
        <v>0</v>
      </c>
      <c r="AK28" s="59">
        <f>IFERROR(__xludf.DUMMYFUNCTION("iferror(SUM(query(filter('Data Recording'!T:T,'Data Recording'!D:D=B28), ""Select Col1"")),""-"")"),0.0)</f>
        <v>0</v>
      </c>
      <c r="AL28" s="54" t="str">
        <f t="shared" si="7"/>
        <v>-</v>
      </c>
      <c r="AM28" s="55">
        <f>IFERROR(__xludf.DUMMYFUNCTION("iferror(AVERAGE(query(filter('Data Recording'!T:T,'Data Recording'!D:D=B28), ""Select Col1"")),""0.00"")"),0.0)</f>
        <v>0</v>
      </c>
      <c r="AN28" s="61">
        <f>IFERROR(__xludf.DUMMYFUNCTION("iferror(MAX(query(filter('Data Recording'!T:T,'Data Recording'!D:D=B28), ""Select Col1"")),""-"")"),0.0)</f>
        <v>0</v>
      </c>
      <c r="AO28" s="62">
        <f>IFERROR(__xludf.DUMMYFUNCTION("iferror(SUM(query(filter('Data Recording'!U:U,'Data Recording'!D:D=B28), ""Select Col1"")),""-"")"),0.0)</f>
        <v>0</v>
      </c>
      <c r="AP28" s="62">
        <f>IFERROR(__xludf.DUMMYFUNCTION("iferror(SUM(query(filter('Data Recording'!V:V,'Data Recording'!D:D=B28), ""Select Col1"")),""-"")"),0.0)</f>
        <v>0</v>
      </c>
      <c r="AQ28" s="63" t="str">
        <f t="shared" si="8"/>
        <v>-</v>
      </c>
      <c r="AR28" s="64">
        <f>IFERROR(__xludf.DUMMYFUNCTION("iferror(AVERAGE(query(filter('Data Recording'!V:V,'Data Recording'!D:D=B28), ""Select Col1"")),""0.00"")"),0.0)</f>
        <v>0</v>
      </c>
      <c r="AS28" s="65">
        <f>IFERROR(__xludf.DUMMYFUNCTION("iferror(MAX(query(filter('Data Recording'!V:V,'Data Recording'!D:D=B28), ""Select Col1"")),""-"")"),0.0)</f>
        <v>0</v>
      </c>
      <c r="AT28" s="62">
        <f>IFERROR(__xludf.DUMMYFUNCTION("iferror(SUM(query(filter('Data Recording'!W:W,'Data Recording'!D:D=B28), ""Select Col1"")),""-"")"),1.0)</f>
        <v>1</v>
      </c>
      <c r="AU28" s="62">
        <f>IFERROR(__xludf.DUMMYFUNCTION("iferror(SUM(query(filter('Data Recording'!X:X,'Data Recording'!D:D=B28), ""Select Col1"")),""-"")"),0.0)</f>
        <v>0</v>
      </c>
      <c r="AV28" s="63">
        <f t="shared" si="9"/>
        <v>0</v>
      </c>
      <c r="AW28" s="64">
        <f>IFERROR(__xludf.DUMMYFUNCTION("iferror(AVERAGE(query(filter('Data Recording'!X:X,'Data Recording'!D:D=B28), ""Select Col1"")),""0.00"")"),0.0)</f>
        <v>0</v>
      </c>
      <c r="AX28" s="65">
        <f>IFERROR(__xludf.DUMMYFUNCTION("iferror(MAX(query(filter('Data Recording'!X:X,'Data Recording'!D:D=B28), ""Select Col1"")),""-"")"),0.0)</f>
        <v>0</v>
      </c>
      <c r="AY28" s="62">
        <f>IFERROR(__xludf.DUMMYFUNCTION("iferror(SUM(query(filter('Data Recording'!Y:Y,'Data Recording'!D:D=B28), ""Select Col1"")),""-"")"),0.0)</f>
        <v>0</v>
      </c>
      <c r="AZ28" s="62">
        <f>IFERROR(__xludf.DUMMYFUNCTION("iferror(SUM(query(filter('Data Recording'!Z:Z,'Data Recording'!D:D=B28), ""Select Col1"")),""-"")"),0.0)</f>
        <v>0</v>
      </c>
      <c r="BA28" s="63" t="str">
        <f t="shared" si="10"/>
        <v>-</v>
      </c>
      <c r="BB28" s="64">
        <f>IFERROR(__xludf.DUMMYFUNCTION("iferror(AVERAGE(query(filter('Data Recording'!Z:Z,'Data Recording'!D:D=B28), ""Select Col1"")),""0.00"")"),0.0)</f>
        <v>0</v>
      </c>
      <c r="BC28" s="65">
        <f>IFERROR(__xludf.DUMMYFUNCTION("iferror(MAX(query(filter('Data Recording'!Z:Z,'Data Recording'!D:D=B28), ""Select Col1"")),""-"")"),0.0)</f>
        <v>0</v>
      </c>
      <c r="BD28" s="62">
        <f>IFERROR(__xludf.DUMMYFUNCTION("iferror(SUM(query(filter('Data Recording'!AA:AA,'Data Recording'!D:D=B28), ""Select Col1"")),""-"")"),0.0)</f>
        <v>0</v>
      </c>
      <c r="BE28" s="62">
        <f>IFERROR(__xludf.DUMMYFUNCTION("iferror(SUM(query(filter('Data Recording'!AB:AB,'Data Recording'!D:D=B28), ""Select Col1"")),""-"")"),0.0)</f>
        <v>0</v>
      </c>
      <c r="BF28" s="63" t="str">
        <f t="shared" si="11"/>
        <v>-</v>
      </c>
      <c r="BG28" s="64">
        <f>IFERROR(__xludf.DUMMYFUNCTION("iferror(AVERAGE(query(filter('Data Recording'!AB:AB,'Data Recording'!D:D=B28), ""Select Col1"")),""0.00"")"),0.0)</f>
        <v>0</v>
      </c>
      <c r="BH28" s="65">
        <f>IFERROR(__xludf.DUMMYFUNCTION("iferror(MAX(query(filter('Data Recording'!AB:AB,'Data Recording'!D:D=B28), ""Select Col1"")),""-"")"),0.0)</f>
        <v>0</v>
      </c>
      <c r="BI28" s="62">
        <f>IFERROR(__xludf.DUMMYFUNCTION("iferror(SUM(query(filter('Data Recording'!AC:AC,'Data Recording'!D:D=B28), ""Select Col1"")),""-"")"),5.0)</f>
        <v>5</v>
      </c>
      <c r="BJ28" s="62">
        <f>IFERROR(__xludf.DUMMYFUNCTION("iferror(SUM(query(filter('Data Recording'!AD:AD,'Data Recording'!D:D=B28), ""Select Col1"")),""-"")"),4.0)</f>
        <v>4</v>
      </c>
      <c r="BK28" s="63">
        <f t="shared" si="12"/>
        <v>0.8</v>
      </c>
      <c r="BL28" s="64">
        <f>IFERROR(__xludf.DUMMYFUNCTION("iferror(AVERAGE(query(filter('Data Recording'!AD:AD,'Data Recording'!D:D=B28), ""Select Col1"")),""0.00"")"),1.0)</f>
        <v>1</v>
      </c>
      <c r="BM28" s="65">
        <f>IFERROR(__xludf.DUMMYFUNCTION("iferror(MAX(query(filter('Data Recording'!AD:AD,'Data Recording'!D:D=B28), ""Select Col1"")),""-"")"),3.0)</f>
        <v>3</v>
      </c>
      <c r="BN28" s="66" t="str">
        <f>IFERROR(__xludf.DUMMYFUNCTION("if(countif(query(filter('Data Recording'!AE:AE,'Data Recording'!D:D=B28), ""Select Col1""),""Yes, Engaged"")+countif(query(filter('Data Recording'!AE:AE,'Data Recording'!D:D=B28), ""Select Col1""),""Yes, Docked"")=0,""0"",countif(query(filter('Data Record"&amp;"ing'!AE:AE,'Data Recording'!D:D=B28), ""Select Col1""),""Yes, Engaged""))+countif(query(filter('Data Recording'!AE:AE,'Data Recording'!D:D=B28), ""Select Col1""),""Yes, Docked"") &amp; ""/"" &amp; if(COUNTA(query(ifna(filter('Data Recording'!AE:AE,'Data Recording"&amp;"'!D:D=B28),""""), ""Select Col1""))=0,""0"",COUNTA(query(ifna(filter('Data Recording'!AE:AE,'Data Recording'!D:D=B28),""""), ""Select Col1"")))"),"9/9")</f>
        <v>9/9</v>
      </c>
      <c r="BO28" s="67" t="str">
        <f>IFERROR(__xludf.DUMMYFUNCTION("if(countif(query(filter('Data Recording'!AE:AE,'Data Recording'!D:D=B28), ""Select Col1""),""Yes, Engaged"")=0,""0"",countif(query(filter('Data Recording'!AE:AE,'Data Recording'!D:D=B28), ""Select Col1""),""Yes, Engaged"")) &amp; ""/"" &amp; if(COUNTA(query(ifna("&amp;"filter('Data Recording'!AE:AE,'Data Recording'!D:D=B28),""""), ""Select Col1""))=0,""0"",COUNTA(query(ifna(filter('Data Recording'!AE:AE,'Data Recording'!D:D=B28),""""), ""Select Col1"")))"),"9/9")</f>
        <v>9/9</v>
      </c>
      <c r="BP28" s="60" t="str">
        <f>IFERROR(__xludf.DUMMYFUNCTION("if(countif(query(filter('Data Recording'!AH:AH,'Data Recording'!D:D=B28), ""Select Col1""),""Yes"")=0,""0"",countif(query(filter('Data Recording'!AH:AH,'Data Recording'!D:D=B28), ""Select Col1""),""Yes"")) &amp; ""/"" &amp; if(COUNTA(query(ifna(filter('Data Recor"&amp;"ding'!AH:AH,'Data Recording'!D:D=B28),""""), ""Select Col1""))=0,""0"",COUNTA(query(ifna(filter('Data Recording'!AH:AH,'Data Recording'!D:D=B28),""""), ""Select Col1"")))"),"0/9")</f>
        <v>0/9</v>
      </c>
      <c r="BQ28" s="68">
        <v>0.0</v>
      </c>
      <c r="BR28" s="55">
        <f>IFERROR(__xludf.DUMMYFUNCTION("iferror(average(query(filter('Data Recording'!AF:AF,'Data Recording'!D:D=B28), ""Select Col1"")),""-"")"),0.4444444444444444)</f>
        <v>0.4444444444</v>
      </c>
      <c r="BS28" s="69">
        <f>IFERROR(__xludf.DUMMYFUNCTION("iferror(average(query(filter('Data Recording'!AG:AG,'Data Recording'!D:D=B28), ""Select Col1"")),""-"")"),0.6666666666666666)</f>
        <v>0.6666666667</v>
      </c>
      <c r="BT28" s="70">
        <f t="shared" si="13"/>
        <v>15</v>
      </c>
      <c r="BU28" s="70">
        <f>IFERROR(__xludf.DUMMYFUNCTION("iferror(AVERAGE(query(filter('Data Recording'!AJ:AJ,'Data Recording'!D:D=B28), ""Select Col1"")),""-"")"),13.88888888888889)</f>
        <v>13.88888889</v>
      </c>
      <c r="BV28" s="70">
        <f>IFERROR(__xludf.DUMMYFUNCTION("iferror(AVERAGE(query(filter('Data Recording'!AK:AK,'Data Recording'!D:D=B28), ""Select Col1"")),""-"")"),0.8888888888888888)</f>
        <v>0.8888888889</v>
      </c>
      <c r="BW28" s="70">
        <f t="shared" si="14"/>
        <v>2</v>
      </c>
      <c r="BX28" s="71">
        <f>IFERROR(__xludf.DUMMYFUNCTION("iferror(max(query(filter('Data Recording'!AJ:AJ,'Data Recording'!D:D=B28), ""Select Col1"")),""-"")"),19.0)</f>
        <v>19</v>
      </c>
      <c r="BY28" s="72">
        <f>IFERROR(__xludf.DUMMYFUNCTION("iferror(MIN(query(filter('Data Recording'!AJ:AJ,'Data Recording'!D:D=B28), ""Select Col1"")),""-"")"),13.0)</f>
        <v>13</v>
      </c>
      <c r="BZ28" s="73" t="str">
        <f>IFERROR(__xludf.DUMMYFUNCTION("iferror(if(DIVIDE(COUNTIF(query(filter('Data Recording'!R:R,'Data Recording'!D:D=B28), ""Select Col1""),""Yes, Docked"") + countif(query(filter('Data Recording'!R:R,'Data Recording'!D:D=B28), ""Select Col1""),""Yes, Engaged""),COUNTA(query(ifna(filter('Da"&amp;"ta Recording'!R:R,'Data Recording'!D:D=B28),""""), ""Select Col1"")))&gt;=(0.5),""1"",""0""),""-"")"),"0")</f>
        <v>0</v>
      </c>
      <c r="CA28" s="59" t="str">
        <f>IFERROR(__xludf.DUMMYFUNCTION("iferror(if(countif(query(filter('Data Recording'!R:R,'Data Recording'!D:D=B28), ""Select Col1""),""Yes, Engaged"")/COUNTA(query(ifna(filter('Data Recording'!R:R,'Data Recording'!D:D=B28),""""), ""Select Col1""))&gt;=(0.5),""1"",""0""),""-"")"),"0")</f>
        <v>0</v>
      </c>
      <c r="CB28" s="74" t="str">
        <f>IFERROR(__xludf.DUMMYFUNCTION("iferror(if(DIVIDE(COUNTIF(query(filter('Data Recording'!AE:AE,'Data Recording'!D:D=B28), ""Select Col1""),""Yes, Docked"") + countif(query(filter('Data Recording'!AE:AE,'Data Recording'!D:D=B28), ""Select Col1""),""Yes, Engaged""),COUNTA(query(ifna(filter"&amp;"('Data Recording'!AE:AE,'Data Recording'!D:D=B28),""""), ""Select Col1"")))&gt;=(0.5),""1"",""0""),""-"")"),"1")</f>
        <v>1</v>
      </c>
      <c r="CC28" s="59" t="str">
        <f>IFERROR(__xludf.DUMMYFUNCTION("iferror(if(countif(query(filter('Data Recording'!AE:AE,'Data Recording'!D:D=B28), ""Select Col1""),""Yes, Engaged"")/COUNTA(query(ifna(filter('Data Recording'!AE:AE,'Data Recording'!D:D=B28),""""), ""Select Col1""))&gt;=(0.5),""1"",""0""),""-"")"),"1")</f>
        <v>1</v>
      </c>
      <c r="CD28" s="74" t="str">
        <f>IFERROR(__xludf.DUMMYFUNCTION("iferror(if(DIVIDE(countif(query(filter('Data Recording'!E:E,'Data Recording'!D:D=B28), ""Select Col1""),""Yes""),COUNTA(query(ifna(filter('Data Recording'!E:E,'Data Recording'!D:D=B28),""""), ""Select Col1"")))&gt;=(0.5),""1"",""0""),""-"")"),"1")</f>
        <v>1</v>
      </c>
    </row>
    <row r="29">
      <c r="A29" s="51" t="s">
        <v>62</v>
      </c>
      <c r="B29" s="51">
        <v>904.0</v>
      </c>
      <c r="C29" s="52" t="str">
        <f>IFERROR(__xludf.DUMMYFUNCTION("if(countif(query(filter('Data Recording'!E:E,'Data Recording'!D:D=B29), ""Select Col1""),""Yes"")=0,""0"",countif(query(filter('Data Recording'!E:E,'Data Recording'!D:D=B29), ""Select Col1""),""Yes"")) &amp; ""/"" &amp; if(COUNTA(query(ifna(filter('Data Recording"&amp;"'!E:E,'Data Recording'!D:D=B29),""""), ""Select Col1""))=0,""0"",COUNTA(query(ifna(filter('Data Recording'!E:E,'Data Recording'!D:D=B29),""""), ""Select Col1"")))"),"8/8")</f>
        <v>8/8</v>
      </c>
      <c r="D29" s="53">
        <f>IFERROR(__xludf.DUMMYFUNCTION("iferror(SUM(query(filter('Data Recording'!F:F,'Data Recording'!D:D=B29), ""Select Col1"")),""-"")"),0.0)</f>
        <v>0</v>
      </c>
      <c r="E29" s="53">
        <f>IFERROR(__xludf.DUMMYFUNCTION("iferror(SUM(query(filter('Data Recording'!G:G,'Data Recording'!D:D=B29), ""Select Col1"")),""-"")"),0.0)</f>
        <v>0</v>
      </c>
      <c r="F29" s="54" t="str">
        <f t="shared" si="1"/>
        <v>-</v>
      </c>
      <c r="G29" s="55" t="str">
        <f>IFERROR(__xludf.DUMMYFUNCTION("iferror(AVERAGE(query(filter('Data Recording'!G:G,'Data Recording'!D:D=B29), ""Select Col1"")),""0.00"")"),"0.00")</f>
        <v>0.00</v>
      </c>
      <c r="H29" s="53">
        <f>IFERROR(__xludf.DUMMYFUNCTION("iferror(MAX(query(filter('Data Recording'!G:G,'Data Recording'!D:D=B29), ""Select Col1"")),""-"")"),0.0)</f>
        <v>0</v>
      </c>
      <c r="I29" s="56">
        <f>IFERROR(__xludf.DUMMYFUNCTION("iferror(SUM(query(filter('Data Recording'!H:H,'Data Recording'!D:D=B29), ""Select Col1"")),""-"")"),0.0)</f>
        <v>0</v>
      </c>
      <c r="J29" s="57">
        <f>IFERROR(__xludf.DUMMYFUNCTION("iferror(SUM(query(filter('Data Recording'!I:I,'Data Recording'!D:D=B29), ""Select Col1"")),""-"")"),0.0)</f>
        <v>0</v>
      </c>
      <c r="K29" s="54" t="str">
        <f t="shared" si="2"/>
        <v>-</v>
      </c>
      <c r="L29" s="55" t="str">
        <f>IFERROR(__xludf.DUMMYFUNCTION("iferror(AVERAGE(query(filter('Data Recording'!I:I,'Data Recording'!D:D=B29), ""Select Col1"")),""0.00"")"),"0.00")</f>
        <v>0.00</v>
      </c>
      <c r="M29" s="53">
        <f>IFERROR(__xludf.DUMMYFUNCTION("iferror(MAX(query(filter('Data Recording'!I:I,'Data Recording'!D:D=B29), ""Select Col1"")),""-"")"),0.0)</f>
        <v>0</v>
      </c>
      <c r="N29" s="58">
        <f>IFERROR(__xludf.DUMMYFUNCTION("iferror(SUM(query(filter('Data Recording'!J:J,'Data Recording'!D:D=B29), ""Select Col1"")),""-"")"),5.0)</f>
        <v>5</v>
      </c>
      <c r="O29" s="59">
        <f>IFERROR(__xludf.DUMMYFUNCTION("iferror(SUM(query(filter('Data Recording'!K:K,'Data Recording'!D:D=B29), ""Select Col1"")),""-"")"),5.0)</f>
        <v>5</v>
      </c>
      <c r="P29" s="54">
        <f t="shared" si="3"/>
        <v>1</v>
      </c>
      <c r="Q29" s="55">
        <f>IFERROR(__xludf.DUMMYFUNCTION("iferror(AVERAGE(query(filter('Data Recording'!K:K,'Data Recording'!D:D=B29), ""Select Col1"")),""0.00"")"),1.0)</f>
        <v>1</v>
      </c>
      <c r="R29" s="53">
        <f>IFERROR(__xludf.DUMMYFUNCTION("iferror(MAX(query(filter('Data Recording'!K:K,'Data Recording'!D:D=B29), ""Select Col1"")),""-"")"),1.0)</f>
        <v>1</v>
      </c>
      <c r="S29" s="58">
        <f>IFERROR(__xludf.DUMMYFUNCTION("iferror(SUM(query(filter('Data Recording'!L:L,'Data Recording'!D:D=B29), ""Select Col1"")),""-"")"),0.0)</f>
        <v>0</v>
      </c>
      <c r="T29" s="59">
        <f>IFERROR(__xludf.DUMMYFUNCTION("iferror(SUM(query(filter('Data Recording'!M:M,'Data Recording'!D:D=B29), ""Select Col1"")),""-"")"),0.0)</f>
        <v>0</v>
      </c>
      <c r="U29" s="54" t="str">
        <f t="shared" si="4"/>
        <v>-</v>
      </c>
      <c r="V29" s="55" t="str">
        <f>IFERROR(__xludf.DUMMYFUNCTION("iferror(AVERAGE(query(filter('Data Recording'!M:M,'Data Recording'!D:D=B29), ""Select Col1"")),""-"")"),"-")</f>
        <v>-</v>
      </c>
      <c r="W29" s="52">
        <f>IFERROR(__xludf.DUMMYFUNCTION("iferror(MAX(query(filter('Data Recording'!M:M,'Data Recording'!D:D=B29), ""Select Col1"")),""-"")"),0.0)</f>
        <v>0</v>
      </c>
      <c r="X29" s="59">
        <f>IFERROR(__xludf.DUMMYFUNCTION("iferror(SUM(query(filter('Data Recording'!N:N,'Data Recording'!D:D=B29), ""Select Col1"")),""-"")"),0.0)</f>
        <v>0</v>
      </c>
      <c r="Y29" s="59">
        <f>IFERROR(__xludf.DUMMYFUNCTION("iferror(SUM(query(filter('Data Recording'!O:O,'Data Recording'!D:D=B29), ""Select Col1"")),""-"")"),0.0)</f>
        <v>0</v>
      </c>
      <c r="Z29" s="54" t="str">
        <f t="shared" si="5"/>
        <v>-</v>
      </c>
      <c r="AA29" s="55" t="str">
        <f>IFERROR(__xludf.DUMMYFUNCTION("iferror(AVERAGE(query(filter('Data Recording'!O:O,'Data Recording'!D:D=B29), ""Select Col1"")),""0.00"")"),"0.00")</f>
        <v>0.00</v>
      </c>
      <c r="AB29" s="52">
        <f>IFERROR(__xludf.DUMMYFUNCTION("iferror(MAX(query(filter('Data Recording'!O:O,'Data Recording'!D:D=B29), ""Select Col1"")),""-"")"),0.0)</f>
        <v>0</v>
      </c>
      <c r="AC29" s="59">
        <f>IFERROR(__xludf.DUMMYFUNCTION("iferror(SUM(query(filter('Data Recording'!P:P,'Data Recording'!D:D=B29), ""Select Col1"")),""-"")"),0.0)</f>
        <v>0</v>
      </c>
      <c r="AD29" s="59">
        <f>IFERROR(__xludf.DUMMYFUNCTION("iferror(SUM(query(filter('Data Recording'!Q:Q,'Data Recording'!D:D=B29), ""Select Col1"")),""-"")"),0.0)</f>
        <v>0</v>
      </c>
      <c r="AE29" s="54" t="str">
        <f t="shared" si="6"/>
        <v>-</v>
      </c>
      <c r="AF29" s="55" t="str">
        <f>IFERROR(__xludf.DUMMYFUNCTION("iferror(AVERAGE(query(filter('Data Recording'!Q:Q,'Data Recording'!D:D=B29), ""Select Col1"")),""0.00"")"),"0.00")</f>
        <v>0.00</v>
      </c>
      <c r="AG29" s="59">
        <f>IFERROR(__xludf.DUMMYFUNCTION("iferror(MAX(query(filter('Data Recording'!Q:Q,'Data Recording'!D:D=B29), ""Select Col1"")),""-"")"),0.0)</f>
        <v>0</v>
      </c>
      <c r="AH29" s="58" t="str">
        <f>IFERROR(__xludf.DUMMYFUNCTION("if(countif(query(filter('Data Recording'!R:R,'Data Recording'!D:D=B29), ""Select Col1""),""Yes, Engaged"")+countif(query(filter('Data Recording'!R:R,'Data Recording'!D:D=B29), ""Select Col1""),""Yes, Docked"")=0,""0"",countif(query(filter('Data Recording'"&amp;"!R:R,'Data Recording'!D:D=B29), ""Select Col1""),""Yes, Engaged""))+countif(query(filter('Data Recording'!R:R,'Data Recording'!D:D=B29), ""Select Col1""),""Yes, Docked"") &amp; ""/"" &amp; if(COUNTA(query(ifna(filter('Data Recording'!R:R,'Data Recording'!D:D=B29)"&amp;",""""), ""Select Col1""))=0,""0"",COUNTA(query(ifna(filter('Data Recording'!R:R,'Data Recording'!D:D=B29),""""), ""Select Col1"")))"),"0/8")</f>
        <v>0/8</v>
      </c>
      <c r="AI29" s="60" t="str">
        <f>IFERROR(__xludf.DUMMYFUNCTION("if(countif(query(filter('Data Recording'!R:R,'Data Recording'!D:D=B29), ""Select Col1""),""Yes, Engaged"")=0,""0"",countif(query(filter('Data Recording'!R:R,'Data Recording'!D:D=B29), ""Select Col1""),""Yes, Engaged"")) &amp; ""/"" &amp; if(COUNTA(query(ifna(filt"&amp;"er('Data Recording'!R:R,'Data Recording'!D:D=B29),""""), ""Select Col1""))=0,""0"",COUNTA(query(ifna(filter('Data Recording'!R:R,'Data Recording'!D:D=B29),""""), ""Select Col1"")))"),"0/8")</f>
        <v>0/8</v>
      </c>
      <c r="AJ29" s="59">
        <f>IFERROR(__xludf.DUMMYFUNCTION("iferror(SUM(query(filter('Data Recording'!S:S,'Data Recording'!D:D=B29), ""Select Col1"")),""-"")"),0.0)</f>
        <v>0</v>
      </c>
      <c r="AK29" s="59">
        <f>IFERROR(__xludf.DUMMYFUNCTION("iferror(SUM(query(filter('Data Recording'!T:T,'Data Recording'!D:D=B29), ""Select Col1"")),""-"")"),0.0)</f>
        <v>0</v>
      </c>
      <c r="AL29" s="54" t="str">
        <f t="shared" si="7"/>
        <v>-</v>
      </c>
      <c r="AM29" s="55" t="str">
        <f>IFERROR(__xludf.DUMMYFUNCTION("iferror(AVERAGE(query(filter('Data Recording'!T:T,'Data Recording'!D:D=B29), ""Select Col1"")),""0.00"")"),"0.00")</f>
        <v>0.00</v>
      </c>
      <c r="AN29" s="61">
        <f>IFERROR(__xludf.DUMMYFUNCTION("iferror(MAX(query(filter('Data Recording'!T:T,'Data Recording'!D:D=B29), ""Select Col1"")),""-"")"),0.0)</f>
        <v>0</v>
      </c>
      <c r="AO29" s="62">
        <f>IFERROR(__xludf.DUMMYFUNCTION("iferror(SUM(query(filter('Data Recording'!U:U,'Data Recording'!D:D=B29), ""Select Col1"")),""-"")"),1.0)</f>
        <v>1</v>
      </c>
      <c r="AP29" s="62">
        <f>IFERROR(__xludf.DUMMYFUNCTION("iferror(SUM(query(filter('Data Recording'!V:V,'Data Recording'!D:D=B29), ""Select Col1"")),""-"")"),0.0)</f>
        <v>0</v>
      </c>
      <c r="AQ29" s="63">
        <f t="shared" si="8"/>
        <v>0</v>
      </c>
      <c r="AR29" s="64">
        <f>IFERROR(__xludf.DUMMYFUNCTION("iferror(AVERAGE(query(filter('Data Recording'!V:V,'Data Recording'!D:D=B29), ""Select Col1"")),""0.00"")"),0.0)</f>
        <v>0</v>
      </c>
      <c r="AS29" s="65">
        <f>IFERROR(__xludf.DUMMYFUNCTION("iferror(MAX(query(filter('Data Recording'!V:V,'Data Recording'!D:D=B29), ""Select Col1"")),""-"")"),0.0)</f>
        <v>0</v>
      </c>
      <c r="AT29" s="62">
        <f>IFERROR(__xludf.DUMMYFUNCTION("iferror(SUM(query(filter('Data Recording'!W:W,'Data Recording'!D:D=B29), ""Select Col1"")),""-"")"),8.0)</f>
        <v>8</v>
      </c>
      <c r="AU29" s="62">
        <f>IFERROR(__xludf.DUMMYFUNCTION("iferror(SUM(query(filter('Data Recording'!X:X,'Data Recording'!D:D=B29), ""Select Col1"")),""-"")"),7.0)</f>
        <v>7</v>
      </c>
      <c r="AV29" s="63">
        <f t="shared" si="9"/>
        <v>0.875</v>
      </c>
      <c r="AW29" s="64">
        <f>IFERROR(__xludf.DUMMYFUNCTION("iferror(AVERAGE(query(filter('Data Recording'!X:X,'Data Recording'!D:D=B29), ""Select Col1"")),""0.00"")"),1.0)</f>
        <v>1</v>
      </c>
      <c r="AX29" s="65">
        <f>IFERROR(__xludf.DUMMYFUNCTION("iferror(MAX(query(filter('Data Recording'!X:X,'Data Recording'!D:D=B29), ""Select Col1"")),""-"")"),2.0)</f>
        <v>2</v>
      </c>
      <c r="AY29" s="62">
        <f>IFERROR(__xludf.DUMMYFUNCTION("iferror(SUM(query(filter('Data Recording'!Y:Y,'Data Recording'!D:D=B29), ""Select Col1"")),""-"")"),1.0)</f>
        <v>1</v>
      </c>
      <c r="AZ29" s="62">
        <f>IFERROR(__xludf.DUMMYFUNCTION("iferror(SUM(query(filter('Data Recording'!Z:Z,'Data Recording'!D:D=B29), ""Select Col1"")),""-"")"),1.0)</f>
        <v>1</v>
      </c>
      <c r="BA29" s="63">
        <f t="shared" si="10"/>
        <v>1</v>
      </c>
      <c r="BB29" s="64">
        <f>IFERROR(__xludf.DUMMYFUNCTION("iferror(AVERAGE(query(filter('Data Recording'!Z:Z,'Data Recording'!D:D=B29), ""Select Col1"")),""0.00"")"),1.0)</f>
        <v>1</v>
      </c>
      <c r="BC29" s="65">
        <f>IFERROR(__xludf.DUMMYFUNCTION("iferror(MAX(query(filter('Data Recording'!Z:Z,'Data Recording'!D:D=B29), ""Select Col1"")),""-"")"),1.0)</f>
        <v>1</v>
      </c>
      <c r="BD29" s="62">
        <f>IFERROR(__xludf.DUMMYFUNCTION("iferror(SUM(query(filter('Data Recording'!AA:AA,'Data Recording'!D:D=B29), ""Select Col1"")),""-"")"),1.0)</f>
        <v>1</v>
      </c>
      <c r="BE29" s="62">
        <f>IFERROR(__xludf.DUMMYFUNCTION("iferror(SUM(query(filter('Data Recording'!AB:AB,'Data Recording'!D:D=B29), ""Select Col1"")),""-"")"),1.0)</f>
        <v>1</v>
      </c>
      <c r="BF29" s="63">
        <f t="shared" si="11"/>
        <v>1</v>
      </c>
      <c r="BG29" s="64">
        <f>IFERROR(__xludf.DUMMYFUNCTION("iferror(AVERAGE(query(filter('Data Recording'!AB:AB,'Data Recording'!D:D=B29), ""Select Col1"")),""0.00"")"),1.0)</f>
        <v>1</v>
      </c>
      <c r="BH29" s="65">
        <f>IFERROR(__xludf.DUMMYFUNCTION("iferror(MAX(query(filter('Data Recording'!AB:AB,'Data Recording'!D:D=B29), ""Select Col1"")),""-"")"),1.0)</f>
        <v>1</v>
      </c>
      <c r="BI29" s="62">
        <f>IFERROR(__xludf.DUMMYFUNCTION("iferror(SUM(query(filter('Data Recording'!AC:AC,'Data Recording'!D:D=B29), ""Select Col1"")),""-"")"),9.0)</f>
        <v>9</v>
      </c>
      <c r="BJ29" s="62">
        <f>IFERROR(__xludf.DUMMYFUNCTION("iferror(SUM(query(filter('Data Recording'!AD:AD,'Data Recording'!D:D=B29), ""Select Col1"")),""-"")"),7.0)</f>
        <v>7</v>
      </c>
      <c r="BK29" s="63">
        <f t="shared" si="12"/>
        <v>0.7777777778</v>
      </c>
      <c r="BL29" s="64">
        <f>IFERROR(__xludf.DUMMYFUNCTION("iferror(AVERAGE(query(filter('Data Recording'!AD:AD,'Data Recording'!D:D=B29), ""Select Col1"")),""0.00"")"),1.4)</f>
        <v>1.4</v>
      </c>
      <c r="BM29" s="65">
        <f>IFERROR(__xludf.DUMMYFUNCTION("iferror(MAX(query(filter('Data Recording'!AD:AD,'Data Recording'!D:D=B29), ""Select Col1"")),""-"")"),2.0)</f>
        <v>2</v>
      </c>
      <c r="BN29" s="66" t="str">
        <f>IFERROR(__xludf.DUMMYFUNCTION("if(countif(query(filter('Data Recording'!AE:AE,'Data Recording'!D:D=B29), ""Select Col1""),""Yes, Engaged"")+countif(query(filter('Data Recording'!AE:AE,'Data Recording'!D:D=B29), ""Select Col1""),""Yes, Docked"")=0,""0"",countif(query(filter('Data Record"&amp;"ing'!AE:AE,'Data Recording'!D:D=B29), ""Select Col1""),""Yes, Engaged""))+countif(query(filter('Data Recording'!AE:AE,'Data Recording'!D:D=B29), ""Select Col1""),""Yes, Docked"") &amp; ""/"" &amp; if(COUNTA(query(ifna(filter('Data Recording'!AE:AE,'Data Recording"&amp;"'!D:D=B29),""""), ""Select Col1""))=0,""0"",COUNTA(query(ifna(filter('Data Recording'!AE:AE,'Data Recording'!D:D=B29),""""), ""Select Col1"")))"),"2/8")</f>
        <v>2/8</v>
      </c>
      <c r="BO29" s="67" t="str">
        <f>IFERROR(__xludf.DUMMYFUNCTION("if(countif(query(filter('Data Recording'!AE:AE,'Data Recording'!D:D=B29), ""Select Col1""),""Yes, Engaged"")=0,""0"",countif(query(filter('Data Recording'!AE:AE,'Data Recording'!D:D=B29), ""Select Col1""),""Yes, Engaged"")) &amp; ""/"" &amp; if(COUNTA(query(ifna("&amp;"filter('Data Recording'!AE:AE,'Data Recording'!D:D=B29),""""), ""Select Col1""))=0,""0"",COUNTA(query(ifna(filter('Data Recording'!AE:AE,'Data Recording'!D:D=B29),""""), ""Select Col1"")))"),"2/8")</f>
        <v>2/8</v>
      </c>
      <c r="BP29" s="60" t="str">
        <f>IFERROR(__xludf.DUMMYFUNCTION("if(countif(query(filter('Data Recording'!AH:AH,'Data Recording'!D:D=B29), ""Select Col1""),""Yes"")=0,""0"",countif(query(filter('Data Recording'!AH:AH,'Data Recording'!D:D=B29), ""Select Col1""),""Yes"")) &amp; ""/"" &amp; if(COUNTA(query(ifna(filter('Data Recor"&amp;"ding'!AH:AH,'Data Recording'!D:D=B29),""""), ""Select Col1""))=0,""0"",COUNTA(query(ifna(filter('Data Recording'!AH:AH,'Data Recording'!D:D=B29),""""), ""Select Col1"")))"),"0/8")</f>
        <v>0/8</v>
      </c>
      <c r="BQ29" s="68">
        <v>0.0</v>
      </c>
      <c r="BR29" s="55">
        <f>IFERROR(__xludf.DUMMYFUNCTION("iferror(average(query(filter('Data Recording'!AF:AF,'Data Recording'!D:D=B29), ""Select Col1"")),""-"")"),1.375)</f>
        <v>1.375</v>
      </c>
      <c r="BS29" s="69">
        <f>IFERROR(__xludf.DUMMYFUNCTION("iferror(average(query(filter('Data Recording'!AG:AG,'Data Recording'!D:D=B29), ""Select Col1"")),""-"")"),0.125)</f>
        <v>0.125</v>
      </c>
      <c r="BT29" s="70">
        <f t="shared" si="13"/>
        <v>18.8</v>
      </c>
      <c r="BU29" s="70">
        <f>IFERROR(__xludf.DUMMYFUNCTION("iferror(AVERAGE(query(filter('Data Recording'!AJ:AJ,'Data Recording'!D:D=B29), ""Select Col1"")),""-"")"),13.75)</f>
        <v>13.75</v>
      </c>
      <c r="BV29" s="70">
        <f>IFERROR(__xludf.DUMMYFUNCTION("iferror(AVERAGE(query(filter('Data Recording'!AK:AK,'Data Recording'!D:D=B29), ""Select Col1"")),""-"")"),6.375)</f>
        <v>6.375</v>
      </c>
      <c r="BW29" s="70">
        <f t="shared" si="14"/>
        <v>15.8</v>
      </c>
      <c r="BX29" s="71">
        <f>IFERROR(__xludf.DUMMYFUNCTION("iferror(max(query(filter('Data Recording'!AJ:AJ,'Data Recording'!D:D=B29), ""Select Col1"")),""-"")"),18.0)</f>
        <v>18</v>
      </c>
      <c r="BY29" s="72">
        <f>IFERROR(__xludf.DUMMYFUNCTION("iferror(MIN(query(filter('Data Recording'!AJ:AJ,'Data Recording'!D:D=B29), ""Select Col1"")),""-"")"),11.0)</f>
        <v>11</v>
      </c>
      <c r="BZ29" s="73" t="str">
        <f>IFERROR(__xludf.DUMMYFUNCTION("iferror(if(DIVIDE(COUNTIF(query(filter('Data Recording'!R:R,'Data Recording'!D:D=B29), ""Select Col1""),""Yes, Docked"") + countif(query(filter('Data Recording'!R:R,'Data Recording'!D:D=B29), ""Select Col1""),""Yes, Engaged""),COUNTA(query(ifna(filter('Da"&amp;"ta Recording'!R:R,'Data Recording'!D:D=B29),""""), ""Select Col1"")))&gt;=(0.5),""1"",""0""),""-"")"),"0")</f>
        <v>0</v>
      </c>
      <c r="CA29" s="59" t="str">
        <f>IFERROR(__xludf.DUMMYFUNCTION("iferror(if(countif(query(filter('Data Recording'!R:R,'Data Recording'!D:D=B29), ""Select Col1""),""Yes, Engaged"")/COUNTA(query(ifna(filter('Data Recording'!R:R,'Data Recording'!D:D=B29),""""), ""Select Col1""))&gt;=(0.5),""1"",""0""),""-"")"),"0")</f>
        <v>0</v>
      </c>
      <c r="CB29" s="74" t="str">
        <f>IFERROR(__xludf.DUMMYFUNCTION("iferror(if(DIVIDE(COUNTIF(query(filter('Data Recording'!AE:AE,'Data Recording'!D:D=B29), ""Select Col1""),""Yes, Docked"") + countif(query(filter('Data Recording'!AE:AE,'Data Recording'!D:D=B29), ""Select Col1""),""Yes, Engaged""),COUNTA(query(ifna(filter"&amp;"('Data Recording'!AE:AE,'Data Recording'!D:D=B29),""""), ""Select Col1"")))&gt;=(0.5),""1"",""0""),""-"")"),"0")</f>
        <v>0</v>
      </c>
      <c r="CC29" s="59" t="str">
        <f>IFERROR(__xludf.DUMMYFUNCTION("iferror(if(countif(query(filter('Data Recording'!AE:AE,'Data Recording'!D:D=B29), ""Select Col1""),""Yes, Engaged"")/COUNTA(query(ifna(filter('Data Recording'!AE:AE,'Data Recording'!D:D=B29),""""), ""Select Col1""))&gt;=(0.5),""1"",""0""),""-"")"),"0")</f>
        <v>0</v>
      </c>
      <c r="CD29" s="74" t="str">
        <f>IFERROR(__xludf.DUMMYFUNCTION("iferror(if(DIVIDE(countif(query(filter('Data Recording'!E:E,'Data Recording'!D:D=B29), ""Select Col1""),""Yes""),COUNTA(query(ifna(filter('Data Recording'!E:E,'Data Recording'!D:D=B29),""""), ""Select Col1"")))&gt;=(0.5),""1"",""0""),""-"")"),"1")</f>
        <v>1</v>
      </c>
    </row>
    <row r="30">
      <c r="A30" s="51" t="s">
        <v>63</v>
      </c>
      <c r="B30" s="51">
        <v>6615.0</v>
      </c>
      <c r="C30" s="52" t="str">
        <f>IFERROR(__xludf.DUMMYFUNCTION("if(countif(query(filter('Data Recording'!E:E,'Data Recording'!D:D=B30), ""Select Col1""),""Yes"")=0,""0"",countif(query(filter('Data Recording'!E:E,'Data Recording'!D:D=B30), ""Select Col1""),""Yes"")) &amp; ""/"" &amp; if(COUNTA(query(ifna(filter('Data Recording"&amp;"'!E:E,'Data Recording'!D:D=B30),""""), ""Select Col1""))=0,""0"",COUNTA(query(ifna(filter('Data Recording'!E:E,'Data Recording'!D:D=B30),""""), ""Select Col1"")))"),"2/3")</f>
        <v>2/3</v>
      </c>
      <c r="D30" s="53">
        <f>IFERROR(__xludf.DUMMYFUNCTION("iferror(SUM(query(filter('Data Recording'!F:F,'Data Recording'!D:D=B30), ""Select Col1"")),""-"")"),0.0)</f>
        <v>0</v>
      </c>
      <c r="E30" s="53">
        <f>IFERROR(__xludf.DUMMYFUNCTION("iferror(SUM(query(filter('Data Recording'!G:G,'Data Recording'!D:D=B30), ""Select Col1"")),""-"")"),0.0)</f>
        <v>0</v>
      </c>
      <c r="F30" s="54" t="str">
        <f t="shared" si="1"/>
        <v>-</v>
      </c>
      <c r="G30" s="55" t="str">
        <f>IFERROR(__xludf.DUMMYFUNCTION("iferror(AVERAGE(query(filter('Data Recording'!G:G,'Data Recording'!D:D=B30), ""Select Col1"")),""0.00"")"),"0.00")</f>
        <v>0.00</v>
      </c>
      <c r="H30" s="53">
        <f>IFERROR(__xludf.DUMMYFUNCTION("iferror(MAX(query(filter('Data Recording'!G:G,'Data Recording'!D:D=B30), ""Select Col1"")),""-"")"),0.0)</f>
        <v>0</v>
      </c>
      <c r="I30" s="56">
        <f>IFERROR(__xludf.DUMMYFUNCTION("iferror(SUM(query(filter('Data Recording'!H:H,'Data Recording'!D:D=B30), ""Select Col1"")),""-"")"),0.0)</f>
        <v>0</v>
      </c>
      <c r="J30" s="57">
        <f>IFERROR(__xludf.DUMMYFUNCTION("iferror(SUM(query(filter('Data Recording'!I:I,'Data Recording'!D:D=B30), ""Select Col1"")),""-"")"),0.0)</f>
        <v>0</v>
      </c>
      <c r="K30" s="54" t="str">
        <f t="shared" si="2"/>
        <v>-</v>
      </c>
      <c r="L30" s="55" t="str">
        <f>IFERROR(__xludf.DUMMYFUNCTION("iferror(AVERAGE(query(filter('Data Recording'!I:I,'Data Recording'!D:D=B30), ""Select Col1"")),""0.00"")"),"0.00")</f>
        <v>0.00</v>
      </c>
      <c r="M30" s="53">
        <f>IFERROR(__xludf.DUMMYFUNCTION("iferror(MAX(query(filter('Data Recording'!I:I,'Data Recording'!D:D=B30), ""Select Col1"")),""-"")"),0.0)</f>
        <v>0</v>
      </c>
      <c r="N30" s="58">
        <f>IFERROR(__xludf.DUMMYFUNCTION("iferror(SUM(query(filter('Data Recording'!J:J,'Data Recording'!D:D=B30), ""Select Col1"")),""-"")"),0.0)</f>
        <v>0</v>
      </c>
      <c r="O30" s="59">
        <f>IFERROR(__xludf.DUMMYFUNCTION("iferror(SUM(query(filter('Data Recording'!K:K,'Data Recording'!D:D=B30), ""Select Col1"")),""-"")"),0.0)</f>
        <v>0</v>
      </c>
      <c r="P30" s="54" t="str">
        <f t="shared" si="3"/>
        <v>-</v>
      </c>
      <c r="Q30" s="55" t="str">
        <f>IFERROR(__xludf.DUMMYFUNCTION("iferror(AVERAGE(query(filter('Data Recording'!K:K,'Data Recording'!D:D=B30), ""Select Col1"")),""0.00"")"),"0.00")</f>
        <v>0.00</v>
      </c>
      <c r="R30" s="53">
        <f>IFERROR(__xludf.DUMMYFUNCTION("iferror(MAX(query(filter('Data Recording'!K:K,'Data Recording'!D:D=B30), ""Select Col1"")),""-"")"),0.0)</f>
        <v>0</v>
      </c>
      <c r="S30" s="58">
        <f>IFERROR(__xludf.DUMMYFUNCTION("iferror(SUM(query(filter('Data Recording'!L:L,'Data Recording'!D:D=B30), ""Select Col1"")),""-"")"),2.0)</f>
        <v>2</v>
      </c>
      <c r="T30" s="59">
        <f>IFERROR(__xludf.DUMMYFUNCTION("iferror(SUM(query(filter('Data Recording'!M:M,'Data Recording'!D:D=B30), ""Select Col1"")),""-"")"),2.0)</f>
        <v>2</v>
      </c>
      <c r="U30" s="54">
        <f t="shared" si="4"/>
        <v>1</v>
      </c>
      <c r="V30" s="55">
        <f>IFERROR(__xludf.DUMMYFUNCTION("iferror(AVERAGE(query(filter('Data Recording'!M:M,'Data Recording'!D:D=B30), ""Select Col1"")),""-"")"),1.0)</f>
        <v>1</v>
      </c>
      <c r="W30" s="52">
        <f>IFERROR(__xludf.DUMMYFUNCTION("iferror(MAX(query(filter('Data Recording'!M:M,'Data Recording'!D:D=B30), ""Select Col1"")),""-"")"),1.0)</f>
        <v>1</v>
      </c>
      <c r="X30" s="59">
        <f>IFERROR(__xludf.DUMMYFUNCTION("iferror(SUM(query(filter('Data Recording'!N:N,'Data Recording'!D:D=B30), ""Select Col1"")),""-"")"),0.0)</f>
        <v>0</v>
      </c>
      <c r="Y30" s="59">
        <f>IFERROR(__xludf.DUMMYFUNCTION("iferror(SUM(query(filter('Data Recording'!O:O,'Data Recording'!D:D=B30), ""Select Col1"")),""-"")"),0.0)</f>
        <v>0</v>
      </c>
      <c r="Z30" s="54" t="str">
        <f t="shared" si="5"/>
        <v>-</v>
      </c>
      <c r="AA30" s="55">
        <f>IFERROR(__xludf.DUMMYFUNCTION("iferror(AVERAGE(query(filter('Data Recording'!O:O,'Data Recording'!D:D=B30), ""Select Col1"")),""0.00"")"),0.0)</f>
        <v>0</v>
      </c>
      <c r="AB30" s="52">
        <f>IFERROR(__xludf.DUMMYFUNCTION("iferror(MAX(query(filter('Data Recording'!O:O,'Data Recording'!D:D=B30), ""Select Col1"")),""-"")"),0.0)</f>
        <v>0</v>
      </c>
      <c r="AC30" s="59">
        <f>IFERROR(__xludf.DUMMYFUNCTION("iferror(SUM(query(filter('Data Recording'!P:P,'Data Recording'!D:D=B30), ""Select Col1"")),""-"")"),0.0)</f>
        <v>0</v>
      </c>
      <c r="AD30" s="59">
        <f>IFERROR(__xludf.DUMMYFUNCTION("iferror(SUM(query(filter('Data Recording'!Q:Q,'Data Recording'!D:D=B30), ""Select Col1"")),""-"")"),0.0)</f>
        <v>0</v>
      </c>
      <c r="AE30" s="54" t="str">
        <f t="shared" si="6"/>
        <v>-</v>
      </c>
      <c r="AF30" s="55" t="str">
        <f>IFERROR(__xludf.DUMMYFUNCTION("iferror(AVERAGE(query(filter('Data Recording'!Q:Q,'Data Recording'!D:D=B30), ""Select Col1"")),""0.00"")"),"0.00")</f>
        <v>0.00</v>
      </c>
      <c r="AG30" s="59">
        <f>IFERROR(__xludf.DUMMYFUNCTION("iferror(MAX(query(filter('Data Recording'!Q:Q,'Data Recording'!D:D=B30), ""Select Col1"")),""-"")"),0.0)</f>
        <v>0</v>
      </c>
      <c r="AH30" s="58" t="str">
        <f>IFERROR(__xludf.DUMMYFUNCTION("if(countif(query(filter('Data Recording'!R:R,'Data Recording'!D:D=B30), ""Select Col1""),""Yes, Engaged"")+countif(query(filter('Data Recording'!R:R,'Data Recording'!D:D=B30), ""Select Col1""),""Yes, Docked"")=0,""0"",countif(query(filter('Data Recording'"&amp;"!R:R,'Data Recording'!D:D=B30), ""Select Col1""),""Yes, Engaged""))+countif(query(filter('Data Recording'!R:R,'Data Recording'!D:D=B30), ""Select Col1""),""Yes, Docked"") &amp; ""/"" &amp; if(COUNTA(query(ifna(filter('Data Recording'!R:R,'Data Recording'!D:D=B30)"&amp;",""""), ""Select Col1""))=0,""0"",COUNTA(query(ifna(filter('Data Recording'!R:R,'Data Recording'!D:D=B30),""""), ""Select Col1"")))"),"0/3")</f>
        <v>0/3</v>
      </c>
      <c r="AI30" s="60" t="str">
        <f>IFERROR(__xludf.DUMMYFUNCTION("if(countif(query(filter('Data Recording'!R:R,'Data Recording'!D:D=B30), ""Select Col1""),""Yes, Engaged"")=0,""0"",countif(query(filter('Data Recording'!R:R,'Data Recording'!D:D=B30), ""Select Col1""),""Yes, Engaged"")) &amp; ""/"" &amp; if(COUNTA(query(ifna(filt"&amp;"er('Data Recording'!R:R,'Data Recording'!D:D=B30),""""), ""Select Col1""))=0,""0"",COUNTA(query(ifna(filter('Data Recording'!R:R,'Data Recording'!D:D=B30),""""), ""Select Col1"")))"),"0/3")</f>
        <v>0/3</v>
      </c>
      <c r="AJ30" s="59">
        <f>IFERROR(__xludf.DUMMYFUNCTION("iferror(SUM(query(filter('Data Recording'!S:S,'Data Recording'!D:D=B30), ""Select Col1"")),""-"")"),0.0)</f>
        <v>0</v>
      </c>
      <c r="AK30" s="59">
        <f>IFERROR(__xludf.DUMMYFUNCTION("iferror(SUM(query(filter('Data Recording'!T:T,'Data Recording'!D:D=B30), ""Select Col1"")),""-"")"),0.0)</f>
        <v>0</v>
      </c>
      <c r="AL30" s="54" t="str">
        <f t="shared" si="7"/>
        <v>-</v>
      </c>
      <c r="AM30" s="55" t="str">
        <f>IFERROR(__xludf.DUMMYFUNCTION("iferror(AVERAGE(query(filter('Data Recording'!T:T,'Data Recording'!D:D=B30), ""Select Col1"")),""0.00"")"),"0.00")</f>
        <v>0.00</v>
      </c>
      <c r="AN30" s="61">
        <f>IFERROR(__xludf.DUMMYFUNCTION("iferror(MAX(query(filter('Data Recording'!T:T,'Data Recording'!D:D=B30), ""Select Col1"")),""-"")"),0.0)</f>
        <v>0</v>
      </c>
      <c r="AO30" s="62">
        <f>IFERROR(__xludf.DUMMYFUNCTION("iferror(SUM(query(filter('Data Recording'!U:U,'Data Recording'!D:D=B30), ""Select Col1"")),""-"")"),0.0)</f>
        <v>0</v>
      </c>
      <c r="AP30" s="62">
        <f>IFERROR(__xludf.DUMMYFUNCTION("iferror(SUM(query(filter('Data Recording'!V:V,'Data Recording'!D:D=B30), ""Select Col1"")),""-"")"),0.0)</f>
        <v>0</v>
      </c>
      <c r="AQ30" s="63" t="str">
        <f t="shared" si="8"/>
        <v>-</v>
      </c>
      <c r="AR30" s="64" t="str">
        <f>IFERROR(__xludf.DUMMYFUNCTION("iferror(AVERAGE(query(filter('Data Recording'!V:V,'Data Recording'!D:D=B30), ""Select Col1"")),""0.00"")"),"0.00")</f>
        <v>0.00</v>
      </c>
      <c r="AS30" s="65">
        <f>IFERROR(__xludf.DUMMYFUNCTION("iferror(MAX(query(filter('Data Recording'!V:V,'Data Recording'!D:D=B30), ""Select Col1"")),""-"")"),0.0)</f>
        <v>0</v>
      </c>
      <c r="AT30" s="62">
        <f>IFERROR(__xludf.DUMMYFUNCTION("iferror(SUM(query(filter('Data Recording'!W:W,'Data Recording'!D:D=B30), ""Select Col1"")),""-"")"),0.0)</f>
        <v>0</v>
      </c>
      <c r="AU30" s="62">
        <f>IFERROR(__xludf.DUMMYFUNCTION("iferror(SUM(query(filter('Data Recording'!X:X,'Data Recording'!D:D=B30), ""Select Col1"")),""-"")"),0.0)</f>
        <v>0</v>
      </c>
      <c r="AV30" s="63" t="str">
        <f t="shared" si="9"/>
        <v>-</v>
      </c>
      <c r="AW30" s="64" t="str">
        <f>IFERROR(__xludf.DUMMYFUNCTION("iferror(AVERAGE(query(filter('Data Recording'!X:X,'Data Recording'!D:D=B30), ""Select Col1"")),""0.00"")"),"0.00")</f>
        <v>0.00</v>
      </c>
      <c r="AX30" s="65">
        <f>IFERROR(__xludf.DUMMYFUNCTION("iferror(MAX(query(filter('Data Recording'!X:X,'Data Recording'!D:D=B30), ""Select Col1"")),""-"")"),0.0)</f>
        <v>0</v>
      </c>
      <c r="AY30" s="62">
        <f>IFERROR(__xludf.DUMMYFUNCTION("iferror(SUM(query(filter('Data Recording'!Y:Y,'Data Recording'!D:D=B30), ""Select Col1"")),""-"")"),2.0)</f>
        <v>2</v>
      </c>
      <c r="AZ30" s="62">
        <f>IFERROR(__xludf.DUMMYFUNCTION("iferror(SUM(query(filter('Data Recording'!Z:Z,'Data Recording'!D:D=B30), ""Select Col1"")),""-"")"),2.0)</f>
        <v>2</v>
      </c>
      <c r="BA30" s="63">
        <f t="shared" si="10"/>
        <v>1</v>
      </c>
      <c r="BB30" s="64">
        <f>IFERROR(__xludf.DUMMYFUNCTION("iferror(AVERAGE(query(filter('Data Recording'!Z:Z,'Data Recording'!D:D=B30), ""Select Col1"")),""0.00"")"),1.0)</f>
        <v>1</v>
      </c>
      <c r="BC30" s="65">
        <f>IFERROR(__xludf.DUMMYFUNCTION("iferror(MAX(query(filter('Data Recording'!Z:Z,'Data Recording'!D:D=B30), ""Select Col1"")),""-"")"),1.0)</f>
        <v>1</v>
      </c>
      <c r="BD30" s="62">
        <f>IFERROR(__xludf.DUMMYFUNCTION("iferror(SUM(query(filter('Data Recording'!AA:AA,'Data Recording'!D:D=B30), ""Select Col1"")),""-"")"),0.0)</f>
        <v>0</v>
      </c>
      <c r="BE30" s="62">
        <f>IFERROR(__xludf.DUMMYFUNCTION("iferror(SUM(query(filter('Data Recording'!AB:AB,'Data Recording'!D:D=B30), ""Select Col1"")),""-"")"),0.0)</f>
        <v>0</v>
      </c>
      <c r="BF30" s="63" t="str">
        <f t="shared" si="11"/>
        <v>-</v>
      </c>
      <c r="BG30" s="64" t="str">
        <f>IFERROR(__xludf.DUMMYFUNCTION("iferror(AVERAGE(query(filter('Data Recording'!AB:AB,'Data Recording'!D:D=B30), ""Select Col1"")),""0.00"")"),"0.00")</f>
        <v>0.00</v>
      </c>
      <c r="BH30" s="65">
        <f>IFERROR(__xludf.DUMMYFUNCTION("iferror(MAX(query(filter('Data Recording'!AB:AB,'Data Recording'!D:D=B30), ""Select Col1"")),""-"")"),0.0)</f>
        <v>0</v>
      </c>
      <c r="BI30" s="62">
        <f>IFERROR(__xludf.DUMMYFUNCTION("iferror(SUM(query(filter('Data Recording'!AC:AC,'Data Recording'!D:D=B30), ""Select Col1"")),""-"")"),0.0)</f>
        <v>0</v>
      </c>
      <c r="BJ30" s="62">
        <f>IFERROR(__xludf.DUMMYFUNCTION("iferror(SUM(query(filter('Data Recording'!AD:AD,'Data Recording'!D:D=B30), ""Select Col1"")),""-"")"),0.0)</f>
        <v>0</v>
      </c>
      <c r="BK30" s="63" t="str">
        <f t="shared" si="12"/>
        <v>-</v>
      </c>
      <c r="BL30" s="64" t="str">
        <f>IFERROR(__xludf.DUMMYFUNCTION("iferror(AVERAGE(query(filter('Data Recording'!AD:AD,'Data Recording'!D:D=B30), ""Select Col1"")),""0.00"")"),"0.00")</f>
        <v>0.00</v>
      </c>
      <c r="BM30" s="65">
        <f>IFERROR(__xludf.DUMMYFUNCTION("iferror(MAX(query(filter('Data Recording'!AD:AD,'Data Recording'!D:D=B30), ""Select Col1"")),""-"")"),0.0)</f>
        <v>0</v>
      </c>
      <c r="BN30" s="66" t="str">
        <f>IFERROR(__xludf.DUMMYFUNCTION("if(countif(query(filter('Data Recording'!AE:AE,'Data Recording'!D:D=B30), ""Select Col1""),""Yes, Engaged"")+countif(query(filter('Data Recording'!AE:AE,'Data Recording'!D:D=B30), ""Select Col1""),""Yes, Docked"")=0,""0"",countif(query(filter('Data Record"&amp;"ing'!AE:AE,'Data Recording'!D:D=B30), ""Select Col1""),""Yes, Engaged""))+countif(query(filter('Data Recording'!AE:AE,'Data Recording'!D:D=B30), ""Select Col1""),""Yes, Docked"") &amp; ""/"" &amp; if(COUNTA(query(ifna(filter('Data Recording'!AE:AE,'Data Recording"&amp;"'!D:D=B30),""""), ""Select Col1""))=0,""0"",COUNTA(query(ifna(filter('Data Recording'!AE:AE,'Data Recording'!D:D=B30),""""), ""Select Col1"")))"),"1/3")</f>
        <v>1/3</v>
      </c>
      <c r="BO30" s="67" t="str">
        <f>IFERROR(__xludf.DUMMYFUNCTION("if(countif(query(filter('Data Recording'!AE:AE,'Data Recording'!D:D=B30), ""Select Col1""),""Yes, Engaged"")=0,""0"",countif(query(filter('Data Recording'!AE:AE,'Data Recording'!D:D=B30), ""Select Col1""),""Yes, Engaged"")) &amp; ""/"" &amp; if(COUNTA(query(ifna("&amp;"filter('Data Recording'!AE:AE,'Data Recording'!D:D=B30),""""), ""Select Col1""))=0,""0"",COUNTA(query(ifna(filter('Data Recording'!AE:AE,'Data Recording'!D:D=B30),""""), ""Select Col1"")))"),"1/3")</f>
        <v>1/3</v>
      </c>
      <c r="BP30" s="60" t="str">
        <f>IFERROR(__xludf.DUMMYFUNCTION("if(countif(query(filter('Data Recording'!AH:AH,'Data Recording'!D:D=B30), ""Select Col1""),""Yes"")=0,""0"",countif(query(filter('Data Recording'!AH:AH,'Data Recording'!D:D=B30), ""Select Col1""),""Yes"")) &amp; ""/"" &amp; if(COUNTA(query(ifna(filter('Data Recor"&amp;"ding'!AH:AH,'Data Recording'!D:D=B30),""""), ""Select Col1""))=0,""0"",COUNTA(query(ifna(filter('Data Recording'!AH:AH,'Data Recording'!D:D=B30),""""), ""Select Col1"")))"),"2/3")</f>
        <v>2/3</v>
      </c>
      <c r="BQ30" s="75">
        <v>0.6666</v>
      </c>
      <c r="BR30" s="55">
        <f>IFERROR(__xludf.DUMMYFUNCTION("iferror(average(query(filter('Data Recording'!AF:AF,'Data Recording'!D:D=B30), ""Select Col1"")),""-"")"),1.3333333333333333)</f>
        <v>1.333333333</v>
      </c>
      <c r="BS30" s="69">
        <f>IFERROR(__xludf.DUMMYFUNCTION("iferror(average(query(filter('Data Recording'!AG:AG,'Data Recording'!D:D=B30), ""Select Col1"")),""-"")"),0.0)</f>
        <v>0</v>
      </c>
      <c r="BT30" s="70">
        <f t="shared" si="13"/>
        <v>14</v>
      </c>
      <c r="BU30" s="70">
        <f>IFERROR(__xludf.DUMMYFUNCTION("iferror(AVERAGE(query(filter('Data Recording'!AJ:AJ,'Data Recording'!D:D=B30), ""Select Col1"")),""-"")"),13.666666666666666)</f>
        <v>13.66666667</v>
      </c>
      <c r="BV30" s="70">
        <f>IFERROR(__xludf.DUMMYFUNCTION("iferror(AVERAGE(query(filter('Data Recording'!AK:AK,'Data Recording'!D:D=B30), ""Select Col1"")),""-"")"),7.333333333333333)</f>
        <v>7.333333333</v>
      </c>
      <c r="BW30" s="70">
        <f t="shared" si="14"/>
        <v>11</v>
      </c>
      <c r="BX30" s="71">
        <f>IFERROR(__xludf.DUMMYFUNCTION("iferror(max(query(filter('Data Recording'!AJ:AJ,'Data Recording'!D:D=B30), ""Select Col1"")),""-"")"),24.0)</f>
        <v>24</v>
      </c>
      <c r="BY30" s="72">
        <f>IFERROR(__xludf.DUMMYFUNCTION("iferror(MIN(query(filter('Data Recording'!AJ:AJ,'Data Recording'!D:D=B30), ""Select Col1"")),""-"")"),5.0)</f>
        <v>5</v>
      </c>
      <c r="BZ30" s="73" t="str">
        <f>IFERROR(__xludf.DUMMYFUNCTION("iferror(if(DIVIDE(COUNTIF(query(filter('Data Recording'!R:R,'Data Recording'!D:D=B30), ""Select Col1""),""Yes, Docked"") + countif(query(filter('Data Recording'!R:R,'Data Recording'!D:D=B30), ""Select Col1""),""Yes, Engaged""),COUNTA(query(ifna(filter('Da"&amp;"ta Recording'!R:R,'Data Recording'!D:D=B30),""""), ""Select Col1"")))&gt;=(0.5),""1"",""0""),""-"")"),"0")</f>
        <v>0</v>
      </c>
      <c r="CA30" s="59" t="str">
        <f>IFERROR(__xludf.DUMMYFUNCTION("iferror(if(countif(query(filter('Data Recording'!R:R,'Data Recording'!D:D=B30), ""Select Col1""),""Yes, Engaged"")/COUNTA(query(ifna(filter('Data Recording'!R:R,'Data Recording'!D:D=B30),""""), ""Select Col1""))&gt;=(0.5),""1"",""0""),""-"")"),"0")</f>
        <v>0</v>
      </c>
      <c r="CB30" s="74" t="str">
        <f>IFERROR(__xludf.DUMMYFUNCTION("iferror(if(DIVIDE(COUNTIF(query(filter('Data Recording'!AE:AE,'Data Recording'!D:D=B30), ""Select Col1""),""Yes, Docked"") + countif(query(filter('Data Recording'!AE:AE,'Data Recording'!D:D=B30), ""Select Col1""),""Yes, Engaged""),COUNTA(query(ifna(filter"&amp;"('Data Recording'!AE:AE,'Data Recording'!D:D=B30),""""), ""Select Col1"")))&gt;=(0.5),""1"",""0""),""-"")"),"0")</f>
        <v>0</v>
      </c>
      <c r="CC30" s="59" t="str">
        <f>IFERROR(__xludf.DUMMYFUNCTION("iferror(if(countif(query(filter('Data Recording'!AE:AE,'Data Recording'!D:D=B30), ""Select Col1""),""Yes, Engaged"")/COUNTA(query(ifna(filter('Data Recording'!AE:AE,'Data Recording'!D:D=B30),""""), ""Select Col1""))&gt;=(0.5),""1"",""0""),""-"")"),"0")</f>
        <v>0</v>
      </c>
      <c r="CD30" s="74" t="str">
        <f>IFERROR(__xludf.DUMMYFUNCTION("iferror(if(DIVIDE(countif(query(filter('Data Recording'!E:E,'Data Recording'!D:D=B30), ""Select Col1""),""Yes""),COUNTA(query(ifna(filter('Data Recording'!E:E,'Data Recording'!D:D=B30),""""), ""Select Col1"")))&gt;=(0.5),""1"",""0""),""-"")"),"1")</f>
        <v>1</v>
      </c>
    </row>
    <row r="31">
      <c r="A31" s="51" t="s">
        <v>64</v>
      </c>
      <c r="B31" s="51">
        <v>1076.0</v>
      </c>
      <c r="C31" s="52" t="str">
        <f>IFERROR(__xludf.DUMMYFUNCTION("if(countif(query(filter('Data Recording'!E:E,'Data Recording'!D:D=B31), ""Select Col1""),""Yes"")=0,""0"",countif(query(filter('Data Recording'!E:E,'Data Recording'!D:D=B31), ""Select Col1""),""Yes"")) &amp; ""/"" &amp; if(COUNTA(query(ifna(filter('Data Recording"&amp;"'!E:E,'Data Recording'!D:D=B31),""""), ""Select Col1""))=0,""0"",COUNTA(query(ifna(filter('Data Recording'!E:E,'Data Recording'!D:D=B31),""""), ""Select Col1"")))"),"5/12")</f>
        <v>5/12</v>
      </c>
      <c r="D31" s="53">
        <f>IFERROR(__xludf.DUMMYFUNCTION("iferror(SUM(query(filter('Data Recording'!F:F,'Data Recording'!D:D=B31), ""Select Col1"")),""-"")"),0.0)</f>
        <v>0</v>
      </c>
      <c r="E31" s="53">
        <f>IFERROR(__xludf.DUMMYFUNCTION("iferror(SUM(query(filter('Data Recording'!G:G,'Data Recording'!D:D=B31), ""Select Col1"")),""-"")"),0.0)</f>
        <v>0</v>
      </c>
      <c r="F31" s="54" t="str">
        <f t="shared" si="1"/>
        <v>-</v>
      </c>
      <c r="G31" s="55" t="str">
        <f>IFERROR(__xludf.DUMMYFUNCTION("iferror(AVERAGE(query(filter('Data Recording'!G:G,'Data Recording'!D:D=B31), ""Select Col1"")),""0.00"")"),"0.00")</f>
        <v>0.00</v>
      </c>
      <c r="H31" s="53">
        <f>IFERROR(__xludf.DUMMYFUNCTION("iferror(MAX(query(filter('Data Recording'!G:G,'Data Recording'!D:D=B31), ""Select Col1"")),""-"")"),0.0)</f>
        <v>0</v>
      </c>
      <c r="I31" s="56">
        <f>IFERROR(__xludf.DUMMYFUNCTION("iferror(SUM(query(filter('Data Recording'!H:H,'Data Recording'!D:D=B31), ""Select Col1"")),""-"")"),4.0)</f>
        <v>4</v>
      </c>
      <c r="J31" s="57">
        <f>IFERROR(__xludf.DUMMYFUNCTION("iferror(SUM(query(filter('Data Recording'!I:I,'Data Recording'!D:D=B31), ""Select Col1"")),""-"")"),3.0)</f>
        <v>3</v>
      </c>
      <c r="K31" s="54">
        <f t="shared" si="2"/>
        <v>0.75</v>
      </c>
      <c r="L31" s="55">
        <f>IFERROR(__xludf.DUMMYFUNCTION("iferror(AVERAGE(query(filter('Data Recording'!I:I,'Data Recording'!D:D=B31), ""Select Col1"")),""0.00"")"),1.0)</f>
        <v>1</v>
      </c>
      <c r="M31" s="53">
        <f>IFERROR(__xludf.DUMMYFUNCTION("iferror(MAX(query(filter('Data Recording'!I:I,'Data Recording'!D:D=B31), ""Select Col1"")),""-"")"),1.0)</f>
        <v>1</v>
      </c>
      <c r="N31" s="58">
        <f>IFERROR(__xludf.DUMMYFUNCTION("iferror(SUM(query(filter('Data Recording'!J:J,'Data Recording'!D:D=B31), ""Select Col1"")),""-"")"),0.0)</f>
        <v>0</v>
      </c>
      <c r="O31" s="59">
        <f>IFERROR(__xludf.DUMMYFUNCTION("iferror(SUM(query(filter('Data Recording'!K:K,'Data Recording'!D:D=B31), ""Select Col1"")),""-"")"),0.0)</f>
        <v>0</v>
      </c>
      <c r="P31" s="54" t="str">
        <f t="shared" si="3"/>
        <v>-</v>
      </c>
      <c r="Q31" s="55" t="str">
        <f>IFERROR(__xludf.DUMMYFUNCTION("iferror(AVERAGE(query(filter('Data Recording'!K:K,'Data Recording'!D:D=B31), ""Select Col1"")),""0.00"")"),"0.00")</f>
        <v>0.00</v>
      </c>
      <c r="R31" s="53">
        <f>IFERROR(__xludf.DUMMYFUNCTION("iferror(MAX(query(filter('Data Recording'!K:K,'Data Recording'!D:D=B31), ""Select Col1"")),""-"")"),0.0)</f>
        <v>0</v>
      </c>
      <c r="S31" s="58">
        <f>IFERROR(__xludf.DUMMYFUNCTION("iferror(SUM(query(filter('Data Recording'!L:L,'Data Recording'!D:D=B31), ""Select Col1"")),""-"")"),0.0)</f>
        <v>0</v>
      </c>
      <c r="T31" s="59">
        <f>IFERROR(__xludf.DUMMYFUNCTION("iferror(SUM(query(filter('Data Recording'!M:M,'Data Recording'!D:D=B31), ""Select Col1"")),""-"")"),0.0)</f>
        <v>0</v>
      </c>
      <c r="U31" s="54" t="str">
        <f t="shared" si="4"/>
        <v>-</v>
      </c>
      <c r="V31" s="55" t="str">
        <f>IFERROR(__xludf.DUMMYFUNCTION("iferror(AVERAGE(query(filter('Data Recording'!M:M,'Data Recording'!D:D=B31), ""Select Col1"")),""-"")"),"-")</f>
        <v>-</v>
      </c>
      <c r="W31" s="52">
        <f>IFERROR(__xludf.DUMMYFUNCTION("iferror(MAX(query(filter('Data Recording'!M:M,'Data Recording'!D:D=B31), ""Select Col1"")),""-"")"),0.0)</f>
        <v>0</v>
      </c>
      <c r="X31" s="59">
        <f>IFERROR(__xludf.DUMMYFUNCTION("iferror(SUM(query(filter('Data Recording'!N:N,'Data Recording'!D:D=B31), ""Select Col1"")),""-"")"),0.0)</f>
        <v>0</v>
      </c>
      <c r="Y31" s="59">
        <f>IFERROR(__xludf.DUMMYFUNCTION("iferror(SUM(query(filter('Data Recording'!O:O,'Data Recording'!D:D=B31), ""Select Col1"")),""-"")"),0.0)</f>
        <v>0</v>
      </c>
      <c r="Z31" s="54" t="str">
        <f t="shared" si="5"/>
        <v>-</v>
      </c>
      <c r="AA31" s="55" t="str">
        <f>IFERROR(__xludf.DUMMYFUNCTION("iferror(AVERAGE(query(filter('Data Recording'!O:O,'Data Recording'!D:D=B31), ""Select Col1"")),""0.00"")"),"0.00")</f>
        <v>0.00</v>
      </c>
      <c r="AB31" s="52">
        <f>IFERROR(__xludf.DUMMYFUNCTION("iferror(MAX(query(filter('Data Recording'!O:O,'Data Recording'!D:D=B31), ""Select Col1"")),""-"")"),0.0)</f>
        <v>0</v>
      </c>
      <c r="AC31" s="59">
        <f>IFERROR(__xludf.DUMMYFUNCTION("iferror(SUM(query(filter('Data Recording'!P:P,'Data Recording'!D:D=B31), ""Select Col1"")),""-"")"),0.0)</f>
        <v>0</v>
      </c>
      <c r="AD31" s="59">
        <f>IFERROR(__xludf.DUMMYFUNCTION("iferror(SUM(query(filter('Data Recording'!Q:Q,'Data Recording'!D:D=B31), ""Select Col1"")),""-"")"),0.0)</f>
        <v>0</v>
      </c>
      <c r="AE31" s="54" t="str">
        <f t="shared" si="6"/>
        <v>-</v>
      </c>
      <c r="AF31" s="55" t="str">
        <f>IFERROR(__xludf.DUMMYFUNCTION("iferror(AVERAGE(query(filter('Data Recording'!Q:Q,'Data Recording'!D:D=B31), ""Select Col1"")),""0.00"")"),"0.00")</f>
        <v>0.00</v>
      </c>
      <c r="AG31" s="59">
        <f>IFERROR(__xludf.DUMMYFUNCTION("iferror(MAX(query(filter('Data Recording'!Q:Q,'Data Recording'!D:D=B31), ""Select Col1"")),""-"")"),0.0)</f>
        <v>0</v>
      </c>
      <c r="AH31" s="58" t="str">
        <f>IFERROR(__xludf.DUMMYFUNCTION("if(countif(query(filter('Data Recording'!R:R,'Data Recording'!D:D=B31), ""Select Col1""),""Yes, Engaged"")+countif(query(filter('Data Recording'!R:R,'Data Recording'!D:D=B31), ""Select Col1""),""Yes, Docked"")=0,""0"",countif(query(filter('Data Recording'"&amp;"!R:R,'Data Recording'!D:D=B31), ""Select Col1""),""Yes, Engaged""))+countif(query(filter('Data Recording'!R:R,'Data Recording'!D:D=B31), ""Select Col1""),""Yes, Docked"") &amp; ""/"" &amp; if(COUNTA(query(ifna(filter('Data Recording'!R:R,'Data Recording'!D:D=B31)"&amp;",""""), ""Select Col1""))=0,""0"",COUNTA(query(ifna(filter('Data Recording'!R:R,'Data Recording'!D:D=B31),""""), ""Select Col1"")))"),"0/12")</f>
        <v>0/12</v>
      </c>
      <c r="AI31" s="60" t="str">
        <f>IFERROR(__xludf.DUMMYFUNCTION("if(countif(query(filter('Data Recording'!R:R,'Data Recording'!D:D=B31), ""Select Col1""),""Yes, Engaged"")=0,""0"",countif(query(filter('Data Recording'!R:R,'Data Recording'!D:D=B31), ""Select Col1""),""Yes, Engaged"")) &amp; ""/"" &amp; if(COUNTA(query(ifna(filt"&amp;"er('Data Recording'!R:R,'Data Recording'!D:D=B31),""""), ""Select Col1""))=0,""0"",COUNTA(query(ifna(filter('Data Recording'!R:R,'Data Recording'!D:D=B31),""""), ""Select Col1"")))"),"0/12")</f>
        <v>0/12</v>
      </c>
      <c r="AJ31" s="59">
        <f>IFERROR(__xludf.DUMMYFUNCTION("iferror(SUM(query(filter('Data Recording'!S:S,'Data Recording'!D:D=B31), ""Select Col1"")),""-"")"),2.0)</f>
        <v>2</v>
      </c>
      <c r="AK31" s="59">
        <f>IFERROR(__xludf.DUMMYFUNCTION("iferror(SUM(query(filter('Data Recording'!T:T,'Data Recording'!D:D=B31), ""Select Col1"")),""-"")"),0.0)</f>
        <v>0</v>
      </c>
      <c r="AL31" s="54">
        <f t="shared" si="7"/>
        <v>0</v>
      </c>
      <c r="AM31" s="55" t="str">
        <f>IFERROR(__xludf.DUMMYFUNCTION("iferror(AVERAGE(query(filter('Data Recording'!T:T,'Data Recording'!D:D=B31), ""Select Col1"")),""0.00"")"),"0.00")</f>
        <v>0.00</v>
      </c>
      <c r="AN31" s="61">
        <f>IFERROR(__xludf.DUMMYFUNCTION("iferror(MAX(query(filter('Data Recording'!T:T,'Data Recording'!D:D=B31), ""Select Col1"")),""-"")"),0.0)</f>
        <v>0</v>
      </c>
      <c r="AO31" s="62">
        <f>IFERROR(__xludf.DUMMYFUNCTION("iferror(SUM(query(filter('Data Recording'!U:U,'Data Recording'!D:D=B31), ""Select Col1"")),""-"")"),4.0)</f>
        <v>4</v>
      </c>
      <c r="AP31" s="62">
        <f>IFERROR(__xludf.DUMMYFUNCTION("iferror(SUM(query(filter('Data Recording'!V:V,'Data Recording'!D:D=B31), ""Select Col1"")),""-"")"),0.0)</f>
        <v>0</v>
      </c>
      <c r="AQ31" s="63">
        <f t="shared" si="8"/>
        <v>0</v>
      </c>
      <c r="AR31" s="64">
        <f>IFERROR(__xludf.DUMMYFUNCTION("iferror(AVERAGE(query(filter('Data Recording'!V:V,'Data Recording'!D:D=B31), ""Select Col1"")),""0.00"")"),0.0)</f>
        <v>0</v>
      </c>
      <c r="AS31" s="65">
        <f>IFERROR(__xludf.DUMMYFUNCTION("iferror(MAX(query(filter('Data Recording'!V:V,'Data Recording'!D:D=B31), ""Select Col1"")),""-"")"),0.0)</f>
        <v>0</v>
      </c>
      <c r="AT31" s="62">
        <f>IFERROR(__xludf.DUMMYFUNCTION("iferror(SUM(query(filter('Data Recording'!W:W,'Data Recording'!D:D=B31), ""Select Col1"")),""-"")"),4.0)</f>
        <v>4</v>
      </c>
      <c r="AU31" s="62">
        <f>IFERROR(__xludf.DUMMYFUNCTION("iferror(SUM(query(filter('Data Recording'!X:X,'Data Recording'!D:D=B31), ""Select Col1"")),""-"")"),2.0)</f>
        <v>2</v>
      </c>
      <c r="AV31" s="63">
        <f t="shared" si="9"/>
        <v>0.5</v>
      </c>
      <c r="AW31" s="64">
        <f>IFERROR(__xludf.DUMMYFUNCTION("iferror(AVERAGE(query(filter('Data Recording'!X:X,'Data Recording'!D:D=B31), ""Select Col1"")),""0.00"")"),0.6666666666666666)</f>
        <v>0.6666666667</v>
      </c>
      <c r="AX31" s="65">
        <f>IFERROR(__xludf.DUMMYFUNCTION("iferror(MAX(query(filter('Data Recording'!X:X,'Data Recording'!D:D=B31), ""Select Col1"")),""-"")"),1.0)</f>
        <v>1</v>
      </c>
      <c r="AY31" s="62">
        <f>IFERROR(__xludf.DUMMYFUNCTION("iferror(SUM(query(filter('Data Recording'!Y:Y,'Data Recording'!D:D=B31), ""Select Col1"")),""-"")"),0.0)</f>
        <v>0</v>
      </c>
      <c r="AZ31" s="62">
        <f>IFERROR(__xludf.DUMMYFUNCTION("iferror(SUM(query(filter('Data Recording'!Z:Z,'Data Recording'!D:D=B31), ""Select Col1"")),""-"")"),0.0)</f>
        <v>0</v>
      </c>
      <c r="BA31" s="63" t="str">
        <f t="shared" si="10"/>
        <v>-</v>
      </c>
      <c r="BB31" s="64" t="str">
        <f>IFERROR(__xludf.DUMMYFUNCTION("iferror(AVERAGE(query(filter('Data Recording'!Z:Z,'Data Recording'!D:D=B31), ""Select Col1"")),""0.00"")"),"0.00")</f>
        <v>0.00</v>
      </c>
      <c r="BC31" s="65">
        <f>IFERROR(__xludf.DUMMYFUNCTION("iferror(MAX(query(filter('Data Recording'!Z:Z,'Data Recording'!D:D=B31), ""Select Col1"")),""-"")"),0.0)</f>
        <v>0</v>
      </c>
      <c r="BD31" s="62">
        <f>IFERROR(__xludf.DUMMYFUNCTION("iferror(SUM(query(filter('Data Recording'!AA:AA,'Data Recording'!D:D=B31), ""Select Col1"")),""-"")"),0.0)</f>
        <v>0</v>
      </c>
      <c r="BE31" s="62">
        <f>IFERROR(__xludf.DUMMYFUNCTION("iferror(SUM(query(filter('Data Recording'!AB:AB,'Data Recording'!D:D=B31), ""Select Col1"")),""-"")"),0.0)</f>
        <v>0</v>
      </c>
      <c r="BF31" s="63" t="str">
        <f t="shared" si="11"/>
        <v>-</v>
      </c>
      <c r="BG31" s="64" t="str">
        <f>IFERROR(__xludf.DUMMYFUNCTION("iferror(AVERAGE(query(filter('Data Recording'!AB:AB,'Data Recording'!D:D=B31), ""Select Col1"")),""0.00"")"),"0.00")</f>
        <v>0.00</v>
      </c>
      <c r="BH31" s="65">
        <f>IFERROR(__xludf.DUMMYFUNCTION("iferror(MAX(query(filter('Data Recording'!AB:AB,'Data Recording'!D:D=B31), ""Select Col1"")),""-"")"),0.0)</f>
        <v>0</v>
      </c>
      <c r="BI31" s="62">
        <f>IFERROR(__xludf.DUMMYFUNCTION("iferror(SUM(query(filter('Data Recording'!AC:AC,'Data Recording'!D:D=B31), ""Select Col1"")),""-"")"),1.0)</f>
        <v>1</v>
      </c>
      <c r="BJ31" s="62">
        <f>IFERROR(__xludf.DUMMYFUNCTION("iferror(SUM(query(filter('Data Recording'!AD:AD,'Data Recording'!D:D=B31), ""Select Col1"")),""-"")"),1.0)</f>
        <v>1</v>
      </c>
      <c r="BK31" s="63">
        <f t="shared" si="12"/>
        <v>1</v>
      </c>
      <c r="BL31" s="64">
        <f>IFERROR(__xludf.DUMMYFUNCTION("iferror(AVERAGE(query(filter('Data Recording'!AD:AD,'Data Recording'!D:D=B31), ""Select Col1"")),""0.00"")"),1.0)</f>
        <v>1</v>
      </c>
      <c r="BM31" s="65">
        <f>IFERROR(__xludf.DUMMYFUNCTION("iferror(MAX(query(filter('Data Recording'!AD:AD,'Data Recording'!D:D=B31), ""Select Col1"")),""-"")"),1.0)</f>
        <v>1</v>
      </c>
      <c r="BN31" s="66" t="str">
        <f>IFERROR(__xludf.DUMMYFUNCTION("if(countif(query(filter('Data Recording'!AE:AE,'Data Recording'!D:D=B31), ""Select Col1""),""Yes, Engaged"")+countif(query(filter('Data Recording'!AE:AE,'Data Recording'!D:D=B31), ""Select Col1""),""Yes, Docked"")=0,""0"",countif(query(filter('Data Record"&amp;"ing'!AE:AE,'Data Recording'!D:D=B31), ""Select Col1""),""Yes, Engaged""))+countif(query(filter('Data Recording'!AE:AE,'Data Recording'!D:D=B31), ""Select Col1""),""Yes, Docked"") &amp; ""/"" &amp; if(COUNTA(query(ifna(filter('Data Recording'!AE:AE,'Data Recording"&amp;"'!D:D=B31),""""), ""Select Col1""))=0,""0"",COUNTA(query(ifna(filter('Data Recording'!AE:AE,'Data Recording'!D:D=B31),""""), ""Select Col1"")))"),"12/12")</f>
        <v>12/12</v>
      </c>
      <c r="BO31" s="67" t="str">
        <f>IFERROR(__xludf.DUMMYFUNCTION("if(countif(query(filter('Data Recording'!AE:AE,'Data Recording'!D:D=B31), ""Select Col1""),""Yes, Engaged"")=0,""0"",countif(query(filter('Data Recording'!AE:AE,'Data Recording'!D:D=B31), ""Select Col1""),""Yes, Engaged"")) &amp; ""/"" &amp; if(COUNTA(query(ifna("&amp;"filter('Data Recording'!AE:AE,'Data Recording'!D:D=B31),""""), ""Select Col1""))=0,""0"",COUNTA(query(ifna(filter('Data Recording'!AE:AE,'Data Recording'!D:D=B31),""""), ""Select Col1"")))"),"10/12")</f>
        <v>10/12</v>
      </c>
      <c r="BP31" s="60" t="str">
        <f>IFERROR(__xludf.DUMMYFUNCTION("if(countif(query(filter('Data Recording'!AH:AH,'Data Recording'!D:D=B31), ""Select Col1""),""Yes"")=0,""0"",countif(query(filter('Data Recording'!AH:AH,'Data Recording'!D:D=B31), ""Select Col1""),""Yes"")) &amp; ""/"" &amp; if(COUNTA(query(ifna(filter('Data Recor"&amp;"ding'!AH:AH,'Data Recording'!D:D=B31),""""), ""Select Col1""))=0,""0"",COUNTA(query(ifna(filter('Data Recording'!AH:AH,'Data Recording'!D:D=B31),""""), ""Select Col1"")))"),"1/12")</f>
        <v>1/12</v>
      </c>
      <c r="BQ31" s="75">
        <v>0.0833</v>
      </c>
      <c r="BR31" s="55">
        <f>IFERROR(__xludf.DUMMYFUNCTION("iferror(average(query(filter('Data Recording'!AF:AF,'Data Recording'!D:D=B31), ""Select Col1"")),""-"")"),0.8333333333333334)</f>
        <v>0.8333333333</v>
      </c>
      <c r="BS31" s="69">
        <f>IFERROR(__xludf.DUMMYFUNCTION("iferror(average(query(filter('Data Recording'!AG:AG,'Data Recording'!D:D=B31), ""Select Col1"")),""-"")"),0.0)</f>
        <v>0</v>
      </c>
      <c r="BT31" s="70">
        <f t="shared" si="13"/>
        <v>17.33333333</v>
      </c>
      <c r="BU31" s="70">
        <f>IFERROR(__xludf.DUMMYFUNCTION("iferror(AVERAGE(query(filter('Data Recording'!AJ:AJ,'Data Recording'!D:D=B31), ""Select Col1"")),""-"")"),12.083333333333334)</f>
        <v>12.08333333</v>
      </c>
      <c r="BV31" s="70">
        <f>IFERROR(__xludf.DUMMYFUNCTION("iferror(AVERAGE(query(filter('Data Recording'!AK:AK,'Data Recording'!D:D=B31), ""Select Col1"")),""-"")"),1.5)</f>
        <v>1.5</v>
      </c>
      <c r="BW31" s="70">
        <f t="shared" si="14"/>
        <v>7.333333333</v>
      </c>
      <c r="BX31" s="71">
        <f>IFERROR(__xludf.DUMMYFUNCTION("iferror(max(query(filter('Data Recording'!AJ:AJ,'Data Recording'!D:D=B31), ""Select Col1"")),""-"")"),17.0)</f>
        <v>17</v>
      </c>
      <c r="BY31" s="72">
        <f>IFERROR(__xludf.DUMMYFUNCTION("iferror(MIN(query(filter('Data Recording'!AJ:AJ,'Data Recording'!D:D=B31), ""Select Col1"")),""-"")"),9.0)</f>
        <v>9</v>
      </c>
      <c r="BZ31" s="73" t="str">
        <f>IFERROR(__xludf.DUMMYFUNCTION("iferror(if(DIVIDE(COUNTIF(query(filter('Data Recording'!R:R,'Data Recording'!D:D=B31), ""Select Col1""),""Yes, Docked"") + countif(query(filter('Data Recording'!R:R,'Data Recording'!D:D=B31), ""Select Col1""),""Yes, Engaged""),COUNTA(query(ifna(filter('Da"&amp;"ta Recording'!R:R,'Data Recording'!D:D=B31),""""), ""Select Col1"")))&gt;=(0.5),""1"",""0""),""-"")"),"0")</f>
        <v>0</v>
      </c>
      <c r="CA31" s="59" t="str">
        <f>IFERROR(__xludf.DUMMYFUNCTION("iferror(if(countif(query(filter('Data Recording'!R:R,'Data Recording'!D:D=B31), ""Select Col1""),""Yes, Engaged"")/COUNTA(query(ifna(filter('Data Recording'!R:R,'Data Recording'!D:D=B31),""""), ""Select Col1""))&gt;=(0.5),""1"",""0""),""-"")"),"0")</f>
        <v>0</v>
      </c>
      <c r="CB31" s="74" t="str">
        <f>IFERROR(__xludf.DUMMYFUNCTION("iferror(if(DIVIDE(COUNTIF(query(filter('Data Recording'!AE:AE,'Data Recording'!D:D=B31), ""Select Col1""),""Yes, Docked"") + countif(query(filter('Data Recording'!AE:AE,'Data Recording'!D:D=B31), ""Select Col1""),""Yes, Engaged""),COUNTA(query(ifna(filter"&amp;"('Data Recording'!AE:AE,'Data Recording'!D:D=B31),""""), ""Select Col1"")))&gt;=(0.5),""1"",""0""),""-"")"),"1")</f>
        <v>1</v>
      </c>
      <c r="CC31" s="59" t="str">
        <f>IFERROR(__xludf.DUMMYFUNCTION("iferror(if(countif(query(filter('Data Recording'!AE:AE,'Data Recording'!D:D=B31), ""Select Col1""),""Yes, Engaged"")/COUNTA(query(ifna(filter('Data Recording'!AE:AE,'Data Recording'!D:D=B31),""""), ""Select Col1""))&gt;=(0.5),""1"",""0""),""-"")"),"1")</f>
        <v>1</v>
      </c>
      <c r="CD31" s="74" t="str">
        <f>IFERROR(__xludf.DUMMYFUNCTION("iferror(if(DIVIDE(countif(query(filter('Data Recording'!E:E,'Data Recording'!D:D=B31), ""Select Col1""),""Yes""),COUNTA(query(ifna(filter('Data Recording'!E:E,'Data Recording'!D:D=B31),""""), ""Select Col1"")))&gt;=(0.5),""1"",""0""),""-"")"),"0")</f>
        <v>0</v>
      </c>
    </row>
    <row r="32">
      <c r="A32" s="51" t="s">
        <v>65</v>
      </c>
      <c r="B32" s="51">
        <v>1502.0</v>
      </c>
      <c r="C32" s="52" t="str">
        <f>IFERROR(__xludf.DUMMYFUNCTION("if(countif(query(filter('Data Recording'!E:E,'Data Recording'!D:D=B32), ""Select Col1""),""Yes"")=0,""0"",countif(query(filter('Data Recording'!E:E,'Data Recording'!D:D=B32), ""Select Col1""),""Yes"")) &amp; ""/"" &amp; if(COUNTA(query(ifna(filter('Data Recording"&amp;"'!E:E,'Data Recording'!D:D=B32),""""), ""Select Col1""))=0,""0"",COUNTA(query(ifna(filter('Data Recording'!E:E,'Data Recording'!D:D=B32),""""), ""Select Col1"")))"),"9/12")</f>
        <v>9/12</v>
      </c>
      <c r="D32" s="53">
        <f>IFERROR(__xludf.DUMMYFUNCTION("iferror(SUM(query(filter('Data Recording'!F:F,'Data Recording'!D:D=B32), ""Select Col1"")),""-"")"),1.0)</f>
        <v>1</v>
      </c>
      <c r="E32" s="53">
        <f>IFERROR(__xludf.DUMMYFUNCTION("iferror(SUM(query(filter('Data Recording'!G:G,'Data Recording'!D:D=B32), ""Select Col1"")),""-"")"),1.0)</f>
        <v>1</v>
      </c>
      <c r="F32" s="54">
        <f t="shared" si="1"/>
        <v>1</v>
      </c>
      <c r="G32" s="55">
        <f>IFERROR(__xludf.DUMMYFUNCTION("iferror(AVERAGE(query(filter('Data Recording'!G:G,'Data Recording'!D:D=B32), ""Select Col1"")),""0.00"")"),1.0)</f>
        <v>1</v>
      </c>
      <c r="H32" s="53">
        <f>IFERROR(__xludf.DUMMYFUNCTION("iferror(MAX(query(filter('Data Recording'!G:G,'Data Recording'!D:D=B32), ""Select Col1"")),""-"")"),1.0)</f>
        <v>1</v>
      </c>
      <c r="I32" s="56">
        <f>IFERROR(__xludf.DUMMYFUNCTION("iferror(SUM(query(filter('Data Recording'!H:H,'Data Recording'!D:D=B32), ""Select Col1"")),""-"")"),0.0)</f>
        <v>0</v>
      </c>
      <c r="J32" s="57">
        <f>IFERROR(__xludf.DUMMYFUNCTION("iferror(SUM(query(filter('Data Recording'!I:I,'Data Recording'!D:D=B32), ""Select Col1"")),""-"")"),0.0)</f>
        <v>0</v>
      </c>
      <c r="K32" s="54" t="str">
        <f t="shared" si="2"/>
        <v>-</v>
      </c>
      <c r="L32" s="55" t="str">
        <f>IFERROR(__xludf.DUMMYFUNCTION("iferror(AVERAGE(query(filter('Data Recording'!I:I,'Data Recording'!D:D=B32), ""Select Col1"")),""0.00"")"),"0.00")</f>
        <v>0.00</v>
      </c>
      <c r="M32" s="53">
        <f>IFERROR(__xludf.DUMMYFUNCTION("iferror(MAX(query(filter('Data Recording'!I:I,'Data Recording'!D:D=B32), ""Select Col1"")),""-"")"),0.0)</f>
        <v>0</v>
      </c>
      <c r="N32" s="58">
        <f>IFERROR(__xludf.DUMMYFUNCTION("iferror(SUM(query(filter('Data Recording'!J:J,'Data Recording'!D:D=B32), ""Select Col1"")),""-"")"),0.0)</f>
        <v>0</v>
      </c>
      <c r="O32" s="59">
        <f>IFERROR(__xludf.DUMMYFUNCTION("iferror(SUM(query(filter('Data Recording'!K:K,'Data Recording'!D:D=B32), ""Select Col1"")),""-"")"),0.0)</f>
        <v>0</v>
      </c>
      <c r="P32" s="54" t="str">
        <f t="shared" si="3"/>
        <v>-</v>
      </c>
      <c r="Q32" s="55" t="str">
        <f>IFERROR(__xludf.DUMMYFUNCTION("iferror(AVERAGE(query(filter('Data Recording'!K:K,'Data Recording'!D:D=B32), ""Select Col1"")),""0.00"")"),"0.00")</f>
        <v>0.00</v>
      </c>
      <c r="R32" s="53">
        <f>IFERROR(__xludf.DUMMYFUNCTION("iferror(MAX(query(filter('Data Recording'!K:K,'Data Recording'!D:D=B32), ""Select Col1"")),""-"")"),0.0)</f>
        <v>0</v>
      </c>
      <c r="S32" s="58">
        <f>IFERROR(__xludf.DUMMYFUNCTION("iferror(SUM(query(filter('Data Recording'!L:L,'Data Recording'!D:D=B32), ""Select Col1"")),""-"")"),0.0)</f>
        <v>0</v>
      </c>
      <c r="T32" s="59">
        <f>IFERROR(__xludf.DUMMYFUNCTION("iferror(SUM(query(filter('Data Recording'!M:M,'Data Recording'!D:D=B32), ""Select Col1"")),""-"")"),0.0)</f>
        <v>0</v>
      </c>
      <c r="U32" s="54" t="str">
        <f t="shared" si="4"/>
        <v>-</v>
      </c>
      <c r="V32" s="55" t="str">
        <f>IFERROR(__xludf.DUMMYFUNCTION("iferror(AVERAGE(query(filter('Data Recording'!M:M,'Data Recording'!D:D=B32), ""Select Col1"")),""-"")"),"-")</f>
        <v>-</v>
      </c>
      <c r="W32" s="52">
        <f>IFERROR(__xludf.DUMMYFUNCTION("iferror(MAX(query(filter('Data Recording'!M:M,'Data Recording'!D:D=B32), ""Select Col1"")),""-"")"),0.0)</f>
        <v>0</v>
      </c>
      <c r="X32" s="59">
        <f>IFERROR(__xludf.DUMMYFUNCTION("iferror(SUM(query(filter('Data Recording'!N:N,'Data Recording'!D:D=B32), ""Select Col1"")),""-"")"),0.0)</f>
        <v>0</v>
      </c>
      <c r="Y32" s="59">
        <f>IFERROR(__xludf.DUMMYFUNCTION("iferror(SUM(query(filter('Data Recording'!O:O,'Data Recording'!D:D=B32), ""Select Col1"")),""-"")"),0.0)</f>
        <v>0</v>
      </c>
      <c r="Z32" s="54" t="str">
        <f t="shared" si="5"/>
        <v>-</v>
      </c>
      <c r="AA32" s="55" t="str">
        <f>IFERROR(__xludf.DUMMYFUNCTION("iferror(AVERAGE(query(filter('Data Recording'!O:O,'Data Recording'!D:D=B32), ""Select Col1"")),""0.00"")"),"0.00")</f>
        <v>0.00</v>
      </c>
      <c r="AB32" s="52">
        <f>IFERROR(__xludf.DUMMYFUNCTION("iferror(MAX(query(filter('Data Recording'!O:O,'Data Recording'!D:D=B32), ""Select Col1"")),""-"")"),0.0)</f>
        <v>0</v>
      </c>
      <c r="AC32" s="59">
        <f>IFERROR(__xludf.DUMMYFUNCTION("iferror(SUM(query(filter('Data Recording'!P:P,'Data Recording'!D:D=B32), ""Select Col1"")),""-"")"),10.0)</f>
        <v>10</v>
      </c>
      <c r="AD32" s="59">
        <f>IFERROR(__xludf.DUMMYFUNCTION("iferror(SUM(query(filter('Data Recording'!Q:Q,'Data Recording'!D:D=B32), ""Select Col1"")),""-"")"),2.0)</f>
        <v>2</v>
      </c>
      <c r="AE32" s="54">
        <f t="shared" si="6"/>
        <v>0.2</v>
      </c>
      <c r="AF32" s="55">
        <f>IFERROR(__xludf.DUMMYFUNCTION("iferror(AVERAGE(query(filter('Data Recording'!Q:Q,'Data Recording'!D:D=B32), ""Select Col1"")),""0.00"")"),0.2)</f>
        <v>0.2</v>
      </c>
      <c r="AG32" s="59">
        <f>IFERROR(__xludf.DUMMYFUNCTION("iferror(MAX(query(filter('Data Recording'!Q:Q,'Data Recording'!D:D=B32), ""Select Col1"")),""-"")"),1.0)</f>
        <v>1</v>
      </c>
      <c r="AH32" s="58" t="str">
        <f>IFERROR(__xludf.DUMMYFUNCTION("if(countif(query(filter('Data Recording'!R:R,'Data Recording'!D:D=B32), ""Select Col1""),""Yes, Engaged"")+countif(query(filter('Data Recording'!R:R,'Data Recording'!D:D=B32), ""Select Col1""),""Yes, Docked"")=0,""0"",countif(query(filter('Data Recording'"&amp;"!R:R,'Data Recording'!D:D=B32), ""Select Col1""),""Yes, Engaged""))+countif(query(filter('Data Recording'!R:R,'Data Recording'!D:D=B32), ""Select Col1""),""Yes, Docked"") &amp; ""/"" &amp; if(COUNTA(query(ifna(filter('Data Recording'!R:R,'Data Recording'!D:D=B32)"&amp;",""""), ""Select Col1""))=0,""0"",COUNTA(query(ifna(filter('Data Recording'!R:R,'Data Recording'!D:D=B32),""""), ""Select Col1"")))"),"0/12")</f>
        <v>0/12</v>
      </c>
      <c r="AI32" s="60" t="str">
        <f>IFERROR(__xludf.DUMMYFUNCTION("if(countif(query(filter('Data Recording'!R:R,'Data Recording'!D:D=B32), ""Select Col1""),""Yes, Engaged"")=0,""0"",countif(query(filter('Data Recording'!R:R,'Data Recording'!D:D=B32), ""Select Col1""),""Yes, Engaged"")) &amp; ""/"" &amp; if(COUNTA(query(ifna(filt"&amp;"er('Data Recording'!R:R,'Data Recording'!D:D=B32),""""), ""Select Col1""))=0,""0"",COUNTA(query(ifna(filter('Data Recording'!R:R,'Data Recording'!D:D=B32),""""), ""Select Col1"")))"),"0/12")</f>
        <v>0/12</v>
      </c>
      <c r="AJ32" s="59">
        <f>IFERROR(__xludf.DUMMYFUNCTION("iferror(SUM(query(filter('Data Recording'!S:S,'Data Recording'!D:D=B32), ""Select Col1"")),""-"")"),0.0)</f>
        <v>0</v>
      </c>
      <c r="AK32" s="59">
        <f>IFERROR(__xludf.DUMMYFUNCTION("iferror(SUM(query(filter('Data Recording'!T:T,'Data Recording'!D:D=B32), ""Select Col1"")),""-"")"),0.0)</f>
        <v>0</v>
      </c>
      <c r="AL32" s="54" t="str">
        <f t="shared" si="7"/>
        <v>-</v>
      </c>
      <c r="AM32" s="55" t="str">
        <f>IFERROR(__xludf.DUMMYFUNCTION("iferror(AVERAGE(query(filter('Data Recording'!T:T,'Data Recording'!D:D=B32), ""Select Col1"")),""0.00"")"),"0.00")</f>
        <v>0.00</v>
      </c>
      <c r="AN32" s="61">
        <f>IFERROR(__xludf.DUMMYFUNCTION("iferror(MAX(query(filter('Data Recording'!T:T,'Data Recording'!D:D=B32), ""Select Col1"")),""-"")"),0.0)</f>
        <v>0</v>
      </c>
      <c r="AO32" s="62">
        <f>IFERROR(__xludf.DUMMYFUNCTION("iferror(SUM(query(filter('Data Recording'!U:U,'Data Recording'!D:D=B32), ""Select Col1"")),""-"")"),0.0)</f>
        <v>0</v>
      </c>
      <c r="AP32" s="62">
        <f>IFERROR(__xludf.DUMMYFUNCTION("iferror(SUM(query(filter('Data Recording'!V:V,'Data Recording'!D:D=B32), ""Select Col1"")),""-"")"),0.0)</f>
        <v>0</v>
      </c>
      <c r="AQ32" s="63" t="str">
        <f t="shared" si="8"/>
        <v>-</v>
      </c>
      <c r="AR32" s="64" t="str">
        <f>IFERROR(__xludf.DUMMYFUNCTION("iferror(AVERAGE(query(filter('Data Recording'!V:V,'Data Recording'!D:D=B32), ""Select Col1"")),""0.00"")"),"0.00")</f>
        <v>0.00</v>
      </c>
      <c r="AS32" s="65">
        <f>IFERROR(__xludf.DUMMYFUNCTION("iferror(MAX(query(filter('Data Recording'!V:V,'Data Recording'!D:D=B32), ""Select Col1"")),""-"")"),0.0)</f>
        <v>0</v>
      </c>
      <c r="AT32" s="62">
        <f>IFERROR(__xludf.DUMMYFUNCTION("iferror(SUM(query(filter('Data Recording'!W:W,'Data Recording'!D:D=B32), ""Select Col1"")),""-"")"),1.0)</f>
        <v>1</v>
      </c>
      <c r="AU32" s="62">
        <f>IFERROR(__xludf.DUMMYFUNCTION("iferror(SUM(query(filter('Data Recording'!X:X,'Data Recording'!D:D=B32), ""Select Col1"")),""-"")"),1.0)</f>
        <v>1</v>
      </c>
      <c r="AV32" s="63">
        <f t="shared" si="9"/>
        <v>1</v>
      </c>
      <c r="AW32" s="64">
        <f>IFERROR(__xludf.DUMMYFUNCTION("iferror(AVERAGE(query(filter('Data Recording'!X:X,'Data Recording'!D:D=B32), ""Select Col1"")),""0.00"")"),1.0)</f>
        <v>1</v>
      </c>
      <c r="AX32" s="65">
        <f>IFERROR(__xludf.DUMMYFUNCTION("iferror(MAX(query(filter('Data Recording'!X:X,'Data Recording'!D:D=B32), ""Select Col1"")),""-"")"),1.0)</f>
        <v>1</v>
      </c>
      <c r="AY32" s="62">
        <f>IFERROR(__xludf.DUMMYFUNCTION("iferror(SUM(query(filter('Data Recording'!Y:Y,'Data Recording'!D:D=B32), ""Select Col1"")),""-"")"),0.0)</f>
        <v>0</v>
      </c>
      <c r="AZ32" s="62">
        <f>IFERROR(__xludf.DUMMYFUNCTION("iferror(SUM(query(filter('Data Recording'!Z:Z,'Data Recording'!D:D=B32), ""Select Col1"")),""-"")"),0.0)</f>
        <v>0</v>
      </c>
      <c r="BA32" s="63" t="str">
        <f t="shared" si="10"/>
        <v>-</v>
      </c>
      <c r="BB32" s="64" t="str">
        <f>IFERROR(__xludf.DUMMYFUNCTION("iferror(AVERAGE(query(filter('Data Recording'!Z:Z,'Data Recording'!D:D=B32), ""Select Col1"")),""0.00"")"),"0.00")</f>
        <v>0.00</v>
      </c>
      <c r="BC32" s="65">
        <f>IFERROR(__xludf.DUMMYFUNCTION("iferror(MAX(query(filter('Data Recording'!Z:Z,'Data Recording'!D:D=B32), ""Select Col1"")),""-"")"),0.0)</f>
        <v>0</v>
      </c>
      <c r="BD32" s="62">
        <f>IFERROR(__xludf.DUMMYFUNCTION("iferror(SUM(query(filter('Data Recording'!AA:AA,'Data Recording'!D:D=B32), ""Select Col1"")),""-"")"),0.0)</f>
        <v>0</v>
      </c>
      <c r="BE32" s="62">
        <f>IFERROR(__xludf.DUMMYFUNCTION("iferror(SUM(query(filter('Data Recording'!AB:AB,'Data Recording'!D:D=B32), ""Select Col1"")),""-"")"),0.0)</f>
        <v>0</v>
      </c>
      <c r="BF32" s="63" t="str">
        <f t="shared" si="11"/>
        <v>-</v>
      </c>
      <c r="BG32" s="64" t="str">
        <f>IFERROR(__xludf.DUMMYFUNCTION("iferror(AVERAGE(query(filter('Data Recording'!AB:AB,'Data Recording'!D:D=B32), ""Select Col1"")),""0.00"")"),"0.00")</f>
        <v>0.00</v>
      </c>
      <c r="BH32" s="65">
        <f>IFERROR(__xludf.DUMMYFUNCTION("iferror(MAX(query(filter('Data Recording'!AB:AB,'Data Recording'!D:D=B32), ""Select Col1"")),""-"")"),0.0)</f>
        <v>0</v>
      </c>
      <c r="BI32" s="62">
        <f>IFERROR(__xludf.DUMMYFUNCTION("iferror(SUM(query(filter('Data Recording'!AC:AC,'Data Recording'!D:D=B32), ""Select Col1"")),""-"")"),6.0)</f>
        <v>6</v>
      </c>
      <c r="BJ32" s="62">
        <f>IFERROR(__xludf.DUMMYFUNCTION("iferror(SUM(query(filter('Data Recording'!AD:AD,'Data Recording'!D:D=B32), ""Select Col1"")),""-"")"),6.0)</f>
        <v>6</v>
      </c>
      <c r="BK32" s="63">
        <f t="shared" si="12"/>
        <v>1</v>
      </c>
      <c r="BL32" s="64">
        <f>IFERROR(__xludf.DUMMYFUNCTION("iferror(AVERAGE(query(filter('Data Recording'!AD:AD,'Data Recording'!D:D=B32), ""Select Col1"")),""0.00"")"),0.8571428571428571)</f>
        <v>0.8571428571</v>
      </c>
      <c r="BM32" s="65">
        <f>IFERROR(__xludf.DUMMYFUNCTION("iferror(MAX(query(filter('Data Recording'!AD:AD,'Data Recording'!D:D=B32), ""Select Col1"")),""-"")"),1.0)</f>
        <v>1</v>
      </c>
      <c r="BN32" s="66" t="str">
        <f>IFERROR(__xludf.DUMMYFUNCTION("if(countif(query(filter('Data Recording'!AE:AE,'Data Recording'!D:D=B32), ""Select Col1""),""Yes, Engaged"")+countif(query(filter('Data Recording'!AE:AE,'Data Recording'!D:D=B32), ""Select Col1""),""Yes, Docked"")=0,""0"",countif(query(filter('Data Record"&amp;"ing'!AE:AE,'Data Recording'!D:D=B32), ""Select Col1""),""Yes, Engaged""))+countif(query(filter('Data Recording'!AE:AE,'Data Recording'!D:D=B32), ""Select Col1""),""Yes, Docked"") &amp; ""/"" &amp; if(COUNTA(query(ifna(filter('Data Recording'!AE:AE,'Data Recording"&amp;"'!D:D=B32),""""), ""Select Col1""))=0,""0"",COUNTA(query(ifna(filter('Data Recording'!AE:AE,'Data Recording'!D:D=B32),""""), ""Select Col1"")))"),"8/12")</f>
        <v>8/12</v>
      </c>
      <c r="BO32" s="67" t="str">
        <f>IFERROR(__xludf.DUMMYFUNCTION("if(countif(query(filter('Data Recording'!AE:AE,'Data Recording'!D:D=B32), ""Select Col1""),""Yes, Engaged"")=0,""0"",countif(query(filter('Data Recording'!AE:AE,'Data Recording'!D:D=B32), ""Select Col1""),""Yes, Engaged"")) &amp; ""/"" &amp; if(COUNTA(query(ifna("&amp;"filter('Data Recording'!AE:AE,'Data Recording'!D:D=B32),""""), ""Select Col1""))=0,""0"",COUNTA(query(ifna(filter('Data Recording'!AE:AE,'Data Recording'!D:D=B32),""""), ""Select Col1"")))"),"6/12")</f>
        <v>6/12</v>
      </c>
      <c r="BP32" s="60" t="str">
        <f>IFERROR(__xludf.DUMMYFUNCTION("if(countif(query(filter('Data Recording'!AH:AH,'Data Recording'!D:D=B32), ""Select Col1""),""Yes"")=0,""0"",countif(query(filter('Data Recording'!AH:AH,'Data Recording'!D:D=B32), ""Select Col1""),""Yes"")) &amp; ""/"" &amp; if(COUNTA(query(ifna(filter('Data Recor"&amp;"ding'!AH:AH,'Data Recording'!D:D=B32),""""), ""Select Col1""))=0,""0"",COUNTA(query(ifna(filter('Data Recording'!AH:AH,'Data Recording'!D:D=B32),""""), ""Select Col1"")))"),"3/12")</f>
        <v>3/12</v>
      </c>
      <c r="BQ32" s="68">
        <v>0.25</v>
      </c>
      <c r="BR32" s="55">
        <f>IFERROR(__xludf.DUMMYFUNCTION("iferror(average(query(filter('Data Recording'!AF:AF,'Data Recording'!D:D=B32), ""Select Col1"")),""-"")"),2.3333333333333335)</f>
        <v>2.333333333</v>
      </c>
      <c r="BS32" s="69">
        <f>IFERROR(__xludf.DUMMYFUNCTION("iferror(average(query(filter('Data Recording'!AG:AG,'Data Recording'!D:D=B32), ""Select Col1"")),""-"")"),2.5833333333333335)</f>
        <v>2.583333333</v>
      </c>
      <c r="BT32" s="70">
        <f t="shared" si="13"/>
        <v>23.31428571</v>
      </c>
      <c r="BU32" s="70">
        <f>IFERROR(__xludf.DUMMYFUNCTION("iferror(AVERAGE(query(filter('Data Recording'!AJ:AJ,'Data Recording'!D:D=B32), ""Select Col1"")),""-"")"),10.416666666666666)</f>
        <v>10.41666667</v>
      </c>
      <c r="BV32" s="70">
        <f>IFERROR(__xludf.DUMMYFUNCTION("iferror(AVERAGE(query(filter('Data Recording'!AK:AK,'Data Recording'!D:D=B32), ""Select Col1"")),""-"")"),2.1666666666666665)</f>
        <v>2.166666667</v>
      </c>
      <c r="BW32" s="70">
        <f t="shared" si="14"/>
        <v>10.31428571</v>
      </c>
      <c r="BX32" s="71">
        <f>IFERROR(__xludf.DUMMYFUNCTION("iferror(max(query(filter('Data Recording'!AJ:AJ,'Data Recording'!D:D=B32), ""Select Col1"")),""-"")"),19.0)</f>
        <v>19</v>
      </c>
      <c r="BY32" s="72">
        <f>IFERROR(__xludf.DUMMYFUNCTION("iferror(MIN(query(filter('Data Recording'!AJ:AJ,'Data Recording'!D:D=B32), ""Select Col1"")),""-"")"),2.0)</f>
        <v>2</v>
      </c>
      <c r="BZ32" s="73" t="str">
        <f>IFERROR(__xludf.DUMMYFUNCTION("iferror(if(DIVIDE(COUNTIF(query(filter('Data Recording'!R:R,'Data Recording'!D:D=B32), ""Select Col1""),""Yes, Docked"") + countif(query(filter('Data Recording'!R:R,'Data Recording'!D:D=B32), ""Select Col1""),""Yes, Engaged""),COUNTA(query(ifna(filter('Da"&amp;"ta Recording'!R:R,'Data Recording'!D:D=B32),""""), ""Select Col1"")))&gt;=(0.5),""1"",""0""),""-"")"),"0")</f>
        <v>0</v>
      </c>
      <c r="CA32" s="59" t="str">
        <f>IFERROR(__xludf.DUMMYFUNCTION("iferror(if(countif(query(filter('Data Recording'!R:R,'Data Recording'!D:D=B32), ""Select Col1""),""Yes, Engaged"")/COUNTA(query(ifna(filter('Data Recording'!R:R,'Data Recording'!D:D=B32),""""), ""Select Col1""))&gt;=(0.5),""1"",""0""),""-"")"),"0")</f>
        <v>0</v>
      </c>
      <c r="CB32" s="74" t="str">
        <f>IFERROR(__xludf.DUMMYFUNCTION("iferror(if(DIVIDE(COUNTIF(query(filter('Data Recording'!AE:AE,'Data Recording'!D:D=B32), ""Select Col1""),""Yes, Docked"") + countif(query(filter('Data Recording'!AE:AE,'Data Recording'!D:D=B32), ""Select Col1""),""Yes, Engaged""),COUNTA(query(ifna(filter"&amp;"('Data Recording'!AE:AE,'Data Recording'!D:D=B32),""""), ""Select Col1"")))&gt;=(0.5),""1"",""0""),""-"")"),"1")</f>
        <v>1</v>
      </c>
      <c r="CC32" s="59" t="str">
        <f>IFERROR(__xludf.DUMMYFUNCTION("iferror(if(countif(query(filter('Data Recording'!AE:AE,'Data Recording'!D:D=B32), ""Select Col1""),""Yes, Engaged"")/COUNTA(query(ifna(filter('Data Recording'!AE:AE,'Data Recording'!D:D=B32),""""), ""Select Col1""))&gt;=(0.5),""1"",""0""),""-"")"),"1")</f>
        <v>1</v>
      </c>
      <c r="CD32" s="74" t="str">
        <f>IFERROR(__xludf.DUMMYFUNCTION("iferror(if(DIVIDE(countif(query(filter('Data Recording'!E:E,'Data Recording'!D:D=B32), ""Select Col1""),""Yes""),COUNTA(query(ifna(filter('Data Recording'!E:E,'Data Recording'!D:D=B32),""""), ""Select Col1"")))&gt;=(0.5),""1"",""0""),""-"")"),"1")</f>
        <v>1</v>
      </c>
    </row>
    <row r="33">
      <c r="A33" s="51" t="s">
        <v>66</v>
      </c>
      <c r="B33" s="51">
        <v>5509.0</v>
      </c>
      <c r="C33" s="52" t="str">
        <f>IFERROR(__xludf.DUMMYFUNCTION("if(countif(query(filter('Data Recording'!E:E,'Data Recording'!D:D=B33), ""Select Col1""),""Yes"")=0,""0"",countif(query(filter('Data Recording'!E:E,'Data Recording'!D:D=B33), ""Select Col1""),""Yes"")) &amp; ""/"" &amp; if(COUNTA(query(ifna(filter('Data Recording"&amp;"'!E:E,'Data Recording'!D:D=B33),""""), ""Select Col1""))=0,""0"",COUNTA(query(ifna(filter('Data Recording'!E:E,'Data Recording'!D:D=B33),""""), ""Select Col1"")))"),"2/6")</f>
        <v>2/6</v>
      </c>
      <c r="D33" s="53">
        <f>IFERROR(__xludf.DUMMYFUNCTION("iferror(SUM(query(filter('Data Recording'!F:F,'Data Recording'!D:D=B33), ""Select Col1"")),""-"")"),0.0)</f>
        <v>0</v>
      </c>
      <c r="E33" s="53">
        <f>IFERROR(__xludf.DUMMYFUNCTION("iferror(SUM(query(filter('Data Recording'!G:G,'Data Recording'!D:D=B33), ""Select Col1"")),""-"")"),0.0)</f>
        <v>0</v>
      </c>
      <c r="F33" s="54" t="str">
        <f t="shared" si="1"/>
        <v>-</v>
      </c>
      <c r="G33" s="55" t="str">
        <f>IFERROR(__xludf.DUMMYFUNCTION("iferror(AVERAGE(query(filter('Data Recording'!G:G,'Data Recording'!D:D=B33), ""Select Col1"")),""0.00"")"),"0.00")</f>
        <v>0.00</v>
      </c>
      <c r="H33" s="53">
        <f>IFERROR(__xludf.DUMMYFUNCTION("iferror(MAX(query(filter('Data Recording'!G:G,'Data Recording'!D:D=B33), ""Select Col1"")),""-"")"),0.0)</f>
        <v>0</v>
      </c>
      <c r="I33" s="56">
        <f>IFERROR(__xludf.DUMMYFUNCTION("iferror(SUM(query(filter('Data Recording'!H:H,'Data Recording'!D:D=B33), ""Select Col1"")),""-"")"),0.0)</f>
        <v>0</v>
      </c>
      <c r="J33" s="57">
        <f>IFERROR(__xludf.DUMMYFUNCTION("iferror(SUM(query(filter('Data Recording'!I:I,'Data Recording'!D:D=B33), ""Select Col1"")),""-"")"),0.0)</f>
        <v>0</v>
      </c>
      <c r="K33" s="54" t="str">
        <f t="shared" si="2"/>
        <v>-</v>
      </c>
      <c r="L33" s="55" t="str">
        <f>IFERROR(__xludf.DUMMYFUNCTION("iferror(AVERAGE(query(filter('Data Recording'!I:I,'Data Recording'!D:D=B33), ""Select Col1"")),""0.00"")"),"0.00")</f>
        <v>0.00</v>
      </c>
      <c r="M33" s="53">
        <f>IFERROR(__xludf.DUMMYFUNCTION("iferror(MAX(query(filter('Data Recording'!I:I,'Data Recording'!D:D=B33), ""Select Col1"")),""-"")"),0.0)</f>
        <v>0</v>
      </c>
      <c r="N33" s="58">
        <f>IFERROR(__xludf.DUMMYFUNCTION("iferror(SUM(query(filter('Data Recording'!J:J,'Data Recording'!D:D=B33), ""Select Col1"")),""-"")"),0.0)</f>
        <v>0</v>
      </c>
      <c r="O33" s="59">
        <f>IFERROR(__xludf.DUMMYFUNCTION("iferror(SUM(query(filter('Data Recording'!K:K,'Data Recording'!D:D=B33), ""Select Col1"")),""-"")"),0.0)</f>
        <v>0</v>
      </c>
      <c r="P33" s="54" t="str">
        <f t="shared" si="3"/>
        <v>-</v>
      </c>
      <c r="Q33" s="55" t="str">
        <f>IFERROR(__xludf.DUMMYFUNCTION("iferror(AVERAGE(query(filter('Data Recording'!K:K,'Data Recording'!D:D=B33), ""Select Col1"")),""0.00"")"),"0.00")</f>
        <v>0.00</v>
      </c>
      <c r="R33" s="53">
        <f>IFERROR(__xludf.DUMMYFUNCTION("iferror(MAX(query(filter('Data Recording'!K:K,'Data Recording'!D:D=B33), ""Select Col1"")),""-"")"),0.0)</f>
        <v>0</v>
      </c>
      <c r="S33" s="58">
        <f>IFERROR(__xludf.DUMMYFUNCTION("iferror(SUM(query(filter('Data Recording'!L:L,'Data Recording'!D:D=B33), ""Select Col1"")),""-"")"),0.0)</f>
        <v>0</v>
      </c>
      <c r="T33" s="59">
        <f>IFERROR(__xludf.DUMMYFUNCTION("iferror(SUM(query(filter('Data Recording'!M:M,'Data Recording'!D:D=B33), ""Select Col1"")),""-"")"),0.0)</f>
        <v>0</v>
      </c>
      <c r="U33" s="54" t="str">
        <f t="shared" si="4"/>
        <v>-</v>
      </c>
      <c r="V33" s="55">
        <f>IFERROR(__xludf.DUMMYFUNCTION("iferror(AVERAGE(query(filter('Data Recording'!M:M,'Data Recording'!D:D=B33), ""Select Col1"")),""-"")"),0.0)</f>
        <v>0</v>
      </c>
      <c r="W33" s="52">
        <f>IFERROR(__xludf.DUMMYFUNCTION("iferror(MAX(query(filter('Data Recording'!M:M,'Data Recording'!D:D=B33), ""Select Col1"")),""-"")"),0.0)</f>
        <v>0</v>
      </c>
      <c r="X33" s="59">
        <f>IFERROR(__xludf.DUMMYFUNCTION("iferror(SUM(query(filter('Data Recording'!N:N,'Data Recording'!D:D=B33), ""Select Col1"")),""-"")"),0.0)</f>
        <v>0</v>
      </c>
      <c r="Y33" s="59">
        <f>IFERROR(__xludf.DUMMYFUNCTION("iferror(SUM(query(filter('Data Recording'!O:O,'Data Recording'!D:D=B33), ""Select Col1"")),""-"")"),0.0)</f>
        <v>0</v>
      </c>
      <c r="Z33" s="54" t="str">
        <f t="shared" si="5"/>
        <v>-</v>
      </c>
      <c r="AA33" s="55" t="str">
        <f>IFERROR(__xludf.DUMMYFUNCTION("iferror(AVERAGE(query(filter('Data Recording'!O:O,'Data Recording'!D:D=B33), ""Select Col1"")),""0.00"")"),"0.00")</f>
        <v>0.00</v>
      </c>
      <c r="AB33" s="52">
        <f>IFERROR(__xludf.DUMMYFUNCTION("iferror(MAX(query(filter('Data Recording'!O:O,'Data Recording'!D:D=B33), ""Select Col1"")),""-"")"),0.0)</f>
        <v>0</v>
      </c>
      <c r="AC33" s="59">
        <f>IFERROR(__xludf.DUMMYFUNCTION("iferror(SUM(query(filter('Data Recording'!P:P,'Data Recording'!D:D=B33), ""Select Col1"")),""-"")"),0.0)</f>
        <v>0</v>
      </c>
      <c r="AD33" s="59">
        <f>IFERROR(__xludf.DUMMYFUNCTION("iferror(SUM(query(filter('Data Recording'!Q:Q,'Data Recording'!D:D=B33), ""Select Col1"")),""-"")"),0.0)</f>
        <v>0</v>
      </c>
      <c r="AE33" s="54" t="str">
        <f t="shared" si="6"/>
        <v>-</v>
      </c>
      <c r="AF33" s="55" t="str">
        <f>IFERROR(__xludf.DUMMYFUNCTION("iferror(AVERAGE(query(filter('Data Recording'!Q:Q,'Data Recording'!D:D=B33), ""Select Col1"")),""0.00"")"),"0.00")</f>
        <v>0.00</v>
      </c>
      <c r="AG33" s="59">
        <f>IFERROR(__xludf.DUMMYFUNCTION("iferror(MAX(query(filter('Data Recording'!Q:Q,'Data Recording'!D:D=B33), ""Select Col1"")),""-"")"),0.0)</f>
        <v>0</v>
      </c>
      <c r="AH33" s="58" t="str">
        <f>IFERROR(__xludf.DUMMYFUNCTION("if(countif(query(filter('Data Recording'!R:R,'Data Recording'!D:D=B33), ""Select Col1""),""Yes, Engaged"")+countif(query(filter('Data Recording'!R:R,'Data Recording'!D:D=B33), ""Select Col1""),""Yes, Docked"")=0,""0"",countif(query(filter('Data Recording'"&amp;"!R:R,'Data Recording'!D:D=B33), ""Select Col1""),""Yes, Engaged""))+countif(query(filter('Data Recording'!R:R,'Data Recording'!D:D=B33), ""Select Col1""),""Yes, Docked"") &amp; ""/"" &amp; if(COUNTA(query(ifna(filter('Data Recording'!R:R,'Data Recording'!D:D=B33)"&amp;",""""), ""Select Col1""))=0,""0"",COUNTA(query(ifna(filter('Data Recording'!R:R,'Data Recording'!D:D=B33),""""), ""Select Col1"")))"),"0/6")</f>
        <v>0/6</v>
      </c>
      <c r="AI33" s="60" t="str">
        <f>IFERROR(__xludf.DUMMYFUNCTION("if(countif(query(filter('Data Recording'!R:R,'Data Recording'!D:D=B33), ""Select Col1""),""Yes, Engaged"")=0,""0"",countif(query(filter('Data Recording'!R:R,'Data Recording'!D:D=B33), ""Select Col1""),""Yes, Engaged"")) &amp; ""/"" &amp; if(COUNTA(query(ifna(filt"&amp;"er('Data Recording'!R:R,'Data Recording'!D:D=B33),""""), ""Select Col1""))=0,""0"",COUNTA(query(ifna(filter('Data Recording'!R:R,'Data Recording'!D:D=B33),""""), ""Select Col1"")))"),"0/6")</f>
        <v>0/6</v>
      </c>
      <c r="AJ33" s="59">
        <f>IFERROR(__xludf.DUMMYFUNCTION("iferror(SUM(query(filter('Data Recording'!S:S,'Data Recording'!D:D=B33), ""Select Col1"")),""-"")"),3.0)</f>
        <v>3</v>
      </c>
      <c r="AK33" s="59">
        <f>IFERROR(__xludf.DUMMYFUNCTION("iferror(SUM(query(filter('Data Recording'!T:T,'Data Recording'!D:D=B33), ""Select Col1"")),""-"")"),0.0)</f>
        <v>0</v>
      </c>
      <c r="AL33" s="54">
        <f t="shared" si="7"/>
        <v>0</v>
      </c>
      <c r="AM33" s="55">
        <f>IFERROR(__xludf.DUMMYFUNCTION("iferror(AVERAGE(query(filter('Data Recording'!T:T,'Data Recording'!D:D=B33), ""Select Col1"")),""0.00"")"),0.0)</f>
        <v>0</v>
      </c>
      <c r="AN33" s="61">
        <f>IFERROR(__xludf.DUMMYFUNCTION("iferror(MAX(query(filter('Data Recording'!T:T,'Data Recording'!D:D=B33), ""Select Col1"")),""-"")"),0.0)</f>
        <v>0</v>
      </c>
      <c r="AO33" s="62">
        <f>IFERROR(__xludf.DUMMYFUNCTION("iferror(SUM(query(filter('Data Recording'!U:U,'Data Recording'!D:D=B33), ""Select Col1"")),""-"")"),0.0)</f>
        <v>0</v>
      </c>
      <c r="AP33" s="62">
        <f>IFERROR(__xludf.DUMMYFUNCTION("iferror(SUM(query(filter('Data Recording'!V:V,'Data Recording'!D:D=B33), ""Select Col1"")),""-"")"),0.0)</f>
        <v>0</v>
      </c>
      <c r="AQ33" s="63" t="str">
        <f t="shared" si="8"/>
        <v>-</v>
      </c>
      <c r="AR33" s="64" t="str">
        <f>IFERROR(__xludf.DUMMYFUNCTION("iferror(AVERAGE(query(filter('Data Recording'!V:V,'Data Recording'!D:D=B33), ""Select Col1"")),""0.00"")"),"0.00")</f>
        <v>0.00</v>
      </c>
      <c r="AS33" s="65">
        <f>IFERROR(__xludf.DUMMYFUNCTION("iferror(MAX(query(filter('Data Recording'!V:V,'Data Recording'!D:D=B33), ""Select Col1"")),""-"")"),0.0)</f>
        <v>0</v>
      </c>
      <c r="AT33" s="62">
        <f>IFERROR(__xludf.DUMMYFUNCTION("iferror(SUM(query(filter('Data Recording'!W:W,'Data Recording'!D:D=B33), ""Select Col1"")),""-"")"),0.0)</f>
        <v>0</v>
      </c>
      <c r="AU33" s="62">
        <f>IFERROR(__xludf.DUMMYFUNCTION("iferror(SUM(query(filter('Data Recording'!X:X,'Data Recording'!D:D=B33), ""Select Col1"")),""-"")"),2.0)</f>
        <v>2</v>
      </c>
      <c r="AV33" s="63" t="str">
        <f t="shared" si="9"/>
        <v>-</v>
      </c>
      <c r="AW33" s="64">
        <f>IFERROR(__xludf.DUMMYFUNCTION("iferror(AVERAGE(query(filter('Data Recording'!X:X,'Data Recording'!D:D=B33), ""Select Col1"")),""0.00"")"),1.0)</f>
        <v>1</v>
      </c>
      <c r="AX33" s="65">
        <f>IFERROR(__xludf.DUMMYFUNCTION("iferror(MAX(query(filter('Data Recording'!X:X,'Data Recording'!D:D=B33), ""Select Col1"")),""-"")"),1.0)</f>
        <v>1</v>
      </c>
      <c r="AY33" s="62">
        <f>IFERROR(__xludf.DUMMYFUNCTION("iferror(SUM(query(filter('Data Recording'!Y:Y,'Data Recording'!D:D=B33), ""Select Col1"")),""-"")"),5.0)</f>
        <v>5</v>
      </c>
      <c r="AZ33" s="62">
        <f>IFERROR(__xludf.DUMMYFUNCTION("iferror(SUM(query(filter('Data Recording'!Z:Z,'Data Recording'!D:D=B33), ""Select Col1"")),""-"")"),4.0)</f>
        <v>4</v>
      </c>
      <c r="BA33" s="63">
        <f t="shared" si="10"/>
        <v>0.8</v>
      </c>
      <c r="BB33" s="64">
        <f>IFERROR(__xludf.DUMMYFUNCTION("iferror(AVERAGE(query(filter('Data Recording'!Z:Z,'Data Recording'!D:D=B33), ""Select Col1"")),""0.00"")"),1.0)</f>
        <v>1</v>
      </c>
      <c r="BC33" s="65">
        <f>IFERROR(__xludf.DUMMYFUNCTION("iferror(MAX(query(filter('Data Recording'!Z:Z,'Data Recording'!D:D=B33), ""Select Col1"")),""-"")"),2.0)</f>
        <v>2</v>
      </c>
      <c r="BD33" s="62">
        <f>IFERROR(__xludf.DUMMYFUNCTION("iferror(SUM(query(filter('Data Recording'!AA:AA,'Data Recording'!D:D=B33), ""Select Col1"")),""-"")"),1.0)</f>
        <v>1</v>
      </c>
      <c r="BE33" s="62">
        <f>IFERROR(__xludf.DUMMYFUNCTION("iferror(SUM(query(filter('Data Recording'!AB:AB,'Data Recording'!D:D=B33), ""Select Col1"")),""-"")"),1.0)</f>
        <v>1</v>
      </c>
      <c r="BF33" s="63">
        <f t="shared" si="11"/>
        <v>1</v>
      </c>
      <c r="BG33" s="64">
        <f>IFERROR(__xludf.DUMMYFUNCTION("iferror(AVERAGE(query(filter('Data Recording'!AB:AB,'Data Recording'!D:D=B33), ""Select Col1"")),""0.00"")"),1.0)</f>
        <v>1</v>
      </c>
      <c r="BH33" s="65">
        <f>IFERROR(__xludf.DUMMYFUNCTION("iferror(MAX(query(filter('Data Recording'!AB:AB,'Data Recording'!D:D=B33), ""Select Col1"")),""-"")"),1.0)</f>
        <v>1</v>
      </c>
      <c r="BI33" s="62">
        <f>IFERROR(__xludf.DUMMYFUNCTION("iferror(SUM(query(filter('Data Recording'!AC:AC,'Data Recording'!D:D=B33), ""Select Col1"")),""-"")"),2.0)</f>
        <v>2</v>
      </c>
      <c r="BJ33" s="62">
        <f>IFERROR(__xludf.DUMMYFUNCTION("iferror(SUM(query(filter('Data Recording'!AD:AD,'Data Recording'!D:D=B33), ""Select Col1"")),""-"")"),2.0)</f>
        <v>2</v>
      </c>
      <c r="BK33" s="63">
        <f t="shared" si="12"/>
        <v>1</v>
      </c>
      <c r="BL33" s="64">
        <f>IFERROR(__xludf.DUMMYFUNCTION("iferror(AVERAGE(query(filter('Data Recording'!AD:AD,'Data Recording'!D:D=B33), ""Select Col1"")),""0.00"")"),2.0)</f>
        <v>2</v>
      </c>
      <c r="BM33" s="65">
        <f>IFERROR(__xludf.DUMMYFUNCTION("iferror(MAX(query(filter('Data Recording'!AD:AD,'Data Recording'!D:D=B33), ""Select Col1"")),""-"")"),2.0)</f>
        <v>2</v>
      </c>
      <c r="BN33" s="66" t="str">
        <f>IFERROR(__xludf.DUMMYFUNCTION("if(countif(query(filter('Data Recording'!AE:AE,'Data Recording'!D:D=B33), ""Select Col1""),""Yes, Engaged"")+countif(query(filter('Data Recording'!AE:AE,'Data Recording'!D:D=B33), ""Select Col1""),""Yes, Docked"")=0,""0"",countif(query(filter('Data Record"&amp;"ing'!AE:AE,'Data Recording'!D:D=B33), ""Select Col1""),""Yes, Engaged""))+countif(query(filter('Data Recording'!AE:AE,'Data Recording'!D:D=B33), ""Select Col1""),""Yes, Docked"") &amp; ""/"" &amp; if(COUNTA(query(ifna(filter('Data Recording'!AE:AE,'Data Recording"&amp;"'!D:D=B33),""""), ""Select Col1""))=0,""0"",COUNTA(query(ifna(filter('Data Recording'!AE:AE,'Data Recording'!D:D=B33),""""), ""Select Col1"")))"),"2/6")</f>
        <v>2/6</v>
      </c>
      <c r="BO33" s="67" t="str">
        <f>IFERROR(__xludf.DUMMYFUNCTION("if(countif(query(filter('Data Recording'!AE:AE,'Data Recording'!D:D=B33), ""Select Col1""),""Yes, Engaged"")=0,""0"",countif(query(filter('Data Recording'!AE:AE,'Data Recording'!D:D=B33), ""Select Col1""),""Yes, Engaged"")) &amp; ""/"" &amp; if(COUNTA(query(ifna("&amp;"filter('Data Recording'!AE:AE,'Data Recording'!D:D=B33),""""), ""Select Col1""))=0,""0"",COUNTA(query(ifna(filter('Data Recording'!AE:AE,'Data Recording'!D:D=B33),""""), ""Select Col1"")))"),"1/6")</f>
        <v>1/6</v>
      </c>
      <c r="BP33" s="60" t="str">
        <f>IFERROR(__xludf.DUMMYFUNCTION("if(countif(query(filter('Data Recording'!AH:AH,'Data Recording'!D:D=B33), ""Select Col1""),""Yes"")=0,""0"",countif(query(filter('Data Recording'!AH:AH,'Data Recording'!D:D=B33), ""Select Col1""),""Yes"")) &amp; ""/"" &amp; if(COUNTA(query(ifna(filter('Data Recor"&amp;"ding'!AH:AH,'Data Recording'!D:D=B33),""""), ""Select Col1""))=0,""0"",COUNTA(query(ifna(filter('Data Recording'!AH:AH,'Data Recording'!D:D=B33),""""), ""Select Col1"")))"),"0/6")</f>
        <v>0/6</v>
      </c>
      <c r="BQ33" s="68">
        <v>0.0</v>
      </c>
      <c r="BR33" s="55">
        <f>IFERROR(__xludf.DUMMYFUNCTION("iferror(average(query(filter('Data Recording'!AF:AF,'Data Recording'!D:D=B33), ""Select Col1"")),""-"")"),1.6666666666666667)</f>
        <v>1.666666667</v>
      </c>
      <c r="BS33" s="69">
        <f>IFERROR(__xludf.DUMMYFUNCTION("iferror(average(query(filter('Data Recording'!AG:AG,'Data Recording'!D:D=B33), ""Select Col1"")),""-"")"),1.0)</f>
        <v>1</v>
      </c>
      <c r="BT33" s="70">
        <f t="shared" si="13"/>
        <v>14</v>
      </c>
      <c r="BU33" s="70">
        <f>IFERROR(__xludf.DUMMYFUNCTION("iferror(AVERAGE(query(filter('Data Recording'!AJ:AJ,'Data Recording'!D:D=B33), ""Select Col1"")),""-"")"),9.833333333333334)</f>
        <v>9.833333333</v>
      </c>
      <c r="BV33" s="70">
        <f>IFERROR(__xludf.DUMMYFUNCTION("iferror(AVERAGE(query(filter('Data Recording'!AK:AK,'Data Recording'!D:D=B33), ""Select Col1"")),""-"")"),5.166666666666667)</f>
        <v>5.166666667</v>
      </c>
      <c r="BW33" s="70">
        <f t="shared" si="14"/>
        <v>14</v>
      </c>
      <c r="BX33" s="71">
        <f>IFERROR(__xludf.DUMMYFUNCTION("iferror(max(query(filter('Data Recording'!AJ:AJ,'Data Recording'!D:D=B33), ""Select Col1"")),""-"")"),22.0)</f>
        <v>22</v>
      </c>
      <c r="BY33" s="72">
        <f>IFERROR(__xludf.DUMMYFUNCTION("iferror(MIN(query(filter('Data Recording'!AJ:AJ,'Data Recording'!D:D=B33), ""Select Col1"")),""-"")"),0.0)</f>
        <v>0</v>
      </c>
      <c r="BZ33" s="73" t="str">
        <f>IFERROR(__xludf.DUMMYFUNCTION("iferror(if(DIVIDE(COUNTIF(query(filter('Data Recording'!R:R,'Data Recording'!D:D=B33), ""Select Col1""),""Yes, Docked"") + countif(query(filter('Data Recording'!R:R,'Data Recording'!D:D=B33), ""Select Col1""),""Yes, Engaged""),COUNTA(query(ifna(filter('Da"&amp;"ta Recording'!R:R,'Data Recording'!D:D=B33),""""), ""Select Col1"")))&gt;=(0.5),""1"",""0""),""-"")"),"0")</f>
        <v>0</v>
      </c>
      <c r="CA33" s="59" t="str">
        <f>IFERROR(__xludf.DUMMYFUNCTION("iferror(if(countif(query(filter('Data Recording'!R:R,'Data Recording'!D:D=B33), ""Select Col1""),""Yes, Engaged"")/COUNTA(query(ifna(filter('Data Recording'!R:R,'Data Recording'!D:D=B33),""""), ""Select Col1""))&gt;=(0.5),""1"",""0""),""-"")"),"0")</f>
        <v>0</v>
      </c>
      <c r="CB33" s="74" t="str">
        <f>IFERROR(__xludf.DUMMYFUNCTION("iferror(if(DIVIDE(COUNTIF(query(filter('Data Recording'!AE:AE,'Data Recording'!D:D=B33), ""Select Col1""),""Yes, Docked"") + countif(query(filter('Data Recording'!AE:AE,'Data Recording'!D:D=B33), ""Select Col1""),""Yes, Engaged""),COUNTA(query(ifna(filter"&amp;"('Data Recording'!AE:AE,'Data Recording'!D:D=B33),""""), ""Select Col1"")))&gt;=(0.5),""1"",""0""),""-"")"),"0")</f>
        <v>0</v>
      </c>
      <c r="CC33" s="59" t="str">
        <f>IFERROR(__xludf.DUMMYFUNCTION("iferror(if(countif(query(filter('Data Recording'!AE:AE,'Data Recording'!D:D=B33), ""Select Col1""),""Yes, Engaged"")/COUNTA(query(ifna(filter('Data Recording'!AE:AE,'Data Recording'!D:D=B33),""""), ""Select Col1""))&gt;=(0.5),""1"",""0""),""-"")"),"0")</f>
        <v>0</v>
      </c>
      <c r="CD33" s="74" t="str">
        <f>IFERROR(__xludf.DUMMYFUNCTION("iferror(if(DIVIDE(countif(query(filter('Data Recording'!E:E,'Data Recording'!D:D=B33), ""Select Col1""),""Yes""),COUNTA(query(ifna(filter('Data Recording'!E:E,'Data Recording'!D:D=B33),""""), ""Select Col1"")))&gt;=(0.5),""1"",""0""),""-"")"),"0")</f>
        <v>0</v>
      </c>
    </row>
    <row r="34">
      <c r="A34" s="51" t="s">
        <v>67</v>
      </c>
      <c r="B34" s="51">
        <v>9209.0</v>
      </c>
      <c r="C34" s="52" t="str">
        <f>IFERROR(__xludf.DUMMYFUNCTION("if(countif(query(filter('Data Recording'!E:E,'Data Recording'!D:D=B34), ""Select Col1""),""Yes"")=0,""0"",countif(query(filter('Data Recording'!E:E,'Data Recording'!D:D=B34), ""Select Col1""),""Yes"")) &amp; ""/"" &amp; if(COUNTA(query(ifna(filter('Data Recording"&amp;"'!E:E,'Data Recording'!D:D=B34),""""), ""Select Col1""))=0,""0"",COUNTA(query(ifna(filter('Data Recording'!E:E,'Data Recording'!D:D=B34),""""), ""Select Col1"")))"),"3/4")</f>
        <v>3/4</v>
      </c>
      <c r="D34" s="53">
        <f>IFERROR(__xludf.DUMMYFUNCTION("iferror(SUM(query(filter('Data Recording'!F:F,'Data Recording'!D:D=B34), ""Select Col1"")),""-"")"),0.0)</f>
        <v>0</v>
      </c>
      <c r="E34" s="53">
        <f>IFERROR(__xludf.DUMMYFUNCTION("iferror(SUM(query(filter('Data Recording'!G:G,'Data Recording'!D:D=B34), ""Select Col1"")),""-"")"),0.0)</f>
        <v>0</v>
      </c>
      <c r="F34" s="54" t="str">
        <f t="shared" si="1"/>
        <v>-</v>
      </c>
      <c r="G34" s="55" t="str">
        <f>IFERROR(__xludf.DUMMYFUNCTION("iferror(AVERAGE(query(filter('Data Recording'!G:G,'Data Recording'!D:D=B34), ""Select Col1"")),""0.00"")"),"0.00")</f>
        <v>0.00</v>
      </c>
      <c r="H34" s="53">
        <f>IFERROR(__xludf.DUMMYFUNCTION("iferror(MAX(query(filter('Data Recording'!G:G,'Data Recording'!D:D=B34), ""Select Col1"")),""-"")"),0.0)</f>
        <v>0</v>
      </c>
      <c r="I34" s="56">
        <f>IFERROR(__xludf.DUMMYFUNCTION("iferror(SUM(query(filter('Data Recording'!H:H,'Data Recording'!D:D=B34), ""Select Col1"")),""-"")"),0.0)</f>
        <v>0</v>
      </c>
      <c r="J34" s="57">
        <f>IFERROR(__xludf.DUMMYFUNCTION("iferror(SUM(query(filter('Data Recording'!I:I,'Data Recording'!D:D=B34), ""Select Col1"")),""-"")"),0.0)</f>
        <v>0</v>
      </c>
      <c r="K34" s="54" t="str">
        <f t="shared" si="2"/>
        <v>-</v>
      </c>
      <c r="L34" s="55" t="str">
        <f>IFERROR(__xludf.DUMMYFUNCTION("iferror(AVERAGE(query(filter('Data Recording'!I:I,'Data Recording'!D:D=B34), ""Select Col1"")),""0.00"")"),"0.00")</f>
        <v>0.00</v>
      </c>
      <c r="M34" s="53">
        <f>IFERROR(__xludf.DUMMYFUNCTION("iferror(MAX(query(filter('Data Recording'!I:I,'Data Recording'!D:D=B34), ""Select Col1"")),""-"")"),0.0)</f>
        <v>0</v>
      </c>
      <c r="N34" s="58">
        <f>IFERROR(__xludf.DUMMYFUNCTION("iferror(SUM(query(filter('Data Recording'!J:J,'Data Recording'!D:D=B34), ""Select Col1"")),""-"")"),1.0)</f>
        <v>1</v>
      </c>
      <c r="O34" s="59">
        <f>IFERROR(__xludf.DUMMYFUNCTION("iferror(SUM(query(filter('Data Recording'!K:K,'Data Recording'!D:D=B34), ""Select Col1"")),""-"")"),1.0)</f>
        <v>1</v>
      </c>
      <c r="P34" s="54">
        <f t="shared" si="3"/>
        <v>1</v>
      </c>
      <c r="Q34" s="55">
        <f>IFERROR(__xludf.DUMMYFUNCTION("iferror(AVERAGE(query(filter('Data Recording'!K:K,'Data Recording'!D:D=B34), ""Select Col1"")),""0.00"")"),1.0)</f>
        <v>1</v>
      </c>
      <c r="R34" s="53">
        <f>IFERROR(__xludf.DUMMYFUNCTION("iferror(MAX(query(filter('Data Recording'!K:K,'Data Recording'!D:D=B34), ""Select Col1"")),""-"")"),1.0)</f>
        <v>1</v>
      </c>
      <c r="S34" s="58">
        <f>IFERROR(__xludf.DUMMYFUNCTION("iferror(SUM(query(filter('Data Recording'!L:L,'Data Recording'!D:D=B34), ""Select Col1"")),""-"")"),0.0)</f>
        <v>0</v>
      </c>
      <c r="T34" s="59">
        <f>IFERROR(__xludf.DUMMYFUNCTION("iferror(SUM(query(filter('Data Recording'!M:M,'Data Recording'!D:D=B34), ""Select Col1"")),""-"")"),0.0)</f>
        <v>0</v>
      </c>
      <c r="U34" s="54" t="str">
        <f t="shared" si="4"/>
        <v>-</v>
      </c>
      <c r="V34" s="55" t="str">
        <f>IFERROR(__xludf.DUMMYFUNCTION("iferror(AVERAGE(query(filter('Data Recording'!M:M,'Data Recording'!D:D=B34), ""Select Col1"")),""-"")"),"-")</f>
        <v>-</v>
      </c>
      <c r="W34" s="52">
        <f>IFERROR(__xludf.DUMMYFUNCTION("iferror(MAX(query(filter('Data Recording'!M:M,'Data Recording'!D:D=B34), ""Select Col1"")),""-"")"),0.0)</f>
        <v>0</v>
      </c>
      <c r="X34" s="59">
        <f>IFERROR(__xludf.DUMMYFUNCTION("iferror(SUM(query(filter('Data Recording'!N:N,'Data Recording'!D:D=B34), ""Select Col1"")),""-"")"),0.0)</f>
        <v>0</v>
      </c>
      <c r="Y34" s="59">
        <f>IFERROR(__xludf.DUMMYFUNCTION("iferror(SUM(query(filter('Data Recording'!O:O,'Data Recording'!D:D=B34), ""Select Col1"")),""-"")"),0.0)</f>
        <v>0</v>
      </c>
      <c r="Z34" s="54" t="str">
        <f t="shared" si="5"/>
        <v>-</v>
      </c>
      <c r="AA34" s="55" t="str">
        <f>IFERROR(__xludf.DUMMYFUNCTION("iferror(AVERAGE(query(filter('Data Recording'!O:O,'Data Recording'!D:D=B34), ""Select Col1"")),""0.00"")"),"0.00")</f>
        <v>0.00</v>
      </c>
      <c r="AB34" s="52">
        <f>IFERROR(__xludf.DUMMYFUNCTION("iferror(MAX(query(filter('Data Recording'!O:O,'Data Recording'!D:D=B34), ""Select Col1"")),""-"")"),0.0)</f>
        <v>0</v>
      </c>
      <c r="AC34" s="59">
        <f>IFERROR(__xludf.DUMMYFUNCTION("iferror(SUM(query(filter('Data Recording'!P:P,'Data Recording'!D:D=B34), ""Select Col1"")),""-"")"),0.0)</f>
        <v>0</v>
      </c>
      <c r="AD34" s="59">
        <f>IFERROR(__xludf.DUMMYFUNCTION("iferror(SUM(query(filter('Data Recording'!Q:Q,'Data Recording'!D:D=B34), ""Select Col1"")),""-"")"),0.0)</f>
        <v>0</v>
      </c>
      <c r="AE34" s="54" t="str">
        <f t="shared" si="6"/>
        <v>-</v>
      </c>
      <c r="AF34" s="55" t="str">
        <f>IFERROR(__xludf.DUMMYFUNCTION("iferror(AVERAGE(query(filter('Data Recording'!Q:Q,'Data Recording'!D:D=B34), ""Select Col1"")),""0.00"")"),"0.00")</f>
        <v>0.00</v>
      </c>
      <c r="AG34" s="59">
        <f>IFERROR(__xludf.DUMMYFUNCTION("iferror(MAX(query(filter('Data Recording'!Q:Q,'Data Recording'!D:D=B34), ""Select Col1"")),""-"")"),0.0)</f>
        <v>0</v>
      </c>
      <c r="AH34" s="58" t="str">
        <f>IFERROR(__xludf.DUMMYFUNCTION("if(countif(query(filter('Data Recording'!R:R,'Data Recording'!D:D=B34), ""Select Col1""),""Yes, Engaged"")+countif(query(filter('Data Recording'!R:R,'Data Recording'!D:D=B34), ""Select Col1""),""Yes, Docked"")=0,""0"",countif(query(filter('Data Recording'"&amp;"!R:R,'Data Recording'!D:D=B34), ""Select Col1""),""Yes, Engaged""))+countif(query(filter('Data Recording'!R:R,'Data Recording'!D:D=B34), ""Select Col1""),""Yes, Docked"") &amp; ""/"" &amp; if(COUNTA(query(ifna(filter('Data Recording'!R:R,'Data Recording'!D:D=B34)"&amp;",""""), ""Select Col1""))=0,""0"",COUNTA(query(ifna(filter('Data Recording'!R:R,'Data Recording'!D:D=B34),""""), ""Select Col1"")))"),"0/4")</f>
        <v>0/4</v>
      </c>
      <c r="AI34" s="60" t="str">
        <f>IFERROR(__xludf.DUMMYFUNCTION("if(countif(query(filter('Data Recording'!R:R,'Data Recording'!D:D=B34), ""Select Col1""),""Yes, Engaged"")=0,""0"",countif(query(filter('Data Recording'!R:R,'Data Recording'!D:D=B34), ""Select Col1""),""Yes, Engaged"")) &amp; ""/"" &amp; if(COUNTA(query(ifna(filt"&amp;"er('Data Recording'!R:R,'Data Recording'!D:D=B34),""""), ""Select Col1""))=0,""0"",COUNTA(query(ifna(filter('Data Recording'!R:R,'Data Recording'!D:D=B34),""""), ""Select Col1"")))"),"0/4")</f>
        <v>0/4</v>
      </c>
      <c r="AJ34" s="59">
        <f>IFERROR(__xludf.DUMMYFUNCTION("iferror(SUM(query(filter('Data Recording'!S:S,'Data Recording'!D:D=B34), ""Select Col1"")),""-"")"),0.0)</f>
        <v>0</v>
      </c>
      <c r="AK34" s="59">
        <f>IFERROR(__xludf.DUMMYFUNCTION("iferror(SUM(query(filter('Data Recording'!T:T,'Data Recording'!D:D=B34), ""Select Col1"")),""-"")"),0.0)</f>
        <v>0</v>
      </c>
      <c r="AL34" s="54" t="str">
        <f t="shared" si="7"/>
        <v>-</v>
      </c>
      <c r="AM34" s="55" t="str">
        <f>IFERROR(__xludf.DUMMYFUNCTION("iferror(AVERAGE(query(filter('Data Recording'!T:T,'Data Recording'!D:D=B34), ""Select Col1"")),""0.00"")"),"0.00")</f>
        <v>0.00</v>
      </c>
      <c r="AN34" s="61">
        <f>IFERROR(__xludf.DUMMYFUNCTION("iferror(MAX(query(filter('Data Recording'!T:T,'Data Recording'!D:D=B34), ""Select Col1"")),""-"")"),0.0)</f>
        <v>0</v>
      </c>
      <c r="AO34" s="62">
        <f>IFERROR(__xludf.DUMMYFUNCTION("iferror(SUM(query(filter('Data Recording'!U:U,'Data Recording'!D:D=B34), ""Select Col1"")),""-"")"),0.0)</f>
        <v>0</v>
      </c>
      <c r="AP34" s="62">
        <f>IFERROR(__xludf.DUMMYFUNCTION("iferror(SUM(query(filter('Data Recording'!V:V,'Data Recording'!D:D=B34), ""Select Col1"")),""-"")"),0.0)</f>
        <v>0</v>
      </c>
      <c r="AQ34" s="63" t="str">
        <f t="shared" si="8"/>
        <v>-</v>
      </c>
      <c r="AR34" s="64" t="str">
        <f>IFERROR(__xludf.DUMMYFUNCTION("iferror(AVERAGE(query(filter('Data Recording'!V:V,'Data Recording'!D:D=B34), ""Select Col1"")),""0.00"")"),"0.00")</f>
        <v>0.00</v>
      </c>
      <c r="AS34" s="65">
        <f>IFERROR(__xludf.DUMMYFUNCTION("iferror(MAX(query(filter('Data Recording'!V:V,'Data Recording'!D:D=B34), ""Select Col1"")),""-"")"),0.0)</f>
        <v>0</v>
      </c>
      <c r="AT34" s="62">
        <f>IFERROR(__xludf.DUMMYFUNCTION("iferror(SUM(query(filter('Data Recording'!W:W,'Data Recording'!D:D=B34), ""Select Col1"")),""-"")"),1.0)</f>
        <v>1</v>
      </c>
      <c r="AU34" s="62">
        <f>IFERROR(__xludf.DUMMYFUNCTION("iferror(SUM(query(filter('Data Recording'!X:X,'Data Recording'!D:D=B34), ""Select Col1"")),""-"")"),1.0)</f>
        <v>1</v>
      </c>
      <c r="AV34" s="63">
        <f t="shared" si="9"/>
        <v>1</v>
      </c>
      <c r="AW34" s="64">
        <f>IFERROR(__xludf.DUMMYFUNCTION("iferror(AVERAGE(query(filter('Data Recording'!X:X,'Data Recording'!D:D=B34), ""Select Col1"")),""0.00"")"),1.0)</f>
        <v>1</v>
      </c>
      <c r="AX34" s="65">
        <f>IFERROR(__xludf.DUMMYFUNCTION("iferror(MAX(query(filter('Data Recording'!X:X,'Data Recording'!D:D=B34), ""Select Col1"")),""-"")"),1.0)</f>
        <v>1</v>
      </c>
      <c r="AY34" s="62">
        <f>IFERROR(__xludf.DUMMYFUNCTION("iferror(SUM(query(filter('Data Recording'!Y:Y,'Data Recording'!D:D=B34), ""Select Col1"")),""-"")"),0.0)</f>
        <v>0</v>
      </c>
      <c r="AZ34" s="62">
        <f>IFERROR(__xludf.DUMMYFUNCTION("iferror(SUM(query(filter('Data Recording'!Z:Z,'Data Recording'!D:D=B34), ""Select Col1"")),""-"")"),0.0)</f>
        <v>0</v>
      </c>
      <c r="BA34" s="63" t="str">
        <f t="shared" si="10"/>
        <v>-</v>
      </c>
      <c r="BB34" s="64" t="str">
        <f>IFERROR(__xludf.DUMMYFUNCTION("iferror(AVERAGE(query(filter('Data Recording'!Z:Z,'Data Recording'!D:D=B34), ""Select Col1"")),""0.00"")"),"0.00")</f>
        <v>0.00</v>
      </c>
      <c r="BC34" s="65">
        <f>IFERROR(__xludf.DUMMYFUNCTION("iferror(MAX(query(filter('Data Recording'!Z:Z,'Data Recording'!D:D=B34), ""Select Col1"")),""-"")"),0.0)</f>
        <v>0</v>
      </c>
      <c r="BD34" s="62">
        <f>IFERROR(__xludf.DUMMYFUNCTION("iferror(SUM(query(filter('Data Recording'!AA:AA,'Data Recording'!D:D=B34), ""Select Col1"")),""-"")"),0.0)</f>
        <v>0</v>
      </c>
      <c r="BE34" s="62">
        <f>IFERROR(__xludf.DUMMYFUNCTION("iferror(SUM(query(filter('Data Recording'!AB:AB,'Data Recording'!D:D=B34), ""Select Col1"")),""-"")"),0.0)</f>
        <v>0</v>
      </c>
      <c r="BF34" s="63" t="str">
        <f t="shared" si="11"/>
        <v>-</v>
      </c>
      <c r="BG34" s="64" t="str">
        <f>IFERROR(__xludf.DUMMYFUNCTION("iferror(AVERAGE(query(filter('Data Recording'!AB:AB,'Data Recording'!D:D=B34), ""Select Col1"")),""0.00"")"),"0.00")</f>
        <v>0.00</v>
      </c>
      <c r="BH34" s="65">
        <f>IFERROR(__xludf.DUMMYFUNCTION("iferror(MAX(query(filter('Data Recording'!AB:AB,'Data Recording'!D:D=B34), ""Select Col1"")),""-"")"),0.0)</f>
        <v>0</v>
      </c>
      <c r="BI34" s="62">
        <f>IFERROR(__xludf.DUMMYFUNCTION("iferror(SUM(query(filter('Data Recording'!AC:AC,'Data Recording'!D:D=B34), ""Select Col1"")),""-"")"),0.0)</f>
        <v>0</v>
      </c>
      <c r="BJ34" s="62">
        <f>IFERROR(__xludf.DUMMYFUNCTION("iferror(SUM(query(filter('Data Recording'!AD:AD,'Data Recording'!D:D=B34), ""Select Col1"")),""-"")"),0.0)</f>
        <v>0</v>
      </c>
      <c r="BK34" s="63" t="str">
        <f t="shared" si="12"/>
        <v>-</v>
      </c>
      <c r="BL34" s="64" t="str">
        <f>IFERROR(__xludf.DUMMYFUNCTION("iferror(AVERAGE(query(filter('Data Recording'!AD:AD,'Data Recording'!D:D=B34), ""Select Col1"")),""0.00"")"),"0.00")</f>
        <v>0.00</v>
      </c>
      <c r="BM34" s="65">
        <f>IFERROR(__xludf.DUMMYFUNCTION("iferror(MAX(query(filter('Data Recording'!AD:AD,'Data Recording'!D:D=B34), ""Select Col1"")),""-"")"),0.0)</f>
        <v>0</v>
      </c>
      <c r="BN34" s="66" t="str">
        <f>IFERROR(__xludf.DUMMYFUNCTION("if(countif(query(filter('Data Recording'!AE:AE,'Data Recording'!D:D=B34), ""Select Col1""),""Yes, Engaged"")+countif(query(filter('Data Recording'!AE:AE,'Data Recording'!D:D=B34), ""Select Col1""),""Yes, Docked"")=0,""0"",countif(query(filter('Data Record"&amp;"ing'!AE:AE,'Data Recording'!D:D=B34), ""Select Col1""),""Yes, Engaged""))+countif(query(filter('Data Recording'!AE:AE,'Data Recording'!D:D=B34), ""Select Col1""),""Yes, Docked"") &amp; ""/"" &amp; if(COUNTA(query(ifna(filter('Data Recording'!AE:AE,'Data Recording"&amp;"'!D:D=B34),""""), ""Select Col1""))=0,""0"",COUNTA(query(ifna(filter('Data Recording'!AE:AE,'Data Recording'!D:D=B34),""""), ""Select Col1"")))"),"2/4")</f>
        <v>2/4</v>
      </c>
      <c r="BO34" s="67" t="str">
        <f>IFERROR(__xludf.DUMMYFUNCTION("if(countif(query(filter('Data Recording'!AE:AE,'Data Recording'!D:D=B34), ""Select Col1""),""Yes, Engaged"")=0,""0"",countif(query(filter('Data Recording'!AE:AE,'Data Recording'!D:D=B34), ""Select Col1""),""Yes, Engaged"")) &amp; ""/"" &amp; if(COUNTA(query(ifna("&amp;"filter('Data Recording'!AE:AE,'Data Recording'!D:D=B34),""""), ""Select Col1""))=0,""0"",COUNTA(query(ifna(filter('Data Recording'!AE:AE,'Data Recording'!D:D=B34),""""), ""Select Col1"")))"),"2/4")</f>
        <v>2/4</v>
      </c>
      <c r="BP34" s="60" t="str">
        <f>IFERROR(__xludf.DUMMYFUNCTION("if(countif(query(filter('Data Recording'!AH:AH,'Data Recording'!D:D=B34), ""Select Col1""),""Yes"")=0,""0"",countif(query(filter('Data Recording'!AH:AH,'Data Recording'!D:D=B34), ""Select Col1""),""Yes"")) &amp; ""/"" &amp; if(COUNTA(query(ifna(filter('Data Recor"&amp;"ding'!AH:AH,'Data Recording'!D:D=B34),""""), ""Select Col1""))=0,""0"",COUNTA(query(ifna(filter('Data Recording'!AH:AH,'Data Recording'!D:D=B34),""""), ""Select Col1"")))"),"1/4")</f>
        <v>1/4</v>
      </c>
      <c r="BQ34" s="68">
        <v>0.25</v>
      </c>
      <c r="BR34" s="55">
        <f>IFERROR(__xludf.DUMMYFUNCTION("iferror(average(query(filter('Data Recording'!AF:AF,'Data Recording'!D:D=B34), ""Select Col1"")),""-"")"),0.25)</f>
        <v>0.25</v>
      </c>
      <c r="BS34" s="69">
        <f>IFERROR(__xludf.DUMMYFUNCTION("iferror(average(query(filter('Data Recording'!AG:AG,'Data Recording'!D:D=B34), ""Select Col1"")),""-"")"),0.0)</f>
        <v>0</v>
      </c>
      <c r="BT34" s="70">
        <f t="shared" si="13"/>
        <v>18</v>
      </c>
      <c r="BU34" s="70">
        <f>IFERROR(__xludf.DUMMYFUNCTION("iferror(AVERAGE(query(filter('Data Recording'!AJ:AJ,'Data Recording'!D:D=B34), ""Select Col1"")),""-"")"),9.25)</f>
        <v>9.25</v>
      </c>
      <c r="BV34" s="70">
        <f>IFERROR(__xludf.DUMMYFUNCTION("iferror(AVERAGE(query(filter('Data Recording'!AK:AK,'Data Recording'!D:D=B34), ""Select Col1"")),""-"")"),1.25)</f>
        <v>1.25</v>
      </c>
      <c r="BW34" s="70">
        <f t="shared" si="14"/>
        <v>5</v>
      </c>
      <c r="BX34" s="71">
        <f>IFERROR(__xludf.DUMMYFUNCTION("iferror(max(query(filter('Data Recording'!AJ:AJ,'Data Recording'!D:D=B34), ""Select Col1"")),""-"")"),13.0)</f>
        <v>13</v>
      </c>
      <c r="BY34" s="72">
        <f>IFERROR(__xludf.DUMMYFUNCTION("iferror(MIN(query(filter('Data Recording'!AJ:AJ,'Data Recording'!D:D=B34), ""Select Col1"")),""-"")"),3.0)</f>
        <v>3</v>
      </c>
      <c r="BZ34" s="73" t="str">
        <f>IFERROR(__xludf.DUMMYFUNCTION("iferror(if(DIVIDE(COUNTIF(query(filter('Data Recording'!R:R,'Data Recording'!D:D=B34), ""Select Col1""),""Yes, Docked"") + countif(query(filter('Data Recording'!R:R,'Data Recording'!D:D=B34), ""Select Col1""),""Yes, Engaged""),COUNTA(query(ifna(filter('Da"&amp;"ta Recording'!R:R,'Data Recording'!D:D=B34),""""), ""Select Col1"")))&gt;=(0.5),""1"",""0""),""-"")"),"0")</f>
        <v>0</v>
      </c>
      <c r="CA34" s="59" t="str">
        <f>IFERROR(__xludf.DUMMYFUNCTION("iferror(if(countif(query(filter('Data Recording'!R:R,'Data Recording'!D:D=B34), ""Select Col1""),""Yes, Engaged"")/COUNTA(query(ifna(filter('Data Recording'!R:R,'Data Recording'!D:D=B34),""""), ""Select Col1""))&gt;=(0.5),""1"",""0""),""-"")"),"0")</f>
        <v>0</v>
      </c>
      <c r="CB34" s="74" t="str">
        <f>IFERROR(__xludf.DUMMYFUNCTION("iferror(if(DIVIDE(COUNTIF(query(filter('Data Recording'!AE:AE,'Data Recording'!D:D=B34), ""Select Col1""),""Yes, Docked"") + countif(query(filter('Data Recording'!AE:AE,'Data Recording'!D:D=B34), ""Select Col1""),""Yes, Engaged""),COUNTA(query(ifna(filter"&amp;"('Data Recording'!AE:AE,'Data Recording'!D:D=B34),""""), ""Select Col1"")))&gt;=(0.5),""1"",""0""),""-"")"),"1")</f>
        <v>1</v>
      </c>
      <c r="CC34" s="59" t="str">
        <f>IFERROR(__xludf.DUMMYFUNCTION("iferror(if(countif(query(filter('Data Recording'!AE:AE,'Data Recording'!D:D=B34), ""Select Col1""),""Yes, Engaged"")/COUNTA(query(ifna(filter('Data Recording'!AE:AE,'Data Recording'!D:D=B34),""""), ""Select Col1""))&gt;=(0.5),""1"",""0""),""-"")"),"1")</f>
        <v>1</v>
      </c>
      <c r="CD34" s="74" t="str">
        <f>IFERROR(__xludf.DUMMYFUNCTION("iferror(if(DIVIDE(countif(query(filter('Data Recording'!E:E,'Data Recording'!D:D=B34), ""Select Col1""),""Yes""),COUNTA(query(ifna(filter('Data Recording'!E:E,'Data Recording'!D:D=B34),""""), ""Select Col1"")))&gt;=(0.5),""1"",""0""),""-"")"),"1")</f>
        <v>1</v>
      </c>
    </row>
    <row r="35">
      <c r="A35" s="51" t="s">
        <v>68</v>
      </c>
      <c r="B35" s="51">
        <v>8832.0</v>
      </c>
      <c r="C35" s="52" t="str">
        <f>IFERROR(__xludf.DUMMYFUNCTION("if(countif(query(filter('Data Recording'!E:E,'Data Recording'!D:D=B35), ""Select Col1""),""Yes"")=0,""0"",countif(query(filter('Data Recording'!E:E,'Data Recording'!D:D=B35), ""Select Col1""),""Yes"")) &amp; ""/"" &amp; if(COUNTA(query(ifna(filter('Data Recording"&amp;"'!E:E,'Data Recording'!D:D=B35),""""), ""Select Col1""))=0,""0"",COUNTA(query(ifna(filter('Data Recording'!E:E,'Data Recording'!D:D=B35),""""), ""Select Col1"")))"),"3/4")</f>
        <v>3/4</v>
      </c>
      <c r="D35" s="53">
        <f>IFERROR(__xludf.DUMMYFUNCTION("iferror(SUM(query(filter('Data Recording'!F:F,'Data Recording'!D:D=B35), ""Select Col1"")),""-"")"),0.0)</f>
        <v>0</v>
      </c>
      <c r="E35" s="53">
        <f>IFERROR(__xludf.DUMMYFUNCTION("iferror(SUM(query(filter('Data Recording'!G:G,'Data Recording'!D:D=B35), ""Select Col1"")),""-"")"),0.0)</f>
        <v>0</v>
      </c>
      <c r="F35" s="54" t="str">
        <f t="shared" si="1"/>
        <v>-</v>
      </c>
      <c r="G35" s="55" t="str">
        <f>IFERROR(__xludf.DUMMYFUNCTION("iferror(AVERAGE(query(filter('Data Recording'!G:G,'Data Recording'!D:D=B35), ""Select Col1"")),""0.00"")"),"0.00")</f>
        <v>0.00</v>
      </c>
      <c r="H35" s="53">
        <f>IFERROR(__xludf.DUMMYFUNCTION("iferror(MAX(query(filter('Data Recording'!G:G,'Data Recording'!D:D=B35), ""Select Col1"")),""-"")"),0.0)</f>
        <v>0</v>
      </c>
      <c r="I35" s="56">
        <f>IFERROR(__xludf.DUMMYFUNCTION("iferror(SUM(query(filter('Data Recording'!H:H,'Data Recording'!D:D=B35), ""Select Col1"")),""-"")"),0.0)</f>
        <v>0</v>
      </c>
      <c r="J35" s="57">
        <f>IFERROR(__xludf.DUMMYFUNCTION("iferror(SUM(query(filter('Data Recording'!I:I,'Data Recording'!D:D=B35), ""Select Col1"")),""-"")"),0.0)</f>
        <v>0</v>
      </c>
      <c r="K35" s="54" t="str">
        <f t="shared" si="2"/>
        <v>-</v>
      </c>
      <c r="L35" s="55" t="str">
        <f>IFERROR(__xludf.DUMMYFUNCTION("iferror(AVERAGE(query(filter('Data Recording'!I:I,'Data Recording'!D:D=B35), ""Select Col1"")),""0.00"")"),"0.00")</f>
        <v>0.00</v>
      </c>
      <c r="M35" s="53">
        <f>IFERROR(__xludf.DUMMYFUNCTION("iferror(MAX(query(filter('Data Recording'!I:I,'Data Recording'!D:D=B35), ""Select Col1"")),""-"")"),0.0)</f>
        <v>0</v>
      </c>
      <c r="N35" s="58">
        <f>IFERROR(__xludf.DUMMYFUNCTION("iferror(SUM(query(filter('Data Recording'!J:J,'Data Recording'!D:D=B35), ""Select Col1"")),""-"")"),0.0)</f>
        <v>0</v>
      </c>
      <c r="O35" s="59">
        <f>IFERROR(__xludf.DUMMYFUNCTION("iferror(SUM(query(filter('Data Recording'!K:K,'Data Recording'!D:D=B35), ""Select Col1"")),""-"")"),0.0)</f>
        <v>0</v>
      </c>
      <c r="P35" s="54" t="str">
        <f t="shared" si="3"/>
        <v>-</v>
      </c>
      <c r="Q35" s="55" t="str">
        <f>IFERROR(__xludf.DUMMYFUNCTION("iferror(AVERAGE(query(filter('Data Recording'!K:K,'Data Recording'!D:D=B35), ""Select Col1"")),""0.00"")"),"0.00")</f>
        <v>0.00</v>
      </c>
      <c r="R35" s="53">
        <f>IFERROR(__xludf.DUMMYFUNCTION("iferror(MAX(query(filter('Data Recording'!K:K,'Data Recording'!D:D=B35), ""Select Col1"")),""-"")"),0.0)</f>
        <v>0</v>
      </c>
      <c r="S35" s="58">
        <f>IFERROR(__xludf.DUMMYFUNCTION("iferror(SUM(query(filter('Data Recording'!L:L,'Data Recording'!D:D=B35), ""Select Col1"")),""-"")"),0.0)</f>
        <v>0</v>
      </c>
      <c r="T35" s="59">
        <f>IFERROR(__xludf.DUMMYFUNCTION("iferror(SUM(query(filter('Data Recording'!M:M,'Data Recording'!D:D=B35), ""Select Col1"")),""-"")"),0.0)</f>
        <v>0</v>
      </c>
      <c r="U35" s="54" t="str">
        <f t="shared" si="4"/>
        <v>-</v>
      </c>
      <c r="V35" s="55" t="str">
        <f>IFERROR(__xludf.DUMMYFUNCTION("iferror(AVERAGE(query(filter('Data Recording'!M:M,'Data Recording'!D:D=B35), ""Select Col1"")),""-"")"),"-")</f>
        <v>-</v>
      </c>
      <c r="W35" s="52">
        <f>IFERROR(__xludf.DUMMYFUNCTION("iferror(MAX(query(filter('Data Recording'!M:M,'Data Recording'!D:D=B35), ""Select Col1"")),""-"")"),0.0)</f>
        <v>0</v>
      </c>
      <c r="X35" s="59">
        <f>IFERROR(__xludf.DUMMYFUNCTION("iferror(SUM(query(filter('Data Recording'!N:N,'Data Recording'!D:D=B35), ""Select Col1"")),""-"")"),0.0)</f>
        <v>0</v>
      </c>
      <c r="Y35" s="59">
        <f>IFERROR(__xludf.DUMMYFUNCTION("iferror(SUM(query(filter('Data Recording'!O:O,'Data Recording'!D:D=B35), ""Select Col1"")),""-"")"),0.0)</f>
        <v>0</v>
      </c>
      <c r="Z35" s="54" t="str">
        <f t="shared" si="5"/>
        <v>-</v>
      </c>
      <c r="AA35" s="55" t="str">
        <f>IFERROR(__xludf.DUMMYFUNCTION("iferror(AVERAGE(query(filter('Data Recording'!O:O,'Data Recording'!D:D=B35), ""Select Col1"")),""0.00"")"),"0.00")</f>
        <v>0.00</v>
      </c>
      <c r="AB35" s="52">
        <f>IFERROR(__xludf.DUMMYFUNCTION("iferror(MAX(query(filter('Data Recording'!O:O,'Data Recording'!D:D=B35), ""Select Col1"")),""-"")"),0.0)</f>
        <v>0</v>
      </c>
      <c r="AC35" s="59">
        <f>IFERROR(__xludf.DUMMYFUNCTION("iferror(SUM(query(filter('Data Recording'!P:P,'Data Recording'!D:D=B35), ""Select Col1"")),""-"")"),0.0)</f>
        <v>0</v>
      </c>
      <c r="AD35" s="59">
        <f>IFERROR(__xludf.DUMMYFUNCTION("iferror(SUM(query(filter('Data Recording'!Q:Q,'Data Recording'!D:D=B35), ""Select Col1"")),""-"")"),0.0)</f>
        <v>0</v>
      </c>
      <c r="AE35" s="54" t="str">
        <f t="shared" si="6"/>
        <v>-</v>
      </c>
      <c r="AF35" s="55" t="str">
        <f>IFERROR(__xludf.DUMMYFUNCTION("iferror(AVERAGE(query(filter('Data Recording'!Q:Q,'Data Recording'!D:D=B35), ""Select Col1"")),""0.00"")"),"0.00")</f>
        <v>0.00</v>
      </c>
      <c r="AG35" s="59">
        <f>IFERROR(__xludf.DUMMYFUNCTION("iferror(MAX(query(filter('Data Recording'!Q:Q,'Data Recording'!D:D=B35), ""Select Col1"")),""-"")"),0.0)</f>
        <v>0</v>
      </c>
      <c r="AH35" s="58" t="str">
        <f>IFERROR(__xludf.DUMMYFUNCTION("if(countif(query(filter('Data Recording'!R:R,'Data Recording'!D:D=B35), ""Select Col1""),""Yes, Engaged"")+countif(query(filter('Data Recording'!R:R,'Data Recording'!D:D=B35), ""Select Col1""),""Yes, Docked"")=0,""0"",countif(query(filter('Data Recording'"&amp;"!R:R,'Data Recording'!D:D=B35), ""Select Col1""),""Yes, Engaged""))+countif(query(filter('Data Recording'!R:R,'Data Recording'!D:D=B35), ""Select Col1""),""Yes, Docked"") &amp; ""/"" &amp; if(COUNTA(query(ifna(filter('Data Recording'!R:R,'Data Recording'!D:D=B35)"&amp;",""""), ""Select Col1""))=0,""0"",COUNTA(query(ifna(filter('Data Recording'!R:R,'Data Recording'!D:D=B35),""""), ""Select Col1"")))"),"0/4")</f>
        <v>0/4</v>
      </c>
      <c r="AI35" s="60" t="str">
        <f>IFERROR(__xludf.DUMMYFUNCTION("if(countif(query(filter('Data Recording'!R:R,'Data Recording'!D:D=B35), ""Select Col1""),""Yes, Engaged"")=0,""0"",countif(query(filter('Data Recording'!R:R,'Data Recording'!D:D=B35), ""Select Col1""),""Yes, Engaged"")) &amp; ""/"" &amp; if(COUNTA(query(ifna(filt"&amp;"er('Data Recording'!R:R,'Data Recording'!D:D=B35),""""), ""Select Col1""))=0,""0"",COUNTA(query(ifna(filter('Data Recording'!R:R,'Data Recording'!D:D=B35),""""), ""Select Col1"")))"),"0/4")</f>
        <v>0/4</v>
      </c>
      <c r="AJ35" s="59">
        <f>IFERROR(__xludf.DUMMYFUNCTION("iferror(SUM(query(filter('Data Recording'!S:S,'Data Recording'!D:D=B35), ""Select Col1"")),""-"")"),0.0)</f>
        <v>0</v>
      </c>
      <c r="AK35" s="59">
        <f>IFERROR(__xludf.DUMMYFUNCTION("iferror(SUM(query(filter('Data Recording'!T:T,'Data Recording'!D:D=B35), ""Select Col1"")),""-"")"),0.0)</f>
        <v>0</v>
      </c>
      <c r="AL35" s="54" t="str">
        <f t="shared" si="7"/>
        <v>-</v>
      </c>
      <c r="AM35" s="55" t="str">
        <f>IFERROR(__xludf.DUMMYFUNCTION("iferror(AVERAGE(query(filter('Data Recording'!T:T,'Data Recording'!D:D=B35), ""Select Col1"")),""0.00"")"),"0.00")</f>
        <v>0.00</v>
      </c>
      <c r="AN35" s="61">
        <f>IFERROR(__xludf.DUMMYFUNCTION("iferror(MAX(query(filter('Data Recording'!T:T,'Data Recording'!D:D=B35), ""Select Col1"")),""-"")"),0.0)</f>
        <v>0</v>
      </c>
      <c r="AO35" s="62">
        <f>IFERROR(__xludf.DUMMYFUNCTION("iferror(SUM(query(filter('Data Recording'!U:U,'Data Recording'!D:D=B35), ""Select Col1"")),""-"")"),0.0)</f>
        <v>0</v>
      </c>
      <c r="AP35" s="62">
        <f>IFERROR(__xludf.DUMMYFUNCTION("iferror(SUM(query(filter('Data Recording'!V:V,'Data Recording'!D:D=B35), ""Select Col1"")),""-"")"),0.0)</f>
        <v>0</v>
      </c>
      <c r="AQ35" s="63" t="str">
        <f t="shared" si="8"/>
        <v>-</v>
      </c>
      <c r="AR35" s="64" t="str">
        <f>IFERROR(__xludf.DUMMYFUNCTION("iferror(AVERAGE(query(filter('Data Recording'!V:V,'Data Recording'!D:D=B35), ""Select Col1"")),""0.00"")"),"0.00")</f>
        <v>0.00</v>
      </c>
      <c r="AS35" s="65">
        <f>IFERROR(__xludf.DUMMYFUNCTION("iferror(MAX(query(filter('Data Recording'!V:V,'Data Recording'!D:D=B35), ""Select Col1"")),""-"")"),0.0)</f>
        <v>0</v>
      </c>
      <c r="AT35" s="62">
        <f>IFERROR(__xludf.DUMMYFUNCTION("iferror(SUM(query(filter('Data Recording'!W:W,'Data Recording'!D:D=B35), ""Select Col1"")),""-"")"),0.0)</f>
        <v>0</v>
      </c>
      <c r="AU35" s="62">
        <f>IFERROR(__xludf.DUMMYFUNCTION("iferror(SUM(query(filter('Data Recording'!X:X,'Data Recording'!D:D=B35), ""Select Col1"")),""-"")"),0.0)</f>
        <v>0</v>
      </c>
      <c r="AV35" s="63" t="str">
        <f t="shared" si="9"/>
        <v>-</v>
      </c>
      <c r="AW35" s="64" t="str">
        <f>IFERROR(__xludf.DUMMYFUNCTION("iferror(AVERAGE(query(filter('Data Recording'!X:X,'Data Recording'!D:D=B35), ""Select Col1"")),""0.00"")"),"0.00")</f>
        <v>0.00</v>
      </c>
      <c r="AX35" s="65">
        <f>IFERROR(__xludf.DUMMYFUNCTION("iferror(MAX(query(filter('Data Recording'!X:X,'Data Recording'!D:D=B35), ""Select Col1"")),""-"")"),0.0)</f>
        <v>0</v>
      </c>
      <c r="AY35" s="62">
        <f>IFERROR(__xludf.DUMMYFUNCTION("iferror(SUM(query(filter('Data Recording'!Y:Y,'Data Recording'!D:D=B35), ""Select Col1"")),""-"")"),0.0)</f>
        <v>0</v>
      </c>
      <c r="AZ35" s="62">
        <f>IFERROR(__xludf.DUMMYFUNCTION("iferror(SUM(query(filter('Data Recording'!Z:Z,'Data Recording'!D:D=B35), ""Select Col1"")),""-"")"),0.0)</f>
        <v>0</v>
      </c>
      <c r="BA35" s="63" t="str">
        <f t="shared" si="10"/>
        <v>-</v>
      </c>
      <c r="BB35" s="64" t="str">
        <f>IFERROR(__xludf.DUMMYFUNCTION("iferror(AVERAGE(query(filter('Data Recording'!Z:Z,'Data Recording'!D:D=B35), ""Select Col1"")),""0.00"")"),"0.00")</f>
        <v>0.00</v>
      </c>
      <c r="BC35" s="65">
        <f>IFERROR(__xludf.DUMMYFUNCTION("iferror(MAX(query(filter('Data Recording'!Z:Z,'Data Recording'!D:D=B35), ""Select Col1"")),""-"")"),0.0)</f>
        <v>0</v>
      </c>
      <c r="BD35" s="62">
        <f>IFERROR(__xludf.DUMMYFUNCTION("iferror(SUM(query(filter('Data Recording'!AA:AA,'Data Recording'!D:D=B35), ""Select Col1"")),""-"")"),0.0)</f>
        <v>0</v>
      </c>
      <c r="BE35" s="62">
        <f>IFERROR(__xludf.DUMMYFUNCTION("iferror(SUM(query(filter('Data Recording'!AB:AB,'Data Recording'!D:D=B35), ""Select Col1"")),""-"")"),0.0)</f>
        <v>0</v>
      </c>
      <c r="BF35" s="63" t="str">
        <f t="shared" si="11"/>
        <v>-</v>
      </c>
      <c r="BG35" s="64" t="str">
        <f>IFERROR(__xludf.DUMMYFUNCTION("iferror(AVERAGE(query(filter('Data Recording'!AB:AB,'Data Recording'!D:D=B35), ""Select Col1"")),""0.00"")"),"0.00")</f>
        <v>0.00</v>
      </c>
      <c r="BH35" s="65">
        <f>IFERROR(__xludf.DUMMYFUNCTION("iferror(MAX(query(filter('Data Recording'!AB:AB,'Data Recording'!D:D=B35), ""Select Col1"")),""-"")"),0.0)</f>
        <v>0</v>
      </c>
      <c r="BI35" s="62">
        <f>IFERROR(__xludf.DUMMYFUNCTION("iferror(SUM(query(filter('Data Recording'!AC:AC,'Data Recording'!D:D=B35), ""Select Col1"")),""-"")"),2.0)</f>
        <v>2</v>
      </c>
      <c r="BJ35" s="62">
        <f>IFERROR(__xludf.DUMMYFUNCTION("iferror(SUM(query(filter('Data Recording'!AD:AD,'Data Recording'!D:D=B35), ""Select Col1"")),""-"")"),2.0)</f>
        <v>2</v>
      </c>
      <c r="BK35" s="63">
        <f t="shared" si="12"/>
        <v>1</v>
      </c>
      <c r="BL35" s="64">
        <f>IFERROR(__xludf.DUMMYFUNCTION("iferror(AVERAGE(query(filter('Data Recording'!AD:AD,'Data Recording'!D:D=B35), ""Select Col1"")),""0.00"")"),1.0)</f>
        <v>1</v>
      </c>
      <c r="BM35" s="65">
        <f>IFERROR(__xludf.DUMMYFUNCTION("iferror(MAX(query(filter('Data Recording'!AD:AD,'Data Recording'!D:D=B35), ""Select Col1"")),""-"")"),1.0)</f>
        <v>1</v>
      </c>
      <c r="BN35" s="66" t="str">
        <f>IFERROR(__xludf.DUMMYFUNCTION("if(countif(query(filter('Data Recording'!AE:AE,'Data Recording'!D:D=B35), ""Select Col1""),""Yes, Engaged"")+countif(query(filter('Data Recording'!AE:AE,'Data Recording'!D:D=B35), ""Select Col1""),""Yes, Docked"")=0,""0"",countif(query(filter('Data Record"&amp;"ing'!AE:AE,'Data Recording'!D:D=B35), ""Select Col1""),""Yes, Engaged""))+countif(query(filter('Data Recording'!AE:AE,'Data Recording'!D:D=B35), ""Select Col1""),""Yes, Docked"") &amp; ""/"" &amp; if(COUNTA(query(ifna(filter('Data Recording'!AE:AE,'Data Recording"&amp;"'!D:D=B35),""""), ""Select Col1""))=0,""0"",COUNTA(query(ifna(filter('Data Recording'!AE:AE,'Data Recording'!D:D=B35),""""), ""Select Col1"")))"),"2/4")</f>
        <v>2/4</v>
      </c>
      <c r="BO35" s="67" t="str">
        <f>IFERROR(__xludf.DUMMYFUNCTION("if(countif(query(filter('Data Recording'!AE:AE,'Data Recording'!D:D=B35), ""Select Col1""),""Yes, Engaged"")=0,""0"",countif(query(filter('Data Recording'!AE:AE,'Data Recording'!D:D=B35), ""Select Col1""),""Yes, Engaged"")) &amp; ""/"" &amp; if(COUNTA(query(ifna("&amp;"filter('Data Recording'!AE:AE,'Data Recording'!D:D=B35),""""), ""Select Col1""))=0,""0"",COUNTA(query(ifna(filter('Data Recording'!AE:AE,'Data Recording'!D:D=B35),""""), ""Select Col1"")))"),"2/4")</f>
        <v>2/4</v>
      </c>
      <c r="BP35" s="60" t="str">
        <f>IFERROR(__xludf.DUMMYFUNCTION("if(countif(query(filter('Data Recording'!AH:AH,'Data Recording'!D:D=B35), ""Select Col1""),""Yes"")=0,""0"",countif(query(filter('Data Recording'!AH:AH,'Data Recording'!D:D=B35), ""Select Col1""),""Yes"")) &amp; ""/"" &amp; if(COUNTA(query(ifna(filter('Data Recor"&amp;"ding'!AH:AH,'Data Recording'!D:D=B35),""""), ""Select Col1""))=0,""0"",COUNTA(query(ifna(filter('Data Recording'!AH:AH,'Data Recording'!D:D=B35),""""), ""Select Col1"")))"),"0/4")</f>
        <v>0/4</v>
      </c>
      <c r="BQ35" s="68">
        <v>0.0</v>
      </c>
      <c r="BR35" s="55">
        <f>IFERROR(__xludf.DUMMYFUNCTION("iferror(average(query(filter('Data Recording'!AF:AF,'Data Recording'!D:D=B35), ""Select Col1"")),""-"")"),0.0)</f>
        <v>0</v>
      </c>
      <c r="BS35" s="69">
        <f>IFERROR(__xludf.DUMMYFUNCTION("iferror(average(query(filter('Data Recording'!AG:AG,'Data Recording'!D:D=B35), ""Select Col1"")),""-"")"),1.5)</f>
        <v>1.5</v>
      </c>
      <c r="BT35" s="70">
        <f t="shared" si="13"/>
        <v>15</v>
      </c>
      <c r="BU35" s="70">
        <f>IFERROR(__xludf.DUMMYFUNCTION("iferror(AVERAGE(query(filter('Data Recording'!AJ:AJ,'Data Recording'!D:D=B35), ""Select Col1"")),""-"")"),9.0)</f>
        <v>9</v>
      </c>
      <c r="BV35" s="70">
        <f>IFERROR(__xludf.DUMMYFUNCTION("iferror(AVERAGE(query(filter('Data Recording'!AK:AK,'Data Recording'!D:D=B35), ""Select Col1"")),""-"")"),1.0)</f>
        <v>1</v>
      </c>
      <c r="BW35" s="70">
        <f t="shared" si="14"/>
        <v>2</v>
      </c>
      <c r="BX35" s="71">
        <f>IFERROR(__xludf.DUMMYFUNCTION("iferror(max(query(filter('Data Recording'!AJ:AJ,'Data Recording'!D:D=B35), ""Select Col1"")),""-"")"),13.0)</f>
        <v>13</v>
      </c>
      <c r="BY35" s="72">
        <f>IFERROR(__xludf.DUMMYFUNCTION("iferror(MIN(query(filter('Data Recording'!AJ:AJ,'Data Recording'!D:D=B35), ""Select Col1"")),""-"")"),5.0)</f>
        <v>5</v>
      </c>
      <c r="BZ35" s="73" t="str">
        <f>IFERROR(__xludf.DUMMYFUNCTION("iferror(if(DIVIDE(COUNTIF(query(filter('Data Recording'!R:R,'Data Recording'!D:D=B35), ""Select Col1""),""Yes, Docked"") + countif(query(filter('Data Recording'!R:R,'Data Recording'!D:D=B35), ""Select Col1""),""Yes, Engaged""),COUNTA(query(ifna(filter('Da"&amp;"ta Recording'!R:R,'Data Recording'!D:D=B35),""""), ""Select Col1"")))&gt;=(0.5),""1"",""0""),""-"")"),"0")</f>
        <v>0</v>
      </c>
      <c r="CA35" s="59" t="str">
        <f>IFERROR(__xludf.DUMMYFUNCTION("iferror(if(countif(query(filter('Data Recording'!R:R,'Data Recording'!D:D=B35), ""Select Col1""),""Yes, Engaged"")/COUNTA(query(ifna(filter('Data Recording'!R:R,'Data Recording'!D:D=B35),""""), ""Select Col1""))&gt;=(0.5),""1"",""0""),""-"")"),"0")</f>
        <v>0</v>
      </c>
      <c r="CB35" s="74" t="str">
        <f>IFERROR(__xludf.DUMMYFUNCTION("iferror(if(DIVIDE(COUNTIF(query(filter('Data Recording'!AE:AE,'Data Recording'!D:D=B35), ""Select Col1""),""Yes, Docked"") + countif(query(filter('Data Recording'!AE:AE,'Data Recording'!D:D=B35), ""Select Col1""),""Yes, Engaged""),COUNTA(query(ifna(filter"&amp;"('Data Recording'!AE:AE,'Data Recording'!D:D=B35),""""), ""Select Col1"")))&gt;=(0.5),""1"",""0""),""-"")"),"1")</f>
        <v>1</v>
      </c>
      <c r="CC35" s="59" t="str">
        <f>IFERROR(__xludf.DUMMYFUNCTION("iferror(if(countif(query(filter('Data Recording'!AE:AE,'Data Recording'!D:D=B35), ""Select Col1""),""Yes, Engaged"")/COUNTA(query(ifna(filter('Data Recording'!AE:AE,'Data Recording'!D:D=B35),""""), ""Select Col1""))&gt;=(0.5),""1"",""0""),""-"")"),"1")</f>
        <v>1</v>
      </c>
      <c r="CD35" s="74" t="str">
        <f>IFERROR(__xludf.DUMMYFUNCTION("iferror(if(DIVIDE(countif(query(filter('Data Recording'!E:E,'Data Recording'!D:D=B35), ""Select Col1""),""Yes""),COUNTA(query(ifna(filter('Data Recording'!E:E,'Data Recording'!D:D=B35),""""), ""Select Col1"")))&gt;=(0.5),""1"",""0""),""-"")"),"1")</f>
        <v>1</v>
      </c>
    </row>
    <row r="36">
      <c r="A36" s="51" t="s">
        <v>69</v>
      </c>
      <c r="B36" s="51">
        <v>4395.0</v>
      </c>
      <c r="C36" s="52" t="str">
        <f>IFERROR(__xludf.DUMMYFUNCTION("if(countif(query(filter('Data Recording'!E:E,'Data Recording'!D:D=B36), ""Select Col1""),""Yes"")=0,""0"",countif(query(filter('Data Recording'!E:E,'Data Recording'!D:D=B36), ""Select Col1""),""Yes"")) &amp; ""/"" &amp; if(COUNTA(query(ifna(filter('Data Recording"&amp;"'!E:E,'Data Recording'!D:D=B36),""""), ""Select Col1""))=0,""0"",COUNTA(query(ifna(filter('Data Recording'!E:E,'Data Recording'!D:D=B36),""""), ""Select Col1"")))"),"5/6")</f>
        <v>5/6</v>
      </c>
      <c r="D36" s="53">
        <f>IFERROR(__xludf.DUMMYFUNCTION("iferror(SUM(query(filter('Data Recording'!F:F,'Data Recording'!D:D=B36), ""Select Col1"")),""-"")"),1.0)</f>
        <v>1</v>
      </c>
      <c r="E36" s="53">
        <f>IFERROR(__xludf.DUMMYFUNCTION("iferror(SUM(query(filter('Data Recording'!G:G,'Data Recording'!D:D=B36), ""Select Col1"")),""-"")"),0.0)</f>
        <v>0</v>
      </c>
      <c r="F36" s="54">
        <f t="shared" si="1"/>
        <v>0</v>
      </c>
      <c r="G36" s="55">
        <f>IFERROR(__xludf.DUMMYFUNCTION("iferror(AVERAGE(query(filter('Data Recording'!G:G,'Data Recording'!D:D=B36), ""Select Col1"")),""0.00"")"),0.0)</f>
        <v>0</v>
      </c>
      <c r="H36" s="53">
        <f>IFERROR(__xludf.DUMMYFUNCTION("iferror(MAX(query(filter('Data Recording'!G:G,'Data Recording'!D:D=B36), ""Select Col1"")),""-"")"),0.0)</f>
        <v>0</v>
      </c>
      <c r="I36" s="56">
        <f>IFERROR(__xludf.DUMMYFUNCTION("iferror(SUM(query(filter('Data Recording'!H:H,'Data Recording'!D:D=B36), ""Select Col1"")),""-"")"),0.0)</f>
        <v>0</v>
      </c>
      <c r="J36" s="57">
        <f>IFERROR(__xludf.DUMMYFUNCTION("iferror(SUM(query(filter('Data Recording'!I:I,'Data Recording'!D:D=B36), ""Select Col1"")),""-"")"),0.0)</f>
        <v>0</v>
      </c>
      <c r="K36" s="54" t="str">
        <f t="shared" si="2"/>
        <v>-</v>
      </c>
      <c r="L36" s="55">
        <f>IFERROR(__xludf.DUMMYFUNCTION("iferror(AVERAGE(query(filter('Data Recording'!I:I,'Data Recording'!D:D=B36), ""Select Col1"")),""0.00"")"),0.0)</f>
        <v>0</v>
      </c>
      <c r="M36" s="53">
        <f>IFERROR(__xludf.DUMMYFUNCTION("iferror(MAX(query(filter('Data Recording'!I:I,'Data Recording'!D:D=B36), ""Select Col1"")),""-"")"),0.0)</f>
        <v>0</v>
      </c>
      <c r="N36" s="58">
        <f>IFERROR(__xludf.DUMMYFUNCTION("iferror(SUM(query(filter('Data Recording'!J:J,'Data Recording'!D:D=B36), ""Select Col1"")),""-"")"),0.0)</f>
        <v>0</v>
      </c>
      <c r="O36" s="59">
        <f>IFERROR(__xludf.DUMMYFUNCTION("iferror(SUM(query(filter('Data Recording'!K:K,'Data Recording'!D:D=B36), ""Select Col1"")),""-"")"),0.0)</f>
        <v>0</v>
      </c>
      <c r="P36" s="54" t="str">
        <f t="shared" si="3"/>
        <v>-</v>
      </c>
      <c r="Q36" s="55">
        <f>IFERROR(__xludf.DUMMYFUNCTION("iferror(AVERAGE(query(filter('Data Recording'!K:K,'Data Recording'!D:D=B36), ""Select Col1"")),""0.00"")"),0.0)</f>
        <v>0</v>
      </c>
      <c r="R36" s="53">
        <f>IFERROR(__xludf.DUMMYFUNCTION("iferror(MAX(query(filter('Data Recording'!K:K,'Data Recording'!D:D=B36), ""Select Col1"")),""-"")"),0.0)</f>
        <v>0</v>
      </c>
      <c r="S36" s="58">
        <f>IFERROR(__xludf.DUMMYFUNCTION("iferror(SUM(query(filter('Data Recording'!L:L,'Data Recording'!D:D=B36), ""Select Col1"")),""-"")"),1.0)</f>
        <v>1</v>
      </c>
      <c r="T36" s="59">
        <f>IFERROR(__xludf.DUMMYFUNCTION("iferror(SUM(query(filter('Data Recording'!M:M,'Data Recording'!D:D=B36), ""Select Col1"")),""-"")"),0.0)</f>
        <v>0</v>
      </c>
      <c r="U36" s="54">
        <f t="shared" si="4"/>
        <v>0</v>
      </c>
      <c r="V36" s="55">
        <f>IFERROR(__xludf.DUMMYFUNCTION("iferror(AVERAGE(query(filter('Data Recording'!M:M,'Data Recording'!D:D=B36), ""Select Col1"")),""-"")"),0.0)</f>
        <v>0</v>
      </c>
      <c r="W36" s="52">
        <f>IFERROR(__xludf.DUMMYFUNCTION("iferror(MAX(query(filter('Data Recording'!M:M,'Data Recording'!D:D=B36), ""Select Col1"")),""-"")"),0.0)</f>
        <v>0</v>
      </c>
      <c r="X36" s="59">
        <f>IFERROR(__xludf.DUMMYFUNCTION("iferror(SUM(query(filter('Data Recording'!N:N,'Data Recording'!D:D=B36), ""Select Col1"")),""-"")"),0.0)</f>
        <v>0</v>
      </c>
      <c r="Y36" s="59">
        <f>IFERROR(__xludf.DUMMYFUNCTION("iferror(SUM(query(filter('Data Recording'!O:O,'Data Recording'!D:D=B36), ""Select Col1"")),""-"")"),0.0)</f>
        <v>0</v>
      </c>
      <c r="Z36" s="54" t="str">
        <f t="shared" si="5"/>
        <v>-</v>
      </c>
      <c r="AA36" s="55">
        <f>IFERROR(__xludf.DUMMYFUNCTION("iferror(AVERAGE(query(filter('Data Recording'!O:O,'Data Recording'!D:D=B36), ""Select Col1"")),""0.00"")"),0.0)</f>
        <v>0</v>
      </c>
      <c r="AB36" s="52">
        <f>IFERROR(__xludf.DUMMYFUNCTION("iferror(MAX(query(filter('Data Recording'!O:O,'Data Recording'!D:D=B36), ""Select Col1"")),""-"")"),0.0)</f>
        <v>0</v>
      </c>
      <c r="AC36" s="59">
        <f>IFERROR(__xludf.DUMMYFUNCTION("iferror(SUM(query(filter('Data Recording'!P:P,'Data Recording'!D:D=B36), ""Select Col1"")),""-"")"),0.0)</f>
        <v>0</v>
      </c>
      <c r="AD36" s="59">
        <f>IFERROR(__xludf.DUMMYFUNCTION("iferror(SUM(query(filter('Data Recording'!Q:Q,'Data Recording'!D:D=B36), ""Select Col1"")),""-"")"),0.0)</f>
        <v>0</v>
      </c>
      <c r="AE36" s="54" t="str">
        <f t="shared" si="6"/>
        <v>-</v>
      </c>
      <c r="AF36" s="55">
        <f>IFERROR(__xludf.DUMMYFUNCTION("iferror(AVERAGE(query(filter('Data Recording'!Q:Q,'Data Recording'!D:D=B36), ""Select Col1"")),""0.00"")"),0.0)</f>
        <v>0</v>
      </c>
      <c r="AG36" s="59">
        <f>IFERROR(__xludf.DUMMYFUNCTION("iferror(MAX(query(filter('Data Recording'!Q:Q,'Data Recording'!D:D=B36), ""Select Col1"")),""-"")"),0.0)</f>
        <v>0</v>
      </c>
      <c r="AH36" s="58" t="str">
        <f>IFERROR(__xludf.DUMMYFUNCTION("if(countif(query(filter('Data Recording'!R:R,'Data Recording'!D:D=B36), ""Select Col1""),""Yes, Engaged"")+countif(query(filter('Data Recording'!R:R,'Data Recording'!D:D=B36), ""Select Col1""),""Yes, Docked"")=0,""0"",countif(query(filter('Data Recording'"&amp;"!R:R,'Data Recording'!D:D=B36), ""Select Col1""),""Yes, Engaged""))+countif(query(filter('Data Recording'!R:R,'Data Recording'!D:D=B36), ""Select Col1""),""Yes, Docked"") &amp; ""/"" &amp; if(COUNTA(query(ifna(filter('Data Recording'!R:R,'Data Recording'!D:D=B36)"&amp;",""""), ""Select Col1""))=0,""0"",COUNTA(query(ifna(filter('Data Recording'!R:R,'Data Recording'!D:D=B36),""""), ""Select Col1"")))"),"0/6")</f>
        <v>0/6</v>
      </c>
      <c r="AI36" s="60" t="str">
        <f>IFERROR(__xludf.DUMMYFUNCTION("if(countif(query(filter('Data Recording'!R:R,'Data Recording'!D:D=B36), ""Select Col1""),""Yes, Engaged"")=0,""0"",countif(query(filter('Data Recording'!R:R,'Data Recording'!D:D=B36), ""Select Col1""),""Yes, Engaged"")) &amp; ""/"" &amp; if(COUNTA(query(ifna(filt"&amp;"er('Data Recording'!R:R,'Data Recording'!D:D=B36),""""), ""Select Col1""))=0,""0"",COUNTA(query(ifna(filter('Data Recording'!R:R,'Data Recording'!D:D=B36),""""), ""Select Col1"")))"),"0/6")</f>
        <v>0/6</v>
      </c>
      <c r="AJ36" s="59">
        <f>IFERROR(__xludf.DUMMYFUNCTION("iferror(SUM(query(filter('Data Recording'!S:S,'Data Recording'!D:D=B36), ""Select Col1"")),""-"")"),1.0)</f>
        <v>1</v>
      </c>
      <c r="AK36" s="59">
        <f>IFERROR(__xludf.DUMMYFUNCTION("iferror(SUM(query(filter('Data Recording'!T:T,'Data Recording'!D:D=B36), ""Select Col1"")),""-"")"),0.0)</f>
        <v>0</v>
      </c>
      <c r="AL36" s="54">
        <f t="shared" si="7"/>
        <v>0</v>
      </c>
      <c r="AM36" s="55">
        <f>IFERROR(__xludf.DUMMYFUNCTION("iferror(AVERAGE(query(filter('Data Recording'!T:T,'Data Recording'!D:D=B36), ""Select Col1"")),""0.00"")"),0.0)</f>
        <v>0</v>
      </c>
      <c r="AN36" s="61">
        <f>IFERROR(__xludf.DUMMYFUNCTION("iferror(MAX(query(filter('Data Recording'!T:T,'Data Recording'!D:D=B36), ""Select Col1"")),""-"")"),0.0)</f>
        <v>0</v>
      </c>
      <c r="AO36" s="62">
        <f>IFERROR(__xludf.DUMMYFUNCTION("iferror(SUM(query(filter('Data Recording'!U:U,'Data Recording'!D:D=B36), ""Select Col1"")),""-"")"),0.0)</f>
        <v>0</v>
      </c>
      <c r="AP36" s="62">
        <f>IFERROR(__xludf.DUMMYFUNCTION("iferror(SUM(query(filter('Data Recording'!V:V,'Data Recording'!D:D=B36), ""Select Col1"")),""-"")"),0.0)</f>
        <v>0</v>
      </c>
      <c r="AQ36" s="63" t="str">
        <f t="shared" si="8"/>
        <v>-</v>
      </c>
      <c r="AR36" s="64">
        <f>IFERROR(__xludf.DUMMYFUNCTION("iferror(AVERAGE(query(filter('Data Recording'!V:V,'Data Recording'!D:D=B36), ""Select Col1"")),""0.00"")"),0.0)</f>
        <v>0</v>
      </c>
      <c r="AS36" s="65">
        <f>IFERROR(__xludf.DUMMYFUNCTION("iferror(MAX(query(filter('Data Recording'!V:V,'Data Recording'!D:D=B36), ""Select Col1"")),""-"")"),0.0)</f>
        <v>0</v>
      </c>
      <c r="AT36" s="62">
        <f>IFERROR(__xludf.DUMMYFUNCTION("iferror(SUM(query(filter('Data Recording'!W:W,'Data Recording'!D:D=B36), ""Select Col1"")),""-"")"),1.0)</f>
        <v>1</v>
      </c>
      <c r="AU36" s="62">
        <f>IFERROR(__xludf.DUMMYFUNCTION("iferror(SUM(query(filter('Data Recording'!X:X,'Data Recording'!D:D=B36), ""Select Col1"")),""-"")"),0.0)</f>
        <v>0</v>
      </c>
      <c r="AV36" s="63">
        <f t="shared" si="9"/>
        <v>0</v>
      </c>
      <c r="AW36" s="64">
        <f>IFERROR(__xludf.DUMMYFUNCTION("iferror(AVERAGE(query(filter('Data Recording'!X:X,'Data Recording'!D:D=B36), ""Select Col1"")),""0.00"")"),0.0)</f>
        <v>0</v>
      </c>
      <c r="AX36" s="65">
        <f>IFERROR(__xludf.DUMMYFUNCTION("iferror(MAX(query(filter('Data Recording'!X:X,'Data Recording'!D:D=B36), ""Select Col1"")),""-"")"),0.0)</f>
        <v>0</v>
      </c>
      <c r="AY36" s="62">
        <f>IFERROR(__xludf.DUMMYFUNCTION("iferror(SUM(query(filter('Data Recording'!Y:Y,'Data Recording'!D:D=B36), ""Select Col1"")),""-"")"),0.0)</f>
        <v>0</v>
      </c>
      <c r="AZ36" s="62">
        <f>IFERROR(__xludf.DUMMYFUNCTION("iferror(SUM(query(filter('Data Recording'!Z:Z,'Data Recording'!D:D=B36), ""Select Col1"")),""-"")"),0.0)</f>
        <v>0</v>
      </c>
      <c r="BA36" s="63" t="str">
        <f t="shared" si="10"/>
        <v>-</v>
      </c>
      <c r="BB36" s="64">
        <f>IFERROR(__xludf.DUMMYFUNCTION("iferror(AVERAGE(query(filter('Data Recording'!Z:Z,'Data Recording'!D:D=B36), ""Select Col1"")),""0.00"")"),0.0)</f>
        <v>0</v>
      </c>
      <c r="BC36" s="65">
        <f>IFERROR(__xludf.DUMMYFUNCTION("iferror(MAX(query(filter('Data Recording'!Z:Z,'Data Recording'!D:D=B36), ""Select Col1"")),""-"")"),0.0)</f>
        <v>0</v>
      </c>
      <c r="BD36" s="62">
        <f>IFERROR(__xludf.DUMMYFUNCTION("iferror(SUM(query(filter('Data Recording'!AA:AA,'Data Recording'!D:D=B36), ""Select Col1"")),""-"")"),1.0)</f>
        <v>1</v>
      </c>
      <c r="BE36" s="62">
        <f>IFERROR(__xludf.DUMMYFUNCTION("iferror(SUM(query(filter('Data Recording'!AB:AB,'Data Recording'!D:D=B36), ""Select Col1"")),""-"")"),1.0)</f>
        <v>1</v>
      </c>
      <c r="BF36" s="63">
        <f t="shared" si="11"/>
        <v>1</v>
      </c>
      <c r="BG36" s="64">
        <f>IFERROR(__xludf.DUMMYFUNCTION("iferror(AVERAGE(query(filter('Data Recording'!AB:AB,'Data Recording'!D:D=B36), ""Select Col1"")),""0.00"")"),0.16666666666666666)</f>
        <v>0.1666666667</v>
      </c>
      <c r="BH36" s="65">
        <f>IFERROR(__xludf.DUMMYFUNCTION("iferror(MAX(query(filter('Data Recording'!AB:AB,'Data Recording'!D:D=B36), ""Select Col1"")),""-"")"),1.0)</f>
        <v>1</v>
      </c>
      <c r="BI36" s="62">
        <f>IFERROR(__xludf.DUMMYFUNCTION("iferror(SUM(query(filter('Data Recording'!AC:AC,'Data Recording'!D:D=B36), ""Select Col1"")),""-"")"),0.0)</f>
        <v>0</v>
      </c>
      <c r="BJ36" s="62">
        <f>IFERROR(__xludf.DUMMYFUNCTION("iferror(SUM(query(filter('Data Recording'!AD:AD,'Data Recording'!D:D=B36), ""Select Col1"")),""-"")"),0.0)</f>
        <v>0</v>
      </c>
      <c r="BK36" s="63" t="str">
        <f t="shared" si="12"/>
        <v>-</v>
      </c>
      <c r="BL36" s="64">
        <f>IFERROR(__xludf.DUMMYFUNCTION("iferror(AVERAGE(query(filter('Data Recording'!AD:AD,'Data Recording'!D:D=B36), ""Select Col1"")),""0.00"")"),0.0)</f>
        <v>0</v>
      </c>
      <c r="BM36" s="65">
        <f>IFERROR(__xludf.DUMMYFUNCTION("iferror(MAX(query(filter('Data Recording'!AD:AD,'Data Recording'!D:D=B36), ""Select Col1"")),""-"")"),0.0)</f>
        <v>0</v>
      </c>
      <c r="BN36" s="66" t="str">
        <f>IFERROR(__xludf.DUMMYFUNCTION("if(countif(query(filter('Data Recording'!AE:AE,'Data Recording'!D:D=B36), ""Select Col1""),""Yes, Engaged"")+countif(query(filter('Data Recording'!AE:AE,'Data Recording'!D:D=B36), ""Select Col1""),""Yes, Docked"")=0,""0"",countif(query(filter('Data Record"&amp;"ing'!AE:AE,'Data Recording'!D:D=B36), ""Select Col1""),""Yes, Engaged""))+countif(query(filter('Data Recording'!AE:AE,'Data Recording'!D:D=B36), ""Select Col1""),""Yes, Docked"") &amp; ""/"" &amp; if(COUNTA(query(ifna(filter('Data Recording'!AE:AE,'Data Recording"&amp;"'!D:D=B36),""""), ""Select Col1""))=0,""0"",COUNTA(query(ifna(filter('Data Recording'!AE:AE,'Data Recording'!D:D=B36),""""), ""Select Col1"")))"),"3/6")</f>
        <v>3/6</v>
      </c>
      <c r="BO36" s="67" t="str">
        <f>IFERROR(__xludf.DUMMYFUNCTION("if(countif(query(filter('Data Recording'!AE:AE,'Data Recording'!D:D=B36), ""Select Col1""),""Yes, Engaged"")=0,""0"",countif(query(filter('Data Recording'!AE:AE,'Data Recording'!D:D=B36), ""Select Col1""),""Yes, Engaged"")) &amp; ""/"" &amp; if(COUNTA(query(ifna("&amp;"filter('Data Recording'!AE:AE,'Data Recording'!D:D=B36),""""), ""Select Col1""))=0,""0"",COUNTA(query(ifna(filter('Data Recording'!AE:AE,'Data Recording'!D:D=B36),""""), ""Select Col1"")))"),"3/6")</f>
        <v>3/6</v>
      </c>
      <c r="BP36" s="60" t="str">
        <f>IFERROR(__xludf.DUMMYFUNCTION("if(countif(query(filter('Data Recording'!AH:AH,'Data Recording'!D:D=B36), ""Select Col1""),""Yes"")=0,""0"",countif(query(filter('Data Recording'!AH:AH,'Data Recording'!D:D=B36), ""Select Col1""),""Yes"")) &amp; ""/"" &amp; if(COUNTA(query(ifna(filter('Data Recor"&amp;"ding'!AH:AH,'Data Recording'!D:D=B36),""""), ""Select Col1""))=0,""0"",COUNTA(query(ifna(filter('Data Recording'!AH:AH,'Data Recording'!D:D=B36),""""), ""Select Col1"")))"),"0/6")</f>
        <v>0/6</v>
      </c>
      <c r="BQ36" s="68">
        <v>0.0</v>
      </c>
      <c r="BR36" s="55">
        <f>IFERROR(__xludf.DUMMYFUNCTION("iferror(average(query(filter('Data Recording'!AF:AF,'Data Recording'!D:D=B36), ""Select Col1"")),""-"")"),0.16666666666666666)</f>
        <v>0.1666666667</v>
      </c>
      <c r="BS36" s="69">
        <f>IFERROR(__xludf.DUMMYFUNCTION("iferror(average(query(filter('Data Recording'!AG:AG,'Data Recording'!D:D=B36), ""Select Col1"")),""-"")"),0.6666666666666666)</f>
        <v>0.6666666667</v>
      </c>
      <c r="BT36" s="70">
        <f t="shared" si="13"/>
        <v>13.5</v>
      </c>
      <c r="BU36" s="70">
        <f>IFERROR(__xludf.DUMMYFUNCTION("iferror(AVERAGE(query(filter('Data Recording'!AJ:AJ,'Data Recording'!D:D=B36), ""Select Col1"")),""-"")"),8.0)</f>
        <v>8</v>
      </c>
      <c r="BV36" s="70">
        <f>IFERROR(__xludf.DUMMYFUNCTION("iferror(AVERAGE(query(filter('Data Recording'!AK:AK,'Data Recording'!D:D=B36), ""Select Col1"")),""-"")"),0.5)</f>
        <v>0.5</v>
      </c>
      <c r="BW36" s="70">
        <f t="shared" si="14"/>
        <v>0.5</v>
      </c>
      <c r="BX36" s="71">
        <f>IFERROR(__xludf.DUMMYFUNCTION("iferror(max(query(filter('Data Recording'!AJ:AJ,'Data Recording'!D:D=B36), ""Select Col1"")),""-"")"),13.0)</f>
        <v>13</v>
      </c>
      <c r="BY36" s="72">
        <f>IFERROR(__xludf.DUMMYFUNCTION("iferror(MIN(query(filter('Data Recording'!AJ:AJ,'Data Recording'!D:D=B36), ""Select Col1"")),""-"")"),3.0)</f>
        <v>3</v>
      </c>
      <c r="BZ36" s="73" t="str">
        <f>IFERROR(__xludf.DUMMYFUNCTION("iferror(if(DIVIDE(COUNTIF(query(filter('Data Recording'!R:R,'Data Recording'!D:D=B36), ""Select Col1""),""Yes, Docked"") + countif(query(filter('Data Recording'!R:R,'Data Recording'!D:D=B36), ""Select Col1""),""Yes, Engaged""),COUNTA(query(ifna(filter('Da"&amp;"ta Recording'!R:R,'Data Recording'!D:D=B36),""""), ""Select Col1"")))&gt;=(0.5),""1"",""0""),""-"")"),"0")</f>
        <v>0</v>
      </c>
      <c r="CA36" s="59" t="str">
        <f>IFERROR(__xludf.DUMMYFUNCTION("iferror(if(countif(query(filter('Data Recording'!R:R,'Data Recording'!D:D=B36), ""Select Col1""),""Yes, Engaged"")/COUNTA(query(ifna(filter('Data Recording'!R:R,'Data Recording'!D:D=B36),""""), ""Select Col1""))&gt;=(0.5),""1"",""0""),""-"")"),"0")</f>
        <v>0</v>
      </c>
      <c r="CB36" s="74" t="str">
        <f>IFERROR(__xludf.DUMMYFUNCTION("iferror(if(DIVIDE(COUNTIF(query(filter('Data Recording'!AE:AE,'Data Recording'!D:D=B36), ""Select Col1""),""Yes, Docked"") + countif(query(filter('Data Recording'!AE:AE,'Data Recording'!D:D=B36), ""Select Col1""),""Yes, Engaged""),COUNTA(query(ifna(filter"&amp;"('Data Recording'!AE:AE,'Data Recording'!D:D=B36),""""), ""Select Col1"")))&gt;=(0.5),""1"",""0""),""-"")"),"1")</f>
        <v>1</v>
      </c>
      <c r="CC36" s="59" t="str">
        <f>IFERROR(__xludf.DUMMYFUNCTION("iferror(if(countif(query(filter('Data Recording'!AE:AE,'Data Recording'!D:D=B36), ""Select Col1""),""Yes, Engaged"")/COUNTA(query(ifna(filter('Data Recording'!AE:AE,'Data Recording'!D:D=B36),""""), ""Select Col1""))&gt;=(0.5),""1"",""0""),""-"")"),"1")</f>
        <v>1</v>
      </c>
      <c r="CD36" s="74" t="str">
        <f>IFERROR(__xludf.DUMMYFUNCTION("iferror(if(DIVIDE(countif(query(filter('Data Recording'!E:E,'Data Recording'!D:D=B36), ""Select Col1""),""Yes""),COUNTA(query(ifna(filter('Data Recording'!E:E,'Data Recording'!D:D=B36),""""), ""Select Col1"")))&gt;=(0.5),""1"",""0""),""-"")"),"1")</f>
        <v>1</v>
      </c>
    </row>
    <row r="37">
      <c r="A37" s="51" t="s">
        <v>70</v>
      </c>
      <c r="B37" s="51">
        <v>7221.0</v>
      </c>
      <c r="C37" s="52" t="str">
        <f>IFERROR(__xludf.DUMMYFUNCTION("if(countif(query(filter('Data Recording'!E:E,'Data Recording'!D:D=B37), ""Select Col1""),""Yes"")=0,""0"",countif(query(filter('Data Recording'!E:E,'Data Recording'!D:D=B37), ""Select Col1""),""Yes"")) &amp; ""/"" &amp; if(COUNTA(query(ifna(filter('Data Recording"&amp;"'!E:E,'Data Recording'!D:D=B37),""""), ""Select Col1""))=0,""0"",COUNTA(query(ifna(filter('Data Recording'!E:E,'Data Recording'!D:D=B37),""""), ""Select Col1"")))"),"4/10")</f>
        <v>4/10</v>
      </c>
      <c r="D37" s="53">
        <f>IFERROR(__xludf.DUMMYFUNCTION("iferror(SUM(query(filter('Data Recording'!F:F,'Data Recording'!D:D=B37), ""Select Col1"")),""-"")"),0.0)</f>
        <v>0</v>
      </c>
      <c r="E37" s="53">
        <f>IFERROR(__xludf.DUMMYFUNCTION("iferror(SUM(query(filter('Data Recording'!G:G,'Data Recording'!D:D=B37), ""Select Col1"")),""-"")"),0.0)</f>
        <v>0</v>
      </c>
      <c r="F37" s="54" t="str">
        <f t="shared" si="1"/>
        <v>-</v>
      </c>
      <c r="G37" s="55">
        <f>IFERROR(__xludf.DUMMYFUNCTION("iferror(AVERAGE(query(filter('Data Recording'!G:G,'Data Recording'!D:D=B37), ""Select Col1"")),""0.00"")"),0.0)</f>
        <v>0</v>
      </c>
      <c r="H37" s="53">
        <f>IFERROR(__xludf.DUMMYFUNCTION("iferror(MAX(query(filter('Data Recording'!G:G,'Data Recording'!D:D=B37), ""Select Col1"")),""-"")"),0.0)</f>
        <v>0</v>
      </c>
      <c r="I37" s="56">
        <f>IFERROR(__xludf.DUMMYFUNCTION("iferror(SUM(query(filter('Data Recording'!H:H,'Data Recording'!D:D=B37), ""Select Col1"")),""-"")"),0.0)</f>
        <v>0</v>
      </c>
      <c r="J37" s="57">
        <f>IFERROR(__xludf.DUMMYFUNCTION("iferror(SUM(query(filter('Data Recording'!I:I,'Data Recording'!D:D=B37), ""Select Col1"")),""-"")"),0.0)</f>
        <v>0</v>
      </c>
      <c r="K37" s="54" t="str">
        <f t="shared" si="2"/>
        <v>-</v>
      </c>
      <c r="L37" s="55">
        <f>IFERROR(__xludf.DUMMYFUNCTION("iferror(AVERAGE(query(filter('Data Recording'!I:I,'Data Recording'!D:D=B37), ""Select Col1"")),""0.00"")"),0.0)</f>
        <v>0</v>
      </c>
      <c r="M37" s="53">
        <f>IFERROR(__xludf.DUMMYFUNCTION("iferror(MAX(query(filter('Data Recording'!I:I,'Data Recording'!D:D=B37), ""Select Col1"")),""-"")"),0.0)</f>
        <v>0</v>
      </c>
      <c r="N37" s="58">
        <f>IFERROR(__xludf.DUMMYFUNCTION("iferror(SUM(query(filter('Data Recording'!J:J,'Data Recording'!D:D=B37), ""Select Col1"")),""-"")"),0.0)</f>
        <v>0</v>
      </c>
      <c r="O37" s="59">
        <f>IFERROR(__xludf.DUMMYFUNCTION("iferror(SUM(query(filter('Data Recording'!K:K,'Data Recording'!D:D=B37), ""Select Col1"")),""-"")"),0.0)</f>
        <v>0</v>
      </c>
      <c r="P37" s="54" t="str">
        <f t="shared" si="3"/>
        <v>-</v>
      </c>
      <c r="Q37" s="55">
        <f>IFERROR(__xludf.DUMMYFUNCTION("iferror(AVERAGE(query(filter('Data Recording'!K:K,'Data Recording'!D:D=B37), ""Select Col1"")),""0.00"")"),0.0)</f>
        <v>0</v>
      </c>
      <c r="R37" s="53">
        <f>IFERROR(__xludf.DUMMYFUNCTION("iferror(MAX(query(filter('Data Recording'!K:K,'Data Recording'!D:D=B37), ""Select Col1"")),""-"")"),0.0)</f>
        <v>0</v>
      </c>
      <c r="S37" s="58">
        <f>IFERROR(__xludf.DUMMYFUNCTION("iferror(SUM(query(filter('Data Recording'!L:L,'Data Recording'!D:D=B37), ""Select Col1"")),""-"")"),0.0)</f>
        <v>0</v>
      </c>
      <c r="T37" s="59">
        <f>IFERROR(__xludf.DUMMYFUNCTION("iferror(SUM(query(filter('Data Recording'!M:M,'Data Recording'!D:D=B37), ""Select Col1"")),""-"")"),0.0)</f>
        <v>0</v>
      </c>
      <c r="U37" s="54" t="str">
        <f t="shared" si="4"/>
        <v>-</v>
      </c>
      <c r="V37" s="55">
        <f>IFERROR(__xludf.DUMMYFUNCTION("iferror(AVERAGE(query(filter('Data Recording'!M:M,'Data Recording'!D:D=B37), ""Select Col1"")),""-"")"),0.0)</f>
        <v>0</v>
      </c>
      <c r="W37" s="52">
        <f>IFERROR(__xludf.DUMMYFUNCTION("iferror(MAX(query(filter('Data Recording'!M:M,'Data Recording'!D:D=B37), ""Select Col1"")),""-"")"),0.0)</f>
        <v>0</v>
      </c>
      <c r="X37" s="59">
        <f>IFERROR(__xludf.DUMMYFUNCTION("iferror(SUM(query(filter('Data Recording'!N:N,'Data Recording'!D:D=B37), ""Select Col1"")),""-"")"),0.0)</f>
        <v>0</v>
      </c>
      <c r="Y37" s="59">
        <f>IFERROR(__xludf.DUMMYFUNCTION("iferror(SUM(query(filter('Data Recording'!O:O,'Data Recording'!D:D=B37), ""Select Col1"")),""-"")"),0.0)</f>
        <v>0</v>
      </c>
      <c r="Z37" s="54" t="str">
        <f t="shared" si="5"/>
        <v>-</v>
      </c>
      <c r="AA37" s="55">
        <f>IFERROR(__xludf.DUMMYFUNCTION("iferror(AVERAGE(query(filter('Data Recording'!O:O,'Data Recording'!D:D=B37), ""Select Col1"")),""0.00"")"),0.0)</f>
        <v>0</v>
      </c>
      <c r="AB37" s="52">
        <f>IFERROR(__xludf.DUMMYFUNCTION("iferror(MAX(query(filter('Data Recording'!O:O,'Data Recording'!D:D=B37), ""Select Col1"")),""-"")"),0.0)</f>
        <v>0</v>
      </c>
      <c r="AC37" s="59">
        <f>IFERROR(__xludf.DUMMYFUNCTION("iferror(SUM(query(filter('Data Recording'!P:P,'Data Recording'!D:D=B37), ""Select Col1"")),""-"")"),0.0)</f>
        <v>0</v>
      </c>
      <c r="AD37" s="59">
        <f>IFERROR(__xludf.DUMMYFUNCTION("iferror(SUM(query(filter('Data Recording'!Q:Q,'Data Recording'!D:D=B37), ""Select Col1"")),""-"")"),0.0)</f>
        <v>0</v>
      </c>
      <c r="AE37" s="54" t="str">
        <f t="shared" si="6"/>
        <v>-</v>
      </c>
      <c r="AF37" s="55">
        <f>IFERROR(__xludf.DUMMYFUNCTION("iferror(AVERAGE(query(filter('Data Recording'!Q:Q,'Data Recording'!D:D=B37), ""Select Col1"")),""0.00"")"),0.0)</f>
        <v>0</v>
      </c>
      <c r="AG37" s="59">
        <f>IFERROR(__xludf.DUMMYFUNCTION("iferror(MAX(query(filter('Data Recording'!Q:Q,'Data Recording'!D:D=B37), ""Select Col1"")),""-"")"),0.0)</f>
        <v>0</v>
      </c>
      <c r="AH37" s="58" t="str">
        <f>IFERROR(__xludf.DUMMYFUNCTION("if(countif(query(filter('Data Recording'!R:R,'Data Recording'!D:D=B37), ""Select Col1""),""Yes, Engaged"")+countif(query(filter('Data Recording'!R:R,'Data Recording'!D:D=B37), ""Select Col1""),""Yes, Docked"")=0,""0"",countif(query(filter('Data Recording'"&amp;"!R:R,'Data Recording'!D:D=B37), ""Select Col1""),""Yes, Engaged""))+countif(query(filter('Data Recording'!R:R,'Data Recording'!D:D=B37), ""Select Col1""),""Yes, Docked"") &amp; ""/"" &amp; if(COUNTA(query(ifna(filter('Data Recording'!R:R,'Data Recording'!D:D=B37)"&amp;",""""), ""Select Col1""))=0,""0"",COUNTA(query(ifna(filter('Data Recording'!R:R,'Data Recording'!D:D=B37),""""), ""Select Col1"")))"),"0/10")</f>
        <v>0/10</v>
      </c>
      <c r="AI37" s="60" t="str">
        <f>IFERROR(__xludf.DUMMYFUNCTION("if(countif(query(filter('Data Recording'!R:R,'Data Recording'!D:D=B37), ""Select Col1""),""Yes, Engaged"")=0,""0"",countif(query(filter('Data Recording'!R:R,'Data Recording'!D:D=B37), ""Select Col1""),""Yes, Engaged"")) &amp; ""/"" &amp; if(COUNTA(query(ifna(filt"&amp;"er('Data Recording'!R:R,'Data Recording'!D:D=B37),""""), ""Select Col1""))=0,""0"",COUNTA(query(ifna(filter('Data Recording'!R:R,'Data Recording'!D:D=B37),""""), ""Select Col1"")))"),"0/10")</f>
        <v>0/10</v>
      </c>
      <c r="AJ37" s="59">
        <f>IFERROR(__xludf.DUMMYFUNCTION("iferror(SUM(query(filter('Data Recording'!S:S,'Data Recording'!D:D=B37), ""Select Col1"")),""-"")"),0.0)</f>
        <v>0</v>
      </c>
      <c r="AK37" s="59">
        <f>IFERROR(__xludf.DUMMYFUNCTION("iferror(SUM(query(filter('Data Recording'!T:T,'Data Recording'!D:D=B37), ""Select Col1"")),""-"")"),0.0)</f>
        <v>0</v>
      </c>
      <c r="AL37" s="54" t="str">
        <f t="shared" si="7"/>
        <v>-</v>
      </c>
      <c r="AM37" s="55">
        <f>IFERROR(__xludf.DUMMYFUNCTION("iferror(AVERAGE(query(filter('Data Recording'!T:T,'Data Recording'!D:D=B37), ""Select Col1"")),""0.00"")"),0.0)</f>
        <v>0</v>
      </c>
      <c r="AN37" s="61">
        <f>IFERROR(__xludf.DUMMYFUNCTION("iferror(MAX(query(filter('Data Recording'!T:T,'Data Recording'!D:D=B37), ""Select Col1"")),""-"")"),0.0)</f>
        <v>0</v>
      </c>
      <c r="AO37" s="62">
        <f>IFERROR(__xludf.DUMMYFUNCTION("iferror(SUM(query(filter('Data Recording'!U:U,'Data Recording'!D:D=B37), ""Select Col1"")),""-"")"),1.0)</f>
        <v>1</v>
      </c>
      <c r="AP37" s="62">
        <f>IFERROR(__xludf.DUMMYFUNCTION("iferror(SUM(query(filter('Data Recording'!V:V,'Data Recording'!D:D=B37), ""Select Col1"")),""-"")"),0.0)</f>
        <v>0</v>
      </c>
      <c r="AQ37" s="63">
        <f t="shared" si="8"/>
        <v>0</v>
      </c>
      <c r="AR37" s="64">
        <f>IFERROR(__xludf.DUMMYFUNCTION("iferror(AVERAGE(query(filter('Data Recording'!V:V,'Data Recording'!D:D=B37), ""Select Col1"")),""0.00"")"),0.0)</f>
        <v>0</v>
      </c>
      <c r="AS37" s="65">
        <f>IFERROR(__xludf.DUMMYFUNCTION("iferror(MAX(query(filter('Data Recording'!V:V,'Data Recording'!D:D=B37), ""Select Col1"")),""-"")"),0.0)</f>
        <v>0</v>
      </c>
      <c r="AT37" s="62">
        <f>IFERROR(__xludf.DUMMYFUNCTION("iferror(SUM(query(filter('Data Recording'!W:W,'Data Recording'!D:D=B37), ""Select Col1"")),""-"")"),14.0)</f>
        <v>14</v>
      </c>
      <c r="AU37" s="62">
        <f>IFERROR(__xludf.DUMMYFUNCTION("iferror(SUM(query(filter('Data Recording'!X:X,'Data Recording'!D:D=B37), ""Select Col1"")),""-"")"),7.0)</f>
        <v>7</v>
      </c>
      <c r="AV37" s="63">
        <f t="shared" si="9"/>
        <v>0.5</v>
      </c>
      <c r="AW37" s="64">
        <f>IFERROR(__xludf.DUMMYFUNCTION("iferror(AVERAGE(query(filter('Data Recording'!X:X,'Data Recording'!D:D=B37), ""Select Col1"")),""0.00"")"),0.7777777777777778)</f>
        <v>0.7777777778</v>
      </c>
      <c r="AX37" s="65">
        <f>IFERROR(__xludf.DUMMYFUNCTION("iferror(MAX(query(filter('Data Recording'!X:X,'Data Recording'!D:D=B37), ""Select Col1"")),""-"")"),3.0)</f>
        <v>3</v>
      </c>
      <c r="AY37" s="62">
        <f>IFERROR(__xludf.DUMMYFUNCTION("iferror(SUM(query(filter('Data Recording'!Y:Y,'Data Recording'!D:D=B37), ""Select Col1"")),""-"")"),0.0)</f>
        <v>0</v>
      </c>
      <c r="AZ37" s="62">
        <f>IFERROR(__xludf.DUMMYFUNCTION("iferror(SUM(query(filter('Data Recording'!Z:Z,'Data Recording'!D:D=B37), ""Select Col1"")),""-"")"),0.0)</f>
        <v>0</v>
      </c>
      <c r="BA37" s="63" t="str">
        <f t="shared" si="10"/>
        <v>-</v>
      </c>
      <c r="BB37" s="64">
        <f>IFERROR(__xludf.DUMMYFUNCTION("iferror(AVERAGE(query(filter('Data Recording'!Z:Z,'Data Recording'!D:D=B37), ""Select Col1"")),""0.00"")"),0.0)</f>
        <v>0</v>
      </c>
      <c r="BC37" s="65">
        <f>IFERROR(__xludf.DUMMYFUNCTION("iferror(MAX(query(filter('Data Recording'!Z:Z,'Data Recording'!D:D=B37), ""Select Col1"")),""-"")"),0.0)</f>
        <v>0</v>
      </c>
      <c r="BD37" s="62">
        <f>IFERROR(__xludf.DUMMYFUNCTION("iferror(SUM(query(filter('Data Recording'!AA:AA,'Data Recording'!D:D=B37), ""Select Col1"")),""-"")"),0.0)</f>
        <v>0</v>
      </c>
      <c r="BE37" s="62">
        <f>IFERROR(__xludf.DUMMYFUNCTION("iferror(SUM(query(filter('Data Recording'!AB:AB,'Data Recording'!D:D=B37), ""Select Col1"")),""-"")"),0.0)</f>
        <v>0</v>
      </c>
      <c r="BF37" s="63" t="str">
        <f t="shared" si="11"/>
        <v>-</v>
      </c>
      <c r="BG37" s="64">
        <f>IFERROR(__xludf.DUMMYFUNCTION("iferror(AVERAGE(query(filter('Data Recording'!AB:AB,'Data Recording'!D:D=B37), ""Select Col1"")),""0.00"")"),0.0)</f>
        <v>0</v>
      </c>
      <c r="BH37" s="65">
        <f>IFERROR(__xludf.DUMMYFUNCTION("iferror(MAX(query(filter('Data Recording'!AB:AB,'Data Recording'!D:D=B37), ""Select Col1"")),""-"")"),0.0)</f>
        <v>0</v>
      </c>
      <c r="BI37" s="62">
        <f>IFERROR(__xludf.DUMMYFUNCTION("iferror(SUM(query(filter('Data Recording'!AC:AC,'Data Recording'!D:D=B37), ""Select Col1"")),""-"")"),7.0)</f>
        <v>7</v>
      </c>
      <c r="BJ37" s="62">
        <f>IFERROR(__xludf.DUMMYFUNCTION("iferror(SUM(query(filter('Data Recording'!AD:AD,'Data Recording'!D:D=B37), ""Select Col1"")),""-"")"),2.0)</f>
        <v>2</v>
      </c>
      <c r="BK37" s="63">
        <f t="shared" si="12"/>
        <v>0.2857142857</v>
      </c>
      <c r="BL37" s="64">
        <f>IFERROR(__xludf.DUMMYFUNCTION("iferror(AVERAGE(query(filter('Data Recording'!AD:AD,'Data Recording'!D:D=B37), ""Select Col1"")),""0.00"")"),0.2222222222222222)</f>
        <v>0.2222222222</v>
      </c>
      <c r="BM37" s="65">
        <f>IFERROR(__xludf.DUMMYFUNCTION("iferror(MAX(query(filter('Data Recording'!AD:AD,'Data Recording'!D:D=B37), ""Select Col1"")),""-"")"),1.0)</f>
        <v>1</v>
      </c>
      <c r="BN37" s="66" t="str">
        <f>IFERROR(__xludf.DUMMYFUNCTION("if(countif(query(filter('Data Recording'!AE:AE,'Data Recording'!D:D=B37), ""Select Col1""),""Yes, Engaged"")+countif(query(filter('Data Recording'!AE:AE,'Data Recording'!D:D=B37), ""Select Col1""),""Yes, Docked"")=0,""0"",countif(query(filter('Data Record"&amp;"ing'!AE:AE,'Data Recording'!D:D=B37), ""Select Col1""),""Yes, Engaged""))+countif(query(filter('Data Recording'!AE:AE,'Data Recording'!D:D=B37), ""Select Col1""),""Yes, Docked"") &amp; ""/"" &amp; if(COUNTA(query(ifna(filter('Data Recording'!AE:AE,'Data Recording"&amp;"'!D:D=B37),""""), ""Select Col1""))=0,""0"",COUNTA(query(ifna(filter('Data Recording'!AE:AE,'Data Recording'!D:D=B37),""""), ""Select Col1"")))"),"0/10")</f>
        <v>0/10</v>
      </c>
      <c r="BO37" s="67" t="str">
        <f>IFERROR(__xludf.DUMMYFUNCTION("if(countif(query(filter('Data Recording'!AE:AE,'Data Recording'!D:D=B37), ""Select Col1""),""Yes, Engaged"")=0,""0"",countif(query(filter('Data Recording'!AE:AE,'Data Recording'!D:D=B37), ""Select Col1""),""Yes, Engaged"")) &amp; ""/"" &amp; if(COUNTA(query(ifna("&amp;"filter('Data Recording'!AE:AE,'Data Recording'!D:D=B37),""""), ""Select Col1""))=0,""0"",COUNTA(query(ifna(filter('Data Recording'!AE:AE,'Data Recording'!D:D=B37),""""), ""Select Col1"")))"),"0/10")</f>
        <v>0/10</v>
      </c>
      <c r="BP37" s="77" t="str">
        <f>IFERROR(__xludf.DUMMYFUNCTION("if(countif(query(filter('Data Recording'!AH:AH,'Data Recording'!D:D=B37), ""Select Col1""),""Yes"")=0,""0"",countif(query(filter('Data Recording'!AH:AH,'Data Recording'!D:D=B37), ""Select Col1""),""Yes"")) &amp; ""/"" &amp; if(COUNTA(query(ifna(filter('Data Recor"&amp;"ding'!AH:AH,'Data Recording'!D:D=B37),""""), ""Select Col1""))=0,""0"",COUNTA(query(ifna(filter('Data Recording'!AH:AH,'Data Recording'!D:D=B37),""""), ""Select Col1"")))"),"5/10")</f>
        <v>5/10</v>
      </c>
      <c r="BQ37" s="68">
        <v>0.5</v>
      </c>
      <c r="BR37" s="55">
        <f>IFERROR(__xludf.DUMMYFUNCTION("iferror(average(query(filter('Data Recording'!AF:AF,'Data Recording'!D:D=B37), ""Select Col1"")),""-"")"),0.1)</f>
        <v>0.1</v>
      </c>
      <c r="BS37" s="69">
        <f>IFERROR(__xludf.DUMMYFUNCTION("iferror(average(query(filter('Data Recording'!AG:AG,'Data Recording'!D:D=B37), ""Select Col1"")),""-"")"),0.4)</f>
        <v>0.4</v>
      </c>
      <c r="BT37" s="70">
        <f t="shared" si="13"/>
        <v>2</v>
      </c>
      <c r="BU37" s="70">
        <f>IFERROR(__xludf.DUMMYFUNCTION("iferror(AVERAGE(query(filter('Data Recording'!AJ:AJ,'Data Recording'!D:D=B37), ""Select Col1"")),""-"")"),5.4)</f>
        <v>5.4</v>
      </c>
      <c r="BV37" s="70">
        <f>IFERROR(__xludf.DUMMYFUNCTION("iferror(AVERAGE(query(filter('Data Recording'!AK:AK,'Data Recording'!D:D=B37), ""Select Col1"")),""-"")"),1.8)</f>
        <v>1.8</v>
      </c>
      <c r="BW37" s="70">
        <f t="shared" si="14"/>
        <v>2</v>
      </c>
      <c r="BX37" s="71">
        <f>IFERROR(__xludf.DUMMYFUNCTION("iferror(max(query(filter('Data Recording'!AJ:AJ,'Data Recording'!D:D=B37), ""Select Col1"")),""-"")"),10.0)</f>
        <v>10</v>
      </c>
      <c r="BY37" s="72">
        <f>IFERROR(__xludf.DUMMYFUNCTION("iferror(MIN(query(filter('Data Recording'!AJ:AJ,'Data Recording'!D:D=B37), ""Select Col1"")),""-"")"),0.0)</f>
        <v>0</v>
      </c>
      <c r="BZ37" s="73" t="str">
        <f>IFERROR(__xludf.DUMMYFUNCTION("iferror(if(DIVIDE(COUNTIF(query(filter('Data Recording'!R:R,'Data Recording'!D:D=B37), ""Select Col1""),""Yes, Docked"") + countif(query(filter('Data Recording'!R:R,'Data Recording'!D:D=B37), ""Select Col1""),""Yes, Engaged""),COUNTA(query(ifna(filter('Da"&amp;"ta Recording'!R:R,'Data Recording'!D:D=B37),""""), ""Select Col1"")))&gt;=(0.5),""1"",""0""),""-"")"),"0")</f>
        <v>0</v>
      </c>
      <c r="CA37" s="59" t="str">
        <f>IFERROR(__xludf.DUMMYFUNCTION("iferror(if(countif(query(filter('Data Recording'!R:R,'Data Recording'!D:D=B37), ""Select Col1""),""Yes, Engaged"")/COUNTA(query(ifna(filter('Data Recording'!R:R,'Data Recording'!D:D=B37),""""), ""Select Col1""))&gt;=(0.5),""1"",""0""),""-"")"),"0")</f>
        <v>0</v>
      </c>
      <c r="CB37" s="74" t="str">
        <f>IFERROR(__xludf.DUMMYFUNCTION("iferror(if(DIVIDE(COUNTIF(query(filter('Data Recording'!AE:AE,'Data Recording'!D:D=B37), ""Select Col1""),""Yes, Docked"") + countif(query(filter('Data Recording'!AE:AE,'Data Recording'!D:D=B37), ""Select Col1""),""Yes, Engaged""),COUNTA(query(ifna(filter"&amp;"('Data Recording'!AE:AE,'Data Recording'!D:D=B37),""""), ""Select Col1"")))&gt;=(0.5),""1"",""0""),""-"")"),"0")</f>
        <v>0</v>
      </c>
      <c r="CC37" s="59" t="str">
        <f>IFERROR(__xludf.DUMMYFUNCTION("iferror(if(countif(query(filter('Data Recording'!AE:AE,'Data Recording'!D:D=B37), ""Select Col1""),""Yes, Engaged"")/COUNTA(query(ifna(filter('Data Recording'!AE:AE,'Data Recording'!D:D=B37),""""), ""Select Col1""))&gt;=(0.5),""1"",""0""),""-"")"),"0")</f>
        <v>0</v>
      </c>
      <c r="CD37" s="74" t="str">
        <f>IFERROR(__xludf.DUMMYFUNCTION("iferror(if(DIVIDE(countif(query(filter('Data Recording'!E:E,'Data Recording'!D:D=B37), ""Select Col1""),""Yes""),COUNTA(query(ifna(filter('Data Recording'!E:E,'Data Recording'!D:D=B37),""""), ""Select Col1"")))&gt;=(0.5),""1"",""0""),""-"")"),"0")</f>
        <v>0</v>
      </c>
    </row>
    <row r="38">
      <c r="A38" s="51" t="s">
        <v>71</v>
      </c>
      <c r="B38" s="51">
        <v>9211.0</v>
      </c>
      <c r="C38" s="52" t="str">
        <f>IFERROR(__xludf.DUMMYFUNCTION("if(countif(query(filter('Data Recording'!E:E,'Data Recording'!D:D=B38), ""Select Col1""),""Yes"")=0,""0"",countif(query(filter('Data Recording'!E:E,'Data Recording'!D:D=B38), ""Select Col1""),""Yes"")) &amp; ""/"" &amp; if(COUNTA(query(ifna(filter('Data Recording"&amp;"'!E:E,'Data Recording'!D:D=B38),""""), ""Select Col1""))=0,""0"",COUNTA(query(ifna(filter('Data Recording'!E:E,'Data Recording'!D:D=B38),""""), ""Select Col1"")))"),"0/4")</f>
        <v>0/4</v>
      </c>
      <c r="D38" s="53">
        <f>IFERROR(__xludf.DUMMYFUNCTION("iferror(SUM(query(filter('Data Recording'!F:F,'Data Recording'!D:D=B38), ""Select Col1"")),""-"")"),0.0)</f>
        <v>0</v>
      </c>
      <c r="E38" s="53">
        <f>IFERROR(__xludf.DUMMYFUNCTION("iferror(SUM(query(filter('Data Recording'!G:G,'Data Recording'!D:D=B38), ""Select Col1"")),""-"")"),0.0)</f>
        <v>0</v>
      </c>
      <c r="F38" s="54" t="str">
        <f t="shared" si="1"/>
        <v>-</v>
      </c>
      <c r="G38" s="55" t="str">
        <f>IFERROR(__xludf.DUMMYFUNCTION("iferror(AVERAGE(query(filter('Data Recording'!G:G,'Data Recording'!D:D=B38), ""Select Col1"")),""0.00"")"),"0.00")</f>
        <v>0.00</v>
      </c>
      <c r="H38" s="53">
        <f>IFERROR(__xludf.DUMMYFUNCTION("iferror(MAX(query(filter('Data Recording'!G:G,'Data Recording'!D:D=B38), ""Select Col1"")),""-"")"),0.0)</f>
        <v>0</v>
      </c>
      <c r="I38" s="56">
        <f>IFERROR(__xludf.DUMMYFUNCTION("iferror(SUM(query(filter('Data Recording'!H:H,'Data Recording'!D:D=B38), ""Select Col1"")),""-"")"),0.0)</f>
        <v>0</v>
      </c>
      <c r="J38" s="57">
        <f>IFERROR(__xludf.DUMMYFUNCTION("iferror(SUM(query(filter('Data Recording'!I:I,'Data Recording'!D:D=B38), ""Select Col1"")),""-"")"),0.0)</f>
        <v>0</v>
      </c>
      <c r="K38" s="54" t="str">
        <f t="shared" si="2"/>
        <v>-</v>
      </c>
      <c r="L38" s="55" t="str">
        <f>IFERROR(__xludf.DUMMYFUNCTION("iferror(AVERAGE(query(filter('Data Recording'!I:I,'Data Recording'!D:D=B38), ""Select Col1"")),""0.00"")"),"0.00")</f>
        <v>0.00</v>
      </c>
      <c r="M38" s="53">
        <f>IFERROR(__xludf.DUMMYFUNCTION("iferror(MAX(query(filter('Data Recording'!I:I,'Data Recording'!D:D=B38), ""Select Col1"")),""-"")"),0.0)</f>
        <v>0</v>
      </c>
      <c r="N38" s="58">
        <f>IFERROR(__xludf.DUMMYFUNCTION("iferror(SUM(query(filter('Data Recording'!J:J,'Data Recording'!D:D=B38), ""Select Col1"")),""-"")"),0.0)</f>
        <v>0</v>
      </c>
      <c r="O38" s="59">
        <f>IFERROR(__xludf.DUMMYFUNCTION("iferror(SUM(query(filter('Data Recording'!K:K,'Data Recording'!D:D=B38), ""Select Col1"")),""-"")"),0.0)</f>
        <v>0</v>
      </c>
      <c r="P38" s="54" t="str">
        <f t="shared" si="3"/>
        <v>-</v>
      </c>
      <c r="Q38" s="55" t="str">
        <f>IFERROR(__xludf.DUMMYFUNCTION("iferror(AVERAGE(query(filter('Data Recording'!K:K,'Data Recording'!D:D=B38), ""Select Col1"")),""0.00"")"),"0.00")</f>
        <v>0.00</v>
      </c>
      <c r="R38" s="53">
        <f>IFERROR(__xludf.DUMMYFUNCTION("iferror(MAX(query(filter('Data Recording'!K:K,'Data Recording'!D:D=B38), ""Select Col1"")),""-"")"),0.0)</f>
        <v>0</v>
      </c>
      <c r="S38" s="58">
        <f>IFERROR(__xludf.DUMMYFUNCTION("iferror(SUM(query(filter('Data Recording'!L:L,'Data Recording'!D:D=B38), ""Select Col1"")),""-"")"),0.0)</f>
        <v>0</v>
      </c>
      <c r="T38" s="59">
        <f>IFERROR(__xludf.DUMMYFUNCTION("iferror(SUM(query(filter('Data Recording'!M:M,'Data Recording'!D:D=B38), ""Select Col1"")),""-"")"),0.0)</f>
        <v>0</v>
      </c>
      <c r="U38" s="54" t="str">
        <f t="shared" si="4"/>
        <v>-</v>
      </c>
      <c r="V38" s="55" t="str">
        <f>IFERROR(__xludf.DUMMYFUNCTION("iferror(AVERAGE(query(filter('Data Recording'!M:M,'Data Recording'!D:D=B38), ""Select Col1"")),""-"")"),"-")</f>
        <v>-</v>
      </c>
      <c r="W38" s="52">
        <f>IFERROR(__xludf.DUMMYFUNCTION("iferror(MAX(query(filter('Data Recording'!M:M,'Data Recording'!D:D=B38), ""Select Col1"")),""-"")"),0.0)</f>
        <v>0</v>
      </c>
      <c r="X38" s="59">
        <f>IFERROR(__xludf.DUMMYFUNCTION("iferror(SUM(query(filter('Data Recording'!N:N,'Data Recording'!D:D=B38), ""Select Col1"")),""-"")"),0.0)</f>
        <v>0</v>
      </c>
      <c r="Y38" s="59">
        <f>IFERROR(__xludf.DUMMYFUNCTION("iferror(SUM(query(filter('Data Recording'!O:O,'Data Recording'!D:D=B38), ""Select Col1"")),""-"")"),0.0)</f>
        <v>0</v>
      </c>
      <c r="Z38" s="54" t="str">
        <f t="shared" si="5"/>
        <v>-</v>
      </c>
      <c r="AA38" s="55" t="str">
        <f>IFERROR(__xludf.DUMMYFUNCTION("iferror(AVERAGE(query(filter('Data Recording'!O:O,'Data Recording'!D:D=B38), ""Select Col1"")),""0.00"")"),"0.00")</f>
        <v>0.00</v>
      </c>
      <c r="AB38" s="52">
        <f>IFERROR(__xludf.DUMMYFUNCTION("iferror(MAX(query(filter('Data Recording'!O:O,'Data Recording'!D:D=B38), ""Select Col1"")),""-"")"),0.0)</f>
        <v>0</v>
      </c>
      <c r="AC38" s="59">
        <f>IFERROR(__xludf.DUMMYFUNCTION("iferror(SUM(query(filter('Data Recording'!P:P,'Data Recording'!D:D=B38), ""Select Col1"")),""-"")"),0.0)</f>
        <v>0</v>
      </c>
      <c r="AD38" s="59">
        <f>IFERROR(__xludf.DUMMYFUNCTION("iferror(SUM(query(filter('Data Recording'!Q:Q,'Data Recording'!D:D=B38), ""Select Col1"")),""-"")"),0.0)</f>
        <v>0</v>
      </c>
      <c r="AE38" s="54" t="str">
        <f t="shared" si="6"/>
        <v>-</v>
      </c>
      <c r="AF38" s="55" t="str">
        <f>IFERROR(__xludf.DUMMYFUNCTION("iferror(AVERAGE(query(filter('Data Recording'!Q:Q,'Data Recording'!D:D=B38), ""Select Col1"")),""0.00"")"),"0.00")</f>
        <v>0.00</v>
      </c>
      <c r="AG38" s="59">
        <f>IFERROR(__xludf.DUMMYFUNCTION("iferror(MAX(query(filter('Data Recording'!Q:Q,'Data Recording'!D:D=B38), ""Select Col1"")),""-"")"),0.0)</f>
        <v>0</v>
      </c>
      <c r="AH38" s="58" t="str">
        <f>IFERROR(__xludf.DUMMYFUNCTION("if(countif(query(filter('Data Recording'!R:R,'Data Recording'!D:D=B38), ""Select Col1""),""Yes, Engaged"")+countif(query(filter('Data Recording'!R:R,'Data Recording'!D:D=B38), ""Select Col1""),""Yes, Docked"")=0,""0"",countif(query(filter('Data Recording'"&amp;"!R:R,'Data Recording'!D:D=B38), ""Select Col1""),""Yes, Engaged""))+countif(query(filter('Data Recording'!R:R,'Data Recording'!D:D=B38), ""Select Col1""),""Yes, Docked"") &amp; ""/"" &amp; if(COUNTA(query(ifna(filter('Data Recording'!R:R,'Data Recording'!D:D=B38)"&amp;",""""), ""Select Col1""))=0,""0"",COUNTA(query(ifna(filter('Data Recording'!R:R,'Data Recording'!D:D=B38),""""), ""Select Col1"")))"),"0/4")</f>
        <v>0/4</v>
      </c>
      <c r="AI38" s="60" t="str">
        <f>IFERROR(__xludf.DUMMYFUNCTION("if(countif(query(filter('Data Recording'!R:R,'Data Recording'!D:D=B38), ""Select Col1""),""Yes, Engaged"")=0,""0"",countif(query(filter('Data Recording'!R:R,'Data Recording'!D:D=B38), ""Select Col1""),""Yes, Engaged"")) &amp; ""/"" &amp; if(COUNTA(query(ifna(filt"&amp;"er('Data Recording'!R:R,'Data Recording'!D:D=B38),""""), ""Select Col1""))=0,""0"",COUNTA(query(ifna(filter('Data Recording'!R:R,'Data Recording'!D:D=B38),""""), ""Select Col1"")))"),"0/4")</f>
        <v>0/4</v>
      </c>
      <c r="AJ38" s="59">
        <f>IFERROR(__xludf.DUMMYFUNCTION("iferror(SUM(query(filter('Data Recording'!S:S,'Data Recording'!D:D=B38), ""Select Col1"")),""-"")"),0.0)</f>
        <v>0</v>
      </c>
      <c r="AK38" s="59">
        <f>IFERROR(__xludf.DUMMYFUNCTION("iferror(SUM(query(filter('Data Recording'!T:T,'Data Recording'!D:D=B38), ""Select Col1"")),""-"")"),0.0)</f>
        <v>0</v>
      </c>
      <c r="AL38" s="54" t="str">
        <f t="shared" si="7"/>
        <v>-</v>
      </c>
      <c r="AM38" s="55" t="str">
        <f>IFERROR(__xludf.DUMMYFUNCTION("iferror(AVERAGE(query(filter('Data Recording'!T:T,'Data Recording'!D:D=B38), ""Select Col1"")),""0.00"")"),"0.00")</f>
        <v>0.00</v>
      </c>
      <c r="AN38" s="61">
        <f>IFERROR(__xludf.DUMMYFUNCTION("iferror(MAX(query(filter('Data Recording'!T:T,'Data Recording'!D:D=B38), ""Select Col1"")),""-"")"),0.0)</f>
        <v>0</v>
      </c>
      <c r="AO38" s="62">
        <f>IFERROR(__xludf.DUMMYFUNCTION("iferror(SUM(query(filter('Data Recording'!U:U,'Data Recording'!D:D=B38), ""Select Col1"")),""-"")"),0.0)</f>
        <v>0</v>
      </c>
      <c r="AP38" s="62">
        <f>IFERROR(__xludf.DUMMYFUNCTION("iferror(SUM(query(filter('Data Recording'!V:V,'Data Recording'!D:D=B38), ""Select Col1"")),""-"")"),0.0)</f>
        <v>0</v>
      </c>
      <c r="AQ38" s="63" t="str">
        <f t="shared" si="8"/>
        <v>-</v>
      </c>
      <c r="AR38" s="64" t="str">
        <f>IFERROR(__xludf.DUMMYFUNCTION("iferror(AVERAGE(query(filter('Data Recording'!V:V,'Data Recording'!D:D=B38), ""Select Col1"")),""0.00"")"),"0.00")</f>
        <v>0.00</v>
      </c>
      <c r="AS38" s="65">
        <f>IFERROR(__xludf.DUMMYFUNCTION("iferror(MAX(query(filter('Data Recording'!V:V,'Data Recording'!D:D=B38), ""Select Col1"")),""-"")"),0.0)</f>
        <v>0</v>
      </c>
      <c r="AT38" s="62">
        <f>IFERROR(__xludf.DUMMYFUNCTION("iferror(SUM(query(filter('Data Recording'!W:W,'Data Recording'!D:D=B38), ""Select Col1"")),""-"")"),1.0)</f>
        <v>1</v>
      </c>
      <c r="AU38" s="62">
        <f>IFERROR(__xludf.DUMMYFUNCTION("iferror(SUM(query(filter('Data Recording'!X:X,'Data Recording'!D:D=B38), ""Select Col1"")),""-"")"),0.0)</f>
        <v>0</v>
      </c>
      <c r="AV38" s="63">
        <f t="shared" si="9"/>
        <v>0</v>
      </c>
      <c r="AW38" s="64">
        <f>IFERROR(__xludf.DUMMYFUNCTION("iferror(AVERAGE(query(filter('Data Recording'!X:X,'Data Recording'!D:D=B38), ""Select Col1"")),""0.00"")"),0.0)</f>
        <v>0</v>
      </c>
      <c r="AX38" s="65">
        <f>IFERROR(__xludf.DUMMYFUNCTION("iferror(MAX(query(filter('Data Recording'!X:X,'Data Recording'!D:D=B38), ""Select Col1"")),""-"")"),0.0)</f>
        <v>0</v>
      </c>
      <c r="AY38" s="62">
        <f>IFERROR(__xludf.DUMMYFUNCTION("iferror(SUM(query(filter('Data Recording'!Y:Y,'Data Recording'!D:D=B38), ""Select Col1"")),""-"")"),0.0)</f>
        <v>0</v>
      </c>
      <c r="AZ38" s="62">
        <f>IFERROR(__xludf.DUMMYFUNCTION("iferror(SUM(query(filter('Data Recording'!Z:Z,'Data Recording'!D:D=B38), ""Select Col1"")),""-"")"),0.0)</f>
        <v>0</v>
      </c>
      <c r="BA38" s="63" t="str">
        <f t="shared" si="10"/>
        <v>-</v>
      </c>
      <c r="BB38" s="64" t="str">
        <f>IFERROR(__xludf.DUMMYFUNCTION("iferror(AVERAGE(query(filter('Data Recording'!Z:Z,'Data Recording'!D:D=B38), ""Select Col1"")),""0.00"")"),"0.00")</f>
        <v>0.00</v>
      </c>
      <c r="BC38" s="65">
        <f>IFERROR(__xludf.DUMMYFUNCTION("iferror(MAX(query(filter('Data Recording'!Z:Z,'Data Recording'!D:D=B38), ""Select Col1"")),""-"")"),0.0)</f>
        <v>0</v>
      </c>
      <c r="BD38" s="62">
        <f>IFERROR(__xludf.DUMMYFUNCTION("iferror(SUM(query(filter('Data Recording'!AA:AA,'Data Recording'!D:D=B38), ""Select Col1"")),""-"")"),0.0)</f>
        <v>0</v>
      </c>
      <c r="BE38" s="62">
        <f>IFERROR(__xludf.DUMMYFUNCTION("iferror(SUM(query(filter('Data Recording'!AB:AB,'Data Recording'!D:D=B38), ""Select Col1"")),""-"")"),0.0)</f>
        <v>0</v>
      </c>
      <c r="BF38" s="63" t="str">
        <f t="shared" si="11"/>
        <v>-</v>
      </c>
      <c r="BG38" s="64" t="str">
        <f>IFERROR(__xludf.DUMMYFUNCTION("iferror(AVERAGE(query(filter('Data Recording'!AB:AB,'Data Recording'!D:D=B38), ""Select Col1"")),""0.00"")"),"0.00")</f>
        <v>0.00</v>
      </c>
      <c r="BH38" s="65">
        <f>IFERROR(__xludf.DUMMYFUNCTION("iferror(MAX(query(filter('Data Recording'!AB:AB,'Data Recording'!D:D=B38), ""Select Col1"")),""-"")"),0.0)</f>
        <v>0</v>
      </c>
      <c r="BI38" s="62">
        <f>IFERROR(__xludf.DUMMYFUNCTION("iferror(SUM(query(filter('Data Recording'!AC:AC,'Data Recording'!D:D=B38), ""Select Col1"")),""-"")"),1.0)</f>
        <v>1</v>
      </c>
      <c r="BJ38" s="62">
        <f>IFERROR(__xludf.DUMMYFUNCTION("iferror(SUM(query(filter('Data Recording'!AD:AD,'Data Recording'!D:D=B38), ""Select Col1"")),""-"")"),0.0)</f>
        <v>0</v>
      </c>
      <c r="BK38" s="63">
        <f t="shared" si="12"/>
        <v>0</v>
      </c>
      <c r="BL38" s="64">
        <f>IFERROR(__xludf.DUMMYFUNCTION("iferror(AVERAGE(query(filter('Data Recording'!AD:AD,'Data Recording'!D:D=B38), ""Select Col1"")),""0.00"")"),0.0)</f>
        <v>0</v>
      </c>
      <c r="BM38" s="65">
        <f>IFERROR(__xludf.DUMMYFUNCTION("iferror(MAX(query(filter('Data Recording'!AD:AD,'Data Recording'!D:D=B38), ""Select Col1"")),""-"")"),0.0)</f>
        <v>0</v>
      </c>
      <c r="BN38" s="66" t="str">
        <f>IFERROR(__xludf.DUMMYFUNCTION("if(countif(query(filter('Data Recording'!AE:AE,'Data Recording'!D:D=B38), ""Select Col1""),""Yes, Engaged"")+countif(query(filter('Data Recording'!AE:AE,'Data Recording'!D:D=B38), ""Select Col1""),""Yes, Docked"")=0,""0"",countif(query(filter('Data Record"&amp;"ing'!AE:AE,'Data Recording'!D:D=B38), ""Select Col1""),""Yes, Engaged""))+countif(query(filter('Data Recording'!AE:AE,'Data Recording'!D:D=B38), ""Select Col1""),""Yes, Docked"") &amp; ""/"" &amp; if(COUNTA(query(ifna(filter('Data Recording'!AE:AE,'Data Recording"&amp;"'!D:D=B38),""""), ""Select Col1""))=0,""0"",COUNTA(query(ifna(filter('Data Recording'!AE:AE,'Data Recording'!D:D=B38),""""), ""Select Col1"")))"),"2/4")</f>
        <v>2/4</v>
      </c>
      <c r="BO38" s="67" t="str">
        <f>IFERROR(__xludf.DUMMYFUNCTION("if(countif(query(filter('Data Recording'!AE:AE,'Data Recording'!D:D=B38), ""Select Col1""),""Yes, Engaged"")=0,""0"",countif(query(filter('Data Recording'!AE:AE,'Data Recording'!D:D=B38), ""Select Col1""),""Yes, Engaged"")) &amp; ""/"" &amp; if(COUNTA(query(ifna("&amp;"filter('Data Recording'!AE:AE,'Data Recording'!D:D=B38),""""), ""Select Col1""))=0,""0"",COUNTA(query(ifna(filter('Data Recording'!AE:AE,'Data Recording'!D:D=B38),""""), ""Select Col1"")))"),"2/4")</f>
        <v>2/4</v>
      </c>
      <c r="BP38" s="60" t="str">
        <f>IFERROR(__xludf.DUMMYFUNCTION("if(countif(query(filter('Data Recording'!AH:AH,'Data Recording'!D:D=B38), ""Select Col1""),""Yes"")=0,""0"",countif(query(filter('Data Recording'!AH:AH,'Data Recording'!D:D=B38), ""Select Col1""),""Yes"")) &amp; ""/"" &amp; if(COUNTA(query(ifna(filter('Data Recor"&amp;"ding'!AH:AH,'Data Recording'!D:D=B38),""""), ""Select Col1""))=0,""0"",COUNTA(query(ifna(filter('Data Recording'!AH:AH,'Data Recording'!D:D=B38),""""), ""Select Col1"")))"),"2/4")</f>
        <v>2/4</v>
      </c>
      <c r="BQ38" s="68">
        <v>0.5</v>
      </c>
      <c r="BR38" s="55">
        <f>IFERROR(__xludf.DUMMYFUNCTION("iferror(average(query(filter('Data Recording'!AF:AF,'Data Recording'!D:D=B38), ""Select Col1"")),""-"")"),0.75)</f>
        <v>0.75</v>
      </c>
      <c r="BS38" s="69">
        <f>IFERROR(__xludf.DUMMYFUNCTION("iferror(average(query(filter('Data Recording'!AG:AG,'Data Recording'!D:D=B38), ""Select Col1"")),""-"")"),1.25)</f>
        <v>1.25</v>
      </c>
      <c r="BT38" s="70">
        <f t="shared" si="13"/>
        <v>10</v>
      </c>
      <c r="BU38" s="70">
        <f>IFERROR(__xludf.DUMMYFUNCTION("iferror(AVERAGE(query(filter('Data Recording'!AJ:AJ,'Data Recording'!D:D=B38), ""Select Col1"")),""-"")"),5.0)</f>
        <v>5</v>
      </c>
      <c r="BV38" s="70">
        <f>IFERROR(__xludf.DUMMYFUNCTION("iferror(AVERAGE(query(filter('Data Recording'!AK:AK,'Data Recording'!D:D=B38), ""Select Col1"")),""-"")"),0.0)</f>
        <v>0</v>
      </c>
      <c r="BW38" s="70">
        <f t="shared" si="14"/>
        <v>0</v>
      </c>
      <c r="BX38" s="71">
        <f>IFERROR(__xludf.DUMMYFUNCTION("iferror(max(query(filter('Data Recording'!AJ:AJ,'Data Recording'!D:D=B38), ""Select Col1"")),""-"")"),10.0)</f>
        <v>10</v>
      </c>
      <c r="BY38" s="72">
        <f>IFERROR(__xludf.DUMMYFUNCTION("iferror(MIN(query(filter('Data Recording'!AJ:AJ,'Data Recording'!D:D=B38), ""Select Col1"")),""-"")"),0.0)</f>
        <v>0</v>
      </c>
      <c r="BZ38" s="73" t="str">
        <f>IFERROR(__xludf.DUMMYFUNCTION("iferror(if(DIVIDE(COUNTIF(query(filter('Data Recording'!R:R,'Data Recording'!D:D=B38), ""Select Col1""),""Yes, Docked"") + countif(query(filter('Data Recording'!R:R,'Data Recording'!D:D=B38), ""Select Col1""),""Yes, Engaged""),COUNTA(query(ifna(filter('Da"&amp;"ta Recording'!R:R,'Data Recording'!D:D=B38),""""), ""Select Col1"")))&gt;=(0.5),""1"",""0""),""-"")"),"0")</f>
        <v>0</v>
      </c>
      <c r="CA38" s="59" t="str">
        <f>IFERROR(__xludf.DUMMYFUNCTION("iferror(if(countif(query(filter('Data Recording'!R:R,'Data Recording'!D:D=B38), ""Select Col1""),""Yes, Engaged"")/COUNTA(query(ifna(filter('Data Recording'!R:R,'Data Recording'!D:D=B38),""""), ""Select Col1""))&gt;=(0.5),""1"",""0""),""-"")"),"0")</f>
        <v>0</v>
      </c>
      <c r="CB38" s="74" t="str">
        <f>IFERROR(__xludf.DUMMYFUNCTION("iferror(if(DIVIDE(COUNTIF(query(filter('Data Recording'!AE:AE,'Data Recording'!D:D=B38), ""Select Col1""),""Yes, Docked"") + countif(query(filter('Data Recording'!AE:AE,'Data Recording'!D:D=B38), ""Select Col1""),""Yes, Engaged""),COUNTA(query(ifna(filter"&amp;"('Data Recording'!AE:AE,'Data Recording'!D:D=B38),""""), ""Select Col1"")))&gt;=(0.5),""1"",""0""),""-"")"),"1")</f>
        <v>1</v>
      </c>
      <c r="CC38" s="59" t="str">
        <f>IFERROR(__xludf.DUMMYFUNCTION("iferror(if(countif(query(filter('Data Recording'!AE:AE,'Data Recording'!D:D=B38), ""Select Col1""),""Yes, Engaged"")/COUNTA(query(ifna(filter('Data Recording'!AE:AE,'Data Recording'!D:D=B38),""""), ""Select Col1""))&gt;=(0.5),""1"",""0""),""-"")"),"1")</f>
        <v>1</v>
      </c>
      <c r="CD38" s="74" t="str">
        <f>IFERROR(__xludf.DUMMYFUNCTION("iferror(if(DIVIDE(countif(query(filter('Data Recording'!E:E,'Data Recording'!D:D=B38), ""Select Col1""),""Yes""),COUNTA(query(ifna(filter('Data Recording'!E:E,'Data Recording'!D:D=B38),""""), ""Select Col1"")))&gt;=(0.5),""1"",""0""),""-"")"),"0")</f>
        <v>0</v>
      </c>
    </row>
    <row r="39">
      <c r="A39" s="51" t="s">
        <v>72</v>
      </c>
      <c r="B39" s="51">
        <v>8895.0</v>
      </c>
      <c r="C39" s="52" t="str">
        <f>IFERROR(__xludf.DUMMYFUNCTION("if(countif(query(filter('Data Recording'!E:E,'Data Recording'!D:D=B39), ""Select Col1""),""Yes"")=0,""0"",countif(query(filter('Data Recording'!E:E,'Data Recording'!D:D=B39), ""Select Col1""),""Yes"")) &amp; ""/"" &amp; if(COUNTA(query(ifna(filter('Data Recording"&amp;"'!E:E,'Data Recording'!D:D=B39),""""), ""Select Col1""))=0,""0"",COUNTA(query(ifna(filter('Data Recording'!E:E,'Data Recording'!D:D=B39),""""), ""Select Col1"")))"),"0/9")</f>
        <v>0/9</v>
      </c>
      <c r="D39" s="53">
        <f>IFERROR(__xludf.DUMMYFUNCTION("iferror(SUM(query(filter('Data Recording'!F:F,'Data Recording'!D:D=B39), ""Select Col1"")),""-"")"),0.0)</f>
        <v>0</v>
      </c>
      <c r="E39" s="53">
        <f>IFERROR(__xludf.DUMMYFUNCTION("iferror(SUM(query(filter('Data Recording'!G:G,'Data Recording'!D:D=B39), ""Select Col1"")),""-"")"),0.0)</f>
        <v>0</v>
      </c>
      <c r="F39" s="54" t="str">
        <f t="shared" si="1"/>
        <v>-</v>
      </c>
      <c r="G39" s="55" t="str">
        <f>IFERROR(__xludf.DUMMYFUNCTION("iferror(AVERAGE(query(filter('Data Recording'!G:G,'Data Recording'!D:D=B39), ""Select Col1"")),""0.00"")"),"0.00")</f>
        <v>0.00</v>
      </c>
      <c r="H39" s="53">
        <f>IFERROR(__xludf.DUMMYFUNCTION("iferror(MAX(query(filter('Data Recording'!G:G,'Data Recording'!D:D=B39), ""Select Col1"")),""-"")"),0.0)</f>
        <v>0</v>
      </c>
      <c r="I39" s="56">
        <f>IFERROR(__xludf.DUMMYFUNCTION("iferror(SUM(query(filter('Data Recording'!H:H,'Data Recording'!D:D=B39), ""Select Col1"")),""-"")"),0.0)</f>
        <v>0</v>
      </c>
      <c r="J39" s="57">
        <f>IFERROR(__xludf.DUMMYFUNCTION("iferror(SUM(query(filter('Data Recording'!I:I,'Data Recording'!D:D=B39), ""Select Col1"")),""-"")"),0.0)</f>
        <v>0</v>
      </c>
      <c r="K39" s="54" t="str">
        <f t="shared" si="2"/>
        <v>-</v>
      </c>
      <c r="L39" s="55" t="str">
        <f>IFERROR(__xludf.DUMMYFUNCTION("iferror(AVERAGE(query(filter('Data Recording'!I:I,'Data Recording'!D:D=B39), ""Select Col1"")),""0.00"")"),"0.00")</f>
        <v>0.00</v>
      </c>
      <c r="M39" s="53">
        <f>IFERROR(__xludf.DUMMYFUNCTION("iferror(MAX(query(filter('Data Recording'!I:I,'Data Recording'!D:D=B39), ""Select Col1"")),""-"")"),0.0)</f>
        <v>0</v>
      </c>
      <c r="N39" s="58">
        <f>IFERROR(__xludf.DUMMYFUNCTION("iferror(SUM(query(filter('Data Recording'!J:J,'Data Recording'!D:D=B39), ""Select Col1"")),""-"")"),0.0)</f>
        <v>0</v>
      </c>
      <c r="O39" s="59">
        <f>IFERROR(__xludf.DUMMYFUNCTION("iferror(SUM(query(filter('Data Recording'!K:K,'Data Recording'!D:D=B39), ""Select Col1"")),""-"")"),0.0)</f>
        <v>0</v>
      </c>
      <c r="P39" s="54" t="str">
        <f t="shared" si="3"/>
        <v>-</v>
      </c>
      <c r="Q39" s="55" t="str">
        <f>IFERROR(__xludf.DUMMYFUNCTION("iferror(AVERAGE(query(filter('Data Recording'!K:K,'Data Recording'!D:D=B39), ""Select Col1"")),""0.00"")"),"0.00")</f>
        <v>0.00</v>
      </c>
      <c r="R39" s="53">
        <f>IFERROR(__xludf.DUMMYFUNCTION("iferror(MAX(query(filter('Data Recording'!K:K,'Data Recording'!D:D=B39), ""Select Col1"")),""-"")"),0.0)</f>
        <v>0</v>
      </c>
      <c r="S39" s="58">
        <f>IFERROR(__xludf.DUMMYFUNCTION("iferror(SUM(query(filter('Data Recording'!L:L,'Data Recording'!D:D=B39), ""Select Col1"")),""-"")"),0.0)</f>
        <v>0</v>
      </c>
      <c r="T39" s="59">
        <f>IFERROR(__xludf.DUMMYFUNCTION("iferror(SUM(query(filter('Data Recording'!M:M,'Data Recording'!D:D=B39), ""Select Col1"")),""-"")"),0.0)</f>
        <v>0</v>
      </c>
      <c r="U39" s="54" t="str">
        <f t="shared" si="4"/>
        <v>-</v>
      </c>
      <c r="V39" s="55" t="str">
        <f>IFERROR(__xludf.DUMMYFUNCTION("iferror(AVERAGE(query(filter('Data Recording'!M:M,'Data Recording'!D:D=B39), ""Select Col1"")),""-"")"),"-")</f>
        <v>-</v>
      </c>
      <c r="W39" s="52">
        <f>IFERROR(__xludf.DUMMYFUNCTION("iferror(MAX(query(filter('Data Recording'!M:M,'Data Recording'!D:D=B39), ""Select Col1"")),""-"")"),0.0)</f>
        <v>0</v>
      </c>
      <c r="X39" s="59">
        <f>IFERROR(__xludf.DUMMYFUNCTION("iferror(SUM(query(filter('Data Recording'!N:N,'Data Recording'!D:D=B39), ""Select Col1"")),""-"")"),0.0)</f>
        <v>0</v>
      </c>
      <c r="Y39" s="59">
        <f>IFERROR(__xludf.DUMMYFUNCTION("iferror(SUM(query(filter('Data Recording'!O:O,'Data Recording'!D:D=B39), ""Select Col1"")),""-"")"),0.0)</f>
        <v>0</v>
      </c>
      <c r="Z39" s="54" t="str">
        <f t="shared" si="5"/>
        <v>-</v>
      </c>
      <c r="AA39" s="55" t="str">
        <f>IFERROR(__xludf.DUMMYFUNCTION("iferror(AVERAGE(query(filter('Data Recording'!O:O,'Data Recording'!D:D=B39), ""Select Col1"")),""0.00"")"),"0.00")</f>
        <v>0.00</v>
      </c>
      <c r="AB39" s="52">
        <f>IFERROR(__xludf.DUMMYFUNCTION("iferror(MAX(query(filter('Data Recording'!O:O,'Data Recording'!D:D=B39), ""Select Col1"")),""-"")"),0.0)</f>
        <v>0</v>
      </c>
      <c r="AC39" s="59">
        <f>IFERROR(__xludf.DUMMYFUNCTION("iferror(SUM(query(filter('Data Recording'!P:P,'Data Recording'!D:D=B39), ""Select Col1"")),""-"")"),0.0)</f>
        <v>0</v>
      </c>
      <c r="AD39" s="59">
        <f>IFERROR(__xludf.DUMMYFUNCTION("iferror(SUM(query(filter('Data Recording'!Q:Q,'Data Recording'!D:D=B39), ""Select Col1"")),""-"")"),0.0)</f>
        <v>0</v>
      </c>
      <c r="AE39" s="54" t="str">
        <f t="shared" si="6"/>
        <v>-</v>
      </c>
      <c r="AF39" s="55" t="str">
        <f>IFERROR(__xludf.DUMMYFUNCTION("iferror(AVERAGE(query(filter('Data Recording'!Q:Q,'Data Recording'!D:D=B39), ""Select Col1"")),""0.00"")"),"0.00")</f>
        <v>0.00</v>
      </c>
      <c r="AG39" s="59">
        <f>IFERROR(__xludf.DUMMYFUNCTION("iferror(MAX(query(filter('Data Recording'!Q:Q,'Data Recording'!D:D=B39), ""Select Col1"")),""-"")"),0.0)</f>
        <v>0</v>
      </c>
      <c r="AH39" s="58" t="str">
        <f>IFERROR(__xludf.DUMMYFUNCTION("if(countif(query(filter('Data Recording'!R:R,'Data Recording'!D:D=B39), ""Select Col1""),""Yes, Engaged"")+countif(query(filter('Data Recording'!R:R,'Data Recording'!D:D=B39), ""Select Col1""),""Yes, Docked"")=0,""0"",countif(query(filter('Data Recording'"&amp;"!R:R,'Data Recording'!D:D=B39), ""Select Col1""),""Yes, Engaged""))+countif(query(filter('Data Recording'!R:R,'Data Recording'!D:D=B39), ""Select Col1""),""Yes, Docked"") &amp; ""/"" &amp; if(COUNTA(query(ifna(filter('Data Recording'!R:R,'Data Recording'!D:D=B39)"&amp;",""""), ""Select Col1""))=0,""0"",COUNTA(query(ifna(filter('Data Recording'!R:R,'Data Recording'!D:D=B39),""""), ""Select Col1"")))"),"0/9")</f>
        <v>0/9</v>
      </c>
      <c r="AI39" s="60" t="str">
        <f>IFERROR(__xludf.DUMMYFUNCTION("if(countif(query(filter('Data Recording'!R:R,'Data Recording'!D:D=B39), ""Select Col1""),""Yes, Engaged"")=0,""0"",countif(query(filter('Data Recording'!R:R,'Data Recording'!D:D=B39), ""Select Col1""),""Yes, Engaged"")) &amp; ""/"" &amp; if(COUNTA(query(ifna(filt"&amp;"er('Data Recording'!R:R,'Data Recording'!D:D=B39),""""), ""Select Col1""))=0,""0"",COUNTA(query(ifna(filter('Data Recording'!R:R,'Data Recording'!D:D=B39),""""), ""Select Col1"")))"),"0/9")</f>
        <v>0/9</v>
      </c>
      <c r="AJ39" s="59">
        <f>IFERROR(__xludf.DUMMYFUNCTION("iferror(SUM(query(filter('Data Recording'!S:S,'Data Recording'!D:D=B39), ""Select Col1"")),""-"")"),0.0)</f>
        <v>0</v>
      </c>
      <c r="AK39" s="59">
        <f>IFERROR(__xludf.DUMMYFUNCTION("iferror(SUM(query(filter('Data Recording'!T:T,'Data Recording'!D:D=B39), ""Select Col1"")),""-"")"),0.0)</f>
        <v>0</v>
      </c>
      <c r="AL39" s="54" t="str">
        <f t="shared" si="7"/>
        <v>-</v>
      </c>
      <c r="AM39" s="55" t="str">
        <f>IFERROR(__xludf.DUMMYFUNCTION("iferror(AVERAGE(query(filter('Data Recording'!T:T,'Data Recording'!D:D=B39), ""Select Col1"")),""0.00"")"),"0.00")</f>
        <v>0.00</v>
      </c>
      <c r="AN39" s="61">
        <f>IFERROR(__xludf.DUMMYFUNCTION("iferror(MAX(query(filter('Data Recording'!T:T,'Data Recording'!D:D=B39), ""Select Col1"")),""-"")"),0.0)</f>
        <v>0</v>
      </c>
      <c r="AO39" s="62">
        <f>IFERROR(__xludf.DUMMYFUNCTION("iferror(SUM(query(filter('Data Recording'!U:U,'Data Recording'!D:D=B39), ""Select Col1"")),""-"")"),0.0)</f>
        <v>0</v>
      </c>
      <c r="AP39" s="62">
        <f>IFERROR(__xludf.DUMMYFUNCTION("iferror(SUM(query(filter('Data Recording'!V:V,'Data Recording'!D:D=B39), ""Select Col1"")),""-"")"),0.0)</f>
        <v>0</v>
      </c>
      <c r="AQ39" s="63" t="str">
        <f t="shared" si="8"/>
        <v>-</v>
      </c>
      <c r="AR39" s="64" t="str">
        <f>IFERROR(__xludf.DUMMYFUNCTION("iferror(AVERAGE(query(filter('Data Recording'!V:V,'Data Recording'!D:D=B39), ""Select Col1"")),""0.00"")"),"0.00")</f>
        <v>0.00</v>
      </c>
      <c r="AS39" s="65">
        <f>IFERROR(__xludf.DUMMYFUNCTION("iferror(MAX(query(filter('Data Recording'!V:V,'Data Recording'!D:D=B39), ""Select Col1"")),""-"")"),0.0)</f>
        <v>0</v>
      </c>
      <c r="AT39" s="62">
        <f>IFERROR(__xludf.DUMMYFUNCTION("iferror(SUM(query(filter('Data Recording'!W:W,'Data Recording'!D:D=B39), ""Select Col1"")),""-"")"),5.0)</f>
        <v>5</v>
      </c>
      <c r="AU39" s="62">
        <f>IFERROR(__xludf.DUMMYFUNCTION("iferror(SUM(query(filter('Data Recording'!X:X,'Data Recording'!D:D=B39), ""Select Col1"")),""-"")"),2.0)</f>
        <v>2</v>
      </c>
      <c r="AV39" s="63">
        <f t="shared" si="9"/>
        <v>0.4</v>
      </c>
      <c r="AW39" s="64">
        <f>IFERROR(__xludf.DUMMYFUNCTION("iferror(AVERAGE(query(filter('Data Recording'!X:X,'Data Recording'!D:D=B39), ""Select Col1"")),""0.00"")"),0.5)</f>
        <v>0.5</v>
      </c>
      <c r="AX39" s="65">
        <f>IFERROR(__xludf.DUMMYFUNCTION("iferror(MAX(query(filter('Data Recording'!X:X,'Data Recording'!D:D=B39), ""Select Col1"")),""-"")"),1.0)</f>
        <v>1</v>
      </c>
      <c r="AY39" s="62">
        <f>IFERROR(__xludf.DUMMYFUNCTION("iferror(SUM(query(filter('Data Recording'!Y:Y,'Data Recording'!D:D=B39), ""Select Col1"")),""-"")"),0.0)</f>
        <v>0</v>
      </c>
      <c r="AZ39" s="62">
        <f>IFERROR(__xludf.DUMMYFUNCTION("iferror(SUM(query(filter('Data Recording'!Z:Z,'Data Recording'!D:D=B39), ""Select Col1"")),""-"")"),0.0)</f>
        <v>0</v>
      </c>
      <c r="BA39" s="63" t="str">
        <f t="shared" si="10"/>
        <v>-</v>
      </c>
      <c r="BB39" s="64" t="str">
        <f>IFERROR(__xludf.DUMMYFUNCTION("iferror(AVERAGE(query(filter('Data Recording'!Z:Z,'Data Recording'!D:D=B39), ""Select Col1"")),""0.00"")"),"0.00")</f>
        <v>0.00</v>
      </c>
      <c r="BC39" s="65">
        <f>IFERROR(__xludf.DUMMYFUNCTION("iferror(MAX(query(filter('Data Recording'!Z:Z,'Data Recording'!D:D=B39), ""Select Col1"")),""-"")"),0.0)</f>
        <v>0</v>
      </c>
      <c r="BD39" s="62">
        <f>IFERROR(__xludf.DUMMYFUNCTION("iferror(SUM(query(filter('Data Recording'!AA:AA,'Data Recording'!D:D=B39), ""Select Col1"")),""-"")"),0.0)</f>
        <v>0</v>
      </c>
      <c r="BE39" s="62">
        <f>IFERROR(__xludf.DUMMYFUNCTION("iferror(SUM(query(filter('Data Recording'!AB:AB,'Data Recording'!D:D=B39), ""Select Col1"")),""-"")"),0.0)</f>
        <v>0</v>
      </c>
      <c r="BF39" s="63" t="str">
        <f t="shared" si="11"/>
        <v>-</v>
      </c>
      <c r="BG39" s="64" t="str">
        <f>IFERROR(__xludf.DUMMYFUNCTION("iferror(AVERAGE(query(filter('Data Recording'!AB:AB,'Data Recording'!D:D=B39), ""Select Col1"")),""0.00"")"),"0.00")</f>
        <v>0.00</v>
      </c>
      <c r="BH39" s="65">
        <f>IFERROR(__xludf.DUMMYFUNCTION("iferror(MAX(query(filter('Data Recording'!AB:AB,'Data Recording'!D:D=B39), ""Select Col1"")),""-"")"),0.0)</f>
        <v>0</v>
      </c>
      <c r="BI39" s="62">
        <f>IFERROR(__xludf.DUMMYFUNCTION("iferror(SUM(query(filter('Data Recording'!AC:AC,'Data Recording'!D:D=B39), ""Select Col1"")),""-"")"),0.0)</f>
        <v>0</v>
      </c>
      <c r="BJ39" s="62">
        <f>IFERROR(__xludf.DUMMYFUNCTION("iferror(SUM(query(filter('Data Recording'!AD:AD,'Data Recording'!D:D=B39), ""Select Col1"")),""-"")"),0.0)</f>
        <v>0</v>
      </c>
      <c r="BK39" s="63" t="str">
        <f t="shared" si="12"/>
        <v>-</v>
      </c>
      <c r="BL39" s="64" t="str">
        <f>IFERROR(__xludf.DUMMYFUNCTION("iferror(AVERAGE(query(filter('Data Recording'!AD:AD,'Data Recording'!D:D=B39), ""Select Col1"")),""0.00"")"),"0.00")</f>
        <v>0.00</v>
      </c>
      <c r="BM39" s="65">
        <f>IFERROR(__xludf.DUMMYFUNCTION("iferror(MAX(query(filter('Data Recording'!AD:AD,'Data Recording'!D:D=B39), ""Select Col1"")),""-"")"),0.0)</f>
        <v>0</v>
      </c>
      <c r="BN39" s="66" t="str">
        <f>IFERROR(__xludf.DUMMYFUNCTION("if(countif(query(filter('Data Recording'!AE:AE,'Data Recording'!D:D=B39), ""Select Col1""),""Yes, Engaged"")+countif(query(filter('Data Recording'!AE:AE,'Data Recording'!D:D=B39), ""Select Col1""),""Yes, Docked"")=0,""0"",countif(query(filter('Data Record"&amp;"ing'!AE:AE,'Data Recording'!D:D=B39), ""Select Col1""),""Yes, Engaged""))+countif(query(filter('Data Recording'!AE:AE,'Data Recording'!D:D=B39), ""Select Col1""),""Yes, Docked"") &amp; ""/"" &amp; if(COUNTA(query(ifna(filter('Data Recording'!AE:AE,'Data Recording"&amp;"'!D:D=B39),""""), ""Select Col1""))=0,""0"",COUNTA(query(ifna(filter('Data Recording'!AE:AE,'Data Recording'!D:D=B39),""""), ""Select Col1"")))"),"3/9")</f>
        <v>3/9</v>
      </c>
      <c r="BO39" s="67" t="str">
        <f>IFERROR(__xludf.DUMMYFUNCTION("if(countif(query(filter('Data Recording'!AE:AE,'Data Recording'!D:D=B39), ""Select Col1""),""Yes, Engaged"")=0,""0"",countif(query(filter('Data Recording'!AE:AE,'Data Recording'!D:D=B39), ""Select Col1""),""Yes, Engaged"")) &amp; ""/"" &amp; if(COUNTA(query(ifna("&amp;"filter('Data Recording'!AE:AE,'Data Recording'!D:D=B39),""""), ""Select Col1""))=0,""0"",COUNTA(query(ifna(filter('Data Recording'!AE:AE,'Data Recording'!D:D=B39),""""), ""Select Col1"")))"),"3/9")</f>
        <v>3/9</v>
      </c>
      <c r="BP39" s="60" t="str">
        <f>IFERROR(__xludf.DUMMYFUNCTION("if(countif(query(filter('Data Recording'!AH:AH,'Data Recording'!D:D=B39), ""Select Col1""),""Yes"")=0,""0"",countif(query(filter('Data Recording'!AH:AH,'Data Recording'!D:D=B39), ""Select Col1""),""Yes"")) &amp; ""/"" &amp; if(COUNTA(query(ifna(filter('Data Recor"&amp;"ding'!AH:AH,'Data Recording'!D:D=B39),""""), ""Select Col1""))=0,""0"",COUNTA(query(ifna(filter('Data Recording'!AH:AH,'Data Recording'!D:D=B39),""""), ""Select Col1"")))"),"3/9")</f>
        <v>3/9</v>
      </c>
      <c r="BQ39" s="75">
        <v>0.3333</v>
      </c>
      <c r="BR39" s="55">
        <f>IFERROR(__xludf.DUMMYFUNCTION("iferror(average(query(filter('Data Recording'!AF:AF,'Data Recording'!D:D=B39), ""Select Col1"")),""-"")"),0.3333333333333333)</f>
        <v>0.3333333333</v>
      </c>
      <c r="BS39" s="69">
        <f>IFERROR(__xludf.DUMMYFUNCTION("iferror(average(query(filter('Data Recording'!AG:AG,'Data Recording'!D:D=B39), ""Select Col1"")),""-"")"),0.1111111111111111)</f>
        <v>0.1111111111</v>
      </c>
      <c r="BT39" s="70">
        <f t="shared" si="13"/>
        <v>1</v>
      </c>
      <c r="BU39" s="70">
        <f>IFERROR(__xludf.DUMMYFUNCTION("iferror(AVERAGE(query(filter('Data Recording'!AJ:AJ,'Data Recording'!D:D=B39), ""Select Col1"")),""-"")"),4.444444444444445)</f>
        <v>4.444444444</v>
      </c>
      <c r="BV39" s="70">
        <f>IFERROR(__xludf.DUMMYFUNCTION("iferror(AVERAGE(query(filter('Data Recording'!AK:AK,'Data Recording'!D:D=B39), ""Select Col1"")),""-"")"),0.4444444444444444)</f>
        <v>0.4444444444</v>
      </c>
      <c r="BW39" s="70">
        <f t="shared" si="14"/>
        <v>1</v>
      </c>
      <c r="BX39" s="71">
        <f>IFERROR(__xludf.DUMMYFUNCTION("iferror(max(query(filter('Data Recording'!AJ:AJ,'Data Recording'!D:D=B39), ""Select Col1"")),""-"")"),12.0)</f>
        <v>12</v>
      </c>
      <c r="BY39" s="72">
        <f>IFERROR(__xludf.DUMMYFUNCTION("iferror(MIN(query(filter('Data Recording'!AJ:AJ,'Data Recording'!D:D=B39), ""Select Col1"")),""-"")"),0.0)</f>
        <v>0</v>
      </c>
      <c r="BZ39" s="73" t="str">
        <f>IFERROR(__xludf.DUMMYFUNCTION("iferror(if(DIVIDE(COUNTIF(query(filter('Data Recording'!R:R,'Data Recording'!D:D=B39), ""Select Col1""),""Yes, Docked"") + countif(query(filter('Data Recording'!R:R,'Data Recording'!D:D=B39), ""Select Col1""),""Yes, Engaged""),COUNTA(query(ifna(filter('Da"&amp;"ta Recording'!R:R,'Data Recording'!D:D=B39),""""), ""Select Col1"")))&gt;=(0.5),""1"",""0""),""-"")"),"0")</f>
        <v>0</v>
      </c>
      <c r="CA39" s="59" t="str">
        <f>IFERROR(__xludf.DUMMYFUNCTION("iferror(if(countif(query(filter('Data Recording'!R:R,'Data Recording'!D:D=B39), ""Select Col1""),""Yes, Engaged"")/COUNTA(query(ifna(filter('Data Recording'!R:R,'Data Recording'!D:D=B39),""""), ""Select Col1""))&gt;=(0.5),""1"",""0""),""-"")"),"0")</f>
        <v>0</v>
      </c>
      <c r="CB39" s="74" t="str">
        <f>IFERROR(__xludf.DUMMYFUNCTION("iferror(if(DIVIDE(COUNTIF(query(filter('Data Recording'!AE:AE,'Data Recording'!D:D=B39), ""Select Col1""),""Yes, Docked"") + countif(query(filter('Data Recording'!AE:AE,'Data Recording'!D:D=B39), ""Select Col1""),""Yes, Engaged""),COUNTA(query(ifna(filter"&amp;"('Data Recording'!AE:AE,'Data Recording'!D:D=B39),""""), ""Select Col1"")))&gt;=(0.5),""1"",""0""),""-"")"),"0")</f>
        <v>0</v>
      </c>
      <c r="CC39" s="59" t="str">
        <f>IFERROR(__xludf.DUMMYFUNCTION("iferror(if(countif(query(filter('Data Recording'!AE:AE,'Data Recording'!D:D=B39), ""Select Col1""),""Yes, Engaged"")/COUNTA(query(ifna(filter('Data Recording'!AE:AE,'Data Recording'!D:D=B39),""""), ""Select Col1""))&gt;=(0.5),""1"",""0""),""-"")"),"0")</f>
        <v>0</v>
      </c>
      <c r="CD39" s="74" t="str">
        <f>IFERROR(__xludf.DUMMYFUNCTION("iferror(if(DIVIDE(countif(query(filter('Data Recording'!E:E,'Data Recording'!D:D=B39), ""Select Col1""),""Yes""),COUNTA(query(ifna(filter('Data Recording'!E:E,'Data Recording'!D:D=B39),""""), ""Select Col1"")))&gt;=(0.5),""1"",""0""),""-"")"),"0")</f>
        <v>0</v>
      </c>
    </row>
    <row r="40">
      <c r="A40" s="51" t="s">
        <v>73</v>
      </c>
      <c r="B40" s="51">
        <v>5205.0</v>
      </c>
      <c r="C40" s="52" t="str">
        <f>IFERROR(__xludf.DUMMYFUNCTION("if(countif(query(filter('Data Recording'!E:E,'Data Recording'!D:D=B40), ""Select Col1""),""Yes"")=0,""0"",countif(query(filter('Data Recording'!E:E,'Data Recording'!D:D=B40), ""Select Col1""),""Yes"")) &amp; ""/"" &amp; if(COUNTA(query(ifna(filter('Data Recording"&amp;"'!E:E,'Data Recording'!D:D=B40),""""), ""Select Col1""))=0,""0"",COUNTA(query(ifna(filter('Data Recording'!E:E,'Data Recording'!D:D=B40),""""), ""Select Col1"")))"),"1/5")</f>
        <v>1/5</v>
      </c>
      <c r="D40" s="53">
        <f>IFERROR(__xludf.DUMMYFUNCTION("iferror(SUM(query(filter('Data Recording'!F:F,'Data Recording'!D:D=B40), ""Select Col1"")),""-"")"),0.0)</f>
        <v>0</v>
      </c>
      <c r="E40" s="53">
        <f>IFERROR(__xludf.DUMMYFUNCTION("iferror(SUM(query(filter('Data Recording'!G:G,'Data Recording'!D:D=B40), ""Select Col1"")),""-"")"),0.0)</f>
        <v>0</v>
      </c>
      <c r="F40" s="54" t="str">
        <f t="shared" si="1"/>
        <v>-</v>
      </c>
      <c r="G40" s="55" t="str">
        <f>IFERROR(__xludf.DUMMYFUNCTION("iferror(AVERAGE(query(filter('Data Recording'!G:G,'Data Recording'!D:D=B40), ""Select Col1"")),""0.00"")"),"0.00")</f>
        <v>0.00</v>
      </c>
      <c r="H40" s="53">
        <f>IFERROR(__xludf.DUMMYFUNCTION("iferror(MAX(query(filter('Data Recording'!G:G,'Data Recording'!D:D=B40), ""Select Col1"")),""-"")"),0.0)</f>
        <v>0</v>
      </c>
      <c r="I40" s="56">
        <f>IFERROR(__xludf.DUMMYFUNCTION("iferror(SUM(query(filter('Data Recording'!H:H,'Data Recording'!D:D=B40), ""Select Col1"")),""-"")"),0.0)</f>
        <v>0</v>
      </c>
      <c r="J40" s="57">
        <f>IFERROR(__xludf.DUMMYFUNCTION("iferror(SUM(query(filter('Data Recording'!I:I,'Data Recording'!D:D=B40), ""Select Col1"")),""-"")"),0.0)</f>
        <v>0</v>
      </c>
      <c r="K40" s="54" t="str">
        <f t="shared" si="2"/>
        <v>-</v>
      </c>
      <c r="L40" s="55" t="str">
        <f>IFERROR(__xludf.DUMMYFUNCTION("iferror(AVERAGE(query(filter('Data Recording'!I:I,'Data Recording'!D:D=B40), ""Select Col1"")),""0.00"")"),"0.00")</f>
        <v>0.00</v>
      </c>
      <c r="M40" s="53">
        <f>IFERROR(__xludf.DUMMYFUNCTION("iferror(MAX(query(filter('Data Recording'!I:I,'Data Recording'!D:D=B40), ""Select Col1"")),""-"")"),0.0)</f>
        <v>0</v>
      </c>
      <c r="N40" s="58">
        <f>IFERROR(__xludf.DUMMYFUNCTION("iferror(SUM(query(filter('Data Recording'!J:J,'Data Recording'!D:D=B40), ""Select Col1"")),""-"")"),0.0)</f>
        <v>0</v>
      </c>
      <c r="O40" s="59">
        <f>IFERROR(__xludf.DUMMYFUNCTION("iferror(SUM(query(filter('Data Recording'!K:K,'Data Recording'!D:D=B40), ""Select Col1"")),""-"")"),0.0)</f>
        <v>0</v>
      </c>
      <c r="P40" s="54" t="str">
        <f t="shared" si="3"/>
        <v>-</v>
      </c>
      <c r="Q40" s="55" t="str">
        <f>IFERROR(__xludf.DUMMYFUNCTION("iferror(AVERAGE(query(filter('Data Recording'!K:K,'Data Recording'!D:D=B40), ""Select Col1"")),""0.00"")"),"0.00")</f>
        <v>0.00</v>
      </c>
      <c r="R40" s="53">
        <f>IFERROR(__xludf.DUMMYFUNCTION("iferror(MAX(query(filter('Data Recording'!K:K,'Data Recording'!D:D=B40), ""Select Col1"")),""-"")"),0.0)</f>
        <v>0</v>
      </c>
      <c r="S40" s="58">
        <f>IFERROR(__xludf.DUMMYFUNCTION("iferror(SUM(query(filter('Data Recording'!L:L,'Data Recording'!D:D=B40), ""Select Col1"")),""-"")"),0.0)</f>
        <v>0</v>
      </c>
      <c r="T40" s="59">
        <f>IFERROR(__xludf.DUMMYFUNCTION("iferror(SUM(query(filter('Data Recording'!M:M,'Data Recording'!D:D=B40), ""Select Col1"")),""-"")"),0.0)</f>
        <v>0</v>
      </c>
      <c r="U40" s="54" t="str">
        <f t="shared" si="4"/>
        <v>-</v>
      </c>
      <c r="V40" s="55" t="str">
        <f>IFERROR(__xludf.DUMMYFUNCTION("iferror(AVERAGE(query(filter('Data Recording'!M:M,'Data Recording'!D:D=B40), ""Select Col1"")),""-"")"),"-")</f>
        <v>-</v>
      </c>
      <c r="W40" s="52">
        <f>IFERROR(__xludf.DUMMYFUNCTION("iferror(MAX(query(filter('Data Recording'!M:M,'Data Recording'!D:D=B40), ""Select Col1"")),""-"")"),0.0)</f>
        <v>0</v>
      </c>
      <c r="X40" s="59">
        <f>IFERROR(__xludf.DUMMYFUNCTION("iferror(SUM(query(filter('Data Recording'!N:N,'Data Recording'!D:D=B40), ""Select Col1"")),""-"")"),0.0)</f>
        <v>0</v>
      </c>
      <c r="Y40" s="59">
        <f>IFERROR(__xludf.DUMMYFUNCTION("iferror(SUM(query(filter('Data Recording'!O:O,'Data Recording'!D:D=B40), ""Select Col1"")),""-"")"),0.0)</f>
        <v>0</v>
      </c>
      <c r="Z40" s="54" t="str">
        <f t="shared" si="5"/>
        <v>-</v>
      </c>
      <c r="AA40" s="55" t="str">
        <f>IFERROR(__xludf.DUMMYFUNCTION("iferror(AVERAGE(query(filter('Data Recording'!O:O,'Data Recording'!D:D=B40), ""Select Col1"")),""0.00"")"),"0.00")</f>
        <v>0.00</v>
      </c>
      <c r="AB40" s="52">
        <f>IFERROR(__xludf.DUMMYFUNCTION("iferror(MAX(query(filter('Data Recording'!O:O,'Data Recording'!D:D=B40), ""Select Col1"")),""-"")"),0.0)</f>
        <v>0</v>
      </c>
      <c r="AC40" s="59">
        <f>IFERROR(__xludf.DUMMYFUNCTION("iferror(SUM(query(filter('Data Recording'!P:P,'Data Recording'!D:D=B40), ""Select Col1"")),""-"")"),0.0)</f>
        <v>0</v>
      </c>
      <c r="AD40" s="59">
        <f>IFERROR(__xludf.DUMMYFUNCTION("iferror(SUM(query(filter('Data Recording'!Q:Q,'Data Recording'!D:D=B40), ""Select Col1"")),""-"")"),0.0)</f>
        <v>0</v>
      </c>
      <c r="AE40" s="54" t="str">
        <f t="shared" si="6"/>
        <v>-</v>
      </c>
      <c r="AF40" s="55" t="str">
        <f>IFERROR(__xludf.DUMMYFUNCTION("iferror(AVERAGE(query(filter('Data Recording'!Q:Q,'Data Recording'!D:D=B40), ""Select Col1"")),""0.00"")"),"0.00")</f>
        <v>0.00</v>
      </c>
      <c r="AG40" s="59">
        <f>IFERROR(__xludf.DUMMYFUNCTION("iferror(MAX(query(filter('Data Recording'!Q:Q,'Data Recording'!D:D=B40), ""Select Col1"")),""-"")"),0.0)</f>
        <v>0</v>
      </c>
      <c r="AH40" s="58" t="str">
        <f>IFERROR(__xludf.DUMMYFUNCTION("if(countif(query(filter('Data Recording'!R:R,'Data Recording'!D:D=B40), ""Select Col1""),""Yes, Engaged"")+countif(query(filter('Data Recording'!R:R,'Data Recording'!D:D=B40), ""Select Col1""),""Yes, Docked"")=0,""0"",countif(query(filter('Data Recording'"&amp;"!R:R,'Data Recording'!D:D=B40), ""Select Col1""),""Yes, Engaged""))+countif(query(filter('Data Recording'!R:R,'Data Recording'!D:D=B40), ""Select Col1""),""Yes, Docked"") &amp; ""/"" &amp; if(COUNTA(query(ifna(filter('Data Recording'!R:R,'Data Recording'!D:D=B40)"&amp;",""""), ""Select Col1""))=0,""0"",COUNTA(query(ifna(filter('Data Recording'!R:R,'Data Recording'!D:D=B40),""""), ""Select Col1"")))"),"0/5")</f>
        <v>0/5</v>
      </c>
      <c r="AI40" s="60" t="str">
        <f>IFERROR(__xludf.DUMMYFUNCTION("if(countif(query(filter('Data Recording'!R:R,'Data Recording'!D:D=B40), ""Select Col1""),""Yes, Engaged"")=0,""0"",countif(query(filter('Data Recording'!R:R,'Data Recording'!D:D=B40), ""Select Col1""),""Yes, Engaged"")) &amp; ""/"" &amp; if(COUNTA(query(ifna(filt"&amp;"er('Data Recording'!R:R,'Data Recording'!D:D=B40),""""), ""Select Col1""))=0,""0"",COUNTA(query(ifna(filter('Data Recording'!R:R,'Data Recording'!D:D=B40),""""), ""Select Col1"")))"),"0/5")</f>
        <v>0/5</v>
      </c>
      <c r="AJ40" s="59">
        <f>IFERROR(__xludf.DUMMYFUNCTION("iferror(SUM(query(filter('Data Recording'!S:S,'Data Recording'!D:D=B40), ""Select Col1"")),""-"")"),0.0)</f>
        <v>0</v>
      </c>
      <c r="AK40" s="59">
        <f>IFERROR(__xludf.DUMMYFUNCTION("iferror(SUM(query(filter('Data Recording'!T:T,'Data Recording'!D:D=B40), ""Select Col1"")),""-"")"),0.0)</f>
        <v>0</v>
      </c>
      <c r="AL40" s="54" t="str">
        <f t="shared" si="7"/>
        <v>-</v>
      </c>
      <c r="AM40" s="55" t="str">
        <f>IFERROR(__xludf.DUMMYFUNCTION("iferror(AVERAGE(query(filter('Data Recording'!T:T,'Data Recording'!D:D=B40), ""Select Col1"")),""0.00"")"),"0.00")</f>
        <v>0.00</v>
      </c>
      <c r="AN40" s="61">
        <f>IFERROR(__xludf.DUMMYFUNCTION("iferror(MAX(query(filter('Data Recording'!T:T,'Data Recording'!D:D=B40), ""Select Col1"")),""-"")"),0.0)</f>
        <v>0</v>
      </c>
      <c r="AO40" s="62">
        <f>IFERROR(__xludf.DUMMYFUNCTION("iferror(SUM(query(filter('Data Recording'!U:U,'Data Recording'!D:D=B40), ""Select Col1"")),""-"")"),0.0)</f>
        <v>0</v>
      </c>
      <c r="AP40" s="62">
        <f>IFERROR(__xludf.DUMMYFUNCTION("iferror(SUM(query(filter('Data Recording'!V:V,'Data Recording'!D:D=B40), ""Select Col1"")),""-"")"),0.0)</f>
        <v>0</v>
      </c>
      <c r="AQ40" s="63" t="str">
        <f t="shared" si="8"/>
        <v>-</v>
      </c>
      <c r="AR40" s="64" t="str">
        <f>IFERROR(__xludf.DUMMYFUNCTION("iferror(AVERAGE(query(filter('Data Recording'!V:V,'Data Recording'!D:D=B40), ""Select Col1"")),""0.00"")"),"0.00")</f>
        <v>0.00</v>
      </c>
      <c r="AS40" s="65">
        <f>IFERROR(__xludf.DUMMYFUNCTION("iferror(MAX(query(filter('Data Recording'!V:V,'Data Recording'!D:D=B40), ""Select Col1"")),""-"")"),0.0)</f>
        <v>0</v>
      </c>
      <c r="AT40" s="62">
        <f>IFERROR(__xludf.DUMMYFUNCTION("iferror(SUM(query(filter('Data Recording'!W:W,'Data Recording'!D:D=B40), ""Select Col1"")),""-"")"),0.0)</f>
        <v>0</v>
      </c>
      <c r="AU40" s="62">
        <f>IFERROR(__xludf.DUMMYFUNCTION("iferror(SUM(query(filter('Data Recording'!X:X,'Data Recording'!D:D=B40), ""Select Col1"")),""-"")"),0.0)</f>
        <v>0</v>
      </c>
      <c r="AV40" s="63" t="str">
        <f t="shared" si="9"/>
        <v>-</v>
      </c>
      <c r="AW40" s="64" t="str">
        <f>IFERROR(__xludf.DUMMYFUNCTION("iferror(AVERAGE(query(filter('Data Recording'!X:X,'Data Recording'!D:D=B40), ""Select Col1"")),""0.00"")"),"0.00")</f>
        <v>0.00</v>
      </c>
      <c r="AX40" s="65">
        <f>IFERROR(__xludf.DUMMYFUNCTION("iferror(MAX(query(filter('Data Recording'!X:X,'Data Recording'!D:D=B40), ""Select Col1"")),""-"")"),0.0)</f>
        <v>0</v>
      </c>
      <c r="AY40" s="62">
        <f>IFERROR(__xludf.DUMMYFUNCTION("iferror(SUM(query(filter('Data Recording'!Y:Y,'Data Recording'!D:D=B40), ""Select Col1"")),""-"")"),0.0)</f>
        <v>0</v>
      </c>
      <c r="AZ40" s="62">
        <f>IFERROR(__xludf.DUMMYFUNCTION("iferror(SUM(query(filter('Data Recording'!Z:Z,'Data Recording'!D:D=B40), ""Select Col1"")),""-"")"),0.0)</f>
        <v>0</v>
      </c>
      <c r="BA40" s="63" t="str">
        <f t="shared" si="10"/>
        <v>-</v>
      </c>
      <c r="BB40" s="64" t="str">
        <f>IFERROR(__xludf.DUMMYFUNCTION("iferror(AVERAGE(query(filter('Data Recording'!Z:Z,'Data Recording'!D:D=B40), ""Select Col1"")),""0.00"")"),"0.00")</f>
        <v>0.00</v>
      </c>
      <c r="BC40" s="65">
        <f>IFERROR(__xludf.DUMMYFUNCTION("iferror(MAX(query(filter('Data Recording'!Z:Z,'Data Recording'!D:D=B40), ""Select Col1"")),""-"")"),0.0)</f>
        <v>0</v>
      </c>
      <c r="BD40" s="62">
        <f>IFERROR(__xludf.DUMMYFUNCTION("iferror(SUM(query(filter('Data Recording'!AA:AA,'Data Recording'!D:D=B40), ""Select Col1"")),""-"")"),0.0)</f>
        <v>0</v>
      </c>
      <c r="BE40" s="62">
        <f>IFERROR(__xludf.DUMMYFUNCTION("iferror(SUM(query(filter('Data Recording'!AB:AB,'Data Recording'!D:D=B40), ""Select Col1"")),""-"")"),0.0)</f>
        <v>0</v>
      </c>
      <c r="BF40" s="63" t="str">
        <f t="shared" si="11"/>
        <v>-</v>
      </c>
      <c r="BG40" s="64" t="str">
        <f>IFERROR(__xludf.DUMMYFUNCTION("iferror(AVERAGE(query(filter('Data Recording'!AB:AB,'Data Recording'!D:D=B40), ""Select Col1"")),""0.00"")"),"0.00")</f>
        <v>0.00</v>
      </c>
      <c r="BH40" s="65">
        <f>IFERROR(__xludf.DUMMYFUNCTION("iferror(MAX(query(filter('Data Recording'!AB:AB,'Data Recording'!D:D=B40), ""Select Col1"")),""-"")"),0.0)</f>
        <v>0</v>
      </c>
      <c r="BI40" s="62">
        <f>IFERROR(__xludf.DUMMYFUNCTION("iferror(SUM(query(filter('Data Recording'!AC:AC,'Data Recording'!D:D=B40), ""Select Col1"")),""-"")"),0.0)</f>
        <v>0</v>
      </c>
      <c r="BJ40" s="62">
        <f>IFERROR(__xludf.DUMMYFUNCTION("iferror(SUM(query(filter('Data Recording'!AD:AD,'Data Recording'!D:D=B40), ""Select Col1"")),""-"")"),0.0)</f>
        <v>0</v>
      </c>
      <c r="BK40" s="63" t="str">
        <f t="shared" si="12"/>
        <v>-</v>
      </c>
      <c r="BL40" s="64" t="str">
        <f>IFERROR(__xludf.DUMMYFUNCTION("iferror(AVERAGE(query(filter('Data Recording'!AD:AD,'Data Recording'!D:D=B40), ""Select Col1"")),""0.00"")"),"0.00")</f>
        <v>0.00</v>
      </c>
      <c r="BM40" s="65">
        <f>IFERROR(__xludf.DUMMYFUNCTION("iferror(MAX(query(filter('Data Recording'!AD:AD,'Data Recording'!D:D=B40), ""Select Col1"")),""-"")"),0.0)</f>
        <v>0</v>
      </c>
      <c r="BN40" s="66" t="str">
        <f>IFERROR(__xludf.DUMMYFUNCTION("if(countif(query(filter('Data Recording'!AE:AE,'Data Recording'!D:D=B40), ""Select Col1""),""Yes, Engaged"")+countif(query(filter('Data Recording'!AE:AE,'Data Recording'!D:D=B40), ""Select Col1""),""Yes, Docked"")=0,""0"",countif(query(filter('Data Record"&amp;"ing'!AE:AE,'Data Recording'!D:D=B40), ""Select Col1""),""Yes, Engaged""))+countif(query(filter('Data Recording'!AE:AE,'Data Recording'!D:D=B40), ""Select Col1""),""Yes, Docked"") &amp; ""/"" &amp; if(COUNTA(query(ifna(filter('Data Recording'!AE:AE,'Data Recording"&amp;"'!D:D=B40),""""), ""Select Col1""))=0,""0"",COUNTA(query(ifna(filter('Data Recording'!AE:AE,'Data Recording'!D:D=B40),""""), ""Select Col1"")))"),"1/5")</f>
        <v>1/5</v>
      </c>
      <c r="BO40" s="67" t="str">
        <f>IFERROR(__xludf.DUMMYFUNCTION("if(countif(query(filter('Data Recording'!AE:AE,'Data Recording'!D:D=B40), ""Select Col1""),""Yes, Engaged"")=0,""0"",countif(query(filter('Data Recording'!AE:AE,'Data Recording'!D:D=B40), ""Select Col1""),""Yes, Engaged"")) &amp; ""/"" &amp; if(COUNTA(query(ifna("&amp;"filter('Data Recording'!AE:AE,'Data Recording'!D:D=B40),""""), ""Select Col1""))=0,""0"",COUNTA(query(ifna(filter('Data Recording'!AE:AE,'Data Recording'!D:D=B40),""""), ""Select Col1"")))"),"1/5")</f>
        <v>1/5</v>
      </c>
      <c r="BP40" s="60" t="str">
        <f>IFERROR(__xludf.DUMMYFUNCTION("if(countif(query(filter('Data Recording'!AH:AH,'Data Recording'!D:D=B40), ""Select Col1""),""Yes"")=0,""0"",countif(query(filter('Data Recording'!AH:AH,'Data Recording'!D:D=B40), ""Select Col1""),""Yes"")) &amp; ""/"" &amp; if(COUNTA(query(ifna(filter('Data Recor"&amp;"ding'!AH:AH,'Data Recording'!D:D=B40),""""), ""Select Col1""))=0,""0"",COUNTA(query(ifna(filter('Data Recording'!AH:AH,'Data Recording'!D:D=B40),""""), ""Select Col1"")))"),"0/5")</f>
        <v>0/5</v>
      </c>
      <c r="BQ40" s="68">
        <v>0.0</v>
      </c>
      <c r="BR40" s="55">
        <f>IFERROR(__xludf.DUMMYFUNCTION("iferror(average(query(filter('Data Recording'!AF:AF,'Data Recording'!D:D=B40), ""Select Col1"")),""-"")"),0.0)</f>
        <v>0</v>
      </c>
      <c r="BS40" s="69">
        <f>IFERROR(__xludf.DUMMYFUNCTION("iferror(average(query(filter('Data Recording'!AG:AG,'Data Recording'!D:D=B40), ""Select Col1"")),""-"")"),0.4)</f>
        <v>0.4</v>
      </c>
      <c r="BT40" s="70">
        <f t="shared" si="13"/>
        <v>0</v>
      </c>
      <c r="BU40" s="70">
        <f>IFERROR(__xludf.DUMMYFUNCTION("iferror(AVERAGE(query(filter('Data Recording'!AJ:AJ,'Data Recording'!D:D=B40), ""Select Col1"")),""-"")"),2.6)</f>
        <v>2.6</v>
      </c>
      <c r="BV40" s="70">
        <f>IFERROR(__xludf.DUMMYFUNCTION("iferror(AVERAGE(query(filter('Data Recording'!AK:AK,'Data Recording'!D:D=B40), ""Select Col1"")),""-"")"),0.0)</f>
        <v>0</v>
      </c>
      <c r="BW40" s="70">
        <f t="shared" si="14"/>
        <v>0</v>
      </c>
      <c r="BX40" s="71">
        <f>IFERROR(__xludf.DUMMYFUNCTION("iferror(max(query(filter('Data Recording'!AJ:AJ,'Data Recording'!D:D=B40), ""Select Col1"")),""-"")"),10.0)</f>
        <v>10</v>
      </c>
      <c r="BY40" s="72">
        <f>IFERROR(__xludf.DUMMYFUNCTION("iferror(MIN(query(filter('Data Recording'!AJ:AJ,'Data Recording'!D:D=B40), ""Select Col1"")),""-"")"),0.0)</f>
        <v>0</v>
      </c>
      <c r="BZ40" s="73" t="str">
        <f>IFERROR(__xludf.DUMMYFUNCTION("iferror(if(DIVIDE(COUNTIF(query(filter('Data Recording'!R:R,'Data Recording'!D:D=B40), ""Select Col1""),""Yes, Docked"") + countif(query(filter('Data Recording'!R:R,'Data Recording'!D:D=B40), ""Select Col1""),""Yes, Engaged""),COUNTA(query(ifna(filter('Da"&amp;"ta Recording'!R:R,'Data Recording'!D:D=B40),""""), ""Select Col1"")))&gt;=(0.5),""1"",""0""),""-"")"),"0")</f>
        <v>0</v>
      </c>
      <c r="CA40" s="59" t="str">
        <f>IFERROR(__xludf.DUMMYFUNCTION("iferror(if(countif(query(filter('Data Recording'!R:R,'Data Recording'!D:D=B40), ""Select Col1""),""Yes, Engaged"")/COUNTA(query(ifna(filter('Data Recording'!R:R,'Data Recording'!D:D=B40),""""), ""Select Col1""))&gt;=(0.5),""1"",""0""),""-"")"),"0")</f>
        <v>0</v>
      </c>
      <c r="CB40" s="74" t="str">
        <f>IFERROR(__xludf.DUMMYFUNCTION("iferror(if(DIVIDE(COUNTIF(query(filter('Data Recording'!AE:AE,'Data Recording'!D:D=B40), ""Select Col1""),""Yes, Docked"") + countif(query(filter('Data Recording'!AE:AE,'Data Recording'!D:D=B40), ""Select Col1""),""Yes, Engaged""),COUNTA(query(ifna(filter"&amp;"('Data Recording'!AE:AE,'Data Recording'!D:D=B40),""""), ""Select Col1"")))&gt;=(0.5),""1"",""0""),""-"")"),"0")</f>
        <v>0</v>
      </c>
      <c r="CC40" s="59" t="str">
        <f>IFERROR(__xludf.DUMMYFUNCTION("iferror(if(countif(query(filter('Data Recording'!AE:AE,'Data Recording'!D:D=B40), ""Select Col1""),""Yes, Engaged"")/COUNTA(query(ifna(filter('Data Recording'!AE:AE,'Data Recording'!D:D=B40),""""), ""Select Col1""))&gt;=(0.5),""1"",""0""),""-"")"),"0")</f>
        <v>0</v>
      </c>
      <c r="CD40" s="74" t="str">
        <f>IFERROR(__xludf.DUMMYFUNCTION("iferror(if(DIVIDE(countif(query(filter('Data Recording'!E:E,'Data Recording'!D:D=B40), ""Select Col1""),""Yes""),COUNTA(query(ifna(filter('Data Recording'!E:E,'Data Recording'!D:D=B40),""""), ""Select Col1"")))&gt;=(0.5),""1"",""0""),""-"")"),"0")</f>
        <v>0</v>
      </c>
    </row>
    <row r="41">
      <c r="A41" s="51" t="s">
        <v>74</v>
      </c>
      <c r="B41" s="51">
        <v>6556.0</v>
      </c>
      <c r="C41" s="52" t="str">
        <f>IFERROR(__xludf.DUMMYFUNCTION("if(countif(query(filter('Data Recording'!E:E,'Data Recording'!D:D=B41), ""Select Col1""),""Yes"")=0,""0"",countif(query(filter('Data Recording'!E:E,'Data Recording'!D:D=B41), ""Select Col1""),""Yes"")) &amp; ""/"" &amp; if(COUNTA(query(ifna(filter('Data Recording"&amp;"'!E:E,'Data Recording'!D:D=B41),""""), ""Select Col1""))=0,""0"",COUNTA(query(ifna(filter('Data Recording'!E:E,'Data Recording'!D:D=B41),""""), ""Select Col1"")))"),"1/4")</f>
        <v>1/4</v>
      </c>
      <c r="D41" s="53">
        <f>IFERROR(__xludf.DUMMYFUNCTION("iferror(SUM(query(filter('Data Recording'!F:F,'Data Recording'!D:D=B41), ""Select Col1"")),""-"")"),0.0)</f>
        <v>0</v>
      </c>
      <c r="E41" s="53">
        <f>IFERROR(__xludf.DUMMYFUNCTION("iferror(SUM(query(filter('Data Recording'!G:G,'Data Recording'!D:D=B41), ""Select Col1"")),""-"")"),0.0)</f>
        <v>0</v>
      </c>
      <c r="F41" s="54" t="str">
        <f t="shared" si="1"/>
        <v>-</v>
      </c>
      <c r="G41" s="55" t="str">
        <f>IFERROR(__xludf.DUMMYFUNCTION("iferror(AVERAGE(query(filter('Data Recording'!G:G,'Data Recording'!D:D=B41), ""Select Col1"")),""0.00"")"),"0.00")</f>
        <v>0.00</v>
      </c>
      <c r="H41" s="53">
        <f>IFERROR(__xludf.DUMMYFUNCTION("iferror(MAX(query(filter('Data Recording'!G:G,'Data Recording'!D:D=B41), ""Select Col1"")),""-"")"),0.0)</f>
        <v>0</v>
      </c>
      <c r="I41" s="56">
        <f>IFERROR(__xludf.DUMMYFUNCTION("iferror(SUM(query(filter('Data Recording'!H:H,'Data Recording'!D:D=B41), ""Select Col1"")),""-"")"),0.0)</f>
        <v>0</v>
      </c>
      <c r="J41" s="57">
        <f>IFERROR(__xludf.DUMMYFUNCTION("iferror(SUM(query(filter('Data Recording'!I:I,'Data Recording'!D:D=B41), ""Select Col1"")),""-"")"),0.0)</f>
        <v>0</v>
      </c>
      <c r="K41" s="54" t="str">
        <f t="shared" si="2"/>
        <v>-</v>
      </c>
      <c r="L41" s="55" t="str">
        <f>IFERROR(__xludf.DUMMYFUNCTION("iferror(AVERAGE(query(filter('Data Recording'!I:I,'Data Recording'!D:D=B41), ""Select Col1"")),""0.00"")"),"0.00")</f>
        <v>0.00</v>
      </c>
      <c r="M41" s="53">
        <f>IFERROR(__xludf.DUMMYFUNCTION("iferror(MAX(query(filter('Data Recording'!I:I,'Data Recording'!D:D=B41), ""Select Col1"")),""-"")"),0.0)</f>
        <v>0</v>
      </c>
      <c r="N41" s="58">
        <f>IFERROR(__xludf.DUMMYFUNCTION("iferror(SUM(query(filter('Data Recording'!J:J,'Data Recording'!D:D=B41), ""Select Col1"")),""-"")"),0.0)</f>
        <v>0</v>
      </c>
      <c r="O41" s="59">
        <f>IFERROR(__xludf.DUMMYFUNCTION("iferror(SUM(query(filter('Data Recording'!K:K,'Data Recording'!D:D=B41), ""Select Col1"")),""-"")"),0.0)</f>
        <v>0</v>
      </c>
      <c r="P41" s="54" t="str">
        <f t="shared" si="3"/>
        <v>-</v>
      </c>
      <c r="Q41" s="55" t="str">
        <f>IFERROR(__xludf.DUMMYFUNCTION("iferror(AVERAGE(query(filter('Data Recording'!K:K,'Data Recording'!D:D=B41), ""Select Col1"")),""0.00"")"),"0.00")</f>
        <v>0.00</v>
      </c>
      <c r="R41" s="53">
        <f>IFERROR(__xludf.DUMMYFUNCTION("iferror(MAX(query(filter('Data Recording'!K:K,'Data Recording'!D:D=B41), ""Select Col1"")),""-"")"),0.0)</f>
        <v>0</v>
      </c>
      <c r="S41" s="58">
        <f>IFERROR(__xludf.DUMMYFUNCTION("iferror(SUM(query(filter('Data Recording'!L:L,'Data Recording'!D:D=B41), ""Select Col1"")),""-"")"),0.0)</f>
        <v>0</v>
      </c>
      <c r="T41" s="59">
        <f>IFERROR(__xludf.DUMMYFUNCTION("iferror(SUM(query(filter('Data Recording'!M:M,'Data Recording'!D:D=B41), ""Select Col1"")),""-"")"),0.0)</f>
        <v>0</v>
      </c>
      <c r="U41" s="54" t="str">
        <f t="shared" si="4"/>
        <v>-</v>
      </c>
      <c r="V41" s="55" t="str">
        <f>IFERROR(__xludf.DUMMYFUNCTION("iferror(AVERAGE(query(filter('Data Recording'!M:M,'Data Recording'!D:D=B41), ""Select Col1"")),""-"")"),"-")</f>
        <v>-</v>
      </c>
      <c r="W41" s="52">
        <f>IFERROR(__xludf.DUMMYFUNCTION("iferror(MAX(query(filter('Data Recording'!M:M,'Data Recording'!D:D=B41), ""Select Col1"")),""-"")"),0.0)</f>
        <v>0</v>
      </c>
      <c r="X41" s="59">
        <f>IFERROR(__xludf.DUMMYFUNCTION("iferror(SUM(query(filter('Data Recording'!N:N,'Data Recording'!D:D=B41), ""Select Col1"")),""-"")"),0.0)</f>
        <v>0</v>
      </c>
      <c r="Y41" s="59">
        <f>IFERROR(__xludf.DUMMYFUNCTION("iferror(SUM(query(filter('Data Recording'!O:O,'Data Recording'!D:D=B41), ""Select Col1"")),""-"")"),0.0)</f>
        <v>0</v>
      </c>
      <c r="Z41" s="54" t="str">
        <f t="shared" si="5"/>
        <v>-</v>
      </c>
      <c r="AA41" s="55" t="str">
        <f>IFERROR(__xludf.DUMMYFUNCTION("iferror(AVERAGE(query(filter('Data Recording'!O:O,'Data Recording'!D:D=B41), ""Select Col1"")),""0.00"")"),"0.00")</f>
        <v>0.00</v>
      </c>
      <c r="AB41" s="52">
        <f>IFERROR(__xludf.DUMMYFUNCTION("iferror(MAX(query(filter('Data Recording'!O:O,'Data Recording'!D:D=B41), ""Select Col1"")),""-"")"),0.0)</f>
        <v>0</v>
      </c>
      <c r="AC41" s="59">
        <f>IFERROR(__xludf.DUMMYFUNCTION("iferror(SUM(query(filter('Data Recording'!P:P,'Data Recording'!D:D=B41), ""Select Col1"")),""-"")"),0.0)</f>
        <v>0</v>
      </c>
      <c r="AD41" s="59">
        <f>IFERROR(__xludf.DUMMYFUNCTION("iferror(SUM(query(filter('Data Recording'!Q:Q,'Data Recording'!D:D=B41), ""Select Col1"")),""-"")"),0.0)</f>
        <v>0</v>
      </c>
      <c r="AE41" s="54" t="str">
        <f t="shared" si="6"/>
        <v>-</v>
      </c>
      <c r="AF41" s="55" t="str">
        <f>IFERROR(__xludf.DUMMYFUNCTION("iferror(AVERAGE(query(filter('Data Recording'!Q:Q,'Data Recording'!D:D=B41), ""Select Col1"")),""0.00"")"),"0.00")</f>
        <v>0.00</v>
      </c>
      <c r="AG41" s="59">
        <f>IFERROR(__xludf.DUMMYFUNCTION("iferror(MAX(query(filter('Data Recording'!Q:Q,'Data Recording'!D:D=B41), ""Select Col1"")),""-"")"),0.0)</f>
        <v>0</v>
      </c>
      <c r="AH41" s="58" t="str">
        <f>IFERROR(__xludf.DUMMYFUNCTION("if(countif(query(filter('Data Recording'!R:R,'Data Recording'!D:D=B41), ""Select Col1""),""Yes, Engaged"")+countif(query(filter('Data Recording'!R:R,'Data Recording'!D:D=B41), ""Select Col1""),""Yes, Docked"")=0,""0"",countif(query(filter('Data Recording'"&amp;"!R:R,'Data Recording'!D:D=B41), ""Select Col1""),""Yes, Engaged""))+countif(query(filter('Data Recording'!R:R,'Data Recording'!D:D=B41), ""Select Col1""),""Yes, Docked"") &amp; ""/"" &amp; if(COUNTA(query(ifna(filter('Data Recording'!R:R,'Data Recording'!D:D=B41)"&amp;",""""), ""Select Col1""))=0,""0"",COUNTA(query(ifna(filter('Data Recording'!R:R,'Data Recording'!D:D=B41),""""), ""Select Col1"")))"),"0/4")</f>
        <v>0/4</v>
      </c>
      <c r="AI41" s="60" t="str">
        <f>IFERROR(__xludf.DUMMYFUNCTION("if(countif(query(filter('Data Recording'!R:R,'Data Recording'!D:D=B41), ""Select Col1""),""Yes, Engaged"")=0,""0"",countif(query(filter('Data Recording'!R:R,'Data Recording'!D:D=B41), ""Select Col1""),""Yes, Engaged"")) &amp; ""/"" &amp; if(COUNTA(query(ifna(filt"&amp;"er('Data Recording'!R:R,'Data Recording'!D:D=B41),""""), ""Select Col1""))=0,""0"",COUNTA(query(ifna(filter('Data Recording'!R:R,'Data Recording'!D:D=B41),""""), ""Select Col1"")))"),"0/4")</f>
        <v>0/4</v>
      </c>
      <c r="AJ41" s="59">
        <f>IFERROR(__xludf.DUMMYFUNCTION("iferror(SUM(query(filter('Data Recording'!S:S,'Data Recording'!D:D=B41), ""Select Col1"")),""-"")"),0.0)</f>
        <v>0</v>
      </c>
      <c r="AK41" s="59">
        <f>IFERROR(__xludf.DUMMYFUNCTION("iferror(SUM(query(filter('Data Recording'!T:T,'Data Recording'!D:D=B41), ""Select Col1"")),""-"")"),0.0)</f>
        <v>0</v>
      </c>
      <c r="AL41" s="54" t="str">
        <f t="shared" si="7"/>
        <v>-</v>
      </c>
      <c r="AM41" s="55" t="str">
        <f>IFERROR(__xludf.DUMMYFUNCTION("iferror(AVERAGE(query(filter('Data Recording'!T:T,'Data Recording'!D:D=B41), ""Select Col1"")),""0.00"")"),"0.00")</f>
        <v>0.00</v>
      </c>
      <c r="AN41" s="61">
        <f>IFERROR(__xludf.DUMMYFUNCTION("iferror(MAX(query(filter('Data Recording'!T:T,'Data Recording'!D:D=B41), ""Select Col1"")),""-"")"),0.0)</f>
        <v>0</v>
      </c>
      <c r="AO41" s="62">
        <f>IFERROR(__xludf.DUMMYFUNCTION("iferror(SUM(query(filter('Data Recording'!U:U,'Data Recording'!D:D=B41), ""Select Col1"")),""-"")"),0.0)</f>
        <v>0</v>
      </c>
      <c r="AP41" s="62">
        <f>IFERROR(__xludf.DUMMYFUNCTION("iferror(SUM(query(filter('Data Recording'!V:V,'Data Recording'!D:D=B41), ""Select Col1"")),""-"")"),0.0)</f>
        <v>0</v>
      </c>
      <c r="AQ41" s="63" t="str">
        <f t="shared" si="8"/>
        <v>-</v>
      </c>
      <c r="AR41" s="64" t="str">
        <f>IFERROR(__xludf.DUMMYFUNCTION("iferror(AVERAGE(query(filter('Data Recording'!V:V,'Data Recording'!D:D=B41), ""Select Col1"")),""0.00"")"),"0.00")</f>
        <v>0.00</v>
      </c>
      <c r="AS41" s="65">
        <f>IFERROR(__xludf.DUMMYFUNCTION("iferror(MAX(query(filter('Data Recording'!V:V,'Data Recording'!D:D=B41), ""Select Col1"")),""-"")"),0.0)</f>
        <v>0</v>
      </c>
      <c r="AT41" s="62">
        <f>IFERROR(__xludf.DUMMYFUNCTION("iferror(SUM(query(filter('Data Recording'!W:W,'Data Recording'!D:D=B41), ""Select Col1"")),""-"")"),1.0)</f>
        <v>1</v>
      </c>
      <c r="AU41" s="62">
        <f>IFERROR(__xludf.DUMMYFUNCTION("iferror(SUM(query(filter('Data Recording'!X:X,'Data Recording'!D:D=B41), ""Select Col1"")),""-"")"),1.0)</f>
        <v>1</v>
      </c>
      <c r="AV41" s="63">
        <f t="shared" si="9"/>
        <v>1</v>
      </c>
      <c r="AW41" s="64">
        <f>IFERROR(__xludf.DUMMYFUNCTION("iferror(AVERAGE(query(filter('Data Recording'!X:X,'Data Recording'!D:D=B41), ""Select Col1"")),""0.00"")"),1.0)</f>
        <v>1</v>
      </c>
      <c r="AX41" s="65">
        <f>IFERROR(__xludf.DUMMYFUNCTION("iferror(MAX(query(filter('Data Recording'!X:X,'Data Recording'!D:D=B41), ""Select Col1"")),""-"")"),1.0)</f>
        <v>1</v>
      </c>
      <c r="AY41" s="62">
        <f>IFERROR(__xludf.DUMMYFUNCTION("iferror(SUM(query(filter('Data Recording'!Y:Y,'Data Recording'!D:D=B41), ""Select Col1"")),""-"")"),0.0)</f>
        <v>0</v>
      </c>
      <c r="AZ41" s="62">
        <f>IFERROR(__xludf.DUMMYFUNCTION("iferror(SUM(query(filter('Data Recording'!Z:Z,'Data Recording'!D:D=B41), ""Select Col1"")),""-"")"),0.0)</f>
        <v>0</v>
      </c>
      <c r="BA41" s="63" t="str">
        <f t="shared" si="10"/>
        <v>-</v>
      </c>
      <c r="BB41" s="64" t="str">
        <f>IFERROR(__xludf.DUMMYFUNCTION("iferror(AVERAGE(query(filter('Data Recording'!Z:Z,'Data Recording'!D:D=B41), ""Select Col1"")),""0.00"")"),"0.00")</f>
        <v>0.00</v>
      </c>
      <c r="BC41" s="65">
        <f>IFERROR(__xludf.DUMMYFUNCTION("iferror(MAX(query(filter('Data Recording'!Z:Z,'Data Recording'!D:D=B41), ""Select Col1"")),""-"")"),0.0)</f>
        <v>0</v>
      </c>
      <c r="BD41" s="62">
        <f>IFERROR(__xludf.DUMMYFUNCTION("iferror(SUM(query(filter('Data Recording'!AA:AA,'Data Recording'!D:D=B41), ""Select Col1"")),""-"")"),0.0)</f>
        <v>0</v>
      </c>
      <c r="BE41" s="62">
        <f>IFERROR(__xludf.DUMMYFUNCTION("iferror(SUM(query(filter('Data Recording'!AB:AB,'Data Recording'!D:D=B41), ""Select Col1"")),""-"")"),0.0)</f>
        <v>0</v>
      </c>
      <c r="BF41" s="63" t="str">
        <f t="shared" si="11"/>
        <v>-</v>
      </c>
      <c r="BG41" s="64" t="str">
        <f>IFERROR(__xludf.DUMMYFUNCTION("iferror(AVERAGE(query(filter('Data Recording'!AB:AB,'Data Recording'!D:D=B41), ""Select Col1"")),""0.00"")"),"0.00")</f>
        <v>0.00</v>
      </c>
      <c r="BH41" s="65">
        <f>IFERROR(__xludf.DUMMYFUNCTION("iferror(MAX(query(filter('Data Recording'!AB:AB,'Data Recording'!D:D=B41), ""Select Col1"")),""-"")"),0.0)</f>
        <v>0</v>
      </c>
      <c r="BI41" s="62">
        <f>IFERROR(__xludf.DUMMYFUNCTION("iferror(SUM(query(filter('Data Recording'!AC:AC,'Data Recording'!D:D=B41), ""Select Col1"")),""-"")"),1.0)</f>
        <v>1</v>
      </c>
      <c r="BJ41" s="62">
        <f>IFERROR(__xludf.DUMMYFUNCTION("iferror(SUM(query(filter('Data Recording'!AD:AD,'Data Recording'!D:D=B41), ""Select Col1"")),""-"")"),1.0)</f>
        <v>1</v>
      </c>
      <c r="BK41" s="63">
        <f t="shared" si="12"/>
        <v>1</v>
      </c>
      <c r="BL41" s="64">
        <f>IFERROR(__xludf.DUMMYFUNCTION("iferror(AVERAGE(query(filter('Data Recording'!AD:AD,'Data Recording'!D:D=B41), ""Select Col1"")),""0.00"")"),1.0)</f>
        <v>1</v>
      </c>
      <c r="BM41" s="65">
        <f>IFERROR(__xludf.DUMMYFUNCTION("iferror(MAX(query(filter('Data Recording'!AD:AD,'Data Recording'!D:D=B41), ""Select Col1"")),""-"")"),1.0)</f>
        <v>1</v>
      </c>
      <c r="BN41" s="66" t="str">
        <f>IFERROR(__xludf.DUMMYFUNCTION("if(countif(query(filter('Data Recording'!AE:AE,'Data Recording'!D:D=B41), ""Select Col1""),""Yes, Engaged"")+countif(query(filter('Data Recording'!AE:AE,'Data Recording'!D:D=B41), ""Select Col1""),""Yes, Docked"")=0,""0"",countif(query(filter('Data Record"&amp;"ing'!AE:AE,'Data Recording'!D:D=B41), ""Select Col1""),""Yes, Engaged""))+countif(query(filter('Data Recording'!AE:AE,'Data Recording'!D:D=B41), ""Select Col1""),""Yes, Docked"") &amp; ""/"" &amp; if(COUNTA(query(ifna(filter('Data Recording'!AE:AE,'Data Recording"&amp;"'!D:D=B41),""""), ""Select Col1""))=0,""0"",COUNTA(query(ifna(filter('Data Recording'!AE:AE,'Data Recording'!D:D=B41),""""), ""Select Col1"")))"),"0/4")</f>
        <v>0/4</v>
      </c>
      <c r="BO41" s="67" t="str">
        <f>IFERROR(__xludf.DUMMYFUNCTION("if(countif(query(filter('Data Recording'!AE:AE,'Data Recording'!D:D=B41), ""Select Col1""),""Yes, Engaged"")=0,""0"",countif(query(filter('Data Recording'!AE:AE,'Data Recording'!D:D=B41), ""Select Col1""),""Yes, Engaged"")) &amp; ""/"" &amp; if(COUNTA(query(ifna("&amp;"filter('Data Recording'!AE:AE,'Data Recording'!D:D=B41),""""), ""Select Col1""))=0,""0"",COUNTA(query(ifna(filter('Data Recording'!AE:AE,'Data Recording'!D:D=B41),""""), ""Select Col1"")))"),"0/4")</f>
        <v>0/4</v>
      </c>
      <c r="BP41" s="60" t="str">
        <f>IFERROR(__xludf.DUMMYFUNCTION("if(countif(query(filter('Data Recording'!AH:AH,'Data Recording'!D:D=B41), ""Select Col1""),""Yes"")=0,""0"",countif(query(filter('Data Recording'!AH:AH,'Data Recording'!D:D=B41), ""Select Col1""),""Yes"")) &amp; ""/"" &amp; if(COUNTA(query(ifna(filter('Data Recor"&amp;"ding'!AH:AH,'Data Recording'!D:D=B41),""""), ""Select Col1""))=0,""0"",COUNTA(query(ifna(filter('Data Recording'!AH:AH,'Data Recording'!D:D=B41),""""), ""Select Col1"")))"),"0/4")</f>
        <v>0/4</v>
      </c>
      <c r="BQ41" s="68">
        <v>0.0</v>
      </c>
      <c r="BR41" s="55">
        <f>IFERROR(__xludf.DUMMYFUNCTION("iferror(average(query(filter('Data Recording'!AF:AF,'Data Recording'!D:D=B41), ""Select Col1"")),""-"")"),0.5)</f>
        <v>0.5</v>
      </c>
      <c r="BS41" s="69">
        <f>IFERROR(__xludf.DUMMYFUNCTION("iferror(average(query(filter('Data Recording'!AG:AG,'Data Recording'!D:D=B41), ""Select Col1"")),""-"")"),0.75)</f>
        <v>0.75</v>
      </c>
      <c r="BT41" s="70">
        <f t="shared" si="13"/>
        <v>4</v>
      </c>
      <c r="BU41" s="70">
        <f>IFERROR(__xludf.DUMMYFUNCTION("iferror(AVERAGE(query(filter('Data Recording'!AJ:AJ,'Data Recording'!D:D=B41), ""Select Col1"")),""-"")"),1.75)</f>
        <v>1.75</v>
      </c>
      <c r="BV41" s="70">
        <f>IFERROR(__xludf.DUMMYFUNCTION("iferror(AVERAGE(query(filter('Data Recording'!AK:AK,'Data Recording'!D:D=B41), ""Select Col1"")),""-"")"),1.0)</f>
        <v>1</v>
      </c>
      <c r="BW41" s="70">
        <f t="shared" si="14"/>
        <v>4</v>
      </c>
      <c r="BX41" s="71">
        <f>IFERROR(__xludf.DUMMYFUNCTION("iferror(max(query(filter('Data Recording'!AJ:AJ,'Data Recording'!D:D=B41), ""Select Col1"")),""-"")"),3.0)</f>
        <v>3</v>
      </c>
      <c r="BY41" s="72">
        <f>IFERROR(__xludf.DUMMYFUNCTION("iferror(MIN(query(filter('Data Recording'!AJ:AJ,'Data Recording'!D:D=B41), ""Select Col1"")),""-"")"),0.0)</f>
        <v>0</v>
      </c>
      <c r="BZ41" s="73" t="str">
        <f>IFERROR(__xludf.DUMMYFUNCTION("iferror(if(DIVIDE(COUNTIF(query(filter('Data Recording'!R:R,'Data Recording'!D:D=B41), ""Select Col1""),""Yes, Docked"") + countif(query(filter('Data Recording'!R:R,'Data Recording'!D:D=B41), ""Select Col1""),""Yes, Engaged""),COUNTA(query(ifna(filter('Da"&amp;"ta Recording'!R:R,'Data Recording'!D:D=B41),""""), ""Select Col1"")))&gt;=(0.5),""1"",""0""),""-"")"),"0")</f>
        <v>0</v>
      </c>
      <c r="CA41" s="59" t="str">
        <f>IFERROR(__xludf.DUMMYFUNCTION("iferror(if(countif(query(filter('Data Recording'!R:R,'Data Recording'!D:D=B41), ""Select Col1""),""Yes, Engaged"")/COUNTA(query(ifna(filter('Data Recording'!R:R,'Data Recording'!D:D=B41),""""), ""Select Col1""))&gt;=(0.5),""1"",""0""),""-"")"),"0")</f>
        <v>0</v>
      </c>
      <c r="CB41" s="74" t="str">
        <f>IFERROR(__xludf.DUMMYFUNCTION("iferror(if(DIVIDE(COUNTIF(query(filter('Data Recording'!AE:AE,'Data Recording'!D:D=B41), ""Select Col1""),""Yes, Docked"") + countif(query(filter('Data Recording'!AE:AE,'Data Recording'!D:D=B41), ""Select Col1""),""Yes, Engaged""),COUNTA(query(ifna(filter"&amp;"('Data Recording'!AE:AE,'Data Recording'!D:D=B41),""""), ""Select Col1"")))&gt;=(0.5),""1"",""0""),""-"")"),"0")</f>
        <v>0</v>
      </c>
      <c r="CC41" s="59" t="str">
        <f>IFERROR(__xludf.DUMMYFUNCTION("iferror(if(countif(query(filter('Data Recording'!AE:AE,'Data Recording'!D:D=B41), ""Select Col1""),""Yes, Engaged"")/COUNTA(query(ifna(filter('Data Recording'!AE:AE,'Data Recording'!D:D=B41),""""), ""Select Col1""))&gt;=(0.5),""1"",""0""),""-"")"),"0")</f>
        <v>0</v>
      </c>
      <c r="CD41" s="74" t="str">
        <f>IFERROR(__xludf.DUMMYFUNCTION("iferror(if(DIVIDE(countif(query(filter('Data Recording'!E:E,'Data Recording'!D:D=B41), ""Select Col1""),""Yes""),COUNTA(query(ifna(filter('Data Recording'!E:E,'Data Recording'!D:D=B41),""""), ""Select Col1"")))&gt;=(0.5),""1"",""0""),""-"")"),"0")</f>
        <v>0</v>
      </c>
    </row>
    <row r="42">
      <c r="A42" s="51" t="s">
        <v>75</v>
      </c>
      <c r="B42" s="51">
        <v>3773.0</v>
      </c>
      <c r="C42" s="52" t="str">
        <f>IFERROR(__xludf.DUMMYFUNCTION("if(countif(query(filter('Data Recording'!E:E,'Data Recording'!D:D=B42), ""Select Col1""),""Yes"")=0,""0"",countif(query(filter('Data Recording'!E:E,'Data Recording'!D:D=B42), ""Select Col1""),""Yes"")) &amp; ""/"" &amp; if(COUNTA(query(ifna(filter('Data Recording"&amp;"'!E:E,'Data Recording'!D:D=B42),""""), ""Select Col1""))=0,""0"",COUNTA(query(ifna(filter('Data Recording'!E:E,'Data Recording'!D:D=B42),""""), ""Select Col1"")))"),"0/3")</f>
        <v>0/3</v>
      </c>
      <c r="D42" s="53">
        <f>IFERROR(__xludf.DUMMYFUNCTION("iferror(SUM(query(filter('Data Recording'!F:F,'Data Recording'!D:D=B42), ""Select Col1"")),""-"")"),0.0)</f>
        <v>0</v>
      </c>
      <c r="E42" s="53">
        <f>IFERROR(__xludf.DUMMYFUNCTION("iferror(SUM(query(filter('Data Recording'!G:G,'Data Recording'!D:D=B42), ""Select Col1"")),""-"")"),0.0)</f>
        <v>0</v>
      </c>
      <c r="F42" s="54" t="str">
        <f t="shared" si="1"/>
        <v>-</v>
      </c>
      <c r="G42" s="55" t="str">
        <f>IFERROR(__xludf.DUMMYFUNCTION("iferror(AVERAGE(query(filter('Data Recording'!G:G,'Data Recording'!D:D=B42), ""Select Col1"")),""0.00"")"),"0.00")</f>
        <v>0.00</v>
      </c>
      <c r="H42" s="53">
        <f>IFERROR(__xludf.DUMMYFUNCTION("iferror(MAX(query(filter('Data Recording'!G:G,'Data Recording'!D:D=B42), ""Select Col1"")),""-"")"),0.0)</f>
        <v>0</v>
      </c>
      <c r="I42" s="56">
        <f>IFERROR(__xludf.DUMMYFUNCTION("iferror(SUM(query(filter('Data Recording'!H:H,'Data Recording'!D:D=B42), ""Select Col1"")),""-"")"),0.0)</f>
        <v>0</v>
      </c>
      <c r="J42" s="57">
        <f>IFERROR(__xludf.DUMMYFUNCTION("iferror(SUM(query(filter('Data Recording'!I:I,'Data Recording'!D:D=B42), ""Select Col1"")),""-"")"),0.0)</f>
        <v>0</v>
      </c>
      <c r="K42" s="54" t="str">
        <f t="shared" si="2"/>
        <v>-</v>
      </c>
      <c r="L42" s="55" t="str">
        <f>IFERROR(__xludf.DUMMYFUNCTION("iferror(AVERAGE(query(filter('Data Recording'!I:I,'Data Recording'!D:D=B42), ""Select Col1"")),""0.00"")"),"0.00")</f>
        <v>0.00</v>
      </c>
      <c r="M42" s="53">
        <f>IFERROR(__xludf.DUMMYFUNCTION("iferror(MAX(query(filter('Data Recording'!I:I,'Data Recording'!D:D=B42), ""Select Col1"")),""-"")"),0.0)</f>
        <v>0</v>
      </c>
      <c r="N42" s="58">
        <f>IFERROR(__xludf.DUMMYFUNCTION("iferror(SUM(query(filter('Data Recording'!J:J,'Data Recording'!D:D=B42), ""Select Col1"")),""-"")"),0.0)</f>
        <v>0</v>
      </c>
      <c r="O42" s="59">
        <f>IFERROR(__xludf.DUMMYFUNCTION("iferror(SUM(query(filter('Data Recording'!K:K,'Data Recording'!D:D=B42), ""Select Col1"")),""-"")"),0.0)</f>
        <v>0</v>
      </c>
      <c r="P42" s="54" t="str">
        <f t="shared" si="3"/>
        <v>-</v>
      </c>
      <c r="Q42" s="55" t="str">
        <f>IFERROR(__xludf.DUMMYFUNCTION("iferror(AVERAGE(query(filter('Data Recording'!K:K,'Data Recording'!D:D=B42), ""Select Col1"")),""0.00"")"),"0.00")</f>
        <v>0.00</v>
      </c>
      <c r="R42" s="53">
        <f>IFERROR(__xludf.DUMMYFUNCTION("iferror(MAX(query(filter('Data Recording'!K:K,'Data Recording'!D:D=B42), ""Select Col1"")),""-"")"),0.0)</f>
        <v>0</v>
      </c>
      <c r="S42" s="58">
        <f>IFERROR(__xludf.DUMMYFUNCTION("iferror(SUM(query(filter('Data Recording'!L:L,'Data Recording'!D:D=B42), ""Select Col1"")),""-"")"),0.0)</f>
        <v>0</v>
      </c>
      <c r="T42" s="59">
        <f>IFERROR(__xludf.DUMMYFUNCTION("iferror(SUM(query(filter('Data Recording'!M:M,'Data Recording'!D:D=B42), ""Select Col1"")),""-"")"),0.0)</f>
        <v>0</v>
      </c>
      <c r="U42" s="54" t="str">
        <f t="shared" si="4"/>
        <v>-</v>
      </c>
      <c r="V42" s="55" t="str">
        <f>IFERROR(__xludf.DUMMYFUNCTION("iferror(AVERAGE(query(filter('Data Recording'!M:M,'Data Recording'!D:D=B42), ""Select Col1"")),""-"")"),"-")</f>
        <v>-</v>
      </c>
      <c r="W42" s="52">
        <f>IFERROR(__xludf.DUMMYFUNCTION("iferror(MAX(query(filter('Data Recording'!M:M,'Data Recording'!D:D=B42), ""Select Col1"")),""-"")"),0.0)</f>
        <v>0</v>
      </c>
      <c r="X42" s="59">
        <f>IFERROR(__xludf.DUMMYFUNCTION("iferror(SUM(query(filter('Data Recording'!N:N,'Data Recording'!D:D=B42), ""Select Col1"")),""-"")"),0.0)</f>
        <v>0</v>
      </c>
      <c r="Y42" s="59">
        <f>IFERROR(__xludf.DUMMYFUNCTION("iferror(SUM(query(filter('Data Recording'!O:O,'Data Recording'!D:D=B42), ""Select Col1"")),""-"")"),0.0)</f>
        <v>0</v>
      </c>
      <c r="Z42" s="54" t="str">
        <f t="shared" si="5"/>
        <v>-</v>
      </c>
      <c r="AA42" s="55" t="str">
        <f>IFERROR(__xludf.DUMMYFUNCTION("iferror(AVERAGE(query(filter('Data Recording'!O:O,'Data Recording'!D:D=B42), ""Select Col1"")),""0.00"")"),"0.00")</f>
        <v>0.00</v>
      </c>
      <c r="AB42" s="52">
        <f>IFERROR(__xludf.DUMMYFUNCTION("iferror(MAX(query(filter('Data Recording'!O:O,'Data Recording'!D:D=B42), ""Select Col1"")),""-"")"),0.0)</f>
        <v>0</v>
      </c>
      <c r="AC42" s="59">
        <f>IFERROR(__xludf.DUMMYFUNCTION("iferror(SUM(query(filter('Data Recording'!P:P,'Data Recording'!D:D=B42), ""Select Col1"")),""-"")"),0.0)</f>
        <v>0</v>
      </c>
      <c r="AD42" s="59">
        <f>IFERROR(__xludf.DUMMYFUNCTION("iferror(SUM(query(filter('Data Recording'!Q:Q,'Data Recording'!D:D=B42), ""Select Col1"")),""-"")"),0.0)</f>
        <v>0</v>
      </c>
      <c r="AE42" s="54" t="str">
        <f t="shared" si="6"/>
        <v>-</v>
      </c>
      <c r="AF42" s="55" t="str">
        <f>IFERROR(__xludf.DUMMYFUNCTION("iferror(AVERAGE(query(filter('Data Recording'!Q:Q,'Data Recording'!D:D=B42), ""Select Col1"")),""0.00"")"),"0.00")</f>
        <v>0.00</v>
      </c>
      <c r="AG42" s="59">
        <f>IFERROR(__xludf.DUMMYFUNCTION("iferror(MAX(query(filter('Data Recording'!Q:Q,'Data Recording'!D:D=B42), ""Select Col1"")),""-"")"),0.0)</f>
        <v>0</v>
      </c>
      <c r="AH42" s="58" t="str">
        <f>IFERROR(__xludf.DUMMYFUNCTION("if(countif(query(filter('Data Recording'!R:R,'Data Recording'!D:D=B42), ""Select Col1""),""Yes, Engaged"")+countif(query(filter('Data Recording'!R:R,'Data Recording'!D:D=B42), ""Select Col1""),""Yes, Docked"")=0,""0"",countif(query(filter('Data Recording'"&amp;"!R:R,'Data Recording'!D:D=B42), ""Select Col1""),""Yes, Engaged""))+countif(query(filter('Data Recording'!R:R,'Data Recording'!D:D=B42), ""Select Col1""),""Yes, Docked"") &amp; ""/"" &amp; if(COUNTA(query(ifna(filter('Data Recording'!R:R,'Data Recording'!D:D=B42)"&amp;",""""), ""Select Col1""))=0,""0"",COUNTA(query(ifna(filter('Data Recording'!R:R,'Data Recording'!D:D=B42),""""), ""Select Col1"")))"),"0/3")</f>
        <v>0/3</v>
      </c>
      <c r="AI42" s="60" t="str">
        <f>IFERROR(__xludf.DUMMYFUNCTION("if(countif(query(filter('Data Recording'!R:R,'Data Recording'!D:D=B42), ""Select Col1""),""Yes, Engaged"")=0,""0"",countif(query(filter('Data Recording'!R:R,'Data Recording'!D:D=B42), ""Select Col1""),""Yes, Engaged"")) &amp; ""/"" &amp; if(COUNTA(query(ifna(filt"&amp;"er('Data Recording'!R:R,'Data Recording'!D:D=B42),""""), ""Select Col1""))=0,""0"",COUNTA(query(ifna(filter('Data Recording'!R:R,'Data Recording'!D:D=B42),""""), ""Select Col1"")))"),"0/3")</f>
        <v>0/3</v>
      </c>
      <c r="AJ42" s="59">
        <f>IFERROR(__xludf.DUMMYFUNCTION("iferror(SUM(query(filter('Data Recording'!S:S,'Data Recording'!D:D=B42), ""Select Col1"")),""-"")"),0.0)</f>
        <v>0</v>
      </c>
      <c r="AK42" s="59">
        <f>IFERROR(__xludf.DUMMYFUNCTION("iferror(SUM(query(filter('Data Recording'!T:T,'Data Recording'!D:D=B42), ""Select Col1"")),""-"")"),0.0)</f>
        <v>0</v>
      </c>
      <c r="AL42" s="54" t="str">
        <f t="shared" si="7"/>
        <v>-</v>
      </c>
      <c r="AM42" s="55" t="str">
        <f>IFERROR(__xludf.DUMMYFUNCTION("iferror(AVERAGE(query(filter('Data Recording'!T:T,'Data Recording'!D:D=B42), ""Select Col1"")),""0.00"")"),"0.00")</f>
        <v>0.00</v>
      </c>
      <c r="AN42" s="61">
        <f>IFERROR(__xludf.DUMMYFUNCTION("iferror(MAX(query(filter('Data Recording'!T:T,'Data Recording'!D:D=B42), ""Select Col1"")),""-"")"),0.0)</f>
        <v>0</v>
      </c>
      <c r="AO42" s="62">
        <f>IFERROR(__xludf.DUMMYFUNCTION("iferror(SUM(query(filter('Data Recording'!U:U,'Data Recording'!D:D=B42), ""Select Col1"")),""-"")"),0.0)</f>
        <v>0</v>
      </c>
      <c r="AP42" s="62">
        <f>IFERROR(__xludf.DUMMYFUNCTION("iferror(SUM(query(filter('Data Recording'!V:V,'Data Recording'!D:D=B42), ""Select Col1"")),""-"")"),0.0)</f>
        <v>0</v>
      </c>
      <c r="AQ42" s="63" t="str">
        <f t="shared" si="8"/>
        <v>-</v>
      </c>
      <c r="AR42" s="64" t="str">
        <f>IFERROR(__xludf.DUMMYFUNCTION("iferror(AVERAGE(query(filter('Data Recording'!V:V,'Data Recording'!D:D=B42), ""Select Col1"")),""0.00"")"),"0.00")</f>
        <v>0.00</v>
      </c>
      <c r="AS42" s="65">
        <f>IFERROR(__xludf.DUMMYFUNCTION("iferror(MAX(query(filter('Data Recording'!V:V,'Data Recording'!D:D=B42), ""Select Col1"")),""-"")"),0.0)</f>
        <v>0</v>
      </c>
      <c r="AT42" s="62">
        <f>IFERROR(__xludf.DUMMYFUNCTION("iferror(SUM(query(filter('Data Recording'!W:W,'Data Recording'!D:D=B42), ""Select Col1"")),""-"")"),2.0)</f>
        <v>2</v>
      </c>
      <c r="AU42" s="62">
        <f>IFERROR(__xludf.DUMMYFUNCTION("iferror(SUM(query(filter('Data Recording'!X:X,'Data Recording'!D:D=B42), ""Select Col1"")),""-"")"),2.0)</f>
        <v>2</v>
      </c>
      <c r="AV42" s="63">
        <f t="shared" si="9"/>
        <v>1</v>
      </c>
      <c r="AW42" s="64">
        <f>IFERROR(__xludf.DUMMYFUNCTION("iferror(AVERAGE(query(filter('Data Recording'!X:X,'Data Recording'!D:D=B42), ""Select Col1"")),""0.00"")"),2.0)</f>
        <v>2</v>
      </c>
      <c r="AX42" s="65">
        <f>IFERROR(__xludf.DUMMYFUNCTION("iferror(MAX(query(filter('Data Recording'!X:X,'Data Recording'!D:D=B42), ""Select Col1"")),""-"")"),2.0)</f>
        <v>2</v>
      </c>
      <c r="AY42" s="62">
        <f>IFERROR(__xludf.DUMMYFUNCTION("iferror(SUM(query(filter('Data Recording'!Y:Y,'Data Recording'!D:D=B42), ""Select Col1"")),""-"")"),0.0)</f>
        <v>0</v>
      </c>
      <c r="AZ42" s="62">
        <f>IFERROR(__xludf.DUMMYFUNCTION("iferror(SUM(query(filter('Data Recording'!Z:Z,'Data Recording'!D:D=B42), ""Select Col1"")),""-"")"),0.0)</f>
        <v>0</v>
      </c>
      <c r="BA42" s="63" t="str">
        <f t="shared" si="10"/>
        <v>-</v>
      </c>
      <c r="BB42" s="64" t="str">
        <f>IFERROR(__xludf.DUMMYFUNCTION("iferror(AVERAGE(query(filter('Data Recording'!Z:Z,'Data Recording'!D:D=B42), ""Select Col1"")),""0.00"")"),"0.00")</f>
        <v>0.00</v>
      </c>
      <c r="BC42" s="65">
        <f>IFERROR(__xludf.DUMMYFUNCTION("iferror(MAX(query(filter('Data Recording'!Z:Z,'Data Recording'!D:D=B42), ""Select Col1"")),""-"")"),0.0)</f>
        <v>0</v>
      </c>
      <c r="BD42" s="62">
        <f>IFERROR(__xludf.DUMMYFUNCTION("iferror(SUM(query(filter('Data Recording'!AA:AA,'Data Recording'!D:D=B42), ""Select Col1"")),""-"")"),0.0)</f>
        <v>0</v>
      </c>
      <c r="BE42" s="62">
        <f>IFERROR(__xludf.DUMMYFUNCTION("iferror(SUM(query(filter('Data Recording'!AB:AB,'Data Recording'!D:D=B42), ""Select Col1"")),""-"")"),0.0)</f>
        <v>0</v>
      </c>
      <c r="BF42" s="63" t="str">
        <f t="shared" si="11"/>
        <v>-</v>
      </c>
      <c r="BG42" s="64" t="str">
        <f>IFERROR(__xludf.DUMMYFUNCTION("iferror(AVERAGE(query(filter('Data Recording'!AB:AB,'Data Recording'!D:D=B42), ""Select Col1"")),""0.00"")"),"0.00")</f>
        <v>0.00</v>
      </c>
      <c r="BH42" s="65">
        <f>IFERROR(__xludf.DUMMYFUNCTION("iferror(MAX(query(filter('Data Recording'!AB:AB,'Data Recording'!D:D=B42), ""Select Col1"")),""-"")"),0.0)</f>
        <v>0</v>
      </c>
      <c r="BI42" s="62">
        <f>IFERROR(__xludf.DUMMYFUNCTION("iferror(SUM(query(filter('Data Recording'!AC:AC,'Data Recording'!D:D=B42), ""Select Col1"")),""-"")"),0.0)</f>
        <v>0</v>
      </c>
      <c r="BJ42" s="62">
        <f>IFERROR(__xludf.DUMMYFUNCTION("iferror(SUM(query(filter('Data Recording'!AD:AD,'Data Recording'!D:D=B42), ""Select Col1"")),""-"")"),0.0)</f>
        <v>0</v>
      </c>
      <c r="BK42" s="63" t="str">
        <f t="shared" si="12"/>
        <v>-</v>
      </c>
      <c r="BL42" s="64" t="str">
        <f>IFERROR(__xludf.DUMMYFUNCTION("iferror(AVERAGE(query(filter('Data Recording'!AD:AD,'Data Recording'!D:D=B42), ""Select Col1"")),""0.00"")"),"0.00")</f>
        <v>0.00</v>
      </c>
      <c r="BM42" s="65">
        <f>IFERROR(__xludf.DUMMYFUNCTION("iferror(MAX(query(filter('Data Recording'!AD:AD,'Data Recording'!D:D=B42), ""Select Col1"")),""-"")"),0.0)</f>
        <v>0</v>
      </c>
      <c r="BN42" s="66" t="str">
        <f>IFERROR(__xludf.DUMMYFUNCTION("if(countif(query(filter('Data Recording'!AE:AE,'Data Recording'!D:D=B42), ""Select Col1""),""Yes, Engaged"")+countif(query(filter('Data Recording'!AE:AE,'Data Recording'!D:D=B42), ""Select Col1""),""Yes, Docked"")=0,""0"",countif(query(filter('Data Record"&amp;"ing'!AE:AE,'Data Recording'!D:D=B42), ""Select Col1""),""Yes, Engaged""))+countif(query(filter('Data Recording'!AE:AE,'Data Recording'!D:D=B42), ""Select Col1""),""Yes, Docked"") &amp; ""/"" &amp; if(COUNTA(query(ifna(filter('Data Recording'!AE:AE,'Data Recording"&amp;"'!D:D=B42),""""), ""Select Col1""))=0,""0"",COUNTA(query(ifna(filter('Data Recording'!AE:AE,'Data Recording'!D:D=B42),""""), ""Select Col1"")))"),"0/3")</f>
        <v>0/3</v>
      </c>
      <c r="BO42" s="67" t="str">
        <f>IFERROR(__xludf.DUMMYFUNCTION("if(countif(query(filter('Data Recording'!AE:AE,'Data Recording'!D:D=B42), ""Select Col1""),""Yes, Engaged"")=0,""0"",countif(query(filter('Data Recording'!AE:AE,'Data Recording'!D:D=B42), ""Select Col1""),""Yes, Engaged"")) &amp; ""/"" &amp; if(COUNTA(query(ifna("&amp;"filter('Data Recording'!AE:AE,'Data Recording'!D:D=B42),""""), ""Select Col1""))=0,""0"",COUNTA(query(ifna(filter('Data Recording'!AE:AE,'Data Recording'!D:D=B42),""""), ""Select Col1"")))"),"0/3")</f>
        <v>0/3</v>
      </c>
      <c r="BP42" s="60" t="str">
        <f>IFERROR(__xludf.DUMMYFUNCTION("if(countif(query(filter('Data Recording'!AH:AH,'Data Recording'!D:D=B42), ""Select Col1""),""Yes"")=0,""0"",countif(query(filter('Data Recording'!AH:AH,'Data Recording'!D:D=B42), ""Select Col1""),""Yes"")) &amp; ""/"" &amp; if(COUNTA(query(ifna(filter('Data Recor"&amp;"ding'!AH:AH,'Data Recording'!D:D=B42),""""), ""Select Col1""))=0,""0"",COUNTA(query(ifna(filter('Data Recording'!AH:AH,'Data Recording'!D:D=B42),""""), ""Select Col1"")))"),"3/3")</f>
        <v>3/3</v>
      </c>
      <c r="BQ42" s="68">
        <v>1.0</v>
      </c>
      <c r="BR42" s="55">
        <f>IFERROR(__xludf.DUMMYFUNCTION("iferror(average(query(filter('Data Recording'!AF:AF,'Data Recording'!D:D=B42), ""Select Col1"")),""-"")"),0.0)</f>
        <v>0</v>
      </c>
      <c r="BS42" s="69">
        <f>IFERROR(__xludf.DUMMYFUNCTION("iferror(average(query(filter('Data Recording'!AG:AG,'Data Recording'!D:D=B42), ""Select Col1"")),""-"")"),0.3333333333333333)</f>
        <v>0.3333333333</v>
      </c>
      <c r="BT42" s="70">
        <f t="shared" si="13"/>
        <v>4</v>
      </c>
      <c r="BU42" s="70">
        <f>IFERROR(__xludf.DUMMYFUNCTION("iferror(AVERAGE(query(filter('Data Recording'!AJ:AJ,'Data Recording'!D:D=B42), ""Select Col1"")),""-"")"),1.3333333333333333)</f>
        <v>1.333333333</v>
      </c>
      <c r="BV42" s="70">
        <f>IFERROR(__xludf.DUMMYFUNCTION("iferror(AVERAGE(query(filter('Data Recording'!AK:AK,'Data Recording'!D:D=B42), ""Select Col1"")),""-"")"),1.3333333333333333)</f>
        <v>1.333333333</v>
      </c>
      <c r="BW42" s="70">
        <f t="shared" si="14"/>
        <v>4</v>
      </c>
      <c r="BX42" s="71">
        <f>IFERROR(__xludf.DUMMYFUNCTION("iferror(max(query(filter('Data Recording'!AJ:AJ,'Data Recording'!D:D=B42), ""Select Col1"")),""-"")"),4.0)</f>
        <v>4</v>
      </c>
      <c r="BY42" s="72">
        <f>IFERROR(__xludf.DUMMYFUNCTION("iferror(MIN(query(filter('Data Recording'!AJ:AJ,'Data Recording'!D:D=B42), ""Select Col1"")),""-"")"),0.0)</f>
        <v>0</v>
      </c>
      <c r="BZ42" s="73" t="str">
        <f>IFERROR(__xludf.DUMMYFUNCTION("iferror(if(DIVIDE(COUNTIF(query(filter('Data Recording'!R:R,'Data Recording'!D:D=B42), ""Select Col1""),""Yes, Docked"") + countif(query(filter('Data Recording'!R:R,'Data Recording'!D:D=B42), ""Select Col1""),""Yes, Engaged""),COUNTA(query(ifna(filter('Da"&amp;"ta Recording'!R:R,'Data Recording'!D:D=B42),""""), ""Select Col1"")))&gt;=(0.5),""1"",""0""),""-"")"),"0")</f>
        <v>0</v>
      </c>
      <c r="CA42" s="59" t="str">
        <f>IFERROR(__xludf.DUMMYFUNCTION("iferror(if(countif(query(filter('Data Recording'!R:R,'Data Recording'!D:D=B42), ""Select Col1""),""Yes, Engaged"")/COUNTA(query(ifna(filter('Data Recording'!R:R,'Data Recording'!D:D=B42),""""), ""Select Col1""))&gt;=(0.5),""1"",""0""),""-"")"),"0")</f>
        <v>0</v>
      </c>
      <c r="CB42" s="74" t="str">
        <f>IFERROR(__xludf.DUMMYFUNCTION("iferror(if(DIVIDE(COUNTIF(query(filter('Data Recording'!AE:AE,'Data Recording'!D:D=B42), ""Select Col1""),""Yes, Docked"") + countif(query(filter('Data Recording'!AE:AE,'Data Recording'!D:D=B42), ""Select Col1""),""Yes, Engaged""),COUNTA(query(ifna(filter"&amp;"('Data Recording'!AE:AE,'Data Recording'!D:D=B42),""""), ""Select Col1"")))&gt;=(0.5),""1"",""0""),""-"")"),"0")</f>
        <v>0</v>
      </c>
      <c r="CC42" s="59" t="str">
        <f>IFERROR(__xludf.DUMMYFUNCTION("iferror(if(countif(query(filter('Data Recording'!AE:AE,'Data Recording'!D:D=B42), ""Select Col1""),""Yes, Engaged"")/COUNTA(query(ifna(filter('Data Recording'!AE:AE,'Data Recording'!D:D=B42),""""), ""Select Col1""))&gt;=(0.5),""1"",""0""),""-"")"),"0")</f>
        <v>0</v>
      </c>
      <c r="CD42" s="74" t="str">
        <f>IFERROR(__xludf.DUMMYFUNCTION("iferror(if(DIVIDE(countif(query(filter('Data Recording'!E:E,'Data Recording'!D:D=B42), ""Select Col1""),""Yes""),COUNTA(query(ifna(filter('Data Recording'!E:E,'Data Recording'!D:D=B42),""""), ""Select Col1"")))&gt;=(0.5),""1"",""0""),""-"")"),"0")</f>
        <v>0</v>
      </c>
    </row>
    <row r="43">
      <c r="A43" s="51" t="s">
        <v>76</v>
      </c>
      <c r="B43" s="51">
        <v>6616.0</v>
      </c>
      <c r="C43" s="52" t="str">
        <f>IFERROR(__xludf.DUMMYFUNCTION("if(countif(query(filter('Data Recording'!E:E,'Data Recording'!D:D=B43), ""Select Col1""),""Yes"")=0,""0"",countif(query(filter('Data Recording'!E:E,'Data Recording'!D:D=B43), ""Select Col1""),""Yes"")) &amp; ""/"" &amp; if(COUNTA(query(ifna(filter('Data Recording"&amp;"'!E:E,'Data Recording'!D:D=B43),""""), ""Select Col1""))=0,""0"",COUNTA(query(ifna(filter('Data Recording'!E:E,'Data Recording'!D:D=B43),""""), ""Select Col1"")))"),"0/8")</f>
        <v>0/8</v>
      </c>
      <c r="D43" s="53">
        <f>IFERROR(__xludf.DUMMYFUNCTION("iferror(SUM(query(filter('Data Recording'!F:F,'Data Recording'!D:D=B43), ""Select Col1"")),""-"")"),0.0)</f>
        <v>0</v>
      </c>
      <c r="E43" s="53">
        <f>IFERROR(__xludf.DUMMYFUNCTION("iferror(SUM(query(filter('Data Recording'!G:G,'Data Recording'!D:D=B43), ""Select Col1"")),""-"")"),0.0)</f>
        <v>0</v>
      </c>
      <c r="F43" s="54" t="str">
        <f t="shared" si="1"/>
        <v>-</v>
      </c>
      <c r="G43" s="55" t="str">
        <f>IFERROR(__xludf.DUMMYFUNCTION("iferror(AVERAGE(query(filter('Data Recording'!G:G,'Data Recording'!D:D=B43), ""Select Col1"")),""0.00"")"),"0.00")</f>
        <v>0.00</v>
      </c>
      <c r="H43" s="53">
        <f>IFERROR(__xludf.DUMMYFUNCTION("iferror(MAX(query(filter('Data Recording'!G:G,'Data Recording'!D:D=B43), ""Select Col1"")),""-"")"),0.0)</f>
        <v>0</v>
      </c>
      <c r="I43" s="56">
        <f>IFERROR(__xludf.DUMMYFUNCTION("iferror(SUM(query(filter('Data Recording'!H:H,'Data Recording'!D:D=B43), ""Select Col1"")),""-"")"),0.0)</f>
        <v>0</v>
      </c>
      <c r="J43" s="57">
        <f>IFERROR(__xludf.DUMMYFUNCTION("iferror(SUM(query(filter('Data Recording'!I:I,'Data Recording'!D:D=B43), ""Select Col1"")),""-"")"),0.0)</f>
        <v>0</v>
      </c>
      <c r="K43" s="54" t="str">
        <f t="shared" si="2"/>
        <v>-</v>
      </c>
      <c r="L43" s="55" t="str">
        <f>IFERROR(__xludf.DUMMYFUNCTION("iferror(AVERAGE(query(filter('Data Recording'!I:I,'Data Recording'!D:D=B43), ""Select Col1"")),""0.00"")"),"0.00")</f>
        <v>0.00</v>
      </c>
      <c r="M43" s="53">
        <f>IFERROR(__xludf.DUMMYFUNCTION("iferror(MAX(query(filter('Data Recording'!I:I,'Data Recording'!D:D=B43), ""Select Col1"")),""-"")"),0.0)</f>
        <v>0</v>
      </c>
      <c r="N43" s="58">
        <f>IFERROR(__xludf.DUMMYFUNCTION("iferror(SUM(query(filter('Data Recording'!J:J,'Data Recording'!D:D=B43), ""Select Col1"")),""-"")"),0.0)</f>
        <v>0</v>
      </c>
      <c r="O43" s="59">
        <f>IFERROR(__xludf.DUMMYFUNCTION("iferror(SUM(query(filter('Data Recording'!K:K,'Data Recording'!D:D=B43), ""Select Col1"")),""-"")"),0.0)</f>
        <v>0</v>
      </c>
      <c r="P43" s="54" t="str">
        <f t="shared" si="3"/>
        <v>-</v>
      </c>
      <c r="Q43" s="55" t="str">
        <f>IFERROR(__xludf.DUMMYFUNCTION("iferror(AVERAGE(query(filter('Data Recording'!K:K,'Data Recording'!D:D=B43), ""Select Col1"")),""0.00"")"),"0.00")</f>
        <v>0.00</v>
      </c>
      <c r="R43" s="53">
        <f>IFERROR(__xludf.DUMMYFUNCTION("iferror(MAX(query(filter('Data Recording'!K:K,'Data Recording'!D:D=B43), ""Select Col1"")),""-"")"),0.0)</f>
        <v>0</v>
      </c>
      <c r="S43" s="58">
        <f>IFERROR(__xludf.DUMMYFUNCTION("iferror(SUM(query(filter('Data Recording'!L:L,'Data Recording'!D:D=B43), ""Select Col1"")),""-"")"),0.0)</f>
        <v>0</v>
      </c>
      <c r="T43" s="59">
        <f>IFERROR(__xludf.DUMMYFUNCTION("iferror(SUM(query(filter('Data Recording'!M:M,'Data Recording'!D:D=B43), ""Select Col1"")),""-"")"),0.0)</f>
        <v>0</v>
      </c>
      <c r="U43" s="54" t="str">
        <f t="shared" si="4"/>
        <v>-</v>
      </c>
      <c r="V43" s="55" t="str">
        <f>IFERROR(__xludf.DUMMYFUNCTION("iferror(AVERAGE(query(filter('Data Recording'!M:M,'Data Recording'!D:D=B43), ""Select Col1"")),""-"")"),"-")</f>
        <v>-</v>
      </c>
      <c r="W43" s="52">
        <f>IFERROR(__xludf.DUMMYFUNCTION("iferror(MAX(query(filter('Data Recording'!M:M,'Data Recording'!D:D=B43), ""Select Col1"")),""-"")"),0.0)</f>
        <v>0</v>
      </c>
      <c r="X43" s="59">
        <f>IFERROR(__xludf.DUMMYFUNCTION("iferror(SUM(query(filter('Data Recording'!N:N,'Data Recording'!D:D=B43), ""Select Col1"")),""-"")"),0.0)</f>
        <v>0</v>
      </c>
      <c r="Y43" s="59">
        <f>IFERROR(__xludf.DUMMYFUNCTION("iferror(SUM(query(filter('Data Recording'!O:O,'Data Recording'!D:D=B43), ""Select Col1"")),""-"")"),0.0)</f>
        <v>0</v>
      </c>
      <c r="Z43" s="54" t="str">
        <f t="shared" si="5"/>
        <v>-</v>
      </c>
      <c r="AA43" s="55" t="str">
        <f>IFERROR(__xludf.DUMMYFUNCTION("iferror(AVERAGE(query(filter('Data Recording'!O:O,'Data Recording'!D:D=B43), ""Select Col1"")),""0.00"")"),"0.00")</f>
        <v>0.00</v>
      </c>
      <c r="AB43" s="52">
        <f>IFERROR(__xludf.DUMMYFUNCTION("iferror(MAX(query(filter('Data Recording'!O:O,'Data Recording'!D:D=B43), ""Select Col1"")),""-"")"),0.0)</f>
        <v>0</v>
      </c>
      <c r="AC43" s="59">
        <f>IFERROR(__xludf.DUMMYFUNCTION("iferror(SUM(query(filter('Data Recording'!P:P,'Data Recording'!D:D=B43), ""Select Col1"")),""-"")"),0.0)</f>
        <v>0</v>
      </c>
      <c r="AD43" s="59">
        <f>IFERROR(__xludf.DUMMYFUNCTION("iferror(SUM(query(filter('Data Recording'!Q:Q,'Data Recording'!D:D=B43), ""Select Col1"")),""-"")"),0.0)</f>
        <v>0</v>
      </c>
      <c r="AE43" s="54" t="str">
        <f t="shared" si="6"/>
        <v>-</v>
      </c>
      <c r="AF43" s="55" t="str">
        <f>IFERROR(__xludf.DUMMYFUNCTION("iferror(AVERAGE(query(filter('Data Recording'!Q:Q,'Data Recording'!D:D=B43), ""Select Col1"")),""0.00"")"),"0.00")</f>
        <v>0.00</v>
      </c>
      <c r="AG43" s="59">
        <f>IFERROR(__xludf.DUMMYFUNCTION("iferror(MAX(query(filter('Data Recording'!Q:Q,'Data Recording'!D:D=B43), ""Select Col1"")),""-"")"),0.0)</f>
        <v>0</v>
      </c>
      <c r="AH43" s="58" t="str">
        <f>IFERROR(__xludf.DUMMYFUNCTION("if(countif(query(filter('Data Recording'!R:R,'Data Recording'!D:D=B43), ""Select Col1""),""Yes, Engaged"")+countif(query(filter('Data Recording'!R:R,'Data Recording'!D:D=B43), ""Select Col1""),""Yes, Docked"")=0,""0"",countif(query(filter('Data Recording'"&amp;"!R:R,'Data Recording'!D:D=B43), ""Select Col1""),""Yes, Engaged""))+countif(query(filter('Data Recording'!R:R,'Data Recording'!D:D=B43), ""Select Col1""),""Yes, Docked"") &amp; ""/"" &amp; if(COUNTA(query(ifna(filter('Data Recording'!R:R,'Data Recording'!D:D=B43)"&amp;",""""), ""Select Col1""))=0,""0"",COUNTA(query(ifna(filter('Data Recording'!R:R,'Data Recording'!D:D=B43),""""), ""Select Col1"")))"),"0/8")</f>
        <v>0/8</v>
      </c>
      <c r="AI43" s="60" t="str">
        <f>IFERROR(__xludf.DUMMYFUNCTION("if(countif(query(filter('Data Recording'!R:R,'Data Recording'!D:D=B43), ""Select Col1""),""Yes, Engaged"")=0,""0"",countif(query(filter('Data Recording'!R:R,'Data Recording'!D:D=B43), ""Select Col1""),""Yes, Engaged"")) &amp; ""/"" &amp; if(COUNTA(query(ifna(filt"&amp;"er('Data Recording'!R:R,'Data Recording'!D:D=B43),""""), ""Select Col1""))=0,""0"",COUNTA(query(ifna(filter('Data Recording'!R:R,'Data Recording'!D:D=B43),""""), ""Select Col1"")))"),"0/8")</f>
        <v>0/8</v>
      </c>
      <c r="AJ43" s="59">
        <f>IFERROR(__xludf.DUMMYFUNCTION("iferror(SUM(query(filter('Data Recording'!S:S,'Data Recording'!D:D=B43), ""Select Col1"")),""-"")"),0.0)</f>
        <v>0</v>
      </c>
      <c r="AK43" s="59">
        <f>IFERROR(__xludf.DUMMYFUNCTION("iferror(SUM(query(filter('Data Recording'!T:T,'Data Recording'!D:D=B43), ""Select Col1"")),""-"")"),0.0)</f>
        <v>0</v>
      </c>
      <c r="AL43" s="54" t="str">
        <f t="shared" si="7"/>
        <v>-</v>
      </c>
      <c r="AM43" s="55" t="str">
        <f>IFERROR(__xludf.DUMMYFUNCTION("iferror(AVERAGE(query(filter('Data Recording'!T:T,'Data Recording'!D:D=B43), ""Select Col1"")),""0.00"")"),"0.00")</f>
        <v>0.00</v>
      </c>
      <c r="AN43" s="61">
        <f>IFERROR(__xludf.DUMMYFUNCTION("iferror(MAX(query(filter('Data Recording'!T:T,'Data Recording'!D:D=B43), ""Select Col1"")),""-"")"),0.0)</f>
        <v>0</v>
      </c>
      <c r="AO43" s="62">
        <f>IFERROR(__xludf.DUMMYFUNCTION("iferror(SUM(query(filter('Data Recording'!U:U,'Data Recording'!D:D=B43), ""Select Col1"")),""-"")"),0.0)</f>
        <v>0</v>
      </c>
      <c r="AP43" s="62">
        <f>IFERROR(__xludf.DUMMYFUNCTION("iferror(SUM(query(filter('Data Recording'!V:V,'Data Recording'!D:D=B43), ""Select Col1"")),""-"")"),0.0)</f>
        <v>0</v>
      </c>
      <c r="AQ43" s="63" t="str">
        <f t="shared" si="8"/>
        <v>-</v>
      </c>
      <c r="AR43" s="64" t="str">
        <f>IFERROR(__xludf.DUMMYFUNCTION("iferror(AVERAGE(query(filter('Data Recording'!V:V,'Data Recording'!D:D=B43), ""Select Col1"")),""0.00"")"),"0.00")</f>
        <v>0.00</v>
      </c>
      <c r="AS43" s="65">
        <f>IFERROR(__xludf.DUMMYFUNCTION("iferror(MAX(query(filter('Data Recording'!V:V,'Data Recording'!D:D=B43), ""Select Col1"")),""-"")"),0.0)</f>
        <v>0</v>
      </c>
      <c r="AT43" s="62">
        <f>IFERROR(__xludf.DUMMYFUNCTION("iferror(SUM(query(filter('Data Recording'!W:W,'Data Recording'!D:D=B43), ""Select Col1"")),""-"")"),0.0)</f>
        <v>0</v>
      </c>
      <c r="AU43" s="62">
        <f>IFERROR(__xludf.DUMMYFUNCTION("iferror(SUM(query(filter('Data Recording'!X:X,'Data Recording'!D:D=B43), ""Select Col1"")),""-"")"),0.0)</f>
        <v>0</v>
      </c>
      <c r="AV43" s="63" t="str">
        <f t="shared" si="9"/>
        <v>-</v>
      </c>
      <c r="AW43" s="64" t="str">
        <f>IFERROR(__xludf.DUMMYFUNCTION("iferror(AVERAGE(query(filter('Data Recording'!X:X,'Data Recording'!D:D=B43), ""Select Col1"")),""0.00"")"),"0.00")</f>
        <v>0.00</v>
      </c>
      <c r="AX43" s="65">
        <f>IFERROR(__xludf.DUMMYFUNCTION("iferror(MAX(query(filter('Data Recording'!X:X,'Data Recording'!D:D=B43), ""Select Col1"")),""-"")"),0.0)</f>
        <v>0</v>
      </c>
      <c r="AY43" s="62">
        <f>IFERROR(__xludf.DUMMYFUNCTION("iferror(SUM(query(filter('Data Recording'!Y:Y,'Data Recording'!D:D=B43), ""Select Col1"")),""-"")"),0.0)</f>
        <v>0</v>
      </c>
      <c r="AZ43" s="62">
        <f>IFERROR(__xludf.DUMMYFUNCTION("iferror(SUM(query(filter('Data Recording'!Z:Z,'Data Recording'!D:D=B43), ""Select Col1"")),""-"")"),0.0)</f>
        <v>0</v>
      </c>
      <c r="BA43" s="63" t="str">
        <f t="shared" si="10"/>
        <v>-</v>
      </c>
      <c r="BB43" s="64" t="str">
        <f>IFERROR(__xludf.DUMMYFUNCTION("iferror(AVERAGE(query(filter('Data Recording'!Z:Z,'Data Recording'!D:D=B43), ""Select Col1"")),""0.00"")"),"0.00")</f>
        <v>0.00</v>
      </c>
      <c r="BC43" s="65">
        <f>IFERROR(__xludf.DUMMYFUNCTION("iferror(MAX(query(filter('Data Recording'!Z:Z,'Data Recording'!D:D=B43), ""Select Col1"")),""-"")"),0.0)</f>
        <v>0</v>
      </c>
      <c r="BD43" s="62">
        <f>IFERROR(__xludf.DUMMYFUNCTION("iferror(SUM(query(filter('Data Recording'!AA:AA,'Data Recording'!D:D=B43), ""Select Col1"")),""-"")"),0.0)</f>
        <v>0</v>
      </c>
      <c r="BE43" s="62">
        <f>IFERROR(__xludf.DUMMYFUNCTION("iferror(SUM(query(filter('Data Recording'!AB:AB,'Data Recording'!D:D=B43), ""Select Col1"")),""-"")"),0.0)</f>
        <v>0</v>
      </c>
      <c r="BF43" s="63" t="str">
        <f t="shared" si="11"/>
        <v>-</v>
      </c>
      <c r="BG43" s="64" t="str">
        <f>IFERROR(__xludf.DUMMYFUNCTION("iferror(AVERAGE(query(filter('Data Recording'!AB:AB,'Data Recording'!D:D=B43), ""Select Col1"")),""0.00"")"),"0.00")</f>
        <v>0.00</v>
      </c>
      <c r="BH43" s="65">
        <f>IFERROR(__xludf.DUMMYFUNCTION("iferror(MAX(query(filter('Data Recording'!AB:AB,'Data Recording'!D:D=B43), ""Select Col1"")),""-"")"),0.0)</f>
        <v>0</v>
      </c>
      <c r="BI43" s="62">
        <f>IFERROR(__xludf.DUMMYFUNCTION("iferror(SUM(query(filter('Data Recording'!AC:AC,'Data Recording'!D:D=B43), ""Select Col1"")),""-"")"),0.0)</f>
        <v>0</v>
      </c>
      <c r="BJ43" s="62">
        <f>IFERROR(__xludf.DUMMYFUNCTION("iferror(SUM(query(filter('Data Recording'!AD:AD,'Data Recording'!D:D=B43), ""Select Col1"")),""-"")"),0.0)</f>
        <v>0</v>
      </c>
      <c r="BK43" s="63" t="str">
        <f t="shared" si="12"/>
        <v>-</v>
      </c>
      <c r="BL43" s="64" t="str">
        <f>IFERROR(__xludf.DUMMYFUNCTION("iferror(AVERAGE(query(filter('Data Recording'!AD:AD,'Data Recording'!D:D=B43), ""Select Col1"")),""0.00"")"),"0.00")</f>
        <v>0.00</v>
      </c>
      <c r="BM43" s="65">
        <f>IFERROR(__xludf.DUMMYFUNCTION("iferror(MAX(query(filter('Data Recording'!AD:AD,'Data Recording'!D:D=B43), ""Select Col1"")),""-"")"),0.0)</f>
        <v>0</v>
      </c>
      <c r="BN43" s="66" t="str">
        <f>IFERROR(__xludf.DUMMYFUNCTION("if(countif(query(filter('Data Recording'!AE:AE,'Data Recording'!D:D=B43), ""Select Col1""),""Yes, Engaged"")+countif(query(filter('Data Recording'!AE:AE,'Data Recording'!D:D=B43), ""Select Col1""),""Yes, Docked"")=0,""0"",countif(query(filter('Data Record"&amp;"ing'!AE:AE,'Data Recording'!D:D=B43), ""Select Col1""),""Yes, Engaged""))+countif(query(filter('Data Recording'!AE:AE,'Data Recording'!D:D=B43), ""Select Col1""),""Yes, Docked"") &amp; ""/"" &amp; if(COUNTA(query(ifna(filter('Data Recording'!AE:AE,'Data Recording"&amp;"'!D:D=B43),""""), ""Select Col1""))=0,""0"",COUNTA(query(ifna(filter('Data Recording'!AE:AE,'Data Recording'!D:D=B43),""""), ""Select Col1"")))"),"0/8")</f>
        <v>0/8</v>
      </c>
      <c r="BO43" s="67" t="str">
        <f>IFERROR(__xludf.DUMMYFUNCTION("if(countif(query(filter('Data Recording'!AE:AE,'Data Recording'!D:D=B43), ""Select Col1""),""Yes, Engaged"")=0,""0"",countif(query(filter('Data Recording'!AE:AE,'Data Recording'!D:D=B43), ""Select Col1""),""Yes, Engaged"")) &amp; ""/"" &amp; if(COUNTA(query(ifna("&amp;"filter('Data Recording'!AE:AE,'Data Recording'!D:D=B43),""""), ""Select Col1""))=0,""0"",COUNTA(query(ifna(filter('Data Recording'!AE:AE,'Data Recording'!D:D=B43),""""), ""Select Col1"")))"),"0/8")</f>
        <v>0/8</v>
      </c>
      <c r="BP43" s="60" t="str">
        <f>IFERROR(__xludf.DUMMYFUNCTION("if(countif(query(filter('Data Recording'!AH:AH,'Data Recording'!D:D=B43), ""Select Col1""),""Yes"")=0,""0"",countif(query(filter('Data Recording'!AH:AH,'Data Recording'!D:D=B43), ""Select Col1""),""Yes"")) &amp; ""/"" &amp; if(COUNTA(query(ifna(filter('Data Recor"&amp;"ding'!AH:AH,'Data Recording'!D:D=B43),""""), ""Select Col1""))=0,""0"",COUNTA(query(ifna(filter('Data Recording'!AH:AH,'Data Recording'!D:D=B43),""""), ""Select Col1"")))"),"4/8")</f>
        <v>4/8</v>
      </c>
      <c r="BQ43" s="68">
        <v>0.5</v>
      </c>
      <c r="BR43" s="55">
        <f>IFERROR(__xludf.DUMMYFUNCTION("iferror(average(query(filter('Data Recording'!AF:AF,'Data Recording'!D:D=B43), ""Select Col1"")),""-"")"),0.0)</f>
        <v>0</v>
      </c>
      <c r="BS43" s="69">
        <f>IFERROR(__xludf.DUMMYFUNCTION("iferror(average(query(filter('Data Recording'!AG:AG,'Data Recording'!D:D=B43), ""Select Col1"")),""-"")"),0.0)</f>
        <v>0</v>
      </c>
      <c r="BT43" s="70">
        <f t="shared" si="13"/>
        <v>0</v>
      </c>
      <c r="BU43" s="70">
        <f>IFERROR(__xludf.DUMMYFUNCTION("iferror(AVERAGE(query(filter('Data Recording'!AJ:AJ,'Data Recording'!D:D=B43), ""Select Col1"")),""-"")"),0.0)</f>
        <v>0</v>
      </c>
      <c r="BV43" s="70">
        <f>IFERROR(__xludf.DUMMYFUNCTION("iferror(AVERAGE(query(filter('Data Recording'!AK:AK,'Data Recording'!D:D=B43), ""Select Col1"")),""-"")"),0.0)</f>
        <v>0</v>
      </c>
      <c r="BW43" s="70">
        <f t="shared" si="14"/>
        <v>0</v>
      </c>
      <c r="BX43" s="71">
        <f>IFERROR(__xludf.DUMMYFUNCTION("iferror(max(query(filter('Data Recording'!AJ:AJ,'Data Recording'!D:D=B43), ""Select Col1"")),""-"")"),0.0)</f>
        <v>0</v>
      </c>
      <c r="BY43" s="72">
        <f>IFERROR(__xludf.DUMMYFUNCTION("iferror(MIN(query(filter('Data Recording'!AJ:AJ,'Data Recording'!D:D=B43), ""Select Col1"")),""-"")"),0.0)</f>
        <v>0</v>
      </c>
      <c r="BZ43" s="73" t="str">
        <f>IFERROR(__xludf.DUMMYFUNCTION("iferror(if(DIVIDE(COUNTIF(query(filter('Data Recording'!R:R,'Data Recording'!D:D=B43), ""Select Col1""),""Yes, Docked"") + countif(query(filter('Data Recording'!R:R,'Data Recording'!D:D=B43), ""Select Col1""),""Yes, Engaged""),COUNTA(query(ifna(filter('Da"&amp;"ta Recording'!R:R,'Data Recording'!D:D=B43),""""), ""Select Col1"")))&gt;=(0.5),""1"",""0""),""-"")"),"0")</f>
        <v>0</v>
      </c>
      <c r="CA43" s="59" t="str">
        <f>IFERROR(__xludf.DUMMYFUNCTION("iferror(if(countif(query(filter('Data Recording'!R:R,'Data Recording'!D:D=B43), ""Select Col1""),""Yes, Engaged"")/COUNTA(query(ifna(filter('Data Recording'!R:R,'Data Recording'!D:D=B43),""""), ""Select Col1""))&gt;=(0.5),""1"",""0""),""-"")"),"0")</f>
        <v>0</v>
      </c>
      <c r="CB43" s="74" t="str">
        <f>IFERROR(__xludf.DUMMYFUNCTION("iferror(if(DIVIDE(COUNTIF(query(filter('Data Recording'!AE:AE,'Data Recording'!D:D=B43), ""Select Col1""),""Yes, Docked"") + countif(query(filter('Data Recording'!AE:AE,'Data Recording'!D:D=B43), ""Select Col1""),""Yes, Engaged""),COUNTA(query(ifna(filter"&amp;"('Data Recording'!AE:AE,'Data Recording'!D:D=B43),""""), ""Select Col1"")))&gt;=(0.5),""1"",""0""),""-"")"),"0")</f>
        <v>0</v>
      </c>
      <c r="CC43" s="59" t="str">
        <f>IFERROR(__xludf.DUMMYFUNCTION("iferror(if(countif(query(filter('Data Recording'!AE:AE,'Data Recording'!D:D=B43), ""Select Col1""),""Yes, Engaged"")/COUNTA(query(ifna(filter('Data Recording'!AE:AE,'Data Recording'!D:D=B43),""""), ""Select Col1""))&gt;=(0.5),""1"",""0""),""-"")"),"0")</f>
        <v>0</v>
      </c>
      <c r="CD43" s="74" t="str">
        <f>IFERROR(__xludf.DUMMYFUNCTION("iferror(if(DIVIDE(countif(query(filter('Data Recording'!E:E,'Data Recording'!D:D=B43), ""Select Col1""),""Yes""),COUNTA(query(ifna(filter('Data Recording'!E:E,'Data Recording'!D:D=B43),""""), ""Select Col1"")))&gt;=(0.5),""1"",""0""),""-"")"),"0")</f>
        <v>0</v>
      </c>
    </row>
  </sheetData>
  <autoFilter ref="$A$4:$CD$43">
    <sortState ref="A4:CD43">
      <sortCondition descending="1" ref="BU4:BU43"/>
      <sortCondition ref="B4:B43"/>
      <sortCondition descending="1" ref="BV4:BV43"/>
      <sortCondition descending="1" ref="BY4:BY43"/>
      <sortCondition descending="1" ref="BX4:BX43"/>
      <sortCondition ref="BQ4:BQ43"/>
      <sortCondition descending="1" ref="BK4:BK43"/>
      <sortCondition descending="1" ref="BP4:BP43"/>
      <sortCondition descending="1" ref="AI4:AI43"/>
      <sortCondition descending="1" ref="BT4:BT43"/>
      <sortCondition descending="1" ref="C4:C43"/>
      <sortCondition descending="1" ref="BW4:BW43"/>
      <sortCondition descending="1" ref="BS4:BS43"/>
      <sortCondition descending="1" ref="BR4:BR43"/>
      <sortCondition ref="BO4:BO43"/>
    </sortState>
  </autoFilter>
  <mergeCells count="26">
    <mergeCell ref="S2:AG2"/>
    <mergeCell ref="AH2:AI3"/>
    <mergeCell ref="S3:W3"/>
    <mergeCell ref="X3:AB3"/>
    <mergeCell ref="AC3:AG3"/>
    <mergeCell ref="A1:B3"/>
    <mergeCell ref="C1:AI1"/>
    <mergeCell ref="AJ1:BP1"/>
    <mergeCell ref="BR1:BY1"/>
    <mergeCell ref="BZ1:CD3"/>
    <mergeCell ref="D2:R2"/>
    <mergeCell ref="BT2:BY3"/>
    <mergeCell ref="AJ2:AX2"/>
    <mergeCell ref="AY2:BM2"/>
    <mergeCell ref="BN2:BO3"/>
    <mergeCell ref="BR2:BS3"/>
    <mergeCell ref="C2:C3"/>
    <mergeCell ref="D3:H3"/>
    <mergeCell ref="I3:M3"/>
    <mergeCell ref="N3:R3"/>
    <mergeCell ref="AJ3:AN3"/>
    <mergeCell ref="AO3:AS3"/>
    <mergeCell ref="AT3:AX3"/>
    <mergeCell ref="AY3:BC3"/>
    <mergeCell ref="BD3:BH3"/>
    <mergeCell ref="BI3:BM3"/>
  </mergeCells>
  <conditionalFormatting sqref="BT5:BT43">
    <cfRule type="colorScale" priority="1">
      <colorScale>
        <cfvo type="min"/>
        <cfvo type="percentile" val="50"/>
        <cfvo type="max"/>
        <color rgb="FFE67C73"/>
        <color rgb="FFFFC16B"/>
        <color rgb="FF57BB8A"/>
      </colorScale>
    </cfRule>
  </conditionalFormatting>
  <conditionalFormatting sqref="BZ5:CD43">
    <cfRule type="cellIs" dxfId="0" priority="2" operator="equal">
      <formula>1</formula>
    </cfRule>
  </conditionalFormatting>
  <conditionalFormatting sqref="BW5:BW43">
    <cfRule type="colorScale" priority="3">
      <colorScale>
        <cfvo type="percentile" val="0"/>
        <cfvo type="percentile" val="50"/>
        <cfvo type="max"/>
        <color rgb="FFE67C73"/>
        <color rgb="FFFFC16B"/>
        <color rgb="FF57BB8A"/>
      </colorScale>
    </cfRule>
  </conditionalFormatting>
  <conditionalFormatting sqref="BU5:BU4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V5:BV43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7.75"/>
    <col customWidth="1" min="3" max="3" width="30.0"/>
    <col customWidth="1" min="4" max="4" width="32.0"/>
    <col customWidth="1" min="5" max="5" width="23.75"/>
    <col customWidth="1" min="6" max="6" width="26.63"/>
  </cols>
  <sheetData>
    <row r="1" ht="35.25" customHeight="1">
      <c r="A1" s="174" t="s">
        <v>624</v>
      </c>
      <c r="B1" s="174" t="s">
        <v>625</v>
      </c>
      <c r="C1" s="174" t="s">
        <v>626</v>
      </c>
      <c r="D1" s="175" t="s">
        <v>627</v>
      </c>
      <c r="E1" s="175" t="str">
        <f>IF(or(E2&gt;8,A2&lt;=E2), "Error at E2!", "Alliance Rank")</f>
        <v>Error at E2!</v>
      </c>
      <c r="F1" s="175" t="str">
        <f>if(F2&gt;2, "Error at F2!", "Round")</f>
        <v>Round</v>
      </c>
    </row>
    <row r="2" ht="34.5" customHeight="1">
      <c r="A2" s="176">
        <v>6.0</v>
      </c>
      <c r="B2" s="51" t="b">
        <v>1</v>
      </c>
      <c r="C2" s="176">
        <v>5.0</v>
      </c>
      <c r="D2" s="51" t="b">
        <v>0</v>
      </c>
      <c r="E2" s="176">
        <v>8.0</v>
      </c>
      <c r="F2" s="176">
        <v>1.0</v>
      </c>
    </row>
    <row r="3" ht="33.0" customHeight="1">
      <c r="A3" s="175" t="s">
        <v>628</v>
      </c>
      <c r="B3" s="174" t="s">
        <v>629</v>
      </c>
      <c r="C3" s="174" t="s">
        <v>630</v>
      </c>
      <c r="D3" s="175" t="s">
        <v>631</v>
      </c>
      <c r="E3" s="175" t="s">
        <v>632</v>
      </c>
      <c r="F3" s="175" t="s">
        <v>633</v>
      </c>
    </row>
    <row r="4" ht="33.0" customHeight="1">
      <c r="A4" s="176" t="s">
        <v>634</v>
      </c>
      <c r="B4" s="176" t="s">
        <v>635</v>
      </c>
      <c r="C4" s="177">
        <f>IFERROR(__xludf.DUMMYFUNCTION("FILTER(B6:B41,A6:A41=A2)+if(and(A2&lt;8,B2=true),17-A2)+if(and(A2&gt;8,B2=true),17-C2)+if(and(D2=true,F2=1),17-E2)+if(and(D2=true,F2=2),0+E2)+IF(and(or(B2=true,D2=true),A4=""Winner""),+30)+IF(and(or(B2=true,D2=true),A4=""Finalist""),+20)+if(and(or(B2=true,D2=tr"&amp;"ue),A4=""3rd Place""),+13)+if(and(or(B2=true,D2=true),A4=""4th Place""),+7)+if(B4=""Impact Award"",+10)+if(B4=""Eng. Insp. Award"",+8)+if(B4=""Other"",+5)"),59.0)</f>
        <v>59</v>
      </c>
      <c r="D4" s="176">
        <v>109.0</v>
      </c>
      <c r="E4" s="176">
        <f>add(C4,D4)</f>
        <v>168</v>
      </c>
      <c r="F4" s="178" t="str">
        <f>IFS(E4&gt;180,"Certain",E4&gt;170, "Definitely",E4&gt;160,"Likely",E4&gt;155,"Probably",E4&gt;150, "Unlikely",E4&gt;140, "No")</f>
        <v>Likely</v>
      </c>
    </row>
    <row r="5">
      <c r="A5" s="144" t="s">
        <v>636</v>
      </c>
      <c r="C5" s="144"/>
    </row>
    <row r="6">
      <c r="A6" s="51">
        <v>1.0</v>
      </c>
      <c r="B6" s="51">
        <v>22.0</v>
      </c>
      <c r="C6" s="51"/>
    </row>
    <row r="7">
      <c r="A7" s="51">
        <v>2.0</v>
      </c>
      <c r="B7" s="51">
        <v>21.0</v>
      </c>
      <c r="C7" s="51"/>
    </row>
    <row r="8">
      <c r="A8" s="51">
        <v>3.0</v>
      </c>
      <c r="B8" s="51">
        <v>20.0</v>
      </c>
      <c r="C8" s="51"/>
    </row>
    <row r="9">
      <c r="A9" s="51">
        <v>4.0</v>
      </c>
      <c r="B9" s="51">
        <v>19.0</v>
      </c>
      <c r="C9" s="51"/>
    </row>
    <row r="10">
      <c r="A10" s="51">
        <v>5.0</v>
      </c>
      <c r="B10" s="51">
        <v>19.0</v>
      </c>
      <c r="C10" s="51"/>
    </row>
    <row r="11">
      <c r="A11" s="51">
        <v>6.0</v>
      </c>
      <c r="B11" s="51">
        <v>18.0</v>
      </c>
      <c r="C11" s="51"/>
    </row>
    <row r="12">
      <c r="A12" s="51">
        <v>7.0</v>
      </c>
      <c r="B12" s="51">
        <v>18.0</v>
      </c>
      <c r="C12" s="51"/>
    </row>
    <row r="13">
      <c r="A13" s="51">
        <v>8.0</v>
      </c>
      <c r="B13" s="51">
        <v>17.0</v>
      </c>
      <c r="C13" s="51"/>
    </row>
    <row r="14">
      <c r="A14" s="51">
        <v>9.0</v>
      </c>
      <c r="B14" s="51">
        <v>17.0</v>
      </c>
      <c r="C14" s="51"/>
    </row>
    <row r="15">
      <c r="A15" s="51">
        <v>10.0</v>
      </c>
      <c r="B15" s="51">
        <v>16.0</v>
      </c>
      <c r="C15" s="51"/>
    </row>
    <row r="16">
      <c r="A16" s="51">
        <v>11.0</v>
      </c>
      <c r="B16" s="51">
        <v>16.0</v>
      </c>
      <c r="C16" s="51"/>
    </row>
    <row r="17">
      <c r="A17" s="51">
        <v>12.0</v>
      </c>
      <c r="B17" s="51">
        <v>16.0</v>
      </c>
      <c r="C17" s="51"/>
    </row>
    <row r="18">
      <c r="A18" s="51">
        <v>13.0</v>
      </c>
      <c r="B18" s="51">
        <v>15.0</v>
      </c>
      <c r="C18" s="51"/>
    </row>
    <row r="19">
      <c r="A19" s="51">
        <v>14.0</v>
      </c>
      <c r="B19" s="51">
        <v>15.0</v>
      </c>
      <c r="C19" s="51"/>
    </row>
    <row r="20">
      <c r="A20" s="51">
        <v>15.0</v>
      </c>
      <c r="B20" s="51">
        <v>14.0</v>
      </c>
      <c r="C20" s="51"/>
    </row>
    <row r="21">
      <c r="A21" s="51">
        <v>16.0</v>
      </c>
      <c r="B21" s="51">
        <v>14.0</v>
      </c>
      <c r="C21" s="51"/>
    </row>
    <row r="22">
      <c r="A22" s="51">
        <v>17.0</v>
      </c>
      <c r="B22" s="51">
        <v>14.0</v>
      </c>
      <c r="C22" s="51"/>
    </row>
    <row r="23">
      <c r="A23" s="51">
        <v>18.0</v>
      </c>
      <c r="B23" s="51">
        <v>13.0</v>
      </c>
      <c r="C23" s="51"/>
    </row>
    <row r="24">
      <c r="A24" s="51">
        <v>19.0</v>
      </c>
      <c r="B24" s="51">
        <v>13.0</v>
      </c>
      <c r="C24" s="51"/>
    </row>
    <row r="25">
      <c r="A25" s="51">
        <v>20.0</v>
      </c>
      <c r="B25" s="51">
        <v>13.0</v>
      </c>
      <c r="C25" s="51"/>
    </row>
    <row r="26">
      <c r="A26" s="51">
        <v>21.0</v>
      </c>
      <c r="B26" s="51">
        <v>12.0</v>
      </c>
      <c r="C26" s="51"/>
    </row>
    <row r="27">
      <c r="A27" s="51">
        <v>22.0</v>
      </c>
      <c r="B27" s="51">
        <v>12.0</v>
      </c>
      <c r="C27" s="51"/>
    </row>
    <row r="28">
      <c r="A28" s="51">
        <v>23.0</v>
      </c>
      <c r="B28" s="51">
        <v>12.0</v>
      </c>
      <c r="C28" s="51"/>
    </row>
    <row r="29">
      <c r="A29" s="51">
        <v>24.0</v>
      </c>
      <c r="B29" s="51">
        <v>12.0</v>
      </c>
      <c r="C29" s="51"/>
    </row>
    <row r="30">
      <c r="A30" s="51">
        <v>25.0</v>
      </c>
      <c r="B30" s="51">
        <v>11.0</v>
      </c>
      <c r="C30" s="51"/>
    </row>
    <row r="31">
      <c r="A31" s="51">
        <v>26.0</v>
      </c>
      <c r="B31" s="51">
        <v>11.0</v>
      </c>
      <c r="C31" s="51"/>
    </row>
    <row r="32">
      <c r="A32" s="51">
        <v>27.0</v>
      </c>
      <c r="B32" s="51">
        <v>11.0</v>
      </c>
      <c r="C32" s="51"/>
    </row>
    <row r="33">
      <c r="A33" s="51">
        <v>28.0</v>
      </c>
      <c r="B33" s="51">
        <v>10.0</v>
      </c>
      <c r="C33" s="51"/>
    </row>
    <row r="34">
      <c r="A34" s="51">
        <v>29.0</v>
      </c>
      <c r="B34" s="51">
        <v>10.0</v>
      </c>
      <c r="C34" s="51"/>
    </row>
    <row r="35">
      <c r="A35" s="51">
        <v>30.0</v>
      </c>
      <c r="B35" s="51">
        <v>9.0</v>
      </c>
      <c r="C35" s="51"/>
    </row>
    <row r="36">
      <c r="A36" s="51">
        <v>31.0</v>
      </c>
      <c r="B36" s="51">
        <v>9.0</v>
      </c>
      <c r="C36" s="51"/>
    </row>
    <row r="37">
      <c r="A37" s="51">
        <v>32.0</v>
      </c>
      <c r="B37" s="51">
        <v>9.0</v>
      </c>
      <c r="C37" s="51"/>
    </row>
    <row r="38">
      <c r="A38" s="51">
        <v>33.0</v>
      </c>
      <c r="B38" s="51">
        <v>8.0</v>
      </c>
      <c r="C38" s="51"/>
    </row>
    <row r="39">
      <c r="A39" s="51">
        <v>34.0</v>
      </c>
      <c r="B39" s="51">
        <v>8.0</v>
      </c>
      <c r="C39" s="51"/>
    </row>
    <row r="40">
      <c r="A40" s="51">
        <v>35.0</v>
      </c>
      <c r="B40" s="51">
        <v>7.0</v>
      </c>
      <c r="C40" s="51"/>
    </row>
    <row r="41">
      <c r="A41" s="51">
        <v>36.0</v>
      </c>
      <c r="B41" s="51">
        <v>7.0</v>
      </c>
      <c r="C41" s="51"/>
    </row>
    <row r="42">
      <c r="A42" s="51">
        <v>37.0</v>
      </c>
      <c r="B42" s="51">
        <v>6.0</v>
      </c>
      <c r="C42" s="51"/>
    </row>
    <row r="43">
      <c r="A43" s="51">
        <v>38.0</v>
      </c>
      <c r="B43" s="51">
        <v>6.0</v>
      </c>
      <c r="C43" s="51"/>
    </row>
    <row r="44">
      <c r="A44" s="51">
        <v>39.0</v>
      </c>
      <c r="B44" s="51">
        <v>5.0</v>
      </c>
      <c r="C44" s="51"/>
    </row>
    <row r="45">
      <c r="A45" s="51">
        <v>40.0</v>
      </c>
      <c r="B45" s="51">
        <v>4.0</v>
      </c>
      <c r="C45" s="51"/>
    </row>
  </sheetData>
  <mergeCells count="1">
    <mergeCell ref="A5:B5"/>
  </mergeCells>
  <conditionalFormatting sqref="B1">
    <cfRule type="expression" dxfId="1" priority="1">
      <formula>A2=1</formula>
    </cfRule>
  </conditionalFormatting>
  <conditionalFormatting sqref="B1">
    <cfRule type="expression" dxfId="2" priority="2">
      <formula>A2&gt;=16</formula>
    </cfRule>
  </conditionalFormatting>
  <conditionalFormatting sqref="B2">
    <cfRule type="expression" dxfId="3" priority="3">
      <formula>A2=1</formula>
    </cfRule>
  </conditionalFormatting>
  <conditionalFormatting sqref="B2">
    <cfRule type="expression" dxfId="4" priority="4">
      <formula>A2&gt;=16</formula>
    </cfRule>
  </conditionalFormatting>
  <conditionalFormatting sqref="D1">
    <cfRule type="expression" dxfId="2" priority="5">
      <formula>A2=1</formula>
    </cfRule>
  </conditionalFormatting>
  <conditionalFormatting sqref="D2">
    <cfRule type="expression" dxfId="4" priority="6">
      <formula>A2=1</formula>
    </cfRule>
  </conditionalFormatting>
  <conditionalFormatting sqref="E1">
    <cfRule type="expression" dxfId="5" priority="7">
      <formula>D2=false</formula>
    </cfRule>
  </conditionalFormatting>
  <conditionalFormatting sqref="E2">
    <cfRule type="expression" dxfId="2" priority="8">
      <formula>D2=false</formula>
    </cfRule>
  </conditionalFormatting>
  <conditionalFormatting sqref="F1">
    <cfRule type="expression" dxfId="5" priority="9">
      <formula>D2=false</formula>
    </cfRule>
  </conditionalFormatting>
  <conditionalFormatting sqref="F2">
    <cfRule type="expression" dxfId="5" priority="10">
      <formula>D2=false</formula>
    </cfRule>
  </conditionalFormatting>
  <conditionalFormatting sqref="D1">
    <cfRule type="expression" dxfId="5" priority="11">
      <formula>B2=true</formula>
    </cfRule>
  </conditionalFormatting>
  <conditionalFormatting sqref="D2">
    <cfRule type="expression" dxfId="6" priority="12">
      <formula>B2=true</formula>
    </cfRule>
  </conditionalFormatting>
  <conditionalFormatting sqref="A3">
    <cfRule type="expression" dxfId="5" priority="13">
      <formula>or(B2,D2)=false</formula>
    </cfRule>
  </conditionalFormatting>
  <conditionalFormatting sqref="A4">
    <cfRule type="expression" dxfId="2" priority="14">
      <formula>or(B2,D2)=false</formula>
    </cfRule>
  </conditionalFormatting>
  <conditionalFormatting sqref="B1">
    <cfRule type="expression" dxfId="2" priority="15">
      <formula>D2=true</formula>
    </cfRule>
  </conditionalFormatting>
  <conditionalFormatting sqref="B2">
    <cfRule type="expression" dxfId="4" priority="16">
      <formula>D2=true</formula>
    </cfRule>
  </conditionalFormatting>
  <conditionalFormatting sqref="C1">
    <cfRule type="expression" dxfId="2" priority="17">
      <formula>B2=false</formula>
    </cfRule>
  </conditionalFormatting>
  <conditionalFormatting sqref="C1">
    <cfRule type="expression" dxfId="5" priority="18">
      <formula>A2&lt;9</formula>
    </cfRule>
  </conditionalFormatting>
  <conditionalFormatting sqref="C2">
    <cfRule type="expression" dxfId="5" priority="19">
      <formula>B2=false</formula>
    </cfRule>
  </conditionalFormatting>
  <conditionalFormatting sqref="C2">
    <cfRule type="expression" dxfId="5" priority="20">
      <formula>A2&lt;9</formula>
    </cfRule>
  </conditionalFormatting>
  <dataValidations>
    <dataValidation type="list" allowBlank="1" showErrorMessage="1" sqref="A4">
      <formula1>"Elim. in 2nd-3rd rds,4th Place,3rd Place,Finalist,Winner"</formula1>
    </dataValidation>
    <dataValidation type="list" allowBlank="1" showErrorMessage="1" sqref="B4">
      <formula1>"None,Impact Award,Eng. Insp. Award,Other"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1" t="s">
        <v>637</v>
      </c>
    </row>
    <row r="2">
      <c r="A2" s="179">
        <v>9992.0</v>
      </c>
    </row>
    <row r="3">
      <c r="A3" s="179">
        <v>2832.0</v>
      </c>
    </row>
    <row r="4">
      <c r="A4" s="179">
        <v>302.0</v>
      </c>
    </row>
    <row r="5">
      <c r="A5" s="179">
        <v>7211.0</v>
      </c>
    </row>
    <row r="6">
      <c r="A6" s="180">
        <v>4779.0</v>
      </c>
    </row>
    <row r="7">
      <c r="A7" s="51">
        <v>503.0</v>
      </c>
    </row>
    <row r="8">
      <c r="A8" s="51">
        <v>3656.0</v>
      </c>
    </row>
    <row r="9">
      <c r="A9" s="51">
        <v>8280.0</v>
      </c>
    </row>
    <row r="10">
      <c r="A10" s="51">
        <v>1711.0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sheetData>
    <row r="1" ht="22.5" customHeight="1">
      <c r="A1" s="181" t="s">
        <v>638</v>
      </c>
      <c r="D1" s="182" t="s">
        <v>315</v>
      </c>
      <c r="F1" s="183"/>
      <c r="G1" s="184" t="s">
        <v>639</v>
      </c>
      <c r="I1" s="183"/>
      <c r="J1" s="185" t="s">
        <v>640</v>
      </c>
    </row>
    <row r="2">
      <c r="A2" s="186"/>
      <c r="D2" s="187">
        <v>1.0</v>
      </c>
      <c r="F2" s="183"/>
      <c r="G2" s="188"/>
      <c r="I2" s="183"/>
    </row>
    <row r="3">
      <c r="A3" s="189" t="str">
        <f>IFERROR(__xludf.DUMMYFUNCTION("Iferror(query(filter('Pre-Scouting Sign-Up'!B:B, 'Pre-Scouting Sign-Up'!A:A=D2), ""Select Col1""),"""")"),"")</f>
        <v/>
      </c>
      <c r="B3" s="189" t="str">
        <f>IFERROR(__xludf.DUMMYFUNCTION("Iferror(query(filter('Pre-Scouting Sign-Up'!C:C, 'Pre-Scouting Sign-Up'!A:A=D2), ""Select Col1""),"""")"),"")</f>
        <v/>
      </c>
      <c r="C3" s="190" t="str">
        <f>IFERROR(__xludf.DUMMYFUNCTION("iferror(query(filter('Pre-Scouting Sign-Up'!D:D, 'Pre-Scouting Sign-Up'!A:A=D2), ""Select Col1""),"""")"),"")</f>
        <v/>
      </c>
      <c r="D3" s="80"/>
      <c r="F3" s="183"/>
      <c r="G3" s="191" t="str">
        <f>IFERROR(__xludf.DUMMYFUNCTION("iferror(query(filter(#REF!, 'Pre-Scouting Sign-Up'!A:A=D2), ""Select Col1""),"""")"),"")</f>
        <v/>
      </c>
      <c r="H3" s="191" t="str">
        <f>IFERROR(__xludf.DUMMYFUNCTION("Iferror(query(filter(#REF!, 'Pre-Scouting Sign-Up'!A:A=D2), ""Select Col1""),"""")"),"")</f>
        <v/>
      </c>
      <c r="I3" s="192" t="str">
        <f>IFERROR(__xludf.DUMMYFUNCTION("Iferror(query(filter(#REF!, 'Pre-Scouting Sign-Up'!A:A=D2), ""Select Col1""),"""")"),"")</f>
        <v/>
      </c>
    </row>
    <row r="4">
      <c r="A4" s="186"/>
      <c r="D4" s="193" t="s">
        <v>1</v>
      </c>
      <c r="E4" s="194"/>
      <c r="F4" s="195"/>
      <c r="G4" s="188"/>
      <c r="J4" s="196"/>
    </row>
    <row r="5">
      <c r="A5" s="62" t="str">
        <f>IFERROR(__xludf.DUMMYFUNCTION("filter('Pre-Scouting - Saline'!C:C,'Pre-Scouting - Saline'!B:B=A3)"),"#REF!")</f>
        <v>#REF!</v>
      </c>
      <c r="B5" s="62" t="str">
        <f>IFERROR(__xludf.DUMMYFUNCTION("filter('Pre-Scouting - Saline'!C:C,'Pre-Scouting - Saline'!B:B=B3)"),"#REF!")</f>
        <v>#REF!</v>
      </c>
      <c r="C5" s="197" t="str">
        <f>IFERROR(__xludf.DUMMYFUNCTION("filter('Pre-Scouting - Saline'!C:C,'Pre-Scouting - Saline'!B:B=C3)"),"#REF!")</f>
        <v>#REF!</v>
      </c>
      <c r="D5" s="76" t="s">
        <v>15</v>
      </c>
      <c r="F5" s="183"/>
      <c r="G5" s="62" t="str">
        <f>IFERROR(__xludf.DUMMYFUNCTION("filter('Pre-Scouting - Saline'!C:C,'Pre-Scouting - Saline'!B:B=G3)"),"#REF!")</f>
        <v>#REF!</v>
      </c>
      <c r="H5" s="62" t="str">
        <f>IFERROR(__xludf.DUMMYFUNCTION("filter('Pre-Scouting - Saline'!C:C,'Pre-Scouting - Saline'!B:B=H3)"),"#REF!")</f>
        <v>#REF!</v>
      </c>
      <c r="I5" s="62" t="str">
        <f>IFERROR(__xludf.DUMMYFUNCTION("filter('Pre-Scouting - Saline'!C:C,'Pre-Scouting - Saline'!B:B=I3)"),"#REF!")</f>
        <v>#REF!</v>
      </c>
      <c r="J5" s="198"/>
    </row>
    <row r="6">
      <c r="A6" s="199" t="str">
        <f>IFERROR(__xludf.DUMMYFUNCTION("filter('Pre-Scouting - Saline'!G:G,'Pre-Scouting - Saline'!B:B=A3)"),"#REF!")</f>
        <v>#REF!</v>
      </c>
      <c r="B6" s="199" t="str">
        <f>IFERROR(__xludf.DUMMYFUNCTION("filter('Pre-Scouting - Saline'!G:G,'Pre-Scouting - Saline'!B:B=B3)"),"#REF!")</f>
        <v>#REF!</v>
      </c>
      <c r="C6" s="200" t="str">
        <f>IFERROR(__xludf.DUMMYFUNCTION("filter('Pre-Scouting - Saline'!G:G,'Pre-Scouting - Saline'!B:B=C3)"),"#REF!")</f>
        <v>#REF!</v>
      </c>
      <c r="D6" s="76" t="s">
        <v>641</v>
      </c>
      <c r="F6" s="183"/>
      <c r="G6" s="64" t="str">
        <f>IFERROR(__xludf.DUMMYFUNCTION("filter('Pre-Scouting - Saline'!G:G,'Pre-Scouting - Saline'!B:B=G3)"),"#REF!")</f>
        <v>#REF!</v>
      </c>
      <c r="H6" s="64" t="str">
        <f>IFERROR(__xludf.DUMMYFUNCTION("filter('Pre-Scouting - Saline'!G:G,'Pre-Scouting - Saline'!B:B=H3)"),"#REF!")</f>
        <v>#REF!</v>
      </c>
      <c r="I6" s="64" t="str">
        <f>IFERROR(__xludf.DUMMYFUNCTION("filter('Pre-Scouting - Saline'!G:G,'Pre-Scouting - Saline'!B:B=I3)"),"#REF!")</f>
        <v>#REF!</v>
      </c>
      <c r="J6" s="198"/>
    </row>
    <row r="7">
      <c r="A7" s="201" t="str">
        <f>IFERROR(__xludf.DUMMYFUNCTION("filter('Pre-Scouting - Saline'!L:L,'Pre-Scouting - Saline'!B:B=A3)"),"#REF!")</f>
        <v>#REF!</v>
      </c>
      <c r="B7" s="201" t="str">
        <f>IFERROR(__xludf.DUMMYFUNCTION("filter('Pre-Scouting - Saline'!L:L,'Pre-Scouting - Saline'!B:B=B3)"),"#REF!")</f>
        <v>#REF!</v>
      </c>
      <c r="C7" s="200" t="str">
        <f>IFERROR(__xludf.DUMMYFUNCTION("filter('Pre-Scouting - Saline'!L:L,'Pre-Scouting - Saline'!B:B=C3)"),"#REF!")</f>
        <v>#REF!</v>
      </c>
      <c r="D7" s="76" t="s">
        <v>642</v>
      </c>
      <c r="F7" s="183"/>
      <c r="G7" s="64" t="str">
        <f>IFERROR(__xludf.DUMMYFUNCTION("filter('Pre-Scouting - Saline'!L:L,'Pre-Scouting - Saline'!B:B=G3)"),"#REF!")</f>
        <v>#REF!</v>
      </c>
      <c r="H7" s="64" t="str">
        <f>IFERROR(__xludf.DUMMYFUNCTION("filter('Pre-Scouting - Saline'!L:L,'Pre-Scouting - Saline'!B:B=H3)"),"#REF!")</f>
        <v>#REF!</v>
      </c>
      <c r="I7" s="64" t="str">
        <f>IFERROR(__xludf.DUMMYFUNCTION("filter('Pre-Scouting - Saline'!L:L,'Pre-Scouting - Saline'!B:B=I3)"),"#REF!")</f>
        <v>#REF!</v>
      </c>
      <c r="J7" s="196"/>
    </row>
    <row r="8">
      <c r="A8" s="199" t="str">
        <f>IFERROR(__xludf.DUMMYFUNCTION("filter('Pre-Scouting - Saline'!Q:Q,'Pre-Scouting - Saline'!B:B=A3)"),"#REF!")</f>
        <v>#REF!</v>
      </c>
      <c r="B8" s="64" t="str">
        <f>IFERROR(__xludf.DUMMYFUNCTION("filter('Pre-Scouting - Saline'!Q:Q,'Pre-Scouting - Saline'!B:B=B3)"),"#REF!")</f>
        <v>#REF!</v>
      </c>
      <c r="C8" s="200" t="str">
        <f>IFERROR(__xludf.DUMMYFUNCTION("filter('Pre-Scouting - Saline'!Q:Q,'Pre-Scouting - Saline'!B:B=C3)"),"#REF!")</f>
        <v>#REF!</v>
      </c>
      <c r="D8" s="202" t="s">
        <v>643</v>
      </c>
      <c r="F8" s="183"/>
      <c r="G8" s="64" t="str">
        <f>IFERROR(__xludf.DUMMYFUNCTION("filter('Pre-Scouting - Saline'!Q:Q,'Pre-Scouting - Saline'!B:B=G3)"),"#REF!")</f>
        <v>#REF!</v>
      </c>
      <c r="H8" s="64" t="str">
        <f>IFERROR(__xludf.DUMMYFUNCTION("filter('Pre-Scouting - Saline'!Q:Q,'Pre-Scouting - Saline'!B:B=H3)"),"#REF!")</f>
        <v>#REF!</v>
      </c>
      <c r="I8" s="64" t="str">
        <f>IFERROR(__xludf.DUMMYFUNCTION("filter('Pre-Scouting - Saline'!Q:Q,'Pre-Scouting - Saline'!B:B=I3)"),"#REF!")</f>
        <v>#REF!</v>
      </c>
      <c r="J8" s="196"/>
    </row>
    <row r="9">
      <c r="A9" s="64" t="str">
        <f>IFERROR(__xludf.DUMMYFUNCTION("filter('Pre-Scouting - Saline'!V:V,'Pre-Scouting - Saline'!B:B=A3)"),"#REF!")</f>
        <v>#REF!</v>
      </c>
      <c r="B9" s="64" t="str">
        <f>IFERROR(__xludf.DUMMYFUNCTION("filter('Pre-Scouting - Saline'!V:V,'Pre-Scouting - Saline'!B:B=B3)"),"#REF!")</f>
        <v>#REF!</v>
      </c>
      <c r="C9" s="64" t="str">
        <f>IFERROR(__xludf.DUMMYFUNCTION("filter('Pre-Scouting - Saline'!V:V,'Pre-Scouting - Saline'!B:B=C3)"),"#REF!")</f>
        <v>#REF!</v>
      </c>
      <c r="D9" s="203" t="s">
        <v>644</v>
      </c>
      <c r="F9" s="183"/>
      <c r="G9" s="64" t="str">
        <f>IFERROR(__xludf.DUMMYFUNCTION("filter('Pre-Scouting - Saline'!V:V,'Pre-Scouting - Saline'!B:B=G3)"),"#REF!")</f>
        <v>#REF!</v>
      </c>
      <c r="H9" s="64" t="str">
        <f>IFERROR(__xludf.DUMMYFUNCTION("filter('Pre-Scouting - Saline'!V:V,'Pre-Scouting - Saline'!B:B=H3)"),"#REF!")</f>
        <v>#REF!</v>
      </c>
      <c r="I9" s="64" t="str">
        <f>IFERROR(__xludf.DUMMYFUNCTION("filter('Pre-Scouting - Saline'!V:V,'Pre-Scouting - Saline'!B:B=I3)"),"#REF!")</f>
        <v>#REF!</v>
      </c>
      <c r="J9" s="204"/>
    </row>
    <row r="10">
      <c r="A10" s="55" t="str">
        <f>IFERROR(__xludf.DUMMYFUNCTION("filter('Pre-Scouting - Saline'!AA:AA,'Pre-Scouting - Saline'!B:B=A3)"),"#REF!")</f>
        <v>#REF!</v>
      </c>
      <c r="B10" s="55" t="str">
        <f>IFERROR(__xludf.DUMMYFUNCTION("filter('Pre-Scouting - Saline'!AA:AA,'Pre-Scouting - Saline'!B:B=B3)"),"#REF!")</f>
        <v>#REF!</v>
      </c>
      <c r="C10" s="55" t="str">
        <f>IFERROR(__xludf.DUMMYFUNCTION("filter('Pre-Scouting - Saline'!AA:AA,'Pre-Scouting - Saline'!B:B=C3)"),"#REF!")</f>
        <v>#REF!</v>
      </c>
      <c r="D10" s="203" t="s">
        <v>645</v>
      </c>
      <c r="F10" s="183"/>
      <c r="G10" s="55" t="str">
        <f>IFERROR(__xludf.DUMMYFUNCTION("filter('Pre-Scouting - Saline'!AA:AA,'Pre-Scouting - Saline'!B:B=G3)"),"#REF!")</f>
        <v>#REF!</v>
      </c>
      <c r="H10" s="55" t="str">
        <f>IFERROR(__xludf.DUMMYFUNCTION("filter('Pre-Scouting - Saline'!AA:AA,'Pre-Scouting - Saline'!B:B=H3)"),"#REF!")</f>
        <v>#REF!</v>
      </c>
      <c r="I10" s="55" t="str">
        <f>IFERROR(__xludf.DUMMYFUNCTION("filter('Pre-Scouting - Saline'!AA:AA,'Pre-Scouting - Saline'!B:B=I3)"),"#REF!")</f>
        <v>#REF!</v>
      </c>
      <c r="J10" s="198"/>
    </row>
    <row r="11">
      <c r="A11" s="64" t="str">
        <f>IFERROR(__xludf.DUMMYFUNCTION("filter('Pre-Scouting - Saline'!AF:AF,'Pre-Scouting - Saline'!B:B=A3)"),"#REF!")</f>
        <v>#REF!</v>
      </c>
      <c r="B11" s="64" t="str">
        <f>IFERROR(__xludf.DUMMYFUNCTION("filter('Pre-Scouting - Saline'!AF:AF,'Pre-Scouting - Saline'!B:B=B3)"),"#REF!")</f>
        <v>#REF!</v>
      </c>
      <c r="C11" s="200" t="str">
        <f>IFERROR(__xludf.DUMMYFUNCTION("filter('Pre-Scouting - Saline'!AF:AF,'Pre-Scouting - Saline'!B:B=C3)"),"#REF!")</f>
        <v>#REF!</v>
      </c>
      <c r="D11" s="202" t="s">
        <v>646</v>
      </c>
      <c r="F11" s="183"/>
      <c r="G11" s="64" t="str">
        <f>IFERROR(__xludf.DUMMYFUNCTION("filter('Pre-Scouting - Saline'!AF:AF,'Pre-Scouting - Saline'!B:B=G3)"),"#REF!")</f>
        <v>#REF!</v>
      </c>
      <c r="H11" s="64" t="str">
        <f>IFERROR(__xludf.DUMMYFUNCTION("filter('Pre-Scouting - Saline'!AF:AF,'Pre-Scouting - Saline'!B:B=H3)"),"#REF!")</f>
        <v>#REF!</v>
      </c>
      <c r="I11" s="64" t="str">
        <f>IFERROR(__xludf.DUMMYFUNCTION("filter('Pre-Scouting - Saline'!AF:AF,'Pre-Scouting - Saline'!B:B=I3)"),"#REF!")</f>
        <v>#REF!</v>
      </c>
      <c r="J11" s="196"/>
    </row>
    <row r="12">
      <c r="A12" s="64" t="str">
        <f>IFERROR(__xludf.DUMMYFUNCTION("filter('Pre-Scouting - Saline'!AH:AH,'Pre-Scouting - Saline'!B:B=A3)"),"#REF!")</f>
        <v>#REF!</v>
      </c>
      <c r="B12" s="64" t="str">
        <f>IFERROR(__xludf.DUMMYFUNCTION("filter('Pre-Scouting - Saline'!AH:AH,'Pre-Scouting - Saline'!B:B=B3)"),"#REF!")</f>
        <v>#REF!</v>
      </c>
      <c r="C12" s="200" t="str">
        <f>IFERROR(__xludf.DUMMYFUNCTION("filter('Pre-Scouting - Saline'!AH:AH,'Pre-Scouting - Saline'!B:B=C3)"),"#REF!")</f>
        <v>#REF!</v>
      </c>
      <c r="D12" s="202" t="s">
        <v>647</v>
      </c>
      <c r="F12" s="183"/>
      <c r="G12" s="64" t="str">
        <f>IFERROR(__xludf.DUMMYFUNCTION("filter('Pre-Scouting - Saline'!AH:AH,'Pre-Scouting - Saline'!B:B=G3)"),"#REF!")</f>
        <v>#REF!</v>
      </c>
      <c r="H12" s="64" t="str">
        <f>IFERROR(__xludf.DUMMYFUNCTION("filter('Pre-Scouting - Saline'!AH:AH,'Pre-Scouting - Saline'!B:B=H3)"),"#REF!")</f>
        <v>#REF!</v>
      </c>
      <c r="I12" s="64" t="str">
        <f>IFERROR(__xludf.DUMMYFUNCTION("filter('Pre-Scouting - Saline'!AH:AH,'Pre-Scouting - Saline'!B:B=I3)"),"#REF!")</f>
        <v>#REF!</v>
      </c>
      <c r="J12" s="205"/>
    </row>
    <row r="13">
      <c r="A13" s="64" t="str">
        <f>IFERROR(__xludf.DUMMYFUNCTION("filter('Pre-Scouting - Saline'!AI:AI,'Pre-Scouting - Saline'!B:B=A3)"),"#REF!")</f>
        <v>#REF!</v>
      </c>
      <c r="B13" s="64" t="str">
        <f>IFERROR(__xludf.DUMMYFUNCTION("filter('Pre-Scouting - Saline'!AI:AI,'Pre-Scouting - Saline'!B:B=B3)"),"#REF!")</f>
        <v>#REF!</v>
      </c>
      <c r="C13" s="200" t="str">
        <f>IFERROR(__xludf.DUMMYFUNCTION("filter('Pre-Scouting - Saline'!AI:AI,'Pre-Scouting - Saline'!B:B=C3)"),"#REF!")</f>
        <v>#REF!</v>
      </c>
      <c r="D13" s="206" t="s">
        <v>648</v>
      </c>
      <c r="E13" s="207"/>
      <c r="F13" s="208"/>
      <c r="G13" s="64" t="str">
        <f>IFERROR(__xludf.DUMMYFUNCTION("filter('Pre-Scouting - Saline'!AI:AI,'Pre-Scouting - Saline'!B:B=G3)"),"#REF!")</f>
        <v>#REF!</v>
      </c>
      <c r="H13" s="64" t="str">
        <f>IFERROR(__xludf.DUMMYFUNCTION("filter('Pre-Scouting - Saline'!AI:AI,'Pre-Scouting - Saline'!B:B=H3)"),"#REF!")</f>
        <v>#REF!</v>
      </c>
      <c r="I13" s="64" t="str">
        <f>IFERROR(__xludf.DUMMYFUNCTION("filter('Pre-Scouting - Saline'!AI:AI,'Pre-Scouting - Saline'!B:B=I3)"),"#REF!")</f>
        <v>#REF!</v>
      </c>
      <c r="J13" s="198"/>
    </row>
    <row r="14">
      <c r="A14" s="209"/>
      <c r="D14" s="210" t="s">
        <v>605</v>
      </c>
      <c r="E14" s="194"/>
      <c r="F14" s="195"/>
      <c r="G14" s="211"/>
      <c r="J14" s="196"/>
    </row>
    <row r="15">
      <c r="A15" s="64" t="str">
        <f>IFERROR(__xludf.DUMMYFUNCTION("filter('Pre-Scouting - Saline'!AM:AM,'Pre-Scouting - Saline'!B:B=A3)"),"#REF!")</f>
        <v>#REF!</v>
      </c>
      <c r="B15" s="64" t="str">
        <f>IFERROR(__xludf.DUMMYFUNCTION("filter('Pre-Scouting - Saline'!AM:AM,'Pre-Scouting - Saline'!B:B=B3)"),"#REF!")</f>
        <v>#REF!</v>
      </c>
      <c r="C15" s="64" t="str">
        <f>IFERROR(__xludf.DUMMYFUNCTION("filter('Pre-Scouting - Saline'!AM:AM,'Pre-Scouting - Saline'!B:B=C3)"),"#REF!")</f>
        <v>#REF!</v>
      </c>
      <c r="D15" s="212" t="s">
        <v>641</v>
      </c>
      <c r="E15" s="213"/>
      <c r="F15" s="214"/>
      <c r="G15" s="199" t="str">
        <f>IFERROR(__xludf.DUMMYFUNCTION("filter('Pre-Scouting - Saline'!AM:AM,'Pre-Scouting - Saline'!B:B=G3)"),"#REF!")</f>
        <v>#REF!</v>
      </c>
      <c r="H15" s="64" t="str">
        <f>IFERROR(__xludf.DUMMYFUNCTION("filter('Pre-Scouting - Saline'!AM:AM,'Pre-Scouting - Saline'!B:B=H3)"),"#REF!")</f>
        <v>#REF!</v>
      </c>
      <c r="I15" s="64" t="str">
        <f>IFERROR(__xludf.DUMMYFUNCTION("filter('Pre-Scouting - Saline'!AM:AM,'Pre-Scouting - Saline'!B:B=I3)"),"#REF!")</f>
        <v>#REF!</v>
      </c>
      <c r="J15" s="198"/>
    </row>
    <row r="16">
      <c r="A16" s="55" t="str">
        <f>IFERROR(__xludf.DUMMYFUNCTION("filter('Pre-Scouting - Saline'!AR:AR,'Pre-Scouting - Saline'!B:B=A3)"),"#REF!")</f>
        <v>#REF!</v>
      </c>
      <c r="B16" s="55" t="str">
        <f>IFERROR(__xludf.DUMMYFUNCTION("filter('Pre-Scouting - Saline'!AR:AR,'Pre-Scouting - Saline'!B:B=B3)"),"#REF!")</f>
        <v>#REF!</v>
      </c>
      <c r="C16" s="55" t="str">
        <f>IFERROR(__xludf.DUMMYFUNCTION("filter('Pre-Scouting - Saline'!AR:AR,'Pre-Scouting - Saline'!B:B=C3)"),"#REF!")</f>
        <v>#REF!</v>
      </c>
      <c r="D16" s="203" t="s">
        <v>642</v>
      </c>
      <c r="F16" s="183"/>
      <c r="G16" s="55" t="str">
        <f>IFERROR(__xludf.DUMMYFUNCTION("filter('Pre-Scouting - Saline'!AR:AR,'Pre-Scouting - Saline'!B:B=G3)"),"#REF!")</f>
        <v>#REF!</v>
      </c>
      <c r="H16" s="55" t="str">
        <f>IFERROR(__xludf.DUMMYFUNCTION("filter('Pre-Scouting - Saline'!AR:AR,'Pre-Scouting - Saline'!B:B=H3)"),"#REF!")</f>
        <v>#REF!</v>
      </c>
      <c r="I16" s="55" t="str">
        <f>IFERROR(__xludf.DUMMYFUNCTION("filter('Pre-Scouting - Saline'!AR:AR,'Pre-Scouting - Saline'!B:B=I3)"),"#REF!")</f>
        <v>#REF!</v>
      </c>
      <c r="J16" s="62"/>
    </row>
    <row r="17">
      <c r="A17" s="215" t="str">
        <f>IFERROR(__xludf.DUMMYFUNCTION("filter('Pre-Scouting - Saline'!AW:AW,'Pre-Scouting - Saline'!B:B=A3)"),"#REF!")</f>
        <v>#REF!</v>
      </c>
      <c r="B17" s="64" t="str">
        <f>IFERROR(__xludf.DUMMYFUNCTION("filter('Pre-Scouting - Saline'!AW:AW,'Pre-Scouting - Saline'!B:B=B3)"),"#REF!")</f>
        <v>#REF!</v>
      </c>
      <c r="C17" s="64" t="str">
        <f>IFERROR(__xludf.DUMMYFUNCTION("filter('Pre-Scouting - Saline'!AW:AW,'Pre-Scouting - Saline'!B:B=C3)"),"#REF!")</f>
        <v>#REF!</v>
      </c>
      <c r="D17" s="202" t="s">
        <v>643</v>
      </c>
      <c r="F17" s="183"/>
      <c r="G17" s="64" t="str">
        <f>IFERROR(__xludf.DUMMYFUNCTION("filter('Pre-Scouting - Saline'!AW:AW,'Pre-Scouting - Saline'!B:B=G3)"),"#REF!")</f>
        <v>#REF!</v>
      </c>
      <c r="H17" s="64" t="str">
        <f>IFERROR(__xludf.DUMMYFUNCTION("filter('Pre-Scouting - Saline'!AW:AW,'Pre-Scouting - Saline'!B:B=H3)"),"#REF!")</f>
        <v>#REF!</v>
      </c>
      <c r="I17" s="64" t="str">
        <f>IFERROR(__xludf.DUMMYFUNCTION("filter('Pre-Scouting - Saline'!AW:AW,'Pre-Scouting - Saline'!B:B=I3)"),"#REF!")</f>
        <v>#REF!</v>
      </c>
    </row>
    <row r="18">
      <c r="A18" s="64" t="str">
        <f>IFERROR(__xludf.DUMMYFUNCTION("filter('Pre-Scouting - Saline'!BB:BB,'Pre-Scouting - Saline'!B:B=A3)"),"#REF!")</f>
        <v>#REF!</v>
      </c>
      <c r="B18" s="64" t="str">
        <f>IFERROR(__xludf.DUMMYFUNCTION("filter('Pre-Scouting - Saline'!BB:BB,'Pre-Scouting - Saline'!B:B=B3)"),"#REF!")</f>
        <v>#REF!</v>
      </c>
      <c r="C18" s="64" t="str">
        <f>IFERROR(__xludf.DUMMYFUNCTION("filter('Pre-Scouting - Saline'!BB:BB,'Pre-Scouting - Saline'!B:B=C3)"),"#REF!")</f>
        <v>#REF!</v>
      </c>
      <c r="D18" s="203" t="s">
        <v>644</v>
      </c>
      <c r="F18" s="183"/>
      <c r="G18" s="64" t="str">
        <f>IFERROR(__xludf.DUMMYFUNCTION("filter('Pre-Scouting - Saline'!BB:BB,'Pre-Scouting - Saline'!B:B=G3)"),"#REF!")</f>
        <v>#REF!</v>
      </c>
      <c r="H18" s="64" t="str">
        <f>IFERROR(__xludf.DUMMYFUNCTION("filter('Pre-Scouting - Saline'!BB:BB,'Pre-Scouting - Saline'!B:B=H3)"),"#REF!")</f>
        <v>#REF!</v>
      </c>
      <c r="I18" s="64" t="str">
        <f>IFERROR(__xludf.DUMMYFUNCTION("filter('Pre-Scouting - Saline'!BB:BB,'Pre-Scouting - Saline'!B:B=I3)"),"#REF!")</f>
        <v>#REF!</v>
      </c>
    </row>
    <row r="19">
      <c r="A19" s="64" t="str">
        <f>IFERROR(__xludf.DUMMYFUNCTION("filter('Pre-Scouting - Saline'!BG:BG,'Pre-Scouting - Saline'!B:B=A3)"),"#REF!")</f>
        <v>#REF!</v>
      </c>
      <c r="B19" s="64" t="str">
        <f>IFERROR(__xludf.DUMMYFUNCTION("filter('Pre-Scouting - Saline'!BG:BG,'Pre-Scouting - Saline'!B:B=B3)"),"#REF!")</f>
        <v>#REF!</v>
      </c>
      <c r="C19" s="64" t="str">
        <f>IFERROR(__xludf.DUMMYFUNCTION("filter('Pre-Scouting - Saline'!BG:BG,'Pre-Scouting - Saline'!B:B=C3)"),"#REF!")</f>
        <v>#REF!</v>
      </c>
      <c r="D19" s="203" t="s">
        <v>645</v>
      </c>
      <c r="F19" s="183"/>
      <c r="G19" s="64" t="str">
        <f>IFERROR(__xludf.DUMMYFUNCTION("filter('Pre-Scouting - Saline'!BG:BG,'Pre-Scouting - Saline'!B:B=G3)"),"#REF!")</f>
        <v>#REF!</v>
      </c>
      <c r="H19" s="215" t="str">
        <f>IFERROR(__xludf.DUMMYFUNCTION("filter('Pre-Scouting - Saline'!BG:BG,'Pre-Scouting - Saline'!B:B=H3)"),"#REF!")</f>
        <v>#REF!</v>
      </c>
      <c r="I19" s="64" t="str">
        <f>IFERROR(__xludf.DUMMYFUNCTION("filter('Pre-Scouting - Saline'!BG:BG,'Pre-Scouting - Saline'!B:B=I3)"),"#REF!")</f>
        <v>#REF!</v>
      </c>
      <c r="J19" s="216">
        <f>if(B28=3322,1,0)+if(C28=3322,1,0)+if(D28=3322,1,0)</f>
        <v>0</v>
      </c>
    </row>
    <row r="20">
      <c r="A20" s="64" t="str">
        <f>IFERROR(__xludf.DUMMYFUNCTION("filter('Pre-Scouting - Saline'!BL:BL,'Pre-Scouting - Saline'!B:B=A3)"),"#REF!")</f>
        <v>#REF!</v>
      </c>
      <c r="B20" s="64" t="str">
        <f>IFERROR(__xludf.DUMMYFUNCTION("filter('Pre-Scouting - Saline'!BL:BL,'Pre-Scouting - Saline'!B:B=B3)"),"#REF!")</f>
        <v>#REF!</v>
      </c>
      <c r="C20" s="64" t="str">
        <f>IFERROR(__xludf.DUMMYFUNCTION("filter('Pre-Scouting - Saline'!BL:BL,'Pre-Scouting - Saline'!B:B=C3)"),"#REF!")</f>
        <v>#REF!</v>
      </c>
      <c r="D20" s="202" t="s">
        <v>646</v>
      </c>
      <c r="F20" s="183"/>
      <c r="G20" s="217" t="str">
        <f>IFERROR(__xludf.DUMMYFUNCTION("filter('Pre-Scouting - Saline'!BL:BL,'Pre-Scouting - Saline'!B:B=G3)"),"#REF!")</f>
        <v>#REF!</v>
      </c>
      <c r="H20" s="217" t="str">
        <f>IFERROR(__xludf.DUMMYFUNCTION("filter('Pre-Scouting - Saline'!BL:BL,'Pre-Scouting - Saline'!B:B=H3)"),"#REF!")</f>
        <v>#REF!</v>
      </c>
      <c r="I20" s="217" t="str">
        <f>IFERROR(__xludf.DUMMYFUNCTION("filter('Pre-Scouting - Saline'!BL:BL,'Pre-Scouting - Saline'!B:B=I3)"),"#REF!")</f>
        <v>#REF!</v>
      </c>
      <c r="J20" s="216"/>
      <c r="K20" s="216"/>
    </row>
    <row r="21">
      <c r="A21" s="55" t="str">
        <f>IFERROR(__xludf.DUMMYFUNCTION("filter('Pre-Scouting - Saline'!BN:BN,'Pre-Scouting - Saline'!B:B=A3)"),"#REF!")</f>
        <v>#REF!</v>
      </c>
      <c r="B21" s="55" t="str">
        <f>IFERROR(__xludf.DUMMYFUNCTION("filter('Pre-Scouting - Saline'!BN:BN,'Pre-Scouting - Saline'!B:B=B3)"),"#REF!")</f>
        <v>#REF!</v>
      </c>
      <c r="C21" s="55" t="str">
        <f>IFERROR(__xludf.DUMMYFUNCTION("filter('Pre-Scouting - Saline'!BN:BN,'Pre-Scouting - Saline'!B:B=C3)"),"#REF!")</f>
        <v>#REF!</v>
      </c>
      <c r="D21" s="202" t="s">
        <v>647</v>
      </c>
      <c r="F21" s="183"/>
      <c r="G21" s="55" t="str">
        <f>IFERROR(__xludf.DUMMYFUNCTION("filter('Pre-Scouting - Saline'!BN:BN,'Pre-Scouting - Saline'!B:B=G3)"),"#REF!")</f>
        <v>#REF!</v>
      </c>
      <c r="H21" s="55" t="str">
        <f>IFERROR(__xludf.DUMMYFUNCTION("filter('Pre-Scouting - Saline'!BN:BN,'Pre-Scouting - Saline'!B:B=H3)"),"#REF!")</f>
        <v>#REF!</v>
      </c>
      <c r="I21" s="55" t="str">
        <f>IFERROR(__xludf.DUMMYFUNCTION("filter('Pre-Scouting - Saline'!BN:BN,'Pre-Scouting - Saline'!B:B=I3)"),"#REF!")</f>
        <v>#REF!</v>
      </c>
    </row>
    <row r="22">
      <c r="A22" s="55" t="str">
        <f>IFERROR(__xludf.DUMMYFUNCTION("filter('Pre-Scouting - Saline'!BO:BO,'Pre-Scouting - Saline'!B:B=A3)"),"#REF!")</f>
        <v>#REF!</v>
      </c>
      <c r="B22" s="55" t="str">
        <f>IFERROR(__xludf.DUMMYFUNCTION("filter('Pre-Scouting - Saline'!BO:BO,'Pre-Scouting - Saline'!B:B=B3)"),"#REF!")</f>
        <v>#REF!</v>
      </c>
      <c r="C22" s="55" t="str">
        <f>IFERROR(__xludf.DUMMYFUNCTION("filter('Pre-Scouting - Saline'!BO:BO,'Pre-Scouting - Saline'!B:B=C3)"),"#REF!")</f>
        <v>#REF!</v>
      </c>
      <c r="D22" s="206" t="s">
        <v>648</v>
      </c>
      <c r="E22" s="207"/>
      <c r="F22" s="208"/>
      <c r="G22" s="55" t="str">
        <f>IFERROR(__xludf.DUMMYFUNCTION("filter('Pre-Scouting - Saline'!BO:BO,'Pre-Scouting - Saline'!B:B=G3)"),"#REF!")</f>
        <v>#REF!</v>
      </c>
      <c r="H22" s="55" t="str">
        <f>IFERROR(__xludf.DUMMYFUNCTION("filter('Pre-Scouting - Saline'!BO:BO,'Pre-Scouting - Saline'!B:B=H3)"),"#REF!")</f>
        <v>#REF!</v>
      </c>
      <c r="I22" s="55" t="str">
        <f>IFERROR(__xludf.DUMMYFUNCTION("filter('Pre-Scouting - Saline'!BO:BO,'Pre-Scouting - Saline'!B:B=I3)"),"#REF!")</f>
        <v>#REF!</v>
      </c>
    </row>
    <row r="23">
      <c r="A23" s="218"/>
      <c r="D23" s="193" t="s">
        <v>581</v>
      </c>
      <c r="E23" s="194"/>
      <c r="F23" s="195"/>
      <c r="G23" s="219"/>
    </row>
    <row r="24">
      <c r="A24" s="199" t="str">
        <f>IFERROR(__xludf.DUMMYFUNCTION("filter('Pre-Scouting - Saline'!BR:BR,'Pre-Scouting - Saline'!B:B=A3)"),"#REF!")</f>
        <v>#REF!</v>
      </c>
      <c r="B24" s="55" t="str">
        <f>IFERROR(__xludf.DUMMYFUNCTION("filter('Pre-Scouting - Saline'!BR:BR,'Pre-Scouting - Saline'!B:B=B3)"),"#REF!")</f>
        <v>#REF!</v>
      </c>
      <c r="C24" s="55" t="str">
        <f>IFERROR(__xludf.DUMMYFUNCTION("filter('Pre-Scouting - Saline'!BR:BR,'Pre-Scouting - Saline'!B:B=C3)"),"#REF!")</f>
        <v>#REF!</v>
      </c>
      <c r="D24" s="220" t="s">
        <v>649</v>
      </c>
      <c r="F24" s="183"/>
      <c r="G24" s="55" t="str">
        <f>IFERROR(__xludf.DUMMYFUNCTION("filter('Pre-Scouting - Saline'!BR:BR,'Pre-Scouting - Saline'!B:B=G3)"),"#REF!")</f>
        <v>#REF!</v>
      </c>
      <c r="H24" s="55" t="str">
        <f>IFERROR(__xludf.DUMMYFUNCTION("filter('Pre-Scouting - Saline'!BR:BR,'Pre-Scouting - Saline'!B:B=H3)"),"#REF!")</f>
        <v>#REF!</v>
      </c>
      <c r="I24" s="55" t="str">
        <f>IFERROR(__xludf.DUMMYFUNCTION("filter('Pre-Scouting - Saline'!BR:BR,'Pre-Scouting - Saline'!B:B=I3)"),"#REF!")</f>
        <v>#REF!</v>
      </c>
    </row>
    <row r="25">
      <c r="A25" s="55" t="str">
        <f>IFERROR(__xludf.DUMMYFUNCTION("filter('Pre-Scouting - Saline'!BS:BS,'Pre-Scouting - Saline'!B:B=A3)"),"#REF!")</f>
        <v>#REF!</v>
      </c>
      <c r="B25" s="55" t="str">
        <f>IFERROR(__xludf.DUMMYFUNCTION("filter('Pre-Scouting - Saline'!BS:BS,'Pre-Scouting - Saline'!B:B=B3)"),"#REF!")</f>
        <v>#REF!</v>
      </c>
      <c r="C25" s="55" t="str">
        <f>IFERROR(__xludf.DUMMYFUNCTION("filter('Pre-Scouting - Saline'!BS:BS,'Pre-Scouting - Saline'!B:B=C3)"),"#REF!")</f>
        <v>#REF!</v>
      </c>
      <c r="D25" s="220" t="s">
        <v>650</v>
      </c>
      <c r="F25" s="183"/>
      <c r="G25" s="55" t="str">
        <f>IFERROR(__xludf.DUMMYFUNCTION("filter('Pre-Scouting - Saline'!BS:BS,'Pre-Scouting - Saline'!B:B=G3)"),"#REF!")</f>
        <v>#REF!</v>
      </c>
      <c r="H25" s="55" t="str">
        <f>IFERROR(__xludf.DUMMYFUNCTION("filter('Pre-Scouting - Saline'!BS:BS,'Pre-Scouting - Saline'!B:B=H3)"),"#REF!")</f>
        <v>#REF!</v>
      </c>
      <c r="I25" s="55" t="str">
        <f>IFERROR(__xludf.DUMMYFUNCTION("filter('Pre-Scouting - Saline'!BS:BS,'Pre-Scouting - Saline'!B:B=I3)"),"#REF!")</f>
        <v>#REF!</v>
      </c>
    </row>
    <row r="26">
      <c r="A26" s="55" t="str">
        <f>IFERROR(__xludf.DUMMYFUNCTION("filter('Pre-Scouting - Saline'!BP:BP,'Pre-Scouting - Saline'!B:B=A3)"),"#REF!")</f>
        <v>#REF!</v>
      </c>
      <c r="B26" s="55" t="str">
        <f>IFERROR(__xludf.DUMMYFUNCTION("filter('Pre-Scouting - Saline'!BP:BP,'Pre-Scouting - Saline'!B:B=B3)"),"#REF!")</f>
        <v>#REF!</v>
      </c>
      <c r="C26" s="55" t="str">
        <f>IFERROR(__xludf.DUMMYFUNCTION("filter('Pre-Scouting - Saline'!BP:BP,'Pre-Scouting - Saline'!B:B=C3)"),"#REF!")</f>
        <v>#REF!</v>
      </c>
      <c r="D26" s="220" t="s">
        <v>23</v>
      </c>
      <c r="F26" s="183"/>
      <c r="G26" s="55" t="str">
        <f>IFERROR(__xludf.DUMMYFUNCTION("filter('Pre-Scouting - Saline'!BP:BP,'Pre-Scouting - Saline'!B:B=G3)"),"#REF!")</f>
        <v>#REF!</v>
      </c>
      <c r="H26" s="55" t="str">
        <f>IFERROR(__xludf.DUMMYFUNCTION("filter('Pre-Scouting - Saline'!BP:BP,'Pre-Scouting - Saline'!B:B=H3)"),"#REF!")</f>
        <v>#REF!</v>
      </c>
      <c r="I26" s="55" t="str">
        <f>IFERROR(__xludf.DUMMYFUNCTION("filter('Pre-Scouting - Saline'!BP:BP,'Pre-Scouting - Saline'!B:B=I3)"),"#REF!")</f>
        <v>#REF!</v>
      </c>
    </row>
    <row r="27">
      <c r="A27" s="221" t="s">
        <v>635</v>
      </c>
      <c r="B27" s="222" t="s">
        <v>635</v>
      </c>
      <c r="C27" s="222" t="s">
        <v>635</v>
      </c>
      <c r="D27" s="223" t="s">
        <v>651</v>
      </c>
      <c r="E27" s="194"/>
      <c r="F27" s="194"/>
      <c r="G27" s="222" t="s">
        <v>635</v>
      </c>
      <c r="H27" s="222" t="s">
        <v>635</v>
      </c>
      <c r="I27" s="224" t="s">
        <v>635</v>
      </c>
      <c r="J27" s="225" t="s">
        <v>652</v>
      </c>
      <c r="K27" s="226"/>
    </row>
    <row r="28">
      <c r="A28" s="227" t="str">
        <f t="shared" ref="A28:C28" si="1">A3</f>
        <v/>
      </c>
      <c r="B28" s="227" t="str">
        <f t="shared" si="1"/>
        <v/>
      </c>
      <c r="C28" s="227" t="str">
        <f t="shared" si="1"/>
        <v/>
      </c>
      <c r="D28" s="228" t="s">
        <v>653</v>
      </c>
      <c r="E28" s="229"/>
      <c r="F28" s="230" t="s">
        <v>654</v>
      </c>
      <c r="G28" s="231" t="str">
        <f t="shared" ref="G28:I28" si="2">G3</f>
        <v/>
      </c>
      <c r="H28" s="231" t="str">
        <f t="shared" si="2"/>
        <v/>
      </c>
      <c r="I28" s="232" t="str">
        <f t="shared" si="2"/>
        <v/>
      </c>
      <c r="J28" s="233" t="s">
        <v>655</v>
      </c>
      <c r="K28" s="234">
        <f>Iferror(if((K32/2)&lt;0,0,round(K32/2,0)), "-")</f>
        <v>0</v>
      </c>
    </row>
    <row r="29">
      <c r="A29" s="235">
        <f>IFERROR(__xludf.DUMMYFUNCTION("IF(filter('Pre-Scouting - Saline'!CD:CD,'Pre-Scouting - Saline'!B:B=A3)=""1"",3,0)"),0.0)</f>
        <v>0</v>
      </c>
      <c r="B29" s="236">
        <f>IFERROR(__xludf.DUMMYFUNCTION("IF(filter('Pre-Scouting - Saline'!CD:CD,'Pre-Scouting - Saline'!B:B=B3)=""1"",3,0)"),0.0)</f>
        <v>0</v>
      </c>
      <c r="C29" s="236">
        <f>IFERROR(__xludf.DUMMYFUNCTION("IF(filter('Pre-Scouting - Saline'!CD:CD,'Pre-Scouting - Saline'!B:B=C3)=""1"",3,0)"),0.0)</f>
        <v>0</v>
      </c>
      <c r="D29" s="237">
        <f>SUM(A29:C29)</f>
        <v>0</v>
      </c>
      <c r="E29" s="238" t="s">
        <v>15</v>
      </c>
      <c r="F29" s="239">
        <f>Sum(G29:I29)</f>
        <v>0</v>
      </c>
      <c r="G29" s="240">
        <f>IFERROR(__xludf.DUMMYFUNCTION("IF(filter('Pre-Scouting - Saline'!CD:CD,'Pre-Scouting - Saline'!B:B=G3)=""1"",3,0)"),0.0)</f>
        <v>0</v>
      </c>
      <c r="H29" s="240">
        <f>IFERROR(__xludf.DUMMYFUNCTION("IF(filter('Pre-Scouting - Saline'!CD:CD,'Pre-Scouting - Saline'!B:B=H3)=""1"",3,0)"),0.0)</f>
        <v>0</v>
      </c>
      <c r="I29" s="241">
        <f>IFERROR(__xludf.DUMMYFUNCTION("IF(filter('Pre-Scouting - Saline'!CD:CD,'Pre-Scouting - Saline'!B:B=I3)=""1"",3,0)"),0.0)</f>
        <v>0</v>
      </c>
      <c r="J29" s="242" t="s">
        <v>656</v>
      </c>
      <c r="K29" s="243" t="str">
        <f>IFERROR(__xludf.DUMMYFUNCTION("Iferror(value(query(filter(A28:I29,A28:I28=3322), ""SELECT * OFFSET 1"",0)), ""-"")"),"-")</f>
        <v>-</v>
      </c>
    </row>
    <row r="30">
      <c r="A30" s="236">
        <f>iferror(if(A35="conservative", round('Auto Match Predictions'!A12,0)*4+round('Auto Match Predictions'!A14,0)*2,('Auto Match Predictions'!A13*4+'Auto Match Predictions'!A15*2)),0)</f>
        <v>0</v>
      </c>
      <c r="B30" s="236">
        <f>iferror(if(A35="conservative", round('Auto Match Predictions'!B12,0)*4+round('Auto Match Predictions'!B14,0)*2,('Auto Match Predictions'!B13*4+'Auto Match Predictions'!B15*2)),0)</f>
        <v>0</v>
      </c>
      <c r="C30" s="236">
        <f>iferror(if(A35="conservative", round('Auto Match Predictions'!C12,0)*4+round('Auto Match Predictions'!C14,0)*2,('Auto Match Predictions'!C13*4+'Auto Match Predictions'!C15*2)),0)</f>
        <v>0</v>
      </c>
      <c r="D30" s="237">
        <f>if(Sum(A30:C30)&gt;=32, 32, Sum(A30:C30))</f>
        <v>0</v>
      </c>
      <c r="E30" s="146" t="s">
        <v>1</v>
      </c>
      <c r="F30" s="239">
        <f>if(sum(G30:I30)&gt;=32,32,sum(G30:I30))</f>
        <v>0</v>
      </c>
      <c r="G30" s="240">
        <f>iferror(if(F35="conservative", round('Auto Match Predictions'!G12,0)*4+round('Auto Match Predictions'!G14,0)*2,('Auto Match Predictions'!G13*4+'Auto Match Predictions'!G15*2)),0)</f>
        <v>0</v>
      </c>
      <c r="H30" s="240">
        <f>iferror(if(F35="conservative", round('Auto Match Predictions'!H12,0)*4+round('Auto Match Predictions'!H14,0)*2,('Auto Match Predictions'!H13*4+'Auto Match Predictions'!H15*2)),0)</f>
        <v>0</v>
      </c>
      <c r="I30" s="241">
        <f>iferror(if(F35="conservative", round('Auto Match Predictions'!I12,0)*4+round('Auto Match Predictions'!I14,0)*2,('Auto Match Predictions'!I13*4+'Auto Match Predictions'!I15*2)),0)</f>
        <v>0</v>
      </c>
      <c r="J30" s="183"/>
      <c r="K30" s="243" t="str">
        <f>IFERROR(__xludf.DUMMYFUNCTION("Iferror(value(query(filter(A29:I30,A28:I28=3322), ""SELECT * OFFSET 1"",0)), ""-"")"),"-")</f>
        <v>-</v>
      </c>
    </row>
    <row r="31">
      <c r="A31" s="236"/>
      <c r="B31" s="236"/>
      <c r="C31" s="236"/>
      <c r="D31" s="237" t="str">
        <f>IFS(A31&gt;=8,8,B31&gt;=8,8,C31&gt;=8,8,A31&gt;=12,12,B31&gt;=12,12,C31&gt;=12,12)</f>
        <v>#N/A</v>
      </c>
      <c r="E31" s="238" t="s">
        <v>657</v>
      </c>
      <c r="F31" s="239" t="str">
        <f>Sum(G25:I25)</f>
        <v>#REF!</v>
      </c>
      <c r="G31" s="240"/>
      <c r="H31" s="240"/>
      <c r="I31" s="241"/>
      <c r="J31" s="183"/>
      <c r="K31" s="243"/>
    </row>
    <row r="32">
      <c r="A32" s="236" t="str">
        <f t="shared" ref="A32:B32" si="3">ifs(A27="None", 'Backend Sheet (IMPORTANT)'!B14*'Backend Sheet (IMPORTANT)'!B11,A27="Defense", 'Backend Sheet (IMPORTANT)'!B13*'Backend Sheet (IMPORTANT)'!B11)</f>
        <v>#REF!</v>
      </c>
      <c r="B32" s="236" t="str">
        <f t="shared" si="3"/>
        <v>#REF!</v>
      </c>
      <c r="C32" s="236" t="str">
        <f>ifs(C27="None", 'Backend Sheet (IMPORTANT)'!D15*'Backend Sheet (IMPORTANT)'!D12,C27="Defense", 'Backend Sheet (IMPORTANT)'!D14*'Backend Sheet (IMPORTANT)'!D12)</f>
        <v>#REF!</v>
      </c>
      <c r="D32" s="237" t="str">
        <f>sum(A32:C32)</f>
        <v>#REF!</v>
      </c>
      <c r="E32" s="146" t="s">
        <v>605</v>
      </c>
      <c r="F32" s="239" t="str">
        <f>Sum(G32:I32)</f>
        <v>#REF!</v>
      </c>
      <c r="G32" s="240" t="str">
        <f t="shared" ref="G32:I32" si="4">ifs(G27="None", 'Backend Sheet (IMPORTANT)'!E14*'Backend Sheet (IMPORTANT)'!E11,G27="Defense", 'Backend Sheet (IMPORTANT)'!E13*'Backend Sheet (IMPORTANT)'!E11)</f>
        <v>#REF!</v>
      </c>
      <c r="H32" s="240" t="str">
        <f t="shared" si="4"/>
        <v>#REF!</v>
      </c>
      <c r="I32" s="241" t="str">
        <f t="shared" si="4"/>
        <v>#REF!</v>
      </c>
      <c r="J32" s="183"/>
      <c r="K32" s="243">
        <f>Iferror(if(K34=0,0,K34-K29-K30-K33), "-")</f>
        <v>0</v>
      </c>
    </row>
    <row r="33">
      <c r="A33" s="244" t="str">
        <f t="shared" ref="A33:C33" si="5">If('Auto Match Predictions'!A22=4,15,if('Auto Match Predictions'!A22=3,10,if('Auto Match Predictions'!A22=2,6,if('Auto Match Predictions'!A22=1,4,0))))</f>
        <v>#REF!</v>
      </c>
      <c r="B33" s="244" t="str">
        <f t="shared" si="5"/>
        <v>#REF!</v>
      </c>
      <c r="C33" s="244" t="str">
        <f t="shared" si="5"/>
        <v>#REF!</v>
      </c>
      <c r="D33" s="245" t="str">
        <f>If('Auto Match Predictions'!A22=4,15,if('Auto Match Predictions'!A22=3,10,if('Auto Match Predictions'!A22=2,6,if('Auto Match Predictions'!A22=1,4,0))))+If('Auto Match Predictions'!B22=4,15,if('Auto Match Predictions'!B22=3,10,if('Auto Match Predictions'!B22=2,6,if('Auto Match Predictions'!B22=1,4,0))))+If('Auto Match Predictions'!C22=4,15,if('Auto Match Predictions'!C22=3,10,if('Auto Match Predictions'!C22=2,6,if('Auto Match Predictions'!C22=1,4,0))))</f>
        <v>#REF!</v>
      </c>
      <c r="E33" s="246" t="s">
        <v>658</v>
      </c>
      <c r="F33" s="247" t="str">
        <f>iferror(If('Auto Match Predictions'!G22=4,15,if('Auto Match Predictions'!G22=3,10,if('Auto Match Predictions'!G22=2,6,if('Auto Match Predictions'!G22=1,4,0))))+If('Auto Match Predictions'!H22=4,15,if('Auto Match Predictions'!H22=3,10,if('Auto Match Predictions'!H22=2,6,if('Auto Match Predictions'!H22=1,4,0))))+If('Auto Match Predictions'!I22=4,15,if('Auto Match Predictions'!I22=3,10,if('Auto Match Predictions'!I22=2,6,if('Auto Match Predictions'!I22=1,4,0)))), "")</f>
        <v/>
      </c>
      <c r="G33" s="248" t="str">
        <f t="shared" ref="G33:I33" si="6">iferror(If('Auto Match Predictions'!G22=4,15,if('Auto Match Predictions'!G22=3,10,if('Auto Match Predictions'!G22=2,6,if('Auto Match Predictions'!G22=1,4,0)))), "-")</f>
        <v>-</v>
      </c>
      <c r="H33" s="248" t="str">
        <f t="shared" si="6"/>
        <v>-</v>
      </c>
      <c r="I33" s="249" t="str">
        <f t="shared" si="6"/>
        <v>-</v>
      </c>
      <c r="J33" s="183"/>
      <c r="K33" s="250" t="str">
        <f>IFERROR(__xludf.DUMMYFUNCTION("Iferror(value(query(filter(A32:I33,A28:I28=3322), ""SELECT * OFFSET 1"",0)), ""-"")"),"-")</f>
        <v>-</v>
      </c>
    </row>
    <row r="34">
      <c r="A34" s="251" t="str">
        <f>SUM(A29:A33)</f>
        <v>#REF!</v>
      </c>
      <c r="B34" s="252" t="str">
        <f t="shared" ref="B34:D34" si="7">sum(B29:B33)</f>
        <v>#REF!</v>
      </c>
      <c r="C34" s="252" t="str">
        <f t="shared" si="7"/>
        <v>#REF!</v>
      </c>
      <c r="D34" s="253" t="str">
        <f t="shared" si="7"/>
        <v>#N/A</v>
      </c>
      <c r="E34" s="254" t="s">
        <v>659</v>
      </c>
      <c r="F34" s="255" t="str">
        <f>sum(F29:F33)</f>
        <v>#REF!</v>
      </c>
      <c r="G34" s="256" t="str">
        <f>SUM(G29:G33)</f>
        <v>#REF!</v>
      </c>
      <c r="H34" s="256" t="str">
        <f>iferror(SUM(H29:H33), "")</f>
        <v/>
      </c>
      <c r="I34" s="257" t="str">
        <f>SUM(I29:I33)</f>
        <v>#REF!</v>
      </c>
      <c r="J34" s="258"/>
      <c r="K34" s="259" t="str">
        <f>iferror(if(J19&lt;0,0,J20), "-")</f>
        <v/>
      </c>
    </row>
    <row r="35">
      <c r="A35" s="260" t="s">
        <v>660</v>
      </c>
      <c r="E35" s="261"/>
      <c r="F35" s="260" t="s">
        <v>660</v>
      </c>
      <c r="J35" s="261"/>
      <c r="K35" s="261"/>
    </row>
  </sheetData>
  <mergeCells count="58">
    <mergeCell ref="A23:C23"/>
    <mergeCell ref="D23:F23"/>
    <mergeCell ref="G23:I23"/>
    <mergeCell ref="D24:F24"/>
    <mergeCell ref="D25:F25"/>
    <mergeCell ref="D26:F26"/>
    <mergeCell ref="D27:F27"/>
    <mergeCell ref="J27:K27"/>
    <mergeCell ref="J29:J34"/>
    <mergeCell ref="A35:D35"/>
    <mergeCell ref="F35:I35"/>
    <mergeCell ref="D16:F16"/>
    <mergeCell ref="D17:F17"/>
    <mergeCell ref="D18:F18"/>
    <mergeCell ref="D19:F19"/>
    <mergeCell ref="D20:F20"/>
    <mergeCell ref="D21:F21"/>
    <mergeCell ref="D22:F22"/>
    <mergeCell ref="A1:C1"/>
    <mergeCell ref="D1:F1"/>
    <mergeCell ref="G1:I1"/>
    <mergeCell ref="J1:K3"/>
    <mergeCell ref="D2:F2"/>
    <mergeCell ref="G2:I2"/>
    <mergeCell ref="D3:F3"/>
    <mergeCell ref="J5:K5"/>
    <mergeCell ref="J6:K6"/>
    <mergeCell ref="A2:C2"/>
    <mergeCell ref="A4:C4"/>
    <mergeCell ref="D4:F4"/>
    <mergeCell ref="G4:I4"/>
    <mergeCell ref="J4:K4"/>
    <mergeCell ref="D5:F5"/>
    <mergeCell ref="D6:F6"/>
    <mergeCell ref="D7:F7"/>
    <mergeCell ref="J7:K7"/>
    <mergeCell ref="D8:F8"/>
    <mergeCell ref="J8:K8"/>
    <mergeCell ref="D9:F9"/>
    <mergeCell ref="J9:K9"/>
    <mergeCell ref="J10:K10"/>
    <mergeCell ref="D10:F10"/>
    <mergeCell ref="D11:F11"/>
    <mergeCell ref="D12:F12"/>
    <mergeCell ref="D13:F13"/>
    <mergeCell ref="A14:C14"/>
    <mergeCell ref="D14:F14"/>
    <mergeCell ref="D15:F15"/>
    <mergeCell ref="J17:K17"/>
    <mergeCell ref="J18:K18"/>
    <mergeCell ref="J19:K19"/>
    <mergeCell ref="J11:K11"/>
    <mergeCell ref="J12:K12"/>
    <mergeCell ref="J13:K13"/>
    <mergeCell ref="G14:I14"/>
    <mergeCell ref="J14:K14"/>
    <mergeCell ref="J15:K15"/>
    <mergeCell ref="J16:K16"/>
  </mergeCells>
  <dataValidations>
    <dataValidation type="list" allowBlank="1" sqref="A35">
      <formula1>"Conservative,None"</formula1>
    </dataValidation>
    <dataValidation type="list" allowBlank="1" sqref="A27:C27 G27:I27">
      <formula1>"None,Defense"</formula1>
    </dataValidation>
    <dataValidation type="list" allowBlank="1" sqref="F35">
      <formula1>"None,Conservative"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4" width="18.88"/>
    <col customWidth="1" min="35" max="35" width="42.13"/>
    <col customWidth="1" min="36" max="41" width="18.88"/>
  </cols>
  <sheetData>
    <row r="1">
      <c r="A1" s="78" t="s">
        <v>77</v>
      </c>
      <c r="B1" s="78" t="s">
        <v>78</v>
      </c>
      <c r="C1" s="78" t="s">
        <v>79</v>
      </c>
      <c r="D1" s="78" t="s">
        <v>80</v>
      </c>
      <c r="E1" s="78" t="s">
        <v>81</v>
      </c>
      <c r="F1" s="78" t="s">
        <v>82</v>
      </c>
      <c r="G1" s="78" t="s">
        <v>83</v>
      </c>
      <c r="H1" s="78" t="s">
        <v>84</v>
      </c>
      <c r="I1" s="78" t="s">
        <v>85</v>
      </c>
      <c r="J1" s="78" t="s">
        <v>86</v>
      </c>
      <c r="K1" s="78" t="s">
        <v>87</v>
      </c>
      <c r="L1" s="78" t="s">
        <v>88</v>
      </c>
      <c r="M1" s="78" t="s">
        <v>89</v>
      </c>
      <c r="N1" s="78" t="s">
        <v>90</v>
      </c>
      <c r="O1" s="78" t="s">
        <v>91</v>
      </c>
      <c r="P1" s="78" t="s">
        <v>92</v>
      </c>
      <c r="Q1" s="78" t="s">
        <v>93</v>
      </c>
      <c r="R1" s="78" t="s">
        <v>94</v>
      </c>
      <c r="S1" s="78" t="s">
        <v>82</v>
      </c>
      <c r="T1" s="78" t="s">
        <v>83</v>
      </c>
      <c r="U1" s="78" t="s">
        <v>84</v>
      </c>
      <c r="V1" s="78" t="s">
        <v>85</v>
      </c>
      <c r="W1" s="78" t="s">
        <v>86</v>
      </c>
      <c r="X1" s="78" t="s">
        <v>87</v>
      </c>
      <c r="Y1" s="78" t="s">
        <v>88</v>
      </c>
      <c r="Z1" s="78" t="s">
        <v>89</v>
      </c>
      <c r="AA1" s="78" t="s">
        <v>90</v>
      </c>
      <c r="AB1" s="78" t="s">
        <v>91</v>
      </c>
      <c r="AC1" s="78" t="s">
        <v>92</v>
      </c>
      <c r="AD1" s="78" t="s">
        <v>93</v>
      </c>
      <c r="AE1" s="78" t="s">
        <v>95</v>
      </c>
      <c r="AF1" s="78" t="s">
        <v>96</v>
      </c>
      <c r="AG1" s="78" t="s">
        <v>97</v>
      </c>
      <c r="AH1" s="78" t="s">
        <v>98</v>
      </c>
      <c r="AI1" s="78" t="s">
        <v>99</v>
      </c>
      <c r="AJ1" s="51" t="s">
        <v>100</v>
      </c>
      <c r="AK1" s="51" t="s">
        <v>101</v>
      </c>
    </row>
    <row r="2">
      <c r="A2" s="79">
        <v>45012.388078958335</v>
      </c>
      <c r="B2" s="51" t="s">
        <v>102</v>
      </c>
      <c r="C2" s="51">
        <v>4.0</v>
      </c>
      <c r="D2" s="51">
        <v>107.0</v>
      </c>
      <c r="E2" s="51" t="s">
        <v>103</v>
      </c>
      <c r="L2" s="51">
        <v>1.0</v>
      </c>
      <c r="M2" s="51">
        <v>1.0</v>
      </c>
      <c r="R2" s="51" t="s">
        <v>104</v>
      </c>
      <c r="S2" s="51">
        <v>1.0</v>
      </c>
      <c r="T2" s="51">
        <v>1.0</v>
      </c>
      <c r="Y2" s="51">
        <v>1.0</v>
      </c>
      <c r="Z2" s="51">
        <v>1.0</v>
      </c>
      <c r="AE2" s="51" t="s">
        <v>104</v>
      </c>
      <c r="AF2" s="51">
        <v>1.0</v>
      </c>
      <c r="AG2" s="51">
        <v>0.0</v>
      </c>
      <c r="AH2" s="51" t="s">
        <v>103</v>
      </c>
      <c r="AI2" s="51" t="s">
        <v>105</v>
      </c>
      <c r="AJ2" s="80">
        <f t="shared" ref="AJ2:AJ448" si="1">SUM(if(E2="Yes",3),G2*6,I2*4,K2*3,M2*6,O2*4,Q2*3,T2*5,V2*3,X2*2,Z2*5,AB2*3,AD2*2,if(R2="Yes, Engaged",12),if(R2="Yes, Docked",8),if(AE2="Yes, Engaged",10),if(AE2="Yes, Docked",6),if(AE2="Parked",3))</f>
        <v>38</v>
      </c>
      <c r="AK2" s="80">
        <f t="shared" ref="AK2:AK448" si="2">SUM(G2*6,I2*4,K2*3,M2*6,O2*4,Q2*3,T2*5,V2*3,X2*2,Z2*5,AB2*3,AD2*2)</f>
        <v>16</v>
      </c>
    </row>
    <row r="3">
      <c r="A3" s="79">
        <v>45012.39040563657</v>
      </c>
      <c r="B3" s="51" t="s">
        <v>102</v>
      </c>
      <c r="C3" s="51">
        <v>10.0</v>
      </c>
      <c r="D3" s="51">
        <v>107.0</v>
      </c>
      <c r="E3" s="51" t="s">
        <v>106</v>
      </c>
      <c r="L3" s="51">
        <v>1.0</v>
      </c>
      <c r="M3" s="51">
        <v>1.0</v>
      </c>
      <c r="R3" s="51" t="s">
        <v>103</v>
      </c>
      <c r="S3" s="51">
        <v>1.0</v>
      </c>
      <c r="T3" s="51">
        <v>1.0</v>
      </c>
      <c r="W3" s="51">
        <v>2.0</v>
      </c>
      <c r="X3" s="51">
        <v>2.0</v>
      </c>
      <c r="AE3" s="51" t="s">
        <v>107</v>
      </c>
      <c r="AF3" s="51">
        <v>2.0</v>
      </c>
      <c r="AG3" s="51">
        <v>0.0</v>
      </c>
      <c r="AH3" s="51" t="s">
        <v>103</v>
      </c>
      <c r="AJ3" s="80">
        <f t="shared" si="1"/>
        <v>21</v>
      </c>
      <c r="AK3" s="80">
        <f t="shared" si="2"/>
        <v>15</v>
      </c>
    </row>
    <row r="4">
      <c r="A4" s="79">
        <v>45012.39197008102</v>
      </c>
      <c r="B4" s="51" t="s">
        <v>102</v>
      </c>
      <c r="C4" s="51">
        <v>14.0</v>
      </c>
      <c r="D4" s="51">
        <v>107.0</v>
      </c>
      <c r="E4" s="51" t="s">
        <v>103</v>
      </c>
      <c r="L4" s="51">
        <v>1.0</v>
      </c>
      <c r="M4" s="51">
        <v>1.0</v>
      </c>
      <c r="R4" s="51" t="s">
        <v>108</v>
      </c>
      <c r="AC4" s="51">
        <v>7.0</v>
      </c>
      <c r="AD4" s="51">
        <v>7.0</v>
      </c>
      <c r="AE4" s="51" t="s">
        <v>104</v>
      </c>
      <c r="AF4" s="51">
        <v>3.0</v>
      </c>
      <c r="AG4" s="51">
        <v>0.0</v>
      </c>
      <c r="AH4" s="51" t="s">
        <v>103</v>
      </c>
      <c r="AJ4" s="80">
        <f t="shared" si="1"/>
        <v>38</v>
      </c>
      <c r="AK4" s="80">
        <f t="shared" si="2"/>
        <v>20</v>
      </c>
    </row>
    <row r="5">
      <c r="A5" s="79">
        <v>45012.39570537037</v>
      </c>
      <c r="B5" s="51" t="s">
        <v>102</v>
      </c>
      <c r="C5" s="51">
        <v>26.0</v>
      </c>
      <c r="D5" s="51">
        <v>107.0</v>
      </c>
      <c r="E5" s="51" t="s">
        <v>103</v>
      </c>
      <c r="L5" s="51">
        <v>1.0</v>
      </c>
      <c r="M5" s="51">
        <v>1.0</v>
      </c>
      <c r="R5" s="51" t="s">
        <v>104</v>
      </c>
      <c r="S5" s="51">
        <v>2.0</v>
      </c>
      <c r="T5" s="51">
        <v>2.0</v>
      </c>
      <c r="W5" s="51">
        <v>1.0</v>
      </c>
      <c r="X5" s="51">
        <v>1.0</v>
      </c>
      <c r="AC5" s="51">
        <v>2.0</v>
      </c>
      <c r="AD5" s="51">
        <v>2.0</v>
      </c>
      <c r="AE5" s="51" t="s">
        <v>104</v>
      </c>
      <c r="AF5" s="51">
        <v>4.0</v>
      </c>
      <c r="AG5" s="51">
        <v>0.0</v>
      </c>
      <c r="AH5" s="51" t="s">
        <v>103</v>
      </c>
      <c r="AJ5" s="80">
        <f t="shared" si="1"/>
        <v>44</v>
      </c>
      <c r="AK5" s="80">
        <f t="shared" si="2"/>
        <v>22</v>
      </c>
    </row>
    <row r="6">
      <c r="A6" s="79">
        <v>45012.397088831014</v>
      </c>
      <c r="B6" s="51" t="s">
        <v>102</v>
      </c>
      <c r="C6" s="51">
        <v>30.0</v>
      </c>
      <c r="D6" s="51">
        <v>107.0</v>
      </c>
      <c r="E6" s="51" t="s">
        <v>103</v>
      </c>
      <c r="L6" s="51">
        <v>1.0</v>
      </c>
      <c r="M6" s="51">
        <v>1.0</v>
      </c>
      <c r="R6" s="51" t="s">
        <v>103</v>
      </c>
      <c r="S6" s="51">
        <v>2.0</v>
      </c>
      <c r="T6" s="51">
        <v>2.0</v>
      </c>
      <c r="W6" s="51">
        <v>1.0</v>
      </c>
      <c r="AE6" s="51" t="s">
        <v>107</v>
      </c>
      <c r="AF6" s="51">
        <v>2.0</v>
      </c>
      <c r="AG6" s="51">
        <v>0.0</v>
      </c>
      <c r="AH6" s="51" t="s">
        <v>106</v>
      </c>
      <c r="AI6" s="51" t="s">
        <v>109</v>
      </c>
      <c r="AJ6" s="80">
        <f t="shared" si="1"/>
        <v>19</v>
      </c>
      <c r="AK6" s="80">
        <f t="shared" si="2"/>
        <v>16</v>
      </c>
    </row>
    <row r="7">
      <c r="A7" s="79">
        <v>45012.39851363426</v>
      </c>
      <c r="B7" s="51" t="s">
        <v>102</v>
      </c>
      <c r="C7" s="51">
        <v>37.0</v>
      </c>
      <c r="D7" s="51">
        <v>107.0</v>
      </c>
      <c r="E7" s="51" t="s">
        <v>103</v>
      </c>
      <c r="L7" s="51">
        <v>1.0</v>
      </c>
      <c r="M7" s="51">
        <v>1.0</v>
      </c>
      <c r="R7" s="51" t="s">
        <v>104</v>
      </c>
      <c r="S7" s="51">
        <v>1.0</v>
      </c>
      <c r="T7" s="51">
        <v>1.0</v>
      </c>
      <c r="Y7" s="51">
        <v>1.0</v>
      </c>
      <c r="Z7" s="51">
        <v>1.0</v>
      </c>
      <c r="AC7" s="51">
        <v>3.0</v>
      </c>
      <c r="AD7" s="51">
        <v>3.0</v>
      </c>
      <c r="AE7" s="51" t="s">
        <v>104</v>
      </c>
      <c r="AF7" s="51">
        <v>3.0</v>
      </c>
      <c r="AG7" s="51">
        <v>0.0</v>
      </c>
      <c r="AH7" s="51" t="s">
        <v>103</v>
      </c>
      <c r="AI7" s="51" t="s">
        <v>110</v>
      </c>
      <c r="AJ7" s="80">
        <f t="shared" si="1"/>
        <v>44</v>
      </c>
      <c r="AK7" s="80">
        <f t="shared" si="2"/>
        <v>22</v>
      </c>
    </row>
    <row r="8">
      <c r="A8" s="79">
        <v>45012.40292471065</v>
      </c>
      <c r="B8" s="51" t="s">
        <v>102</v>
      </c>
      <c r="C8" s="51">
        <v>43.0</v>
      </c>
      <c r="D8" s="51">
        <v>107.0</v>
      </c>
      <c r="E8" s="51" t="s">
        <v>103</v>
      </c>
      <c r="L8" s="51">
        <v>1.0</v>
      </c>
      <c r="M8" s="51">
        <v>1.0</v>
      </c>
      <c r="R8" s="51" t="s">
        <v>104</v>
      </c>
      <c r="Y8" s="51">
        <v>0.0</v>
      </c>
      <c r="Z8" s="51">
        <v>0.0</v>
      </c>
      <c r="AC8" s="51">
        <v>7.0</v>
      </c>
      <c r="AD8" s="51">
        <v>6.0</v>
      </c>
      <c r="AE8" s="51" t="s">
        <v>104</v>
      </c>
      <c r="AF8" s="51">
        <v>3.0</v>
      </c>
      <c r="AG8" s="51">
        <v>0.0</v>
      </c>
      <c r="AH8" s="51" t="s">
        <v>103</v>
      </c>
      <c r="AJ8" s="80">
        <f t="shared" si="1"/>
        <v>40</v>
      </c>
      <c r="AK8" s="80">
        <f t="shared" si="2"/>
        <v>18</v>
      </c>
    </row>
    <row r="9">
      <c r="A9" s="79">
        <v>45012.40586006944</v>
      </c>
      <c r="B9" s="51" t="s">
        <v>102</v>
      </c>
      <c r="C9" s="51">
        <v>47.0</v>
      </c>
      <c r="D9" s="51">
        <v>107.0</v>
      </c>
      <c r="E9" s="51" t="s">
        <v>103</v>
      </c>
      <c r="L9" s="51">
        <v>1.0</v>
      </c>
      <c r="M9" s="51">
        <v>1.0</v>
      </c>
      <c r="R9" s="51" t="s">
        <v>104</v>
      </c>
      <c r="S9" s="51">
        <v>1.0</v>
      </c>
      <c r="T9" s="51">
        <v>1.0</v>
      </c>
      <c r="AC9" s="51">
        <v>6.0</v>
      </c>
      <c r="AD9" s="51">
        <v>6.0</v>
      </c>
      <c r="AE9" s="51" t="s">
        <v>104</v>
      </c>
      <c r="AF9" s="51">
        <v>3.0</v>
      </c>
      <c r="AG9" s="51">
        <v>0.0</v>
      </c>
      <c r="AH9" s="51" t="s">
        <v>103</v>
      </c>
      <c r="AJ9" s="80">
        <f t="shared" si="1"/>
        <v>45</v>
      </c>
      <c r="AK9" s="80">
        <f t="shared" si="2"/>
        <v>23</v>
      </c>
    </row>
    <row r="10">
      <c r="A10" s="79">
        <v>45012.4076152662</v>
      </c>
      <c r="B10" s="51" t="s">
        <v>102</v>
      </c>
      <c r="C10" s="51">
        <v>55.0</v>
      </c>
      <c r="D10" s="51">
        <v>107.0</v>
      </c>
      <c r="E10" s="51" t="s">
        <v>106</v>
      </c>
      <c r="L10" s="51">
        <v>1.0</v>
      </c>
      <c r="M10" s="51">
        <v>1.0</v>
      </c>
      <c r="R10" s="51" t="s">
        <v>108</v>
      </c>
      <c r="S10" s="51">
        <v>3.0</v>
      </c>
      <c r="T10" s="51">
        <v>3.0</v>
      </c>
      <c r="Y10" s="51">
        <v>0.0</v>
      </c>
      <c r="Z10" s="51">
        <v>0.0</v>
      </c>
      <c r="AC10" s="51">
        <v>3.0</v>
      </c>
      <c r="AD10" s="51">
        <v>2.0</v>
      </c>
      <c r="AE10" s="51" t="s">
        <v>104</v>
      </c>
      <c r="AF10" s="51">
        <v>3.0</v>
      </c>
      <c r="AG10" s="51">
        <v>0.0</v>
      </c>
      <c r="AH10" s="51" t="s">
        <v>103</v>
      </c>
      <c r="AJ10" s="80">
        <f t="shared" si="1"/>
        <v>46</v>
      </c>
      <c r="AK10" s="80">
        <f t="shared" si="2"/>
        <v>25</v>
      </c>
    </row>
    <row r="11">
      <c r="A11" s="79">
        <v>45012.40864934028</v>
      </c>
      <c r="B11" s="51" t="s">
        <v>102</v>
      </c>
      <c r="C11" s="51">
        <v>59.0</v>
      </c>
      <c r="D11" s="51">
        <v>107.0</v>
      </c>
      <c r="E11" s="51" t="s">
        <v>106</v>
      </c>
      <c r="L11" s="51">
        <v>1.0</v>
      </c>
      <c r="M11" s="51">
        <v>1.0</v>
      </c>
      <c r="R11" s="51" t="s">
        <v>103</v>
      </c>
      <c r="S11" s="51">
        <v>2.0</v>
      </c>
      <c r="T11" s="51">
        <v>2.0</v>
      </c>
      <c r="AE11" s="51" t="s">
        <v>107</v>
      </c>
      <c r="AF11" s="51">
        <v>2.0</v>
      </c>
      <c r="AG11" s="51">
        <v>0.0</v>
      </c>
      <c r="AH11" s="51" t="s">
        <v>106</v>
      </c>
      <c r="AI11" s="51" t="s">
        <v>111</v>
      </c>
      <c r="AJ11" s="80">
        <f t="shared" si="1"/>
        <v>22</v>
      </c>
      <c r="AK11" s="80">
        <f t="shared" si="2"/>
        <v>16</v>
      </c>
    </row>
    <row r="12">
      <c r="A12" s="79">
        <v>45012.41184900463</v>
      </c>
      <c r="B12" s="51" t="s">
        <v>102</v>
      </c>
      <c r="C12" s="51">
        <v>66.0</v>
      </c>
      <c r="D12" s="51">
        <v>107.0</v>
      </c>
      <c r="E12" s="51" t="s">
        <v>103</v>
      </c>
      <c r="F12" s="51">
        <v>1.0</v>
      </c>
      <c r="G12" s="51">
        <v>0.0</v>
      </c>
      <c r="R12" s="51" t="s">
        <v>108</v>
      </c>
      <c r="S12" s="51">
        <v>3.0</v>
      </c>
      <c r="T12" s="51">
        <v>2.0</v>
      </c>
      <c r="W12" s="51">
        <v>1.0</v>
      </c>
      <c r="X12" s="51">
        <v>1.0</v>
      </c>
      <c r="Y12" s="51">
        <v>1.0</v>
      </c>
      <c r="Z12" s="51">
        <v>1.0</v>
      </c>
      <c r="AA12" s="51">
        <v>1.0</v>
      </c>
      <c r="AB12" s="51">
        <v>1.0</v>
      </c>
      <c r="AC12" s="51">
        <v>1.0</v>
      </c>
      <c r="AD12" s="51">
        <v>1.0</v>
      </c>
      <c r="AE12" s="51" t="s">
        <v>104</v>
      </c>
      <c r="AF12" s="51">
        <v>2.0</v>
      </c>
      <c r="AG12" s="51">
        <v>0.0</v>
      </c>
      <c r="AH12" s="51" t="s">
        <v>103</v>
      </c>
      <c r="AJ12" s="80">
        <f t="shared" si="1"/>
        <v>40</v>
      </c>
      <c r="AK12" s="80">
        <f t="shared" si="2"/>
        <v>22</v>
      </c>
    </row>
    <row r="13">
      <c r="A13" s="79">
        <v>45012.41325222222</v>
      </c>
      <c r="B13" s="51" t="s">
        <v>102</v>
      </c>
      <c r="C13" s="51">
        <v>73.0</v>
      </c>
      <c r="D13" s="51">
        <v>107.0</v>
      </c>
      <c r="E13" s="51" t="s">
        <v>103</v>
      </c>
      <c r="F13" s="51">
        <v>1.0</v>
      </c>
      <c r="G13" s="51">
        <v>1.0</v>
      </c>
      <c r="R13" s="51" t="s">
        <v>104</v>
      </c>
      <c r="S13" s="51">
        <v>2.0</v>
      </c>
      <c r="T13" s="51">
        <v>2.0</v>
      </c>
      <c r="W13" s="51">
        <v>1.0</v>
      </c>
      <c r="X13" s="51">
        <v>1.0</v>
      </c>
      <c r="Y13" s="51">
        <v>1.0</v>
      </c>
      <c r="Z13" s="51">
        <v>1.0</v>
      </c>
      <c r="AC13" s="51">
        <v>4.0</v>
      </c>
      <c r="AD13" s="51">
        <v>2.0</v>
      </c>
      <c r="AE13" s="51" t="s">
        <v>104</v>
      </c>
      <c r="AF13" s="51">
        <v>3.0</v>
      </c>
      <c r="AG13" s="51">
        <v>0.0</v>
      </c>
      <c r="AH13" s="51" t="s">
        <v>103</v>
      </c>
      <c r="AJ13" s="80">
        <f t="shared" si="1"/>
        <v>49</v>
      </c>
      <c r="AK13" s="80">
        <f t="shared" si="2"/>
        <v>27</v>
      </c>
    </row>
    <row r="14">
      <c r="A14" s="79">
        <v>45012.41492675926</v>
      </c>
      <c r="B14" s="51" t="s">
        <v>102</v>
      </c>
      <c r="C14" s="51" t="s">
        <v>112</v>
      </c>
      <c r="D14" s="51">
        <v>107.0</v>
      </c>
      <c r="E14" s="51" t="s">
        <v>106</v>
      </c>
      <c r="L14" s="51">
        <v>1.0</v>
      </c>
      <c r="M14" s="51">
        <v>1.0</v>
      </c>
      <c r="R14" s="51" t="s">
        <v>103</v>
      </c>
      <c r="S14" s="51">
        <v>1.0</v>
      </c>
      <c r="T14" s="51">
        <v>0.0</v>
      </c>
      <c r="W14" s="51">
        <v>1.0</v>
      </c>
      <c r="X14" s="51">
        <v>1.0</v>
      </c>
      <c r="AC14" s="51">
        <v>4.0</v>
      </c>
      <c r="AD14" s="51">
        <v>4.0</v>
      </c>
      <c r="AE14" s="51" t="s">
        <v>104</v>
      </c>
      <c r="AF14" s="51">
        <v>3.0</v>
      </c>
      <c r="AG14" s="51">
        <v>0.0</v>
      </c>
      <c r="AH14" s="51" t="s">
        <v>103</v>
      </c>
      <c r="AJ14" s="80">
        <f t="shared" si="1"/>
        <v>29</v>
      </c>
      <c r="AK14" s="80">
        <f t="shared" si="2"/>
        <v>16</v>
      </c>
    </row>
    <row r="15">
      <c r="A15" s="79">
        <v>45012.41718737269</v>
      </c>
      <c r="B15" s="51" t="s">
        <v>102</v>
      </c>
      <c r="C15" s="51" t="s">
        <v>113</v>
      </c>
      <c r="D15" s="51">
        <v>107.0</v>
      </c>
      <c r="E15" s="51" t="s">
        <v>106</v>
      </c>
      <c r="L15" s="51">
        <v>1.0</v>
      </c>
      <c r="M15" s="51">
        <v>1.0</v>
      </c>
      <c r="R15" s="51" t="s">
        <v>103</v>
      </c>
      <c r="S15" s="51">
        <v>4.0</v>
      </c>
      <c r="T15" s="51">
        <v>3.0</v>
      </c>
      <c r="W15" s="51">
        <v>1.0</v>
      </c>
      <c r="X15" s="51">
        <v>1.0</v>
      </c>
      <c r="AE15" s="51" t="s">
        <v>104</v>
      </c>
      <c r="AF15" s="51">
        <v>2.0</v>
      </c>
      <c r="AG15" s="51">
        <v>0.0</v>
      </c>
      <c r="AH15" s="51" t="s">
        <v>103</v>
      </c>
      <c r="AJ15" s="80">
        <f t="shared" si="1"/>
        <v>36</v>
      </c>
      <c r="AK15" s="80">
        <f t="shared" si="2"/>
        <v>23</v>
      </c>
    </row>
    <row r="16">
      <c r="A16" s="79">
        <v>45012.41897413194</v>
      </c>
      <c r="B16" s="51" t="s">
        <v>102</v>
      </c>
      <c r="C16" s="51" t="s">
        <v>114</v>
      </c>
      <c r="D16" s="51">
        <v>107.0</v>
      </c>
      <c r="E16" s="51" t="s">
        <v>106</v>
      </c>
      <c r="L16" s="51">
        <v>1.0</v>
      </c>
      <c r="M16" s="51">
        <v>1.0</v>
      </c>
      <c r="R16" s="51" t="s">
        <v>103</v>
      </c>
      <c r="S16" s="51">
        <v>1.0</v>
      </c>
      <c r="T16" s="51">
        <v>0.0</v>
      </c>
      <c r="W16" s="51">
        <v>1.0</v>
      </c>
      <c r="X16" s="51">
        <v>1.0</v>
      </c>
      <c r="Y16" s="51">
        <v>1.0</v>
      </c>
      <c r="Z16" s="51">
        <v>1.0</v>
      </c>
      <c r="AA16" s="51">
        <v>1.0</v>
      </c>
      <c r="AB16" s="51">
        <v>1.0</v>
      </c>
      <c r="AC16" s="51">
        <v>2.0</v>
      </c>
      <c r="AD16" s="51">
        <v>2.0</v>
      </c>
      <c r="AE16" s="51" t="s">
        <v>104</v>
      </c>
      <c r="AF16" s="51">
        <v>3.0</v>
      </c>
      <c r="AG16" s="51">
        <v>0.0</v>
      </c>
      <c r="AH16" s="51" t="s">
        <v>103</v>
      </c>
      <c r="AI16" s="51" t="s">
        <v>115</v>
      </c>
      <c r="AJ16" s="80">
        <f t="shared" si="1"/>
        <v>33</v>
      </c>
      <c r="AK16" s="80">
        <f t="shared" si="2"/>
        <v>20</v>
      </c>
    </row>
    <row r="17">
      <c r="A17" s="79">
        <v>45012.4202937963</v>
      </c>
      <c r="B17" s="51" t="s">
        <v>102</v>
      </c>
      <c r="C17" s="51" t="s">
        <v>116</v>
      </c>
      <c r="D17" s="51">
        <v>107.0</v>
      </c>
      <c r="E17" s="51" t="s">
        <v>106</v>
      </c>
      <c r="L17" s="51">
        <v>1.0</v>
      </c>
      <c r="M17" s="51">
        <v>1.0</v>
      </c>
      <c r="R17" s="51" t="s">
        <v>103</v>
      </c>
      <c r="S17" s="51">
        <v>3.0</v>
      </c>
      <c r="T17" s="51">
        <v>3.0</v>
      </c>
      <c r="Y17" s="51">
        <v>1.0</v>
      </c>
      <c r="Z17" s="51">
        <v>1.0</v>
      </c>
      <c r="AC17" s="51">
        <v>1.0</v>
      </c>
      <c r="AD17" s="51">
        <v>1.0</v>
      </c>
      <c r="AE17" s="51" t="s">
        <v>104</v>
      </c>
      <c r="AF17" s="51">
        <v>3.0</v>
      </c>
      <c r="AG17" s="51">
        <v>0.0</v>
      </c>
      <c r="AH17" s="51" t="s">
        <v>103</v>
      </c>
      <c r="AJ17" s="80">
        <f t="shared" si="1"/>
        <v>41</v>
      </c>
      <c r="AK17" s="80">
        <f t="shared" si="2"/>
        <v>28</v>
      </c>
    </row>
    <row r="18">
      <c r="A18" s="79">
        <v>45012.42179493056</v>
      </c>
      <c r="B18" s="51" t="s">
        <v>102</v>
      </c>
      <c r="C18" s="51" t="s">
        <v>117</v>
      </c>
      <c r="D18" s="51">
        <v>107.0</v>
      </c>
      <c r="E18" s="51" t="s">
        <v>106</v>
      </c>
      <c r="L18" s="51">
        <v>1.0</v>
      </c>
      <c r="M18" s="51">
        <v>1.0</v>
      </c>
      <c r="R18" s="51" t="s">
        <v>103</v>
      </c>
      <c r="S18" s="51">
        <v>2.0</v>
      </c>
      <c r="T18" s="51">
        <v>2.0</v>
      </c>
      <c r="W18" s="51">
        <v>1.0</v>
      </c>
      <c r="X18" s="51">
        <v>1.0</v>
      </c>
      <c r="Y18" s="51">
        <v>1.0</v>
      </c>
      <c r="Z18" s="51">
        <v>1.0</v>
      </c>
      <c r="AC18" s="51">
        <v>1.0</v>
      </c>
      <c r="AD18" s="51">
        <v>1.0</v>
      </c>
      <c r="AE18" s="51" t="s">
        <v>104</v>
      </c>
      <c r="AF18" s="51">
        <v>3.0</v>
      </c>
      <c r="AG18" s="51">
        <v>0.0</v>
      </c>
      <c r="AH18" s="51" t="s">
        <v>103</v>
      </c>
      <c r="AJ18" s="80">
        <f t="shared" si="1"/>
        <v>38</v>
      </c>
      <c r="AK18" s="80">
        <f t="shared" si="2"/>
        <v>25</v>
      </c>
    </row>
    <row r="19">
      <c r="A19" s="79">
        <v>45009.357702650464</v>
      </c>
      <c r="B19" s="51" t="s">
        <v>102</v>
      </c>
      <c r="C19" s="51">
        <v>5.0</v>
      </c>
      <c r="D19" s="51">
        <v>815.0</v>
      </c>
      <c r="E19" s="51" t="s">
        <v>106</v>
      </c>
      <c r="R19" s="51" t="s">
        <v>103</v>
      </c>
      <c r="U19" s="51">
        <v>1.0</v>
      </c>
      <c r="V19" s="51">
        <v>1.0</v>
      </c>
      <c r="AA19" s="51">
        <v>1.0</v>
      </c>
      <c r="AB19" s="51">
        <v>1.0</v>
      </c>
      <c r="AE19" s="51" t="s">
        <v>104</v>
      </c>
      <c r="AF19" s="51">
        <v>2.0</v>
      </c>
      <c r="AG19" s="51">
        <v>0.0</v>
      </c>
      <c r="AH19" s="51" t="s">
        <v>103</v>
      </c>
      <c r="AI19" s="81"/>
      <c r="AJ19" s="80">
        <f t="shared" si="1"/>
        <v>19</v>
      </c>
      <c r="AK19" s="80">
        <f t="shared" si="2"/>
        <v>6</v>
      </c>
    </row>
    <row r="20">
      <c r="A20" s="79">
        <v>45009.35973841435</v>
      </c>
      <c r="B20" s="51" t="s">
        <v>102</v>
      </c>
      <c r="C20" s="51">
        <v>13.0</v>
      </c>
      <c r="D20" s="51">
        <v>815.0</v>
      </c>
      <c r="E20" s="51" t="s">
        <v>106</v>
      </c>
      <c r="F20" s="51">
        <v>1.0</v>
      </c>
      <c r="G20" s="51">
        <v>1.0</v>
      </c>
      <c r="R20" s="51" t="s">
        <v>108</v>
      </c>
      <c r="S20" s="51">
        <v>2.0</v>
      </c>
      <c r="T20" s="51">
        <v>2.0</v>
      </c>
      <c r="AE20" s="51" t="s">
        <v>103</v>
      </c>
      <c r="AF20" s="51">
        <v>3.0</v>
      </c>
      <c r="AG20" s="51">
        <v>0.0</v>
      </c>
      <c r="AH20" s="51" t="s">
        <v>103</v>
      </c>
      <c r="AI20" s="82" t="s">
        <v>118</v>
      </c>
      <c r="AJ20" s="80">
        <f t="shared" si="1"/>
        <v>27</v>
      </c>
      <c r="AK20" s="80">
        <f t="shared" si="2"/>
        <v>16</v>
      </c>
    </row>
    <row r="21">
      <c r="A21" s="79">
        <v>45009.36134462963</v>
      </c>
      <c r="B21" s="51" t="s">
        <v>102</v>
      </c>
      <c r="C21" s="51">
        <v>19.0</v>
      </c>
      <c r="D21" s="51">
        <v>815.0</v>
      </c>
      <c r="E21" s="51" t="s">
        <v>103</v>
      </c>
      <c r="R21" s="51" t="s">
        <v>103</v>
      </c>
      <c r="S21" s="51">
        <v>2.0</v>
      </c>
      <c r="T21" s="51">
        <v>2.0</v>
      </c>
      <c r="W21" s="51">
        <v>2.0</v>
      </c>
      <c r="X21" s="51">
        <v>2.0</v>
      </c>
      <c r="Y21" s="51">
        <v>1.0</v>
      </c>
      <c r="Z21" s="51">
        <v>1.0</v>
      </c>
      <c r="AE21" s="51" t="s">
        <v>104</v>
      </c>
      <c r="AF21" s="51">
        <v>3.0</v>
      </c>
      <c r="AG21" s="51">
        <v>0.0</v>
      </c>
      <c r="AH21" s="51" t="s">
        <v>103</v>
      </c>
      <c r="AI21" s="81"/>
      <c r="AJ21" s="80">
        <f t="shared" si="1"/>
        <v>29</v>
      </c>
      <c r="AK21" s="80">
        <f t="shared" si="2"/>
        <v>19</v>
      </c>
    </row>
    <row r="22">
      <c r="A22" s="79">
        <v>45009.365129074075</v>
      </c>
      <c r="B22" s="51" t="s">
        <v>102</v>
      </c>
      <c r="C22" s="51">
        <v>26.0</v>
      </c>
      <c r="D22" s="51">
        <v>815.0</v>
      </c>
      <c r="E22" s="51" t="s">
        <v>106</v>
      </c>
      <c r="F22" s="51">
        <v>1.0</v>
      </c>
      <c r="G22" s="51">
        <v>1.0</v>
      </c>
      <c r="R22" s="51" t="s">
        <v>104</v>
      </c>
      <c r="S22" s="51">
        <v>1.0</v>
      </c>
      <c r="T22" s="51">
        <v>0.0</v>
      </c>
      <c r="AE22" s="51" t="s">
        <v>104</v>
      </c>
      <c r="AF22" s="51">
        <v>0.0</v>
      </c>
      <c r="AG22" s="51">
        <v>0.0</v>
      </c>
      <c r="AH22" s="51" t="s">
        <v>103</v>
      </c>
      <c r="AI22" s="82" t="s">
        <v>119</v>
      </c>
      <c r="AJ22" s="80">
        <f t="shared" si="1"/>
        <v>31</v>
      </c>
      <c r="AK22" s="80">
        <f t="shared" si="2"/>
        <v>6</v>
      </c>
    </row>
    <row r="23">
      <c r="A23" s="79">
        <v>45009.36766717593</v>
      </c>
      <c r="B23" s="51" t="s">
        <v>102</v>
      </c>
      <c r="C23" s="51">
        <v>31.0</v>
      </c>
      <c r="D23" s="51">
        <v>815.0</v>
      </c>
      <c r="E23" s="51" t="s">
        <v>106</v>
      </c>
      <c r="F23" s="51">
        <v>1.0</v>
      </c>
      <c r="G23" s="51">
        <v>1.0</v>
      </c>
      <c r="R23" s="51" t="s">
        <v>103</v>
      </c>
      <c r="W23" s="51">
        <v>1.0</v>
      </c>
      <c r="X23" s="51">
        <v>1.0</v>
      </c>
      <c r="AC23" s="51">
        <v>2.0</v>
      </c>
      <c r="AD23" s="51">
        <v>2.0</v>
      </c>
      <c r="AE23" s="51" t="s">
        <v>104</v>
      </c>
      <c r="AF23" s="51">
        <v>1.0</v>
      </c>
      <c r="AG23" s="51">
        <v>0.0</v>
      </c>
      <c r="AH23" s="51" t="s">
        <v>103</v>
      </c>
      <c r="AI23" s="82" t="s">
        <v>120</v>
      </c>
      <c r="AJ23" s="80">
        <f t="shared" si="1"/>
        <v>25</v>
      </c>
      <c r="AK23" s="80">
        <f t="shared" si="2"/>
        <v>12</v>
      </c>
    </row>
    <row r="24">
      <c r="A24" s="79">
        <v>45009.37064247685</v>
      </c>
      <c r="B24" s="51" t="s">
        <v>102</v>
      </c>
      <c r="C24" s="51">
        <v>39.0</v>
      </c>
      <c r="D24" s="51">
        <v>815.0</v>
      </c>
      <c r="E24" s="51" t="s">
        <v>106</v>
      </c>
      <c r="F24" s="51">
        <v>1.0</v>
      </c>
      <c r="G24" s="51">
        <v>1.0</v>
      </c>
      <c r="R24" s="51" t="s">
        <v>108</v>
      </c>
      <c r="S24" s="51">
        <v>2.0</v>
      </c>
      <c r="T24" s="51">
        <v>2.0</v>
      </c>
      <c r="Y24" s="51">
        <v>1.0</v>
      </c>
      <c r="Z24" s="51">
        <v>1.0</v>
      </c>
      <c r="AE24" s="51" t="s">
        <v>104</v>
      </c>
      <c r="AF24" s="51">
        <v>2.0</v>
      </c>
      <c r="AG24" s="51">
        <v>0.0</v>
      </c>
      <c r="AH24" s="51" t="s">
        <v>103</v>
      </c>
      <c r="AI24" s="81"/>
      <c r="AJ24" s="80">
        <f t="shared" si="1"/>
        <v>42</v>
      </c>
      <c r="AK24" s="80">
        <f t="shared" si="2"/>
        <v>21</v>
      </c>
    </row>
    <row r="25">
      <c r="A25" s="79">
        <v>45009.37265748843</v>
      </c>
      <c r="B25" s="51" t="s">
        <v>102</v>
      </c>
      <c r="C25" s="51">
        <v>46.0</v>
      </c>
      <c r="D25" s="51">
        <v>815.0</v>
      </c>
      <c r="E25" s="51" t="s">
        <v>103</v>
      </c>
      <c r="R25" s="51" t="s">
        <v>103</v>
      </c>
      <c r="S25" s="51">
        <v>2.0</v>
      </c>
      <c r="T25" s="51">
        <v>2.0</v>
      </c>
      <c r="U25" s="51">
        <v>1.0</v>
      </c>
      <c r="V25" s="51">
        <v>1.0</v>
      </c>
      <c r="Y25" s="51">
        <v>1.0</v>
      </c>
      <c r="Z25" s="51">
        <v>1.0</v>
      </c>
      <c r="AE25" s="51" t="s">
        <v>103</v>
      </c>
      <c r="AF25" s="51">
        <v>2.0</v>
      </c>
      <c r="AG25" s="51">
        <v>0.0</v>
      </c>
      <c r="AH25" s="51" t="s">
        <v>106</v>
      </c>
      <c r="AI25" s="82" t="s">
        <v>121</v>
      </c>
      <c r="AJ25" s="80">
        <f t="shared" si="1"/>
        <v>18</v>
      </c>
      <c r="AK25" s="80">
        <f t="shared" si="2"/>
        <v>18</v>
      </c>
    </row>
    <row r="26">
      <c r="A26" s="79">
        <v>45009.37538131945</v>
      </c>
      <c r="B26" s="51" t="s">
        <v>102</v>
      </c>
      <c r="C26" s="51">
        <v>51.0</v>
      </c>
      <c r="D26" s="51">
        <v>815.0</v>
      </c>
      <c r="E26" s="51" t="s">
        <v>103</v>
      </c>
      <c r="R26" s="51" t="s">
        <v>103</v>
      </c>
      <c r="U26" s="51">
        <v>4.0</v>
      </c>
      <c r="V26" s="51">
        <v>3.0</v>
      </c>
      <c r="W26" s="51">
        <v>1.0</v>
      </c>
      <c r="X26" s="51">
        <v>1.0</v>
      </c>
      <c r="AE26" s="51" t="s">
        <v>104</v>
      </c>
      <c r="AF26" s="51">
        <v>2.0</v>
      </c>
      <c r="AG26" s="51">
        <v>0.0</v>
      </c>
      <c r="AH26" s="51" t="s">
        <v>103</v>
      </c>
      <c r="AI26" s="81"/>
      <c r="AJ26" s="80">
        <f t="shared" si="1"/>
        <v>21</v>
      </c>
      <c r="AK26" s="80">
        <f t="shared" si="2"/>
        <v>11</v>
      </c>
    </row>
    <row r="27">
      <c r="A27" s="79">
        <v>45009.37879844908</v>
      </c>
      <c r="B27" s="51" t="s">
        <v>102</v>
      </c>
      <c r="C27" s="51">
        <v>55.0</v>
      </c>
      <c r="D27" s="51">
        <v>815.0</v>
      </c>
      <c r="E27" s="51" t="s">
        <v>106</v>
      </c>
      <c r="F27" s="51">
        <v>1.0</v>
      </c>
      <c r="G27" s="51">
        <v>1.0</v>
      </c>
      <c r="R27" s="51" t="s">
        <v>103</v>
      </c>
      <c r="S27" s="51">
        <v>3.0</v>
      </c>
      <c r="T27" s="51">
        <v>2.0</v>
      </c>
      <c r="AE27" s="51" t="s">
        <v>107</v>
      </c>
      <c r="AF27" s="51">
        <v>3.0</v>
      </c>
      <c r="AG27" s="51">
        <v>0.0</v>
      </c>
      <c r="AH27" s="51" t="s">
        <v>103</v>
      </c>
      <c r="AI27" s="81"/>
      <c r="AJ27" s="80">
        <f t="shared" si="1"/>
        <v>22</v>
      </c>
      <c r="AK27" s="80">
        <f t="shared" si="2"/>
        <v>16</v>
      </c>
    </row>
    <row r="28">
      <c r="A28" s="79">
        <v>45009.3814147338</v>
      </c>
      <c r="B28" s="51" t="s">
        <v>102</v>
      </c>
      <c r="C28" s="51">
        <v>60.0</v>
      </c>
      <c r="D28" s="51">
        <v>815.0</v>
      </c>
      <c r="E28" s="51" t="s">
        <v>106</v>
      </c>
      <c r="F28" s="51">
        <v>1.0</v>
      </c>
      <c r="G28" s="51">
        <v>1.0</v>
      </c>
      <c r="R28" s="51" t="s">
        <v>108</v>
      </c>
      <c r="S28" s="51">
        <v>2.0</v>
      </c>
      <c r="T28" s="51">
        <v>2.0</v>
      </c>
      <c r="U28" s="51">
        <v>1.0</v>
      </c>
      <c r="V28" s="51">
        <v>1.0</v>
      </c>
      <c r="AE28" s="51" t="s">
        <v>104</v>
      </c>
      <c r="AF28" s="51">
        <v>3.0</v>
      </c>
      <c r="AG28" s="51">
        <v>0.0</v>
      </c>
      <c r="AH28" s="51" t="s">
        <v>103</v>
      </c>
      <c r="AJ28" s="80">
        <f t="shared" si="1"/>
        <v>40</v>
      </c>
      <c r="AK28" s="80">
        <f t="shared" si="2"/>
        <v>19</v>
      </c>
    </row>
    <row r="29">
      <c r="A29" s="79">
        <v>45009.54818488426</v>
      </c>
      <c r="B29" s="51" t="s">
        <v>102</v>
      </c>
      <c r="C29" s="51">
        <v>68.0</v>
      </c>
      <c r="D29" s="51">
        <v>815.0</v>
      </c>
      <c r="E29" s="51" t="s">
        <v>106</v>
      </c>
      <c r="F29" s="51">
        <v>1.0</v>
      </c>
      <c r="G29" s="51">
        <v>1.0</v>
      </c>
      <c r="R29" s="51" t="s">
        <v>104</v>
      </c>
      <c r="W29" s="51">
        <v>2.0</v>
      </c>
      <c r="X29" s="51">
        <v>2.0</v>
      </c>
      <c r="AE29" s="51" t="s">
        <v>104</v>
      </c>
      <c r="AF29" s="51">
        <v>2.0</v>
      </c>
      <c r="AG29" s="51">
        <v>1.0</v>
      </c>
      <c r="AH29" s="51" t="s">
        <v>103</v>
      </c>
      <c r="AI29" s="51" t="s">
        <v>122</v>
      </c>
      <c r="AJ29" s="80">
        <f t="shared" si="1"/>
        <v>35</v>
      </c>
      <c r="AK29" s="80">
        <f t="shared" si="2"/>
        <v>10</v>
      </c>
    </row>
    <row r="30">
      <c r="A30" s="79">
        <v>45009.54986857639</v>
      </c>
      <c r="B30" s="51" t="s">
        <v>102</v>
      </c>
      <c r="C30" s="51">
        <v>73.0</v>
      </c>
      <c r="D30" s="51">
        <v>815.0</v>
      </c>
      <c r="E30" s="51" t="s">
        <v>106</v>
      </c>
      <c r="R30" s="51" t="s">
        <v>104</v>
      </c>
      <c r="U30" s="51">
        <v>1.0</v>
      </c>
      <c r="V30" s="51">
        <v>1.0</v>
      </c>
      <c r="AE30" s="51" t="s">
        <v>103</v>
      </c>
      <c r="AF30" s="51">
        <v>0.0</v>
      </c>
      <c r="AG30" s="51">
        <v>0.0</v>
      </c>
      <c r="AH30" s="51" t="s">
        <v>106</v>
      </c>
      <c r="AI30" s="51" t="s">
        <v>123</v>
      </c>
      <c r="AJ30" s="80">
        <f t="shared" si="1"/>
        <v>18</v>
      </c>
      <c r="AK30" s="80">
        <f t="shared" si="2"/>
        <v>3</v>
      </c>
    </row>
    <row r="31">
      <c r="A31" s="79">
        <v>45009.553795740736</v>
      </c>
      <c r="B31" s="51" t="s">
        <v>102</v>
      </c>
      <c r="C31" s="51" t="s">
        <v>124</v>
      </c>
      <c r="D31" s="51">
        <v>815.0</v>
      </c>
      <c r="E31" s="51" t="s">
        <v>106</v>
      </c>
      <c r="F31" s="51">
        <v>1.0</v>
      </c>
      <c r="G31" s="51">
        <v>1.0</v>
      </c>
      <c r="R31" s="51" t="s">
        <v>103</v>
      </c>
      <c r="S31" s="51">
        <v>3.0</v>
      </c>
      <c r="T31" s="51">
        <v>3.0</v>
      </c>
      <c r="AE31" s="51" t="s">
        <v>103</v>
      </c>
      <c r="AF31" s="51">
        <v>2.0</v>
      </c>
      <c r="AG31" s="51">
        <v>0.0</v>
      </c>
      <c r="AH31" s="51" t="s">
        <v>106</v>
      </c>
      <c r="AI31" s="51" t="s">
        <v>125</v>
      </c>
      <c r="AJ31" s="80">
        <f t="shared" si="1"/>
        <v>24</v>
      </c>
      <c r="AK31" s="80">
        <f t="shared" si="2"/>
        <v>21</v>
      </c>
    </row>
    <row r="32">
      <c r="A32" s="79">
        <v>45009.55646423611</v>
      </c>
      <c r="B32" s="51" t="s">
        <v>102</v>
      </c>
      <c r="C32" s="51" t="s">
        <v>126</v>
      </c>
      <c r="D32" s="51">
        <v>815.0</v>
      </c>
      <c r="E32" s="51" t="s">
        <v>106</v>
      </c>
      <c r="F32" s="51">
        <v>1.0</v>
      </c>
      <c r="G32" s="51">
        <v>1.0</v>
      </c>
      <c r="R32" s="51" t="s">
        <v>103</v>
      </c>
      <c r="S32" s="51">
        <v>4.0</v>
      </c>
      <c r="T32" s="51">
        <v>4.0</v>
      </c>
      <c r="U32" s="51">
        <v>1.0</v>
      </c>
      <c r="V32" s="51">
        <v>1.0</v>
      </c>
      <c r="AE32" s="51" t="s">
        <v>104</v>
      </c>
      <c r="AF32" s="51">
        <v>4.0</v>
      </c>
      <c r="AG32" s="51">
        <v>0.0</v>
      </c>
      <c r="AH32" s="51" t="s">
        <v>103</v>
      </c>
      <c r="AJ32" s="80">
        <f t="shared" si="1"/>
        <v>42</v>
      </c>
      <c r="AK32" s="80">
        <f t="shared" si="2"/>
        <v>29</v>
      </c>
    </row>
    <row r="33">
      <c r="A33" s="79">
        <v>45009.5599218287</v>
      </c>
      <c r="B33" s="51" t="s">
        <v>102</v>
      </c>
      <c r="C33" s="51" t="s">
        <v>127</v>
      </c>
      <c r="D33" s="51">
        <v>815.0</v>
      </c>
      <c r="E33" s="51" t="s">
        <v>106</v>
      </c>
      <c r="F33" s="51">
        <v>1.0</v>
      </c>
      <c r="G33" s="51">
        <v>1.0</v>
      </c>
      <c r="R33" s="51" t="s">
        <v>103</v>
      </c>
      <c r="AE33" s="51" t="s">
        <v>104</v>
      </c>
      <c r="AF33" s="51">
        <v>0.0</v>
      </c>
      <c r="AG33" s="51">
        <v>3.0</v>
      </c>
      <c r="AH33" s="51" t="s">
        <v>106</v>
      </c>
      <c r="AI33" s="51" t="s">
        <v>128</v>
      </c>
      <c r="AJ33" s="80">
        <f t="shared" si="1"/>
        <v>19</v>
      </c>
      <c r="AK33" s="80">
        <f t="shared" si="2"/>
        <v>6</v>
      </c>
    </row>
    <row r="34">
      <c r="A34" s="79">
        <v>44996.7877849537</v>
      </c>
      <c r="B34" s="51" t="s">
        <v>102</v>
      </c>
      <c r="C34" s="51">
        <v>4.0</v>
      </c>
      <c r="D34" s="51">
        <v>862.0</v>
      </c>
      <c r="E34" s="51" t="s">
        <v>103</v>
      </c>
      <c r="L34" s="51">
        <v>1.0</v>
      </c>
      <c r="M34" s="51">
        <v>1.0</v>
      </c>
      <c r="R34" s="51" t="s">
        <v>108</v>
      </c>
      <c r="S34" s="51">
        <v>4.0</v>
      </c>
      <c r="T34" s="51">
        <v>3.0</v>
      </c>
      <c r="W34" s="51">
        <v>2.0</v>
      </c>
      <c r="X34" s="51">
        <v>2.0</v>
      </c>
      <c r="AE34" s="51" t="s">
        <v>107</v>
      </c>
      <c r="AF34" s="51">
        <v>3.0</v>
      </c>
      <c r="AG34" s="51">
        <v>0.0</v>
      </c>
      <c r="AH34" s="51" t="s">
        <v>106</v>
      </c>
      <c r="AI34" s="81"/>
      <c r="AJ34" s="80">
        <f t="shared" si="1"/>
        <v>36</v>
      </c>
      <c r="AK34" s="80">
        <f t="shared" si="2"/>
        <v>25</v>
      </c>
    </row>
    <row r="35">
      <c r="A35" s="79">
        <v>44996.79860375</v>
      </c>
      <c r="B35" s="51" t="s">
        <v>102</v>
      </c>
      <c r="C35" s="51">
        <v>8.0</v>
      </c>
      <c r="D35" s="51">
        <v>862.0</v>
      </c>
      <c r="E35" s="51" t="s">
        <v>103</v>
      </c>
      <c r="L35" s="51">
        <v>1.0</v>
      </c>
      <c r="M35" s="51">
        <v>1.0</v>
      </c>
      <c r="R35" s="51" t="s">
        <v>104</v>
      </c>
      <c r="S35" s="51">
        <v>2.0</v>
      </c>
      <c r="T35" s="51">
        <v>1.0</v>
      </c>
      <c r="W35" s="51">
        <v>1.0</v>
      </c>
      <c r="X35" s="51">
        <v>1.0</v>
      </c>
      <c r="Y35" s="51">
        <v>1.0</v>
      </c>
      <c r="Z35" s="51">
        <v>1.0</v>
      </c>
      <c r="AE35" s="51" t="s">
        <v>103</v>
      </c>
      <c r="AF35" s="51">
        <v>3.0</v>
      </c>
      <c r="AG35" s="51">
        <v>0.0</v>
      </c>
      <c r="AH35" s="51" t="s">
        <v>106</v>
      </c>
      <c r="AI35" s="82" t="s">
        <v>129</v>
      </c>
      <c r="AJ35" s="80">
        <f t="shared" si="1"/>
        <v>30</v>
      </c>
      <c r="AK35" s="80">
        <f t="shared" si="2"/>
        <v>18</v>
      </c>
    </row>
    <row r="36">
      <c r="A36" s="79">
        <v>44996.803366493055</v>
      </c>
      <c r="B36" s="51" t="s">
        <v>102</v>
      </c>
      <c r="C36" s="51">
        <v>14.0</v>
      </c>
      <c r="D36" s="51">
        <v>862.0</v>
      </c>
      <c r="E36" s="51" t="s">
        <v>103</v>
      </c>
      <c r="L36" s="51">
        <v>1.0</v>
      </c>
      <c r="M36" s="51">
        <v>1.0</v>
      </c>
      <c r="R36" s="51" t="s">
        <v>108</v>
      </c>
      <c r="S36" s="51">
        <v>5.0</v>
      </c>
      <c r="T36" s="51">
        <v>5.0</v>
      </c>
      <c r="Y36" s="51">
        <v>2.0</v>
      </c>
      <c r="Z36" s="51">
        <v>2.0</v>
      </c>
      <c r="AE36" s="51" t="s">
        <v>104</v>
      </c>
      <c r="AF36" s="51">
        <v>5.0</v>
      </c>
      <c r="AG36" s="51">
        <v>0.0</v>
      </c>
      <c r="AH36" s="51" t="s">
        <v>103</v>
      </c>
      <c r="AI36" s="81"/>
      <c r="AJ36" s="80">
        <f t="shared" si="1"/>
        <v>59</v>
      </c>
      <c r="AK36" s="80">
        <f t="shared" si="2"/>
        <v>41</v>
      </c>
    </row>
    <row r="37">
      <c r="A37" s="79">
        <v>44996.80838876158</v>
      </c>
      <c r="B37" s="51" t="s">
        <v>102</v>
      </c>
      <c r="C37" s="51">
        <v>20.0</v>
      </c>
      <c r="D37" s="51">
        <v>862.0</v>
      </c>
      <c r="E37" s="51" t="s">
        <v>106</v>
      </c>
      <c r="P37" s="51">
        <v>1.0</v>
      </c>
      <c r="Q37" s="51">
        <v>1.0</v>
      </c>
      <c r="R37" s="51" t="s">
        <v>103</v>
      </c>
      <c r="S37" s="51">
        <v>3.0</v>
      </c>
      <c r="T37" s="51">
        <v>3.0</v>
      </c>
      <c r="Y37" s="51">
        <v>1.0</v>
      </c>
      <c r="Z37" s="51">
        <v>1.0</v>
      </c>
      <c r="AA37" s="51">
        <v>1.0</v>
      </c>
      <c r="AB37" s="51">
        <v>1.0</v>
      </c>
      <c r="AE37" s="51" t="s">
        <v>104</v>
      </c>
      <c r="AF37" s="51">
        <v>4.0</v>
      </c>
      <c r="AG37" s="51">
        <v>0.0</v>
      </c>
      <c r="AH37" s="51" t="s">
        <v>103</v>
      </c>
      <c r="AI37" s="81"/>
      <c r="AJ37" s="80">
        <f t="shared" si="1"/>
        <v>39</v>
      </c>
      <c r="AK37" s="80">
        <f t="shared" si="2"/>
        <v>26</v>
      </c>
    </row>
    <row r="38">
      <c r="A38" s="79">
        <v>44996.82735943287</v>
      </c>
      <c r="B38" s="51" t="s">
        <v>102</v>
      </c>
      <c r="C38" s="51">
        <v>25.0</v>
      </c>
      <c r="D38" s="51">
        <v>862.0</v>
      </c>
      <c r="E38" s="51" t="s">
        <v>103</v>
      </c>
      <c r="P38" s="51">
        <v>1.0</v>
      </c>
      <c r="Q38" s="51">
        <v>1.0</v>
      </c>
      <c r="R38" s="51" t="s">
        <v>108</v>
      </c>
      <c r="W38" s="51">
        <v>3.0</v>
      </c>
      <c r="X38" s="51">
        <v>3.0</v>
      </c>
      <c r="AE38" s="51" t="s">
        <v>107</v>
      </c>
      <c r="AF38" s="51">
        <v>2.0</v>
      </c>
      <c r="AG38" s="51">
        <v>0.0</v>
      </c>
      <c r="AH38" s="51" t="s">
        <v>106</v>
      </c>
      <c r="AI38" s="81"/>
      <c r="AJ38" s="80">
        <f t="shared" si="1"/>
        <v>20</v>
      </c>
      <c r="AK38" s="80">
        <f t="shared" si="2"/>
        <v>9</v>
      </c>
    </row>
    <row r="39">
      <c r="A39" s="79">
        <v>44996.83481664352</v>
      </c>
      <c r="B39" s="51" t="s">
        <v>102</v>
      </c>
      <c r="C39" s="51">
        <v>33.0</v>
      </c>
      <c r="D39" s="51">
        <v>862.0</v>
      </c>
      <c r="E39" s="51" t="s">
        <v>103</v>
      </c>
      <c r="L39" s="51">
        <v>1.0</v>
      </c>
      <c r="M39" s="51">
        <v>1.0</v>
      </c>
      <c r="R39" s="51" t="s">
        <v>104</v>
      </c>
      <c r="S39" s="51">
        <v>2.0</v>
      </c>
      <c r="T39" s="51">
        <v>1.0</v>
      </c>
      <c r="W39" s="51">
        <v>3.0</v>
      </c>
      <c r="X39" s="51">
        <v>3.0</v>
      </c>
      <c r="AE39" s="51" t="s">
        <v>104</v>
      </c>
      <c r="AF39" s="51">
        <v>4.0</v>
      </c>
      <c r="AG39" s="51">
        <v>0.0</v>
      </c>
      <c r="AH39" s="51" t="s">
        <v>103</v>
      </c>
      <c r="AI39" s="82" t="s">
        <v>130</v>
      </c>
      <c r="AJ39" s="80">
        <f t="shared" si="1"/>
        <v>39</v>
      </c>
      <c r="AK39" s="80">
        <f t="shared" si="2"/>
        <v>17</v>
      </c>
    </row>
    <row r="40">
      <c r="A40" s="79">
        <v>44996.842945972225</v>
      </c>
      <c r="B40" s="51" t="s">
        <v>102</v>
      </c>
      <c r="C40" s="51">
        <v>41.0</v>
      </c>
      <c r="D40" s="51">
        <v>862.0</v>
      </c>
      <c r="E40" s="51" t="s">
        <v>103</v>
      </c>
      <c r="L40" s="51">
        <v>1.0</v>
      </c>
      <c r="M40" s="51">
        <v>1.0</v>
      </c>
      <c r="R40" s="51" t="s">
        <v>104</v>
      </c>
      <c r="S40" s="51">
        <v>1.0</v>
      </c>
      <c r="T40" s="51">
        <v>1.0</v>
      </c>
      <c r="AE40" s="51" t="s">
        <v>107</v>
      </c>
      <c r="AF40" s="51">
        <v>1.0</v>
      </c>
      <c r="AG40" s="51">
        <v>3.0</v>
      </c>
      <c r="AH40" s="51" t="s">
        <v>103</v>
      </c>
      <c r="AI40" s="82" t="s">
        <v>131</v>
      </c>
      <c r="AJ40" s="80">
        <f t="shared" si="1"/>
        <v>26</v>
      </c>
      <c r="AK40" s="80">
        <f t="shared" si="2"/>
        <v>11</v>
      </c>
    </row>
    <row r="41">
      <c r="A41" s="79">
        <v>44996.85999164352</v>
      </c>
      <c r="B41" s="51" t="s">
        <v>102</v>
      </c>
      <c r="C41" s="51">
        <v>48.0</v>
      </c>
      <c r="D41" s="51">
        <v>862.0</v>
      </c>
      <c r="E41" s="51" t="s">
        <v>103</v>
      </c>
      <c r="L41" s="51">
        <v>1.0</v>
      </c>
      <c r="M41" s="51">
        <v>1.0</v>
      </c>
      <c r="R41" s="51" t="s">
        <v>103</v>
      </c>
      <c r="AE41" s="51" t="s">
        <v>107</v>
      </c>
      <c r="AF41" s="51">
        <v>1.0</v>
      </c>
      <c r="AG41" s="51">
        <v>0.0</v>
      </c>
      <c r="AH41" s="51" t="s">
        <v>106</v>
      </c>
      <c r="AI41" s="82" t="s">
        <v>132</v>
      </c>
      <c r="AJ41" s="80">
        <f t="shared" si="1"/>
        <v>9</v>
      </c>
      <c r="AK41" s="80">
        <f t="shared" si="2"/>
        <v>6</v>
      </c>
    </row>
    <row r="42">
      <c r="A42" s="79">
        <v>44996.865418912035</v>
      </c>
      <c r="B42" s="51" t="s">
        <v>133</v>
      </c>
      <c r="C42" s="51">
        <v>52.0</v>
      </c>
      <c r="D42" s="51">
        <v>862.0</v>
      </c>
      <c r="E42" s="51" t="s">
        <v>103</v>
      </c>
      <c r="L42" s="51">
        <v>1.0</v>
      </c>
      <c r="M42" s="51">
        <v>1.0</v>
      </c>
      <c r="R42" s="51" t="s">
        <v>104</v>
      </c>
      <c r="S42" s="51">
        <v>4.0</v>
      </c>
      <c r="T42" s="51">
        <v>3.0</v>
      </c>
      <c r="U42" s="51">
        <v>1.0</v>
      </c>
      <c r="V42" s="51">
        <v>1.0</v>
      </c>
      <c r="W42" s="51">
        <v>1.0</v>
      </c>
      <c r="X42" s="51">
        <v>1.0</v>
      </c>
      <c r="AE42" s="51" t="s">
        <v>107</v>
      </c>
      <c r="AF42" s="51">
        <v>4.0</v>
      </c>
      <c r="AG42" s="51">
        <v>0.0</v>
      </c>
      <c r="AH42" s="51" t="s">
        <v>103</v>
      </c>
      <c r="AI42" s="81"/>
      <c r="AJ42" s="80">
        <f t="shared" si="1"/>
        <v>41</v>
      </c>
      <c r="AK42" s="80">
        <f t="shared" si="2"/>
        <v>26</v>
      </c>
    </row>
    <row r="43">
      <c r="A43" s="79">
        <v>44997.44190637732</v>
      </c>
      <c r="B43" s="51" t="s">
        <v>102</v>
      </c>
      <c r="C43" s="51">
        <v>60.0</v>
      </c>
      <c r="D43" s="51">
        <v>862.0</v>
      </c>
      <c r="E43" s="51" t="s">
        <v>106</v>
      </c>
      <c r="P43" s="51">
        <v>1.0</v>
      </c>
      <c r="Q43" s="51">
        <v>1.0</v>
      </c>
      <c r="R43" s="51" t="s">
        <v>103</v>
      </c>
      <c r="S43" s="51">
        <v>3.0</v>
      </c>
      <c r="T43" s="51">
        <v>3.0</v>
      </c>
      <c r="Y43" s="51">
        <v>2.0</v>
      </c>
      <c r="Z43" s="51">
        <v>2.0</v>
      </c>
      <c r="AE43" s="51" t="s">
        <v>104</v>
      </c>
      <c r="AF43" s="51">
        <v>4.0</v>
      </c>
      <c r="AG43" s="51">
        <v>0.0</v>
      </c>
      <c r="AH43" s="51" t="s">
        <v>103</v>
      </c>
      <c r="AI43" s="81"/>
      <c r="AJ43" s="80">
        <f t="shared" si="1"/>
        <v>41</v>
      </c>
      <c r="AK43" s="80">
        <f t="shared" si="2"/>
        <v>28</v>
      </c>
    </row>
    <row r="44">
      <c r="A44" s="79">
        <v>44997.44644020833</v>
      </c>
      <c r="B44" s="51" t="s">
        <v>102</v>
      </c>
      <c r="C44" s="51">
        <v>64.0</v>
      </c>
      <c r="D44" s="51">
        <v>862.0</v>
      </c>
      <c r="E44" s="51" t="s">
        <v>103</v>
      </c>
      <c r="L44" s="51">
        <v>1.0</v>
      </c>
      <c r="M44" s="51">
        <v>1.0</v>
      </c>
      <c r="R44" s="51" t="s">
        <v>104</v>
      </c>
      <c r="S44" s="51">
        <v>5.0</v>
      </c>
      <c r="T44" s="51">
        <v>4.0</v>
      </c>
      <c r="AE44" s="51" t="s">
        <v>104</v>
      </c>
      <c r="AF44" s="51">
        <v>4.0</v>
      </c>
      <c r="AG44" s="51">
        <v>0.0</v>
      </c>
      <c r="AH44" s="51" t="s">
        <v>103</v>
      </c>
      <c r="AI44" s="81"/>
      <c r="AJ44" s="80">
        <f t="shared" si="1"/>
        <v>48</v>
      </c>
      <c r="AK44" s="80">
        <f t="shared" si="2"/>
        <v>26</v>
      </c>
    </row>
    <row r="45">
      <c r="A45" s="79">
        <v>44997.45244907407</v>
      </c>
      <c r="B45" s="51" t="s">
        <v>102</v>
      </c>
      <c r="C45" s="51">
        <v>69.0</v>
      </c>
      <c r="D45" s="51">
        <v>862.0</v>
      </c>
      <c r="E45" s="51" t="s">
        <v>103</v>
      </c>
      <c r="L45" s="51">
        <v>1.0</v>
      </c>
      <c r="M45" s="51">
        <v>1.0</v>
      </c>
      <c r="R45" s="51" t="s">
        <v>104</v>
      </c>
      <c r="S45" s="51">
        <v>4.0</v>
      </c>
      <c r="T45" s="51">
        <v>4.0</v>
      </c>
      <c r="W45" s="51">
        <v>1.0</v>
      </c>
      <c r="X45" s="51">
        <v>1.0</v>
      </c>
      <c r="AE45" s="51" t="s">
        <v>104</v>
      </c>
      <c r="AF45" s="51">
        <v>4.0</v>
      </c>
      <c r="AG45" s="51">
        <v>0.0</v>
      </c>
      <c r="AH45" s="51" t="s">
        <v>103</v>
      </c>
      <c r="AI45" s="81"/>
      <c r="AJ45" s="80">
        <f t="shared" si="1"/>
        <v>50</v>
      </c>
      <c r="AK45" s="80">
        <f t="shared" si="2"/>
        <v>28</v>
      </c>
    </row>
    <row r="46">
      <c r="A46" s="79">
        <v>44997.45775715278</v>
      </c>
      <c r="B46" s="51" t="s">
        <v>102</v>
      </c>
      <c r="C46" s="51" t="s">
        <v>134</v>
      </c>
      <c r="D46" s="51">
        <v>862.0</v>
      </c>
      <c r="E46" s="51" t="s">
        <v>106</v>
      </c>
      <c r="L46" s="51">
        <v>1.0</v>
      </c>
      <c r="M46" s="51">
        <v>1.0</v>
      </c>
      <c r="R46" s="51" t="s">
        <v>103</v>
      </c>
      <c r="S46" s="51">
        <v>3.0</v>
      </c>
      <c r="T46" s="51">
        <v>3.0</v>
      </c>
      <c r="W46" s="51">
        <v>2.0</v>
      </c>
      <c r="X46" s="51">
        <v>2.0</v>
      </c>
      <c r="AE46" s="51" t="s">
        <v>104</v>
      </c>
      <c r="AF46" s="51">
        <v>5.0</v>
      </c>
      <c r="AG46" s="51">
        <v>0.0</v>
      </c>
      <c r="AH46" s="51" t="s">
        <v>103</v>
      </c>
      <c r="AI46" s="81"/>
      <c r="AJ46" s="80">
        <f t="shared" si="1"/>
        <v>38</v>
      </c>
      <c r="AK46" s="80">
        <f t="shared" si="2"/>
        <v>25</v>
      </c>
    </row>
    <row r="47">
      <c r="A47" s="79">
        <v>44997.46156876157</v>
      </c>
      <c r="B47" s="51" t="s">
        <v>102</v>
      </c>
      <c r="C47" s="51" t="s">
        <v>135</v>
      </c>
      <c r="D47" s="51">
        <v>862.0</v>
      </c>
      <c r="E47" s="51" t="s">
        <v>106</v>
      </c>
      <c r="L47" s="51">
        <v>1.0</v>
      </c>
      <c r="M47" s="51">
        <v>1.0</v>
      </c>
      <c r="R47" s="51" t="s">
        <v>103</v>
      </c>
      <c r="S47" s="51">
        <v>4.0</v>
      </c>
      <c r="T47" s="51">
        <v>4.0</v>
      </c>
      <c r="W47" s="51">
        <v>1.0</v>
      </c>
      <c r="X47" s="51">
        <v>1.0</v>
      </c>
      <c r="AE47" s="51" t="s">
        <v>107</v>
      </c>
      <c r="AF47" s="51">
        <v>4.0</v>
      </c>
      <c r="AG47" s="51">
        <v>0.0</v>
      </c>
      <c r="AH47" s="51" t="s">
        <v>103</v>
      </c>
      <c r="AI47" s="81"/>
      <c r="AJ47" s="80">
        <f t="shared" si="1"/>
        <v>34</v>
      </c>
      <c r="AK47" s="80">
        <f t="shared" si="2"/>
        <v>28</v>
      </c>
    </row>
    <row r="48">
      <c r="A48" s="79">
        <v>44997.46372310186</v>
      </c>
      <c r="B48" s="51" t="s">
        <v>102</v>
      </c>
      <c r="C48" s="51" t="s">
        <v>136</v>
      </c>
      <c r="D48" s="51">
        <v>862.0</v>
      </c>
      <c r="E48" s="51" t="s">
        <v>106</v>
      </c>
      <c r="L48" s="51">
        <v>1.0</v>
      </c>
      <c r="M48" s="51">
        <v>1.0</v>
      </c>
      <c r="R48" s="51" t="s">
        <v>103</v>
      </c>
      <c r="S48" s="51">
        <v>5.0</v>
      </c>
      <c r="T48" s="51">
        <v>5.0</v>
      </c>
      <c r="W48" s="51">
        <v>1.0</v>
      </c>
      <c r="X48" s="51">
        <v>1.0</v>
      </c>
      <c r="AE48" s="51" t="s">
        <v>104</v>
      </c>
      <c r="AF48" s="51">
        <v>5.0</v>
      </c>
      <c r="AG48" s="51">
        <v>0.0</v>
      </c>
      <c r="AH48" s="51" t="s">
        <v>103</v>
      </c>
      <c r="AI48" s="81"/>
      <c r="AJ48" s="80">
        <f t="shared" si="1"/>
        <v>46</v>
      </c>
      <c r="AK48" s="80">
        <f t="shared" si="2"/>
        <v>33</v>
      </c>
    </row>
    <row r="49">
      <c r="A49" s="79">
        <v>44997.46770523148</v>
      </c>
      <c r="B49" s="51" t="s">
        <v>102</v>
      </c>
      <c r="C49" s="51" t="s">
        <v>137</v>
      </c>
      <c r="D49" s="51">
        <v>862.0</v>
      </c>
      <c r="E49" s="51" t="s">
        <v>106</v>
      </c>
      <c r="L49" s="51">
        <v>1.0</v>
      </c>
      <c r="M49" s="51">
        <v>1.0</v>
      </c>
      <c r="R49" s="51" t="s">
        <v>103</v>
      </c>
      <c r="S49" s="51">
        <v>5.0</v>
      </c>
      <c r="T49" s="51">
        <v>4.0</v>
      </c>
      <c r="W49" s="51">
        <v>1.0</v>
      </c>
      <c r="X49" s="51">
        <v>1.0</v>
      </c>
      <c r="AE49" s="51" t="s">
        <v>104</v>
      </c>
      <c r="AF49" s="51">
        <v>4.0</v>
      </c>
      <c r="AG49" s="51">
        <v>0.0</v>
      </c>
      <c r="AH49" s="51" t="s">
        <v>103</v>
      </c>
      <c r="AI49" s="81"/>
      <c r="AJ49" s="80">
        <f t="shared" si="1"/>
        <v>41</v>
      </c>
      <c r="AK49" s="80">
        <f t="shared" si="2"/>
        <v>28</v>
      </c>
    </row>
    <row r="50">
      <c r="A50" s="79">
        <v>44997.470047511575</v>
      </c>
      <c r="B50" s="51" t="s">
        <v>102</v>
      </c>
      <c r="C50" s="51" t="s">
        <v>138</v>
      </c>
      <c r="D50" s="51">
        <v>862.0</v>
      </c>
      <c r="E50" s="51" t="s">
        <v>103</v>
      </c>
      <c r="L50" s="51">
        <v>1.0</v>
      </c>
      <c r="M50" s="51">
        <v>1.0</v>
      </c>
      <c r="R50" s="51" t="s">
        <v>104</v>
      </c>
      <c r="S50" s="51">
        <v>4.0</v>
      </c>
      <c r="T50" s="51">
        <v>4.0</v>
      </c>
      <c r="AE50" s="51" t="s">
        <v>104</v>
      </c>
      <c r="AF50" s="51">
        <v>3.0</v>
      </c>
      <c r="AG50" s="51">
        <v>1.0</v>
      </c>
      <c r="AH50" s="51" t="s">
        <v>103</v>
      </c>
      <c r="AI50" s="81"/>
      <c r="AJ50" s="80">
        <f t="shared" si="1"/>
        <v>48</v>
      </c>
      <c r="AK50" s="80">
        <f t="shared" si="2"/>
        <v>26</v>
      </c>
    </row>
    <row r="51">
      <c r="A51" s="79">
        <v>45005.42739096065</v>
      </c>
      <c r="B51" s="51" t="s">
        <v>102</v>
      </c>
      <c r="C51" s="51">
        <v>1.0</v>
      </c>
      <c r="D51" s="51">
        <v>904.0</v>
      </c>
      <c r="E51" s="51" t="s">
        <v>106</v>
      </c>
      <c r="R51" s="51" t="s">
        <v>103</v>
      </c>
      <c r="W51" s="51">
        <v>1.0</v>
      </c>
      <c r="X51" s="51">
        <v>1.0</v>
      </c>
      <c r="Y51" s="51">
        <v>1.0</v>
      </c>
      <c r="Z51" s="51">
        <v>1.0</v>
      </c>
      <c r="AE51" s="51" t="s">
        <v>107</v>
      </c>
      <c r="AF51" s="51">
        <v>1.0</v>
      </c>
      <c r="AG51" s="51">
        <v>0.0</v>
      </c>
      <c r="AH51" s="51" t="s">
        <v>103</v>
      </c>
      <c r="AI51" s="82" t="s">
        <v>139</v>
      </c>
      <c r="AJ51" s="80">
        <f t="shared" si="1"/>
        <v>13</v>
      </c>
      <c r="AK51" s="80">
        <f t="shared" si="2"/>
        <v>7</v>
      </c>
    </row>
    <row r="52">
      <c r="A52" s="79">
        <v>45005.42879144676</v>
      </c>
      <c r="B52" s="51" t="s">
        <v>102</v>
      </c>
      <c r="C52" s="51">
        <v>12.0</v>
      </c>
      <c r="D52" s="51">
        <v>904.0</v>
      </c>
      <c r="E52" s="51" t="s">
        <v>106</v>
      </c>
      <c r="R52" s="51" t="s">
        <v>103</v>
      </c>
      <c r="U52" s="51">
        <v>1.0</v>
      </c>
      <c r="V52" s="51">
        <v>0.0</v>
      </c>
      <c r="W52" s="51">
        <v>2.0</v>
      </c>
      <c r="X52" s="51">
        <v>2.0</v>
      </c>
      <c r="AC52" s="51">
        <v>1.0</v>
      </c>
      <c r="AD52" s="51">
        <v>1.0</v>
      </c>
      <c r="AE52" s="51" t="s">
        <v>107</v>
      </c>
      <c r="AF52" s="51">
        <v>2.0</v>
      </c>
      <c r="AG52" s="51">
        <v>0.0</v>
      </c>
      <c r="AH52" s="51" t="s">
        <v>103</v>
      </c>
      <c r="AI52" s="82" t="s">
        <v>140</v>
      </c>
      <c r="AJ52" s="80">
        <f t="shared" si="1"/>
        <v>12</v>
      </c>
      <c r="AK52" s="80">
        <f t="shared" si="2"/>
        <v>6</v>
      </c>
    </row>
    <row r="53">
      <c r="A53" s="79">
        <v>45005.431174074074</v>
      </c>
      <c r="B53" s="51" t="s">
        <v>102</v>
      </c>
      <c r="C53" s="51">
        <v>62.0</v>
      </c>
      <c r="D53" s="51">
        <v>904.0</v>
      </c>
      <c r="E53" s="51" t="s">
        <v>106</v>
      </c>
      <c r="R53" s="51" t="s">
        <v>103</v>
      </c>
      <c r="W53" s="51">
        <v>1.0</v>
      </c>
      <c r="X53" s="51">
        <v>1.0</v>
      </c>
      <c r="AA53" s="51">
        <v>1.0</v>
      </c>
      <c r="AB53" s="51">
        <v>1.0</v>
      </c>
      <c r="AE53" s="51" t="s">
        <v>104</v>
      </c>
      <c r="AF53" s="51">
        <v>1.0</v>
      </c>
      <c r="AG53" s="51">
        <v>0.0</v>
      </c>
      <c r="AH53" s="51" t="s">
        <v>103</v>
      </c>
      <c r="AI53" s="81"/>
      <c r="AJ53" s="80">
        <f t="shared" si="1"/>
        <v>18</v>
      </c>
      <c r="AK53" s="80">
        <f t="shared" si="2"/>
        <v>5</v>
      </c>
    </row>
    <row r="54">
      <c r="A54" s="79">
        <v>45005.43321752315</v>
      </c>
      <c r="B54" s="51" t="s">
        <v>102</v>
      </c>
      <c r="C54" s="51" t="s">
        <v>124</v>
      </c>
      <c r="D54" s="51">
        <v>904.0</v>
      </c>
      <c r="E54" s="51" t="s">
        <v>106</v>
      </c>
      <c r="J54" s="51">
        <v>1.0</v>
      </c>
      <c r="K54" s="51">
        <v>1.0</v>
      </c>
      <c r="R54" s="51" t="s">
        <v>103</v>
      </c>
      <c r="AC54" s="51">
        <v>2.0</v>
      </c>
      <c r="AD54" s="51">
        <v>2.0</v>
      </c>
      <c r="AE54" s="51" t="s">
        <v>107</v>
      </c>
      <c r="AF54" s="51">
        <v>2.0</v>
      </c>
      <c r="AG54" s="51">
        <v>0.0</v>
      </c>
      <c r="AH54" s="51" t="s">
        <v>103</v>
      </c>
      <c r="AI54" s="81"/>
      <c r="AJ54" s="80">
        <f t="shared" si="1"/>
        <v>13</v>
      </c>
      <c r="AK54" s="80">
        <f t="shared" si="2"/>
        <v>7</v>
      </c>
    </row>
    <row r="55">
      <c r="A55" s="79">
        <v>45005.435174375</v>
      </c>
      <c r="B55" s="51" t="s">
        <v>102</v>
      </c>
      <c r="C55" s="51" t="s">
        <v>141</v>
      </c>
      <c r="D55" s="51">
        <v>904.0</v>
      </c>
      <c r="E55" s="51" t="s">
        <v>106</v>
      </c>
      <c r="J55" s="51">
        <v>1.0</v>
      </c>
      <c r="K55" s="51">
        <v>1.0</v>
      </c>
      <c r="R55" s="51" t="s">
        <v>103</v>
      </c>
      <c r="W55" s="51">
        <v>1.0</v>
      </c>
      <c r="X55" s="51">
        <v>0.0</v>
      </c>
      <c r="AC55" s="51">
        <v>3.0</v>
      </c>
      <c r="AD55" s="51">
        <v>1.0</v>
      </c>
      <c r="AE55" s="51" t="s">
        <v>107</v>
      </c>
      <c r="AF55" s="51">
        <v>2.0</v>
      </c>
      <c r="AG55" s="51">
        <v>0.0</v>
      </c>
      <c r="AH55" s="51" t="s">
        <v>103</v>
      </c>
      <c r="AI55" s="81"/>
      <c r="AJ55" s="80">
        <f t="shared" si="1"/>
        <v>11</v>
      </c>
      <c r="AK55" s="80">
        <f t="shared" si="2"/>
        <v>5</v>
      </c>
    </row>
    <row r="56">
      <c r="A56" s="79">
        <v>45005.437131377315</v>
      </c>
      <c r="B56" s="51" t="s">
        <v>102</v>
      </c>
      <c r="C56" s="51" t="s">
        <v>136</v>
      </c>
      <c r="D56" s="51">
        <v>904.0</v>
      </c>
      <c r="E56" s="51" t="s">
        <v>106</v>
      </c>
      <c r="J56" s="51">
        <v>1.0</v>
      </c>
      <c r="K56" s="51">
        <v>1.0</v>
      </c>
      <c r="R56" s="51" t="s">
        <v>103</v>
      </c>
      <c r="W56" s="51">
        <v>1.0</v>
      </c>
      <c r="X56" s="51">
        <v>1.0</v>
      </c>
      <c r="AC56" s="51">
        <v>2.0</v>
      </c>
      <c r="AD56" s="51">
        <v>2.0</v>
      </c>
      <c r="AE56" s="51" t="s">
        <v>103</v>
      </c>
      <c r="AF56" s="51">
        <v>2.0</v>
      </c>
      <c r="AG56" s="51">
        <v>0.0</v>
      </c>
      <c r="AH56" s="51" t="s">
        <v>103</v>
      </c>
      <c r="AI56" s="82" t="s">
        <v>142</v>
      </c>
      <c r="AJ56" s="80">
        <f t="shared" si="1"/>
        <v>12</v>
      </c>
      <c r="AK56" s="80">
        <f t="shared" si="2"/>
        <v>9</v>
      </c>
    </row>
    <row r="57">
      <c r="A57" s="79">
        <v>45005.43901041667</v>
      </c>
      <c r="B57" s="51" t="s">
        <v>102</v>
      </c>
      <c r="C57" s="51" t="s">
        <v>137</v>
      </c>
      <c r="D57" s="51">
        <v>904.0</v>
      </c>
      <c r="E57" s="51" t="s">
        <v>106</v>
      </c>
      <c r="J57" s="51">
        <v>1.0</v>
      </c>
      <c r="K57" s="51">
        <v>1.0</v>
      </c>
      <c r="R57" s="51" t="s">
        <v>103</v>
      </c>
      <c r="W57" s="51">
        <v>1.0</v>
      </c>
      <c r="X57" s="51">
        <v>1.0</v>
      </c>
      <c r="AC57" s="51">
        <v>1.0</v>
      </c>
      <c r="AD57" s="51">
        <v>1.0</v>
      </c>
      <c r="AE57" s="51" t="s">
        <v>107</v>
      </c>
      <c r="AF57" s="51">
        <v>1.0</v>
      </c>
      <c r="AG57" s="51">
        <v>0.0</v>
      </c>
      <c r="AH57" s="51" t="s">
        <v>103</v>
      </c>
      <c r="AI57" s="82" t="s">
        <v>143</v>
      </c>
      <c r="AJ57" s="80">
        <f t="shared" si="1"/>
        <v>13</v>
      </c>
      <c r="AK57" s="80">
        <f t="shared" si="2"/>
        <v>7</v>
      </c>
    </row>
    <row r="58">
      <c r="A58" s="79">
        <v>45005.44128935185</v>
      </c>
      <c r="B58" s="51" t="s">
        <v>102</v>
      </c>
      <c r="C58" s="51" t="s">
        <v>138</v>
      </c>
      <c r="D58" s="51">
        <v>904.0</v>
      </c>
      <c r="E58" s="51" t="s">
        <v>106</v>
      </c>
      <c r="J58" s="51">
        <v>1.0</v>
      </c>
      <c r="K58" s="51">
        <v>1.0</v>
      </c>
      <c r="R58" s="51" t="s">
        <v>103</v>
      </c>
      <c r="W58" s="51">
        <v>1.0</v>
      </c>
      <c r="X58" s="51">
        <v>1.0</v>
      </c>
      <c r="AE58" s="51" t="s">
        <v>104</v>
      </c>
      <c r="AF58" s="51">
        <v>0.0</v>
      </c>
      <c r="AG58" s="51">
        <v>1.0</v>
      </c>
      <c r="AH58" s="51" t="s">
        <v>103</v>
      </c>
      <c r="AI58" s="81"/>
      <c r="AJ58" s="80">
        <f t="shared" si="1"/>
        <v>18</v>
      </c>
      <c r="AK58" s="80">
        <f t="shared" si="2"/>
        <v>5</v>
      </c>
    </row>
    <row r="59">
      <c r="A59" s="79">
        <v>44996.573996817126</v>
      </c>
      <c r="B59" s="51" t="s">
        <v>144</v>
      </c>
      <c r="C59" s="51">
        <v>3.0</v>
      </c>
      <c r="D59" s="51">
        <v>1076.0</v>
      </c>
      <c r="E59" s="51" t="s">
        <v>103</v>
      </c>
      <c r="R59" s="51" t="s">
        <v>103</v>
      </c>
      <c r="AE59" s="51" t="s">
        <v>104</v>
      </c>
      <c r="AF59" s="51">
        <v>1.0</v>
      </c>
      <c r="AG59" s="51">
        <v>0.0</v>
      </c>
      <c r="AH59" s="51" t="s">
        <v>103</v>
      </c>
      <c r="AI59" s="82" t="s">
        <v>145</v>
      </c>
      <c r="AJ59" s="80">
        <f t="shared" si="1"/>
        <v>10</v>
      </c>
      <c r="AK59" s="80">
        <f t="shared" si="2"/>
        <v>0</v>
      </c>
    </row>
    <row r="60">
      <c r="A60" s="79">
        <v>44996.57653327547</v>
      </c>
      <c r="B60" s="51" t="s">
        <v>144</v>
      </c>
      <c r="C60" s="51">
        <v>9.0</v>
      </c>
      <c r="D60" s="51">
        <v>1076.0</v>
      </c>
      <c r="E60" s="51" t="s">
        <v>106</v>
      </c>
      <c r="R60" s="51" t="s">
        <v>103</v>
      </c>
      <c r="S60" s="51">
        <v>1.0</v>
      </c>
      <c r="AE60" s="51" t="s">
        <v>104</v>
      </c>
      <c r="AF60" s="51">
        <v>2.0</v>
      </c>
      <c r="AG60" s="51">
        <v>0.0</v>
      </c>
      <c r="AH60" s="51" t="s">
        <v>103</v>
      </c>
      <c r="AI60" s="81"/>
      <c r="AJ60" s="80">
        <f t="shared" si="1"/>
        <v>13</v>
      </c>
      <c r="AK60" s="80">
        <f t="shared" si="2"/>
        <v>0</v>
      </c>
    </row>
    <row r="61">
      <c r="A61" s="79">
        <v>44996.57868856481</v>
      </c>
      <c r="B61" s="51" t="s">
        <v>144</v>
      </c>
      <c r="C61" s="51">
        <v>20.0</v>
      </c>
      <c r="D61" s="51">
        <v>1076.0</v>
      </c>
      <c r="E61" s="51" t="s">
        <v>106</v>
      </c>
      <c r="H61" s="51">
        <v>1.0</v>
      </c>
      <c r="I61" s="51">
        <v>1.0</v>
      </c>
      <c r="R61" s="51" t="s">
        <v>103</v>
      </c>
      <c r="S61" s="51">
        <v>1.0</v>
      </c>
      <c r="AE61" s="51" t="s">
        <v>104</v>
      </c>
      <c r="AF61" s="51">
        <v>1.0</v>
      </c>
      <c r="AG61" s="51">
        <v>0.0</v>
      </c>
      <c r="AH61" s="51" t="s">
        <v>103</v>
      </c>
      <c r="AI61" s="81"/>
      <c r="AJ61" s="80">
        <f t="shared" si="1"/>
        <v>17</v>
      </c>
      <c r="AK61" s="80">
        <f t="shared" si="2"/>
        <v>4</v>
      </c>
    </row>
    <row r="62">
      <c r="A62" s="79">
        <v>44996.58176894676</v>
      </c>
      <c r="B62" s="51" t="s">
        <v>144</v>
      </c>
      <c r="C62" s="51">
        <v>24.0</v>
      </c>
      <c r="D62" s="51">
        <v>1076.0</v>
      </c>
      <c r="E62" s="51" t="s">
        <v>103</v>
      </c>
      <c r="R62" s="51" t="s">
        <v>103</v>
      </c>
      <c r="U62" s="51">
        <v>1.0</v>
      </c>
      <c r="AE62" s="51" t="s">
        <v>104</v>
      </c>
      <c r="AF62" s="51">
        <v>1.0</v>
      </c>
      <c r="AG62" s="51">
        <v>0.0</v>
      </c>
      <c r="AH62" s="51" t="s">
        <v>103</v>
      </c>
      <c r="AI62" s="82" t="s">
        <v>146</v>
      </c>
      <c r="AJ62" s="80">
        <f t="shared" si="1"/>
        <v>10</v>
      </c>
      <c r="AK62" s="80">
        <f t="shared" si="2"/>
        <v>0</v>
      </c>
    </row>
    <row r="63">
      <c r="A63" s="79">
        <v>44996.584297256944</v>
      </c>
      <c r="B63" s="51" t="s">
        <v>144</v>
      </c>
      <c r="C63" s="51">
        <v>31.0</v>
      </c>
      <c r="D63" s="51">
        <v>1076.0</v>
      </c>
      <c r="E63" s="51" t="s">
        <v>106</v>
      </c>
      <c r="R63" s="51" t="s">
        <v>103</v>
      </c>
      <c r="AE63" s="51" t="s">
        <v>108</v>
      </c>
      <c r="AF63" s="51">
        <v>1.0</v>
      </c>
      <c r="AG63" s="51">
        <v>0.0</v>
      </c>
      <c r="AH63" s="51" t="s">
        <v>103</v>
      </c>
      <c r="AI63" s="82" t="s">
        <v>147</v>
      </c>
      <c r="AJ63" s="80">
        <f t="shared" si="1"/>
        <v>9</v>
      </c>
      <c r="AK63" s="80">
        <f t="shared" si="2"/>
        <v>0</v>
      </c>
    </row>
    <row r="64">
      <c r="A64" s="79">
        <v>44996.5870955787</v>
      </c>
      <c r="B64" s="51" t="s">
        <v>144</v>
      </c>
      <c r="C64" s="51">
        <v>39.0</v>
      </c>
      <c r="D64" s="51">
        <v>1076.0</v>
      </c>
      <c r="E64" s="51" t="s">
        <v>106</v>
      </c>
      <c r="H64" s="51">
        <v>1.0</v>
      </c>
      <c r="I64" s="51">
        <v>1.0</v>
      </c>
      <c r="R64" s="51" t="s">
        <v>103</v>
      </c>
      <c r="AE64" s="51" t="s">
        <v>104</v>
      </c>
      <c r="AF64" s="51">
        <v>0.0</v>
      </c>
      <c r="AG64" s="51">
        <v>0.0</v>
      </c>
      <c r="AH64" s="51" t="s">
        <v>103</v>
      </c>
      <c r="AI64" s="82" t="s">
        <v>148</v>
      </c>
      <c r="AJ64" s="80">
        <f t="shared" si="1"/>
        <v>17</v>
      </c>
      <c r="AK64" s="80">
        <f t="shared" si="2"/>
        <v>4</v>
      </c>
    </row>
    <row r="65">
      <c r="A65" s="79">
        <v>44996.590161064814</v>
      </c>
      <c r="B65" s="51" t="s">
        <v>144</v>
      </c>
      <c r="C65" s="51">
        <v>44.0</v>
      </c>
      <c r="D65" s="51">
        <v>1076.0</v>
      </c>
      <c r="E65" s="51" t="s">
        <v>106</v>
      </c>
      <c r="H65" s="51">
        <v>1.0</v>
      </c>
      <c r="R65" s="51" t="s">
        <v>103</v>
      </c>
      <c r="W65" s="51">
        <v>1.0</v>
      </c>
      <c r="AE65" s="51" t="s">
        <v>104</v>
      </c>
      <c r="AF65" s="51">
        <v>0.0</v>
      </c>
      <c r="AG65" s="51">
        <v>0.0</v>
      </c>
      <c r="AH65" s="51" t="s">
        <v>103</v>
      </c>
      <c r="AI65" s="81"/>
      <c r="AJ65" s="80">
        <f t="shared" si="1"/>
        <v>13</v>
      </c>
      <c r="AK65" s="80">
        <f t="shared" si="2"/>
        <v>0</v>
      </c>
    </row>
    <row r="66">
      <c r="A66" s="79">
        <v>44996.59213568287</v>
      </c>
      <c r="B66" s="51" t="s">
        <v>144</v>
      </c>
      <c r="C66" s="51">
        <v>48.0</v>
      </c>
      <c r="D66" s="51">
        <v>1076.0</v>
      </c>
      <c r="E66" s="51" t="s">
        <v>103</v>
      </c>
      <c r="H66" s="51">
        <v>1.0</v>
      </c>
      <c r="I66" s="51">
        <v>1.0</v>
      </c>
      <c r="R66" s="51" t="s">
        <v>103</v>
      </c>
      <c r="W66" s="51">
        <v>1.0</v>
      </c>
      <c r="X66" s="51">
        <v>0.0</v>
      </c>
      <c r="AE66" s="51" t="s">
        <v>104</v>
      </c>
      <c r="AF66" s="51">
        <v>1.0</v>
      </c>
      <c r="AG66" s="51">
        <v>0.0</v>
      </c>
      <c r="AH66" s="51" t="s">
        <v>103</v>
      </c>
      <c r="AI66" s="81"/>
      <c r="AJ66" s="80">
        <f t="shared" si="1"/>
        <v>14</v>
      </c>
      <c r="AK66" s="80">
        <f t="shared" si="2"/>
        <v>4</v>
      </c>
    </row>
    <row r="67">
      <c r="A67" s="79">
        <v>44996.65558258102</v>
      </c>
      <c r="B67" s="51" t="s">
        <v>144</v>
      </c>
      <c r="C67" s="51">
        <v>55.0</v>
      </c>
      <c r="D67" s="51">
        <v>1076.0</v>
      </c>
      <c r="E67" s="51" t="s">
        <v>103</v>
      </c>
      <c r="R67" s="51" t="s">
        <v>103</v>
      </c>
      <c r="U67" s="51">
        <v>1.0</v>
      </c>
      <c r="W67" s="51">
        <v>1.0</v>
      </c>
      <c r="X67" s="51">
        <v>1.0</v>
      </c>
      <c r="AC67" s="51">
        <v>1.0</v>
      </c>
      <c r="AD67" s="51">
        <v>1.0</v>
      </c>
      <c r="AE67" s="51" t="s">
        <v>108</v>
      </c>
      <c r="AF67" s="51">
        <v>1.0</v>
      </c>
      <c r="AG67" s="51">
        <v>0.0</v>
      </c>
      <c r="AH67" s="51" t="s">
        <v>103</v>
      </c>
      <c r="AI67" s="81"/>
      <c r="AJ67" s="80">
        <f t="shared" si="1"/>
        <v>10</v>
      </c>
      <c r="AK67" s="80">
        <f t="shared" si="2"/>
        <v>4</v>
      </c>
    </row>
    <row r="68">
      <c r="A68" s="79">
        <v>44996.65734716435</v>
      </c>
      <c r="B68" s="51" t="s">
        <v>144</v>
      </c>
      <c r="C68" s="51">
        <v>62.0</v>
      </c>
      <c r="D68" s="51">
        <v>1076.0</v>
      </c>
      <c r="E68" s="51" t="s">
        <v>103</v>
      </c>
      <c r="R68" s="51" t="s">
        <v>103</v>
      </c>
      <c r="AE68" s="51" t="s">
        <v>104</v>
      </c>
      <c r="AF68" s="51">
        <v>0.0</v>
      </c>
      <c r="AG68" s="51">
        <v>0.0</v>
      </c>
      <c r="AH68" s="51" t="s">
        <v>106</v>
      </c>
      <c r="AI68" s="81"/>
      <c r="AJ68" s="80">
        <f t="shared" si="1"/>
        <v>10</v>
      </c>
      <c r="AK68" s="80">
        <f t="shared" si="2"/>
        <v>0</v>
      </c>
    </row>
    <row r="69">
      <c r="A69" s="79">
        <v>44996.65945871528</v>
      </c>
      <c r="B69" s="51" t="s">
        <v>144</v>
      </c>
      <c r="C69" s="51">
        <v>66.0</v>
      </c>
      <c r="D69" s="51">
        <v>1076.0</v>
      </c>
      <c r="E69" s="51" t="s">
        <v>103</v>
      </c>
      <c r="R69" s="51" t="s">
        <v>103</v>
      </c>
      <c r="U69" s="51">
        <v>1.0</v>
      </c>
      <c r="V69" s="51">
        <v>0.0</v>
      </c>
      <c r="W69" s="51">
        <v>1.0</v>
      </c>
      <c r="X69" s="51">
        <v>1.0</v>
      </c>
      <c r="AE69" s="51" t="s">
        <v>104</v>
      </c>
      <c r="AF69" s="51">
        <v>1.0</v>
      </c>
      <c r="AG69" s="51">
        <v>0.0</v>
      </c>
      <c r="AH69" s="51" t="s">
        <v>103</v>
      </c>
      <c r="AI69" s="82" t="s">
        <v>149</v>
      </c>
      <c r="AJ69" s="80">
        <f t="shared" si="1"/>
        <v>12</v>
      </c>
      <c r="AK69" s="80">
        <f t="shared" si="2"/>
        <v>2</v>
      </c>
    </row>
    <row r="70">
      <c r="A70" s="79">
        <v>44996.66249304399</v>
      </c>
      <c r="B70" s="51" t="s">
        <v>144</v>
      </c>
      <c r="C70" s="51">
        <v>72.0</v>
      </c>
      <c r="D70" s="51">
        <v>1076.0</v>
      </c>
      <c r="E70" s="51" t="s">
        <v>103</v>
      </c>
      <c r="R70" s="51" t="s">
        <v>103</v>
      </c>
      <c r="U70" s="51">
        <v>1.0</v>
      </c>
      <c r="V70" s="51">
        <v>0.0</v>
      </c>
      <c r="AE70" s="51" t="s">
        <v>104</v>
      </c>
      <c r="AF70" s="51">
        <v>1.0</v>
      </c>
      <c r="AG70" s="51">
        <v>0.0</v>
      </c>
      <c r="AH70" s="51" t="s">
        <v>103</v>
      </c>
      <c r="AI70" s="81"/>
      <c r="AJ70" s="80">
        <f t="shared" si="1"/>
        <v>10</v>
      </c>
      <c r="AK70" s="80">
        <f t="shared" si="2"/>
        <v>0</v>
      </c>
    </row>
    <row r="71">
      <c r="A71" s="79">
        <v>44996.55981688657</v>
      </c>
      <c r="B71" s="51" t="s">
        <v>150</v>
      </c>
      <c r="C71" s="51">
        <v>6.0</v>
      </c>
      <c r="D71" s="51">
        <v>1502.0</v>
      </c>
      <c r="E71" s="51" t="s">
        <v>106</v>
      </c>
      <c r="R71" s="51" t="s">
        <v>103</v>
      </c>
      <c r="AE71" s="51" t="s">
        <v>103</v>
      </c>
      <c r="AF71" s="51">
        <v>1.0</v>
      </c>
      <c r="AG71" s="51">
        <v>1.0</v>
      </c>
      <c r="AH71" s="51" t="s">
        <v>106</v>
      </c>
      <c r="AI71" s="82" t="s">
        <v>151</v>
      </c>
      <c r="AJ71" s="80">
        <f t="shared" si="1"/>
        <v>3</v>
      </c>
      <c r="AK71" s="80">
        <f t="shared" si="2"/>
        <v>0</v>
      </c>
    </row>
    <row r="72">
      <c r="A72" s="79">
        <v>44996.56202730324</v>
      </c>
      <c r="B72" s="51" t="s">
        <v>150</v>
      </c>
      <c r="C72" s="51">
        <v>11.0</v>
      </c>
      <c r="D72" s="51">
        <v>1502.0</v>
      </c>
      <c r="E72" s="51" t="s">
        <v>103</v>
      </c>
      <c r="P72" s="51">
        <v>1.0</v>
      </c>
      <c r="Q72" s="51">
        <v>0.0</v>
      </c>
      <c r="R72" s="51" t="s">
        <v>103</v>
      </c>
      <c r="AC72" s="51">
        <v>1.0</v>
      </c>
      <c r="AD72" s="51">
        <v>1.0</v>
      </c>
      <c r="AE72" s="51" t="s">
        <v>104</v>
      </c>
      <c r="AF72" s="51">
        <v>2.0</v>
      </c>
      <c r="AG72" s="51">
        <v>2.0</v>
      </c>
      <c r="AH72" s="51" t="s">
        <v>103</v>
      </c>
      <c r="AI72" s="82" t="s">
        <v>152</v>
      </c>
      <c r="AJ72" s="80">
        <f t="shared" si="1"/>
        <v>12</v>
      </c>
      <c r="AK72" s="80">
        <f t="shared" si="2"/>
        <v>2</v>
      </c>
    </row>
    <row r="73">
      <c r="A73" s="79">
        <v>44996.563702534724</v>
      </c>
      <c r="B73" s="51" t="s">
        <v>150</v>
      </c>
      <c r="C73" s="51">
        <v>18.0</v>
      </c>
      <c r="D73" s="51">
        <v>1502.0</v>
      </c>
      <c r="E73" s="51" t="s">
        <v>106</v>
      </c>
      <c r="F73" s="51">
        <v>1.0</v>
      </c>
      <c r="G73" s="51">
        <v>1.0</v>
      </c>
      <c r="R73" s="51" t="s">
        <v>103</v>
      </c>
      <c r="AE73" s="51" t="s">
        <v>104</v>
      </c>
      <c r="AF73" s="51">
        <v>1.0</v>
      </c>
      <c r="AG73" s="51">
        <v>3.0</v>
      </c>
      <c r="AH73" s="51" t="s">
        <v>103</v>
      </c>
      <c r="AI73" s="82" t="s">
        <v>153</v>
      </c>
      <c r="AJ73" s="80">
        <f t="shared" si="1"/>
        <v>19</v>
      </c>
      <c r="AK73" s="80">
        <f t="shared" si="2"/>
        <v>6</v>
      </c>
    </row>
    <row r="74">
      <c r="A74" s="79">
        <v>44996.56574770833</v>
      </c>
      <c r="B74" s="51" t="s">
        <v>150</v>
      </c>
      <c r="C74" s="51">
        <v>22.0</v>
      </c>
      <c r="D74" s="51">
        <v>1502.0</v>
      </c>
      <c r="E74" s="51" t="s">
        <v>106</v>
      </c>
      <c r="P74" s="51">
        <v>1.0</v>
      </c>
      <c r="Q74" s="51">
        <v>0.0</v>
      </c>
      <c r="R74" s="51" t="s">
        <v>103</v>
      </c>
      <c r="AC74" s="51">
        <v>1.0</v>
      </c>
      <c r="AD74" s="51">
        <v>1.0</v>
      </c>
      <c r="AE74" s="51" t="s">
        <v>103</v>
      </c>
      <c r="AF74" s="51">
        <v>2.0</v>
      </c>
      <c r="AG74" s="51">
        <v>2.0</v>
      </c>
      <c r="AH74" s="51" t="s">
        <v>106</v>
      </c>
      <c r="AI74" s="82" t="s">
        <v>154</v>
      </c>
      <c r="AJ74" s="80">
        <f t="shared" si="1"/>
        <v>5</v>
      </c>
      <c r="AK74" s="80">
        <f t="shared" si="2"/>
        <v>2</v>
      </c>
    </row>
    <row r="75">
      <c r="A75" s="79">
        <v>44996.56786502315</v>
      </c>
      <c r="B75" s="51" t="s">
        <v>150</v>
      </c>
      <c r="C75" s="51">
        <v>26.0</v>
      </c>
      <c r="D75" s="51">
        <v>1502.0</v>
      </c>
      <c r="E75" s="51" t="s">
        <v>106</v>
      </c>
      <c r="P75" s="51">
        <v>1.0</v>
      </c>
      <c r="Q75" s="51">
        <v>0.0</v>
      </c>
      <c r="R75" s="51" t="s">
        <v>103</v>
      </c>
      <c r="AC75" s="51">
        <v>1.0</v>
      </c>
      <c r="AD75" s="51">
        <v>1.0</v>
      </c>
      <c r="AE75" s="51" t="s">
        <v>104</v>
      </c>
      <c r="AF75" s="51">
        <v>3.0</v>
      </c>
      <c r="AG75" s="51">
        <v>3.0</v>
      </c>
      <c r="AH75" s="51" t="s">
        <v>103</v>
      </c>
      <c r="AI75" s="82" t="s">
        <v>155</v>
      </c>
      <c r="AJ75" s="80">
        <f t="shared" si="1"/>
        <v>15</v>
      </c>
      <c r="AK75" s="80">
        <f t="shared" si="2"/>
        <v>2</v>
      </c>
    </row>
    <row r="76">
      <c r="A76" s="79">
        <v>44996.570649699075</v>
      </c>
      <c r="B76" s="51" t="s">
        <v>156</v>
      </c>
      <c r="C76" s="51">
        <v>35.0</v>
      </c>
      <c r="D76" s="51">
        <v>1502.0</v>
      </c>
      <c r="E76" s="51" t="s">
        <v>106</v>
      </c>
      <c r="P76" s="51">
        <v>1.0</v>
      </c>
      <c r="Q76" s="51">
        <v>1.0</v>
      </c>
      <c r="R76" s="51" t="s">
        <v>103</v>
      </c>
      <c r="AE76" s="51" t="s">
        <v>108</v>
      </c>
      <c r="AF76" s="51">
        <v>3.0</v>
      </c>
      <c r="AG76" s="51">
        <v>3.0</v>
      </c>
      <c r="AH76" s="51" t="s">
        <v>103</v>
      </c>
      <c r="AI76" s="82" t="s">
        <v>157</v>
      </c>
      <c r="AJ76" s="80">
        <f t="shared" si="1"/>
        <v>12</v>
      </c>
      <c r="AK76" s="80">
        <f t="shared" si="2"/>
        <v>3</v>
      </c>
    </row>
    <row r="77">
      <c r="A77" s="79">
        <v>44996.57274447917</v>
      </c>
      <c r="B77" s="51" t="s">
        <v>150</v>
      </c>
      <c r="C77" s="51">
        <v>42.0</v>
      </c>
      <c r="D77" s="51">
        <v>1502.0</v>
      </c>
      <c r="E77" s="51" t="s">
        <v>106</v>
      </c>
      <c r="P77" s="51">
        <v>1.0</v>
      </c>
      <c r="Q77" s="51">
        <v>0.0</v>
      </c>
      <c r="R77" s="51" t="s">
        <v>103</v>
      </c>
      <c r="AE77" s="51" t="s">
        <v>103</v>
      </c>
      <c r="AF77" s="51">
        <v>3.0</v>
      </c>
      <c r="AG77" s="51">
        <v>4.0</v>
      </c>
      <c r="AH77" s="51" t="s">
        <v>103</v>
      </c>
      <c r="AI77" s="82" t="s">
        <v>158</v>
      </c>
      <c r="AJ77" s="80">
        <f t="shared" si="1"/>
        <v>3</v>
      </c>
      <c r="AK77" s="80">
        <f t="shared" si="2"/>
        <v>0</v>
      </c>
    </row>
    <row r="78">
      <c r="A78" s="79">
        <v>44996.57525362269</v>
      </c>
      <c r="B78" s="51" t="s">
        <v>150</v>
      </c>
      <c r="C78" s="51">
        <v>46.0</v>
      </c>
      <c r="D78" s="51">
        <v>1502.0</v>
      </c>
      <c r="E78" s="51" t="s">
        <v>103</v>
      </c>
      <c r="P78" s="51">
        <v>1.0</v>
      </c>
      <c r="Q78" s="51">
        <v>0.0</v>
      </c>
      <c r="R78" s="51" t="s">
        <v>103</v>
      </c>
      <c r="AC78" s="51">
        <v>1.0</v>
      </c>
      <c r="AD78" s="51">
        <v>1.0</v>
      </c>
      <c r="AE78" s="51" t="s">
        <v>103</v>
      </c>
      <c r="AF78" s="51">
        <v>2.0</v>
      </c>
      <c r="AG78" s="51">
        <v>2.0</v>
      </c>
      <c r="AH78" s="51" t="s">
        <v>106</v>
      </c>
      <c r="AI78" s="82" t="s">
        <v>159</v>
      </c>
      <c r="AJ78" s="80">
        <f t="shared" si="1"/>
        <v>2</v>
      </c>
      <c r="AK78" s="80">
        <f t="shared" si="2"/>
        <v>2</v>
      </c>
    </row>
    <row r="79">
      <c r="A79" s="79">
        <v>44996.577996712964</v>
      </c>
      <c r="B79" s="51" t="s">
        <v>150</v>
      </c>
      <c r="C79" s="51">
        <v>57.0</v>
      </c>
      <c r="D79" s="51">
        <v>1502.0</v>
      </c>
      <c r="E79" s="51" t="s">
        <v>106</v>
      </c>
      <c r="P79" s="51">
        <v>1.0</v>
      </c>
      <c r="Q79" s="51">
        <v>0.0</v>
      </c>
      <c r="R79" s="51" t="s">
        <v>103</v>
      </c>
      <c r="AC79" s="51">
        <v>0.0</v>
      </c>
      <c r="AD79" s="51">
        <v>0.0</v>
      </c>
      <c r="AE79" s="51" t="s">
        <v>104</v>
      </c>
      <c r="AF79" s="51">
        <v>2.0</v>
      </c>
      <c r="AG79" s="51">
        <v>2.0</v>
      </c>
      <c r="AH79" s="51" t="s">
        <v>103</v>
      </c>
      <c r="AI79" s="82" t="s">
        <v>160</v>
      </c>
      <c r="AJ79" s="80">
        <f t="shared" si="1"/>
        <v>13</v>
      </c>
      <c r="AK79" s="80">
        <f t="shared" si="2"/>
        <v>0</v>
      </c>
    </row>
    <row r="80">
      <c r="A80" s="79">
        <v>44996.58137184028</v>
      </c>
      <c r="B80" s="51" t="s">
        <v>150</v>
      </c>
      <c r="C80" s="51">
        <v>63.0</v>
      </c>
      <c r="D80" s="51">
        <v>1502.0</v>
      </c>
      <c r="E80" s="51" t="s">
        <v>106</v>
      </c>
      <c r="P80" s="51">
        <v>1.0</v>
      </c>
      <c r="Q80" s="51">
        <v>0.0</v>
      </c>
      <c r="R80" s="51" t="s">
        <v>103</v>
      </c>
      <c r="W80" s="51">
        <v>1.0</v>
      </c>
      <c r="X80" s="51">
        <v>1.0</v>
      </c>
      <c r="AC80" s="51">
        <v>1.0</v>
      </c>
      <c r="AD80" s="51">
        <v>1.0</v>
      </c>
      <c r="AE80" s="51" t="s">
        <v>104</v>
      </c>
      <c r="AF80" s="51">
        <v>3.0</v>
      </c>
      <c r="AG80" s="51">
        <v>2.0</v>
      </c>
      <c r="AH80" s="51" t="s">
        <v>103</v>
      </c>
      <c r="AI80" s="82" t="s">
        <v>161</v>
      </c>
      <c r="AJ80" s="80">
        <f t="shared" si="1"/>
        <v>17</v>
      </c>
      <c r="AK80" s="80">
        <f t="shared" si="2"/>
        <v>4</v>
      </c>
    </row>
    <row r="81">
      <c r="A81" s="79">
        <v>44996.58345751157</v>
      </c>
      <c r="B81" s="51" t="s">
        <v>150</v>
      </c>
      <c r="C81" s="51">
        <v>68.0</v>
      </c>
      <c r="D81" s="51">
        <v>1502.0</v>
      </c>
      <c r="E81" s="51" t="s">
        <v>106</v>
      </c>
      <c r="P81" s="51">
        <v>1.0</v>
      </c>
      <c r="Q81" s="51">
        <v>1.0</v>
      </c>
      <c r="R81" s="51" t="s">
        <v>103</v>
      </c>
      <c r="AE81" s="51" t="s">
        <v>104</v>
      </c>
      <c r="AF81" s="51">
        <v>2.0</v>
      </c>
      <c r="AG81" s="51">
        <v>3.0</v>
      </c>
      <c r="AH81" s="51" t="s">
        <v>103</v>
      </c>
      <c r="AI81" s="82" t="s">
        <v>162</v>
      </c>
      <c r="AJ81" s="80">
        <f t="shared" si="1"/>
        <v>16</v>
      </c>
      <c r="AK81" s="80">
        <f t="shared" si="2"/>
        <v>3</v>
      </c>
    </row>
    <row r="82">
      <c r="A82" s="79">
        <v>44996.58615392361</v>
      </c>
      <c r="B82" s="51" t="s">
        <v>150</v>
      </c>
      <c r="C82" s="51">
        <v>72.0</v>
      </c>
      <c r="D82" s="51">
        <v>1502.0</v>
      </c>
      <c r="E82" s="51" t="s">
        <v>103</v>
      </c>
      <c r="P82" s="51">
        <v>1.0</v>
      </c>
      <c r="Q82" s="51">
        <v>0.0</v>
      </c>
      <c r="R82" s="51" t="s">
        <v>103</v>
      </c>
      <c r="AC82" s="51">
        <v>1.0</v>
      </c>
      <c r="AD82" s="51">
        <v>1.0</v>
      </c>
      <c r="AE82" s="51" t="s">
        <v>108</v>
      </c>
      <c r="AF82" s="51">
        <v>4.0</v>
      </c>
      <c r="AG82" s="51">
        <v>4.0</v>
      </c>
      <c r="AH82" s="51" t="s">
        <v>103</v>
      </c>
      <c r="AI82" s="82" t="s">
        <v>163</v>
      </c>
      <c r="AJ82" s="80">
        <f t="shared" si="1"/>
        <v>8</v>
      </c>
      <c r="AK82" s="80">
        <f t="shared" si="2"/>
        <v>2</v>
      </c>
    </row>
    <row r="83">
      <c r="A83" s="79">
        <v>45011.58679420139</v>
      </c>
      <c r="B83" s="51" t="s">
        <v>164</v>
      </c>
      <c r="C83" s="51">
        <v>23.0</v>
      </c>
      <c r="D83" s="51">
        <v>1504.0</v>
      </c>
      <c r="E83" s="51" t="s">
        <v>106</v>
      </c>
      <c r="F83" s="51">
        <v>0.0</v>
      </c>
      <c r="G83" s="51">
        <v>0.0</v>
      </c>
      <c r="H83" s="51">
        <v>0.0</v>
      </c>
      <c r="I83" s="51">
        <v>0.0</v>
      </c>
      <c r="J83" s="51">
        <v>0.0</v>
      </c>
      <c r="K83" s="51">
        <v>0.0</v>
      </c>
      <c r="L83" s="51">
        <v>0.0</v>
      </c>
      <c r="M83" s="51">
        <v>0.0</v>
      </c>
      <c r="N83" s="51">
        <v>0.0</v>
      </c>
      <c r="O83" s="51">
        <v>0.0</v>
      </c>
      <c r="P83" s="51">
        <v>1.0</v>
      </c>
      <c r="Q83" s="51">
        <v>0.0</v>
      </c>
      <c r="R83" s="51" t="s">
        <v>103</v>
      </c>
      <c r="S83" s="51">
        <v>0.0</v>
      </c>
      <c r="T83" s="51">
        <v>0.0</v>
      </c>
      <c r="U83" s="51">
        <v>0.0</v>
      </c>
      <c r="V83" s="51">
        <v>0.0</v>
      </c>
      <c r="W83" s="51">
        <v>0.0</v>
      </c>
      <c r="X83" s="51">
        <v>0.0</v>
      </c>
      <c r="Y83" s="51">
        <v>3.0</v>
      </c>
      <c r="Z83" s="51">
        <v>3.0</v>
      </c>
      <c r="AA83" s="51">
        <v>1.0</v>
      </c>
      <c r="AB83" s="51">
        <v>1.0</v>
      </c>
      <c r="AC83" s="51">
        <v>0.0</v>
      </c>
      <c r="AD83" s="51">
        <v>0.0</v>
      </c>
      <c r="AE83" s="51" t="s">
        <v>104</v>
      </c>
      <c r="AF83" s="51">
        <v>3.0</v>
      </c>
      <c r="AG83" s="51">
        <v>3.0</v>
      </c>
      <c r="AH83" s="51" t="s">
        <v>103</v>
      </c>
      <c r="AI83" s="51" t="s">
        <v>165</v>
      </c>
      <c r="AJ83" s="80">
        <f t="shared" si="1"/>
        <v>31</v>
      </c>
      <c r="AK83" s="80">
        <f t="shared" si="2"/>
        <v>18</v>
      </c>
    </row>
    <row r="84">
      <c r="A84" s="79">
        <v>45011.589820567126</v>
      </c>
      <c r="B84" s="51" t="s">
        <v>164</v>
      </c>
      <c r="C84" s="51">
        <v>38.0</v>
      </c>
      <c r="D84" s="51">
        <v>1504.0</v>
      </c>
      <c r="E84" s="51" t="s">
        <v>106</v>
      </c>
      <c r="F84" s="51">
        <v>0.0</v>
      </c>
      <c r="G84" s="51">
        <v>0.0</v>
      </c>
      <c r="H84" s="51">
        <v>0.0</v>
      </c>
      <c r="I84" s="51">
        <v>0.0</v>
      </c>
      <c r="J84" s="51">
        <v>0.0</v>
      </c>
      <c r="K84" s="51">
        <v>0.0</v>
      </c>
      <c r="L84" s="51">
        <v>0.0</v>
      </c>
      <c r="M84" s="51">
        <v>0.0</v>
      </c>
      <c r="N84" s="51">
        <v>0.0</v>
      </c>
      <c r="O84" s="51">
        <v>0.0</v>
      </c>
      <c r="P84" s="51">
        <v>1.0</v>
      </c>
      <c r="Q84" s="51">
        <v>1.0</v>
      </c>
      <c r="R84" s="51" t="s">
        <v>103</v>
      </c>
      <c r="S84" s="51">
        <v>0.0</v>
      </c>
      <c r="T84" s="51">
        <v>0.0</v>
      </c>
      <c r="U84" s="51">
        <v>0.0</v>
      </c>
      <c r="V84" s="51">
        <v>0.0</v>
      </c>
      <c r="W84" s="51">
        <v>0.0</v>
      </c>
      <c r="X84" s="51">
        <v>0.0</v>
      </c>
      <c r="Y84" s="51">
        <v>1.0</v>
      </c>
      <c r="Z84" s="51">
        <v>1.0</v>
      </c>
      <c r="AA84" s="51">
        <v>0.0</v>
      </c>
      <c r="AB84" s="51">
        <v>0.0</v>
      </c>
      <c r="AC84" s="51">
        <v>0.0</v>
      </c>
      <c r="AD84" s="51">
        <v>0.0</v>
      </c>
      <c r="AE84" s="51" t="s">
        <v>104</v>
      </c>
      <c r="AF84" s="51">
        <v>3.0</v>
      </c>
      <c r="AG84" s="51">
        <v>2.0</v>
      </c>
      <c r="AH84" s="51" t="s">
        <v>103</v>
      </c>
      <c r="AI84" s="51" t="s">
        <v>166</v>
      </c>
      <c r="AJ84" s="80">
        <f t="shared" si="1"/>
        <v>21</v>
      </c>
      <c r="AK84" s="80">
        <f t="shared" si="2"/>
        <v>8</v>
      </c>
    </row>
    <row r="85">
      <c r="A85" s="79">
        <v>45011.59295384259</v>
      </c>
      <c r="B85" s="51" t="s">
        <v>164</v>
      </c>
      <c r="C85" s="51">
        <v>63.0</v>
      </c>
      <c r="D85" s="51">
        <v>1504.0</v>
      </c>
      <c r="E85" s="51" t="s">
        <v>106</v>
      </c>
      <c r="F85" s="51">
        <v>0.0</v>
      </c>
      <c r="G85" s="51">
        <v>0.0</v>
      </c>
      <c r="H85" s="51">
        <v>0.0</v>
      </c>
      <c r="I85" s="51">
        <v>0.0</v>
      </c>
      <c r="J85" s="51">
        <v>0.0</v>
      </c>
      <c r="K85" s="51">
        <v>0.0</v>
      </c>
      <c r="L85" s="51">
        <v>0.0</v>
      </c>
      <c r="M85" s="51">
        <v>0.0</v>
      </c>
      <c r="N85" s="51">
        <v>0.0</v>
      </c>
      <c r="O85" s="51">
        <v>0.0</v>
      </c>
      <c r="P85" s="51">
        <v>1.0</v>
      </c>
      <c r="Q85" s="51">
        <v>0.0</v>
      </c>
      <c r="R85" s="51" t="s">
        <v>103</v>
      </c>
      <c r="S85" s="51">
        <v>0.0</v>
      </c>
      <c r="T85" s="51">
        <v>0.0</v>
      </c>
      <c r="U85" s="51">
        <v>0.0</v>
      </c>
      <c r="V85" s="51">
        <v>0.0</v>
      </c>
      <c r="W85" s="51">
        <v>0.0</v>
      </c>
      <c r="X85" s="51">
        <v>0.0</v>
      </c>
      <c r="Y85" s="51">
        <v>1.0</v>
      </c>
      <c r="Z85" s="51">
        <v>1.0</v>
      </c>
      <c r="AA85" s="51">
        <v>2.0</v>
      </c>
      <c r="AB85" s="51">
        <v>2.0</v>
      </c>
      <c r="AC85" s="51">
        <v>0.0</v>
      </c>
      <c r="AD85" s="51">
        <v>0.0</v>
      </c>
      <c r="AE85" s="51" t="s">
        <v>104</v>
      </c>
      <c r="AF85" s="51">
        <v>2.0</v>
      </c>
      <c r="AG85" s="51">
        <v>2.0</v>
      </c>
      <c r="AH85" s="51" t="s">
        <v>103</v>
      </c>
      <c r="AI85" s="51" t="s">
        <v>167</v>
      </c>
      <c r="AJ85" s="80">
        <f t="shared" si="1"/>
        <v>24</v>
      </c>
      <c r="AK85" s="80">
        <f t="shared" si="2"/>
        <v>11</v>
      </c>
    </row>
    <row r="86">
      <c r="A86" s="79">
        <v>45011.596138912035</v>
      </c>
      <c r="B86" s="51" t="s">
        <v>164</v>
      </c>
      <c r="C86" s="51" t="s">
        <v>168</v>
      </c>
      <c r="D86" s="51">
        <v>1504.0</v>
      </c>
      <c r="E86" s="51" t="s">
        <v>106</v>
      </c>
      <c r="F86" s="51">
        <v>0.0</v>
      </c>
      <c r="G86" s="51">
        <v>0.0</v>
      </c>
      <c r="H86" s="51">
        <v>0.0</v>
      </c>
      <c r="I86" s="51">
        <v>0.0</v>
      </c>
      <c r="J86" s="51">
        <v>0.0</v>
      </c>
      <c r="K86" s="51">
        <v>0.0</v>
      </c>
      <c r="L86" s="51">
        <v>0.0</v>
      </c>
      <c r="M86" s="51">
        <v>0.0</v>
      </c>
      <c r="N86" s="51">
        <v>0.0</v>
      </c>
      <c r="O86" s="51">
        <v>0.0</v>
      </c>
      <c r="P86" s="51">
        <v>1.0</v>
      </c>
      <c r="Q86" s="51">
        <v>1.0</v>
      </c>
      <c r="R86" s="51" t="s">
        <v>103</v>
      </c>
      <c r="S86" s="51">
        <v>0.0</v>
      </c>
      <c r="T86" s="51">
        <v>0.0</v>
      </c>
      <c r="U86" s="51">
        <v>0.0</v>
      </c>
      <c r="V86" s="51">
        <v>0.0</v>
      </c>
      <c r="W86" s="51">
        <v>0.0</v>
      </c>
      <c r="X86" s="51">
        <v>0.0</v>
      </c>
      <c r="Y86" s="51">
        <v>2.0</v>
      </c>
      <c r="Z86" s="51">
        <v>2.0</v>
      </c>
      <c r="AA86" s="51">
        <v>2.0</v>
      </c>
      <c r="AB86" s="51">
        <v>2.0</v>
      </c>
      <c r="AC86" s="51">
        <v>1.0</v>
      </c>
      <c r="AD86" s="51">
        <v>1.0</v>
      </c>
      <c r="AE86" s="51" t="s">
        <v>104</v>
      </c>
      <c r="AF86" s="51">
        <v>2.0</v>
      </c>
      <c r="AG86" s="51">
        <v>2.0</v>
      </c>
      <c r="AH86" s="51" t="s">
        <v>103</v>
      </c>
      <c r="AI86" s="51" t="s">
        <v>169</v>
      </c>
      <c r="AJ86" s="80">
        <f t="shared" si="1"/>
        <v>34</v>
      </c>
      <c r="AK86" s="80">
        <f t="shared" si="2"/>
        <v>21</v>
      </c>
    </row>
    <row r="87">
      <c r="A87" s="79">
        <v>45011.59974494213</v>
      </c>
      <c r="B87" s="51" t="s">
        <v>164</v>
      </c>
      <c r="C87" s="51" t="s">
        <v>170</v>
      </c>
      <c r="D87" s="51">
        <v>1504.0</v>
      </c>
      <c r="E87" s="51" t="s">
        <v>106</v>
      </c>
      <c r="F87" s="51">
        <v>0.0</v>
      </c>
      <c r="G87" s="51">
        <v>0.0</v>
      </c>
      <c r="H87" s="51">
        <v>0.0</v>
      </c>
      <c r="I87" s="51">
        <v>0.0</v>
      </c>
      <c r="J87" s="51">
        <v>0.0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1.0</v>
      </c>
      <c r="Q87" s="51">
        <v>1.0</v>
      </c>
      <c r="R87" s="51" t="s">
        <v>103</v>
      </c>
      <c r="S87" s="51">
        <v>0.0</v>
      </c>
      <c r="T87" s="51">
        <v>0.0</v>
      </c>
      <c r="U87" s="51">
        <v>0.0</v>
      </c>
      <c r="V87" s="51">
        <v>0.0</v>
      </c>
      <c r="W87" s="51">
        <v>0.0</v>
      </c>
      <c r="X87" s="51">
        <v>0.0</v>
      </c>
      <c r="Y87" s="51">
        <v>1.0</v>
      </c>
      <c r="Z87" s="51">
        <v>1.0</v>
      </c>
      <c r="AA87" s="51">
        <v>2.0</v>
      </c>
      <c r="AB87" s="51">
        <v>2.0</v>
      </c>
      <c r="AC87" s="51">
        <v>0.0</v>
      </c>
      <c r="AD87" s="51">
        <v>0.0</v>
      </c>
      <c r="AE87" s="51" t="s">
        <v>107</v>
      </c>
      <c r="AF87" s="51">
        <v>2.0</v>
      </c>
      <c r="AG87" s="51">
        <v>2.0</v>
      </c>
      <c r="AH87" s="51" t="s">
        <v>103</v>
      </c>
      <c r="AJ87" s="80">
        <f t="shared" si="1"/>
        <v>20</v>
      </c>
      <c r="AK87" s="80">
        <f t="shared" si="2"/>
        <v>14</v>
      </c>
    </row>
    <row r="88">
      <c r="A88" s="79">
        <v>45011.60283682871</v>
      </c>
      <c r="B88" s="51" t="s">
        <v>164</v>
      </c>
      <c r="C88" s="51" t="s">
        <v>171</v>
      </c>
      <c r="D88" s="51">
        <v>1504.0</v>
      </c>
      <c r="E88" s="51" t="s">
        <v>106</v>
      </c>
      <c r="F88" s="51">
        <v>0.0</v>
      </c>
      <c r="G88" s="51">
        <v>0.0</v>
      </c>
      <c r="H88" s="51">
        <v>0.0</v>
      </c>
      <c r="I88" s="51">
        <v>0.0</v>
      </c>
      <c r="J88" s="51">
        <v>0.0</v>
      </c>
      <c r="K88" s="51">
        <v>0.0</v>
      </c>
      <c r="L88" s="51">
        <v>0.0</v>
      </c>
      <c r="M88" s="51">
        <v>0.0</v>
      </c>
      <c r="N88" s="51">
        <v>0.0</v>
      </c>
      <c r="O88" s="51">
        <v>0.0</v>
      </c>
      <c r="P88" s="51">
        <v>1.0</v>
      </c>
      <c r="Q88" s="51">
        <v>1.0</v>
      </c>
      <c r="R88" s="51" t="s">
        <v>103</v>
      </c>
      <c r="S88" s="51">
        <v>0.0</v>
      </c>
      <c r="T88" s="51">
        <v>0.0</v>
      </c>
      <c r="U88" s="51">
        <v>0.0</v>
      </c>
      <c r="V88" s="51">
        <v>0.0</v>
      </c>
      <c r="W88" s="51">
        <v>0.0</v>
      </c>
      <c r="X88" s="51">
        <v>0.0</v>
      </c>
      <c r="Y88" s="51">
        <v>2.0</v>
      </c>
      <c r="Z88" s="51">
        <v>2.0</v>
      </c>
      <c r="AA88" s="51">
        <v>0.0</v>
      </c>
      <c r="AB88" s="51">
        <v>0.0</v>
      </c>
      <c r="AC88" s="51">
        <v>0.0</v>
      </c>
      <c r="AD88" s="51">
        <v>0.0</v>
      </c>
      <c r="AE88" s="51" t="s">
        <v>104</v>
      </c>
      <c r="AF88" s="51">
        <v>2.0</v>
      </c>
      <c r="AG88" s="51">
        <v>2.0</v>
      </c>
      <c r="AH88" s="51" t="s">
        <v>103</v>
      </c>
      <c r="AJ88" s="80">
        <f t="shared" si="1"/>
        <v>26</v>
      </c>
      <c r="AK88" s="80">
        <f t="shared" si="2"/>
        <v>13</v>
      </c>
    </row>
    <row r="89">
      <c r="A89" s="79">
        <v>44995.66326238426</v>
      </c>
      <c r="B89" s="51" t="s">
        <v>102</v>
      </c>
      <c r="C89" s="51">
        <v>1.0</v>
      </c>
      <c r="D89" s="51">
        <v>3322.0</v>
      </c>
      <c r="E89" s="51" t="s">
        <v>103</v>
      </c>
      <c r="F89" s="51">
        <v>0.0</v>
      </c>
      <c r="G89" s="51">
        <v>0.0</v>
      </c>
      <c r="H89" s="51">
        <v>1.0</v>
      </c>
      <c r="I89" s="51">
        <v>0.0</v>
      </c>
      <c r="J89" s="51">
        <v>1.0</v>
      </c>
      <c r="K89" s="51">
        <v>1.0</v>
      </c>
      <c r="L89" s="51">
        <v>0.0</v>
      </c>
      <c r="M89" s="51">
        <v>0.0</v>
      </c>
      <c r="N89" s="51">
        <v>0.0</v>
      </c>
      <c r="O89" s="51">
        <v>0.0</v>
      </c>
      <c r="P89" s="51">
        <v>0.0</v>
      </c>
      <c r="Q89" s="51">
        <v>0.0</v>
      </c>
      <c r="R89" s="51" t="s">
        <v>103</v>
      </c>
      <c r="S89" s="51">
        <v>0.0</v>
      </c>
      <c r="T89" s="51">
        <v>0.0</v>
      </c>
      <c r="U89" s="51">
        <v>0.0</v>
      </c>
      <c r="V89" s="51">
        <v>0.0</v>
      </c>
      <c r="W89" s="51">
        <v>0.0</v>
      </c>
      <c r="X89" s="51">
        <v>0.0</v>
      </c>
      <c r="Y89" s="51">
        <v>0.0</v>
      </c>
      <c r="Z89" s="51">
        <v>0.0</v>
      </c>
      <c r="AA89" s="51">
        <v>2.0</v>
      </c>
      <c r="AB89" s="51">
        <v>2.0</v>
      </c>
      <c r="AC89" s="51">
        <v>0.0</v>
      </c>
      <c r="AD89" s="51">
        <v>0.0</v>
      </c>
      <c r="AE89" s="51" t="s">
        <v>103</v>
      </c>
      <c r="AF89" s="51">
        <v>2.0</v>
      </c>
      <c r="AG89" s="51">
        <v>0.0</v>
      </c>
      <c r="AH89" s="51" t="s">
        <v>103</v>
      </c>
      <c r="AI89" s="81"/>
      <c r="AJ89" s="80">
        <f t="shared" si="1"/>
        <v>9</v>
      </c>
      <c r="AK89" s="80">
        <f t="shared" si="2"/>
        <v>9</v>
      </c>
    </row>
    <row r="90">
      <c r="A90" s="79">
        <v>44995.66731927083</v>
      </c>
      <c r="B90" s="51" t="s">
        <v>102</v>
      </c>
      <c r="C90" s="51">
        <v>7.0</v>
      </c>
      <c r="D90" s="51">
        <v>3322.0</v>
      </c>
      <c r="E90" s="51" t="s">
        <v>106</v>
      </c>
      <c r="H90" s="51">
        <v>1.0</v>
      </c>
      <c r="I90" s="51">
        <v>1.0</v>
      </c>
      <c r="R90" s="51" t="s">
        <v>103</v>
      </c>
      <c r="W90" s="51">
        <v>1.0</v>
      </c>
      <c r="X90" s="51">
        <v>1.0</v>
      </c>
      <c r="AA90" s="51">
        <v>2.0</v>
      </c>
      <c r="AB90" s="51">
        <v>2.0</v>
      </c>
      <c r="AC90" s="51">
        <v>2.0</v>
      </c>
      <c r="AD90" s="51">
        <v>2.0</v>
      </c>
      <c r="AE90" s="51" t="s">
        <v>107</v>
      </c>
      <c r="AF90" s="51">
        <v>3.0</v>
      </c>
      <c r="AG90" s="51">
        <v>0.0</v>
      </c>
      <c r="AH90" s="51" t="s">
        <v>103</v>
      </c>
      <c r="AI90" s="81"/>
      <c r="AJ90" s="80">
        <f t="shared" si="1"/>
        <v>22</v>
      </c>
      <c r="AK90" s="80">
        <f t="shared" si="2"/>
        <v>16</v>
      </c>
    </row>
    <row r="91">
      <c r="A91" s="79">
        <v>44995.67235846065</v>
      </c>
      <c r="B91" s="51" t="s">
        <v>102</v>
      </c>
      <c r="C91" s="51">
        <v>13.0</v>
      </c>
      <c r="D91" s="51">
        <v>3322.0</v>
      </c>
      <c r="E91" s="51" t="s">
        <v>106</v>
      </c>
      <c r="H91" s="51">
        <v>1.0</v>
      </c>
      <c r="I91" s="51">
        <v>1.0</v>
      </c>
      <c r="R91" s="51" t="s">
        <v>103</v>
      </c>
      <c r="W91" s="51">
        <v>1.0</v>
      </c>
      <c r="X91" s="51">
        <v>1.0</v>
      </c>
      <c r="Y91" s="51">
        <v>0.0</v>
      </c>
      <c r="Z91" s="51">
        <v>0.0</v>
      </c>
      <c r="AA91" s="51">
        <v>0.0</v>
      </c>
      <c r="AB91" s="51">
        <v>0.0</v>
      </c>
      <c r="AC91" s="51">
        <v>0.0</v>
      </c>
      <c r="AD91" s="51">
        <v>0.0</v>
      </c>
      <c r="AE91" s="51" t="s">
        <v>104</v>
      </c>
      <c r="AF91" s="51">
        <v>1.0</v>
      </c>
      <c r="AG91" s="51">
        <v>4.0</v>
      </c>
      <c r="AH91" s="51" t="s">
        <v>103</v>
      </c>
      <c r="AI91" s="82" t="s">
        <v>172</v>
      </c>
      <c r="AJ91" s="80">
        <f t="shared" si="1"/>
        <v>19</v>
      </c>
      <c r="AK91" s="80">
        <f t="shared" si="2"/>
        <v>6</v>
      </c>
    </row>
    <row r="92">
      <c r="A92" s="79">
        <v>44995.67552548611</v>
      </c>
      <c r="B92" s="51" t="s">
        <v>102</v>
      </c>
      <c r="C92" s="51">
        <v>20.0</v>
      </c>
      <c r="D92" s="51">
        <v>3322.0</v>
      </c>
      <c r="E92" s="51" t="s">
        <v>103</v>
      </c>
      <c r="R92" s="51" t="s">
        <v>103</v>
      </c>
      <c r="W92" s="51">
        <v>2.0</v>
      </c>
      <c r="X92" s="51">
        <v>2.0</v>
      </c>
      <c r="AE92" s="51" t="s">
        <v>104</v>
      </c>
      <c r="AF92" s="51">
        <v>3.0</v>
      </c>
      <c r="AG92" s="51">
        <v>0.0</v>
      </c>
      <c r="AH92" s="51" t="s">
        <v>103</v>
      </c>
      <c r="AI92" s="82" t="s">
        <v>173</v>
      </c>
      <c r="AJ92" s="80">
        <f t="shared" si="1"/>
        <v>14</v>
      </c>
      <c r="AK92" s="80">
        <f t="shared" si="2"/>
        <v>4</v>
      </c>
    </row>
    <row r="93">
      <c r="A93" s="79">
        <v>44995.678410775465</v>
      </c>
      <c r="B93" s="51" t="s">
        <v>102</v>
      </c>
      <c r="C93" s="51">
        <v>27.0</v>
      </c>
      <c r="D93" s="51">
        <v>3322.0</v>
      </c>
      <c r="E93" s="51" t="s">
        <v>103</v>
      </c>
      <c r="R93" s="51" t="s">
        <v>103</v>
      </c>
      <c r="U93" s="51">
        <v>1.0</v>
      </c>
      <c r="V93" s="51">
        <v>0.0</v>
      </c>
      <c r="W93" s="51">
        <v>2.0</v>
      </c>
      <c r="X93" s="51">
        <v>2.0</v>
      </c>
      <c r="AA93" s="51">
        <v>1.0</v>
      </c>
      <c r="AB93" s="51">
        <v>1.0</v>
      </c>
      <c r="AC93" s="51">
        <v>1.0</v>
      </c>
      <c r="AD93" s="51">
        <v>1.0</v>
      </c>
      <c r="AE93" s="51" t="s">
        <v>103</v>
      </c>
      <c r="AF93" s="51">
        <v>2.0</v>
      </c>
      <c r="AG93" s="51">
        <v>0.0</v>
      </c>
      <c r="AH93" s="51" t="s">
        <v>103</v>
      </c>
      <c r="AI93" s="81"/>
      <c r="AJ93" s="80">
        <f t="shared" si="1"/>
        <v>9</v>
      </c>
      <c r="AK93" s="80">
        <f t="shared" si="2"/>
        <v>9</v>
      </c>
    </row>
    <row r="94">
      <c r="A94" s="79">
        <v>44995.683497245365</v>
      </c>
      <c r="B94" s="51" t="s">
        <v>102</v>
      </c>
      <c r="C94" s="51">
        <v>38.0</v>
      </c>
      <c r="D94" s="51">
        <v>3322.0</v>
      </c>
      <c r="E94" s="51" t="s">
        <v>106</v>
      </c>
      <c r="N94" s="51">
        <v>1.0</v>
      </c>
      <c r="O94" s="51">
        <v>1.0</v>
      </c>
      <c r="R94" s="51" t="s">
        <v>103</v>
      </c>
      <c r="U94" s="51">
        <v>1.0</v>
      </c>
      <c r="V94" s="51">
        <v>0.0</v>
      </c>
      <c r="W94" s="51">
        <v>1.0</v>
      </c>
      <c r="X94" s="51">
        <v>1.0</v>
      </c>
      <c r="AA94" s="51">
        <v>2.0</v>
      </c>
      <c r="AB94" s="51">
        <v>2.0</v>
      </c>
      <c r="AC94" s="51">
        <v>2.0</v>
      </c>
      <c r="AD94" s="51">
        <v>2.0</v>
      </c>
      <c r="AE94" s="51" t="s">
        <v>104</v>
      </c>
      <c r="AF94" s="51">
        <v>3.0</v>
      </c>
      <c r="AG94" s="51">
        <v>0.0</v>
      </c>
      <c r="AH94" s="51" t="s">
        <v>103</v>
      </c>
      <c r="AI94" s="81"/>
      <c r="AJ94" s="80">
        <f t="shared" si="1"/>
        <v>29</v>
      </c>
      <c r="AK94" s="80">
        <f t="shared" si="2"/>
        <v>16</v>
      </c>
    </row>
    <row r="95">
      <c r="A95" s="79">
        <v>44995.69066606482</v>
      </c>
      <c r="B95" s="51" t="s">
        <v>102</v>
      </c>
      <c r="C95" s="51">
        <v>45.0</v>
      </c>
      <c r="D95" s="51">
        <v>3322.0</v>
      </c>
      <c r="E95" s="51" t="s">
        <v>106</v>
      </c>
      <c r="H95" s="51">
        <v>1.0</v>
      </c>
      <c r="I95" s="51">
        <v>1.0</v>
      </c>
      <c r="R95" s="51" t="s">
        <v>103</v>
      </c>
      <c r="U95" s="51">
        <v>1.0</v>
      </c>
      <c r="V95" s="51">
        <v>1.0</v>
      </c>
      <c r="AA95" s="51">
        <v>1.0</v>
      </c>
      <c r="AB95" s="51">
        <v>1.0</v>
      </c>
      <c r="AC95" s="51">
        <v>3.0</v>
      </c>
      <c r="AD95" s="51">
        <v>3.0</v>
      </c>
      <c r="AE95" s="51" t="s">
        <v>104</v>
      </c>
      <c r="AF95" s="51">
        <v>3.0</v>
      </c>
      <c r="AG95" s="51">
        <v>0.0</v>
      </c>
      <c r="AH95" s="51" t="s">
        <v>103</v>
      </c>
      <c r="AI95" s="81"/>
      <c r="AJ95" s="80">
        <f t="shared" si="1"/>
        <v>29</v>
      </c>
      <c r="AK95" s="80">
        <f t="shared" si="2"/>
        <v>16</v>
      </c>
    </row>
    <row r="96">
      <c r="A96" s="79">
        <v>44995.69709918981</v>
      </c>
      <c r="B96" s="51" t="s">
        <v>102</v>
      </c>
      <c r="C96" s="51">
        <v>59.0</v>
      </c>
      <c r="D96" s="51">
        <v>3322.0</v>
      </c>
      <c r="E96" s="51" t="s">
        <v>106</v>
      </c>
      <c r="H96" s="51">
        <v>1.0</v>
      </c>
      <c r="I96" s="51">
        <v>1.0</v>
      </c>
      <c r="R96" s="51" t="s">
        <v>103</v>
      </c>
      <c r="U96" s="51">
        <v>1.0</v>
      </c>
      <c r="V96" s="51">
        <v>0.0</v>
      </c>
      <c r="AA96" s="51">
        <v>1.0</v>
      </c>
      <c r="AB96" s="51">
        <v>1.0</v>
      </c>
      <c r="AC96" s="51">
        <v>3.0</v>
      </c>
      <c r="AD96" s="51">
        <v>3.0</v>
      </c>
      <c r="AE96" s="51" t="s">
        <v>108</v>
      </c>
      <c r="AF96" s="51">
        <v>2.0</v>
      </c>
      <c r="AG96" s="51">
        <v>0.0</v>
      </c>
      <c r="AH96" s="51" t="s">
        <v>103</v>
      </c>
      <c r="AI96" s="81"/>
      <c r="AJ96" s="80">
        <f t="shared" si="1"/>
        <v>22</v>
      </c>
      <c r="AK96" s="80">
        <f t="shared" si="2"/>
        <v>13</v>
      </c>
    </row>
    <row r="97">
      <c r="A97" s="79">
        <v>44995.70020056713</v>
      </c>
      <c r="B97" s="51" t="s">
        <v>102</v>
      </c>
      <c r="C97" s="51">
        <v>57.0</v>
      </c>
      <c r="D97" s="51">
        <v>3322.0</v>
      </c>
      <c r="E97" s="51" t="s">
        <v>106</v>
      </c>
      <c r="N97" s="51">
        <v>1.0</v>
      </c>
      <c r="O97" s="51">
        <v>1.0</v>
      </c>
      <c r="P97" s="51">
        <v>1.0</v>
      </c>
      <c r="Q97" s="51">
        <v>1.0</v>
      </c>
      <c r="R97" s="51" t="s">
        <v>103</v>
      </c>
      <c r="U97" s="51">
        <v>2.0</v>
      </c>
      <c r="V97" s="51">
        <v>2.0</v>
      </c>
      <c r="AA97" s="51">
        <v>1.0</v>
      </c>
      <c r="AB97" s="51">
        <v>1.0</v>
      </c>
      <c r="AE97" s="51" t="s">
        <v>107</v>
      </c>
      <c r="AF97" s="51">
        <v>3.0</v>
      </c>
      <c r="AG97" s="51">
        <v>0.0</v>
      </c>
      <c r="AH97" s="51" t="s">
        <v>103</v>
      </c>
      <c r="AI97" s="81"/>
      <c r="AJ97" s="80">
        <f t="shared" si="1"/>
        <v>22</v>
      </c>
      <c r="AK97" s="80">
        <f t="shared" si="2"/>
        <v>16</v>
      </c>
    </row>
    <row r="98">
      <c r="A98" s="79">
        <v>44995.70268185185</v>
      </c>
      <c r="B98" s="51" t="s">
        <v>102</v>
      </c>
      <c r="C98" s="51">
        <v>62.0</v>
      </c>
      <c r="D98" s="51">
        <v>3322.0</v>
      </c>
      <c r="E98" s="51" t="s">
        <v>106</v>
      </c>
      <c r="H98" s="51">
        <v>1.0</v>
      </c>
      <c r="I98" s="51">
        <v>1.0</v>
      </c>
      <c r="R98" s="51" t="s">
        <v>103</v>
      </c>
      <c r="W98" s="51">
        <v>1.0</v>
      </c>
      <c r="X98" s="51">
        <v>1.0</v>
      </c>
      <c r="AA98" s="51">
        <v>1.0</v>
      </c>
      <c r="AB98" s="51">
        <v>1.0</v>
      </c>
      <c r="AE98" s="51" t="s">
        <v>107</v>
      </c>
      <c r="AF98" s="51">
        <v>2.0</v>
      </c>
      <c r="AG98" s="51">
        <v>2.0</v>
      </c>
      <c r="AH98" s="51" t="s">
        <v>103</v>
      </c>
      <c r="AI98" s="82" t="s">
        <v>174</v>
      </c>
      <c r="AJ98" s="80">
        <f t="shared" si="1"/>
        <v>15</v>
      </c>
      <c r="AK98" s="80">
        <f t="shared" si="2"/>
        <v>9</v>
      </c>
    </row>
    <row r="99">
      <c r="A99" s="79">
        <v>44995.70599870371</v>
      </c>
      <c r="B99" s="51" t="s">
        <v>102</v>
      </c>
      <c r="C99" s="51">
        <v>69.0</v>
      </c>
      <c r="D99" s="51">
        <v>3322.0</v>
      </c>
      <c r="E99" s="51" t="s">
        <v>106</v>
      </c>
      <c r="H99" s="51">
        <v>1.0</v>
      </c>
      <c r="I99" s="51">
        <v>1.0</v>
      </c>
      <c r="R99" s="51" t="s">
        <v>103</v>
      </c>
      <c r="AA99" s="51">
        <v>1.0</v>
      </c>
      <c r="AB99" s="51">
        <v>1.0</v>
      </c>
      <c r="AC99" s="51">
        <v>4.0</v>
      </c>
      <c r="AD99" s="51">
        <v>4.0</v>
      </c>
      <c r="AE99" s="51" t="s">
        <v>108</v>
      </c>
      <c r="AF99" s="51">
        <v>2.0</v>
      </c>
      <c r="AG99" s="51">
        <v>0.0</v>
      </c>
      <c r="AH99" s="51" t="s">
        <v>103</v>
      </c>
      <c r="AI99" s="81"/>
      <c r="AJ99" s="80">
        <f t="shared" si="1"/>
        <v>24</v>
      </c>
      <c r="AK99" s="80">
        <f t="shared" si="2"/>
        <v>15</v>
      </c>
    </row>
    <row r="100">
      <c r="A100" s="79">
        <v>44995.70837168982</v>
      </c>
      <c r="B100" s="51" t="s">
        <v>102</v>
      </c>
      <c r="C100" s="51">
        <v>74.0</v>
      </c>
      <c r="D100" s="51">
        <v>3322.0</v>
      </c>
      <c r="E100" s="51" t="s">
        <v>106</v>
      </c>
      <c r="H100" s="51">
        <v>1.0</v>
      </c>
      <c r="I100" s="51">
        <v>1.0</v>
      </c>
      <c r="R100" s="51" t="s">
        <v>103</v>
      </c>
      <c r="U100" s="51">
        <v>2.0</v>
      </c>
      <c r="V100" s="51">
        <v>2.0</v>
      </c>
      <c r="AA100" s="51">
        <v>1.0</v>
      </c>
      <c r="AB100" s="51">
        <v>1.0</v>
      </c>
      <c r="AE100" s="51" t="s">
        <v>107</v>
      </c>
      <c r="AF100" s="51">
        <v>3.0</v>
      </c>
      <c r="AG100" s="51">
        <v>0.0</v>
      </c>
      <c r="AH100" s="51" t="s">
        <v>103</v>
      </c>
      <c r="AI100" s="81"/>
      <c r="AJ100" s="80">
        <f t="shared" si="1"/>
        <v>19</v>
      </c>
      <c r="AK100" s="80">
        <f t="shared" si="2"/>
        <v>13</v>
      </c>
    </row>
    <row r="101">
      <c r="A101" s="79">
        <v>44995.712620509265</v>
      </c>
      <c r="B101" s="51" t="s">
        <v>102</v>
      </c>
      <c r="C101" s="83" t="s">
        <v>134</v>
      </c>
      <c r="D101" s="51">
        <v>3322.0</v>
      </c>
      <c r="E101" s="51" t="s">
        <v>106</v>
      </c>
      <c r="H101" s="51">
        <v>1.0</v>
      </c>
      <c r="I101" s="51">
        <v>1.0</v>
      </c>
      <c r="R101" s="51" t="s">
        <v>103</v>
      </c>
      <c r="AA101" s="51">
        <v>3.0</v>
      </c>
      <c r="AB101" s="51">
        <v>3.0</v>
      </c>
      <c r="AC101" s="51">
        <v>1.0</v>
      </c>
      <c r="AD101" s="51">
        <v>1.0</v>
      </c>
      <c r="AE101" s="51" t="s">
        <v>104</v>
      </c>
      <c r="AF101" s="51">
        <v>4.0</v>
      </c>
      <c r="AG101" s="51">
        <v>0.0</v>
      </c>
      <c r="AH101" s="51" t="s">
        <v>103</v>
      </c>
      <c r="AI101" s="81"/>
      <c r="AJ101" s="80">
        <f t="shared" si="1"/>
        <v>28</v>
      </c>
      <c r="AK101" s="80">
        <f t="shared" si="2"/>
        <v>15</v>
      </c>
    </row>
    <row r="102">
      <c r="A102" s="79">
        <v>44995.71629864583</v>
      </c>
      <c r="B102" s="51" t="s">
        <v>102</v>
      </c>
      <c r="C102" s="83" t="s">
        <v>135</v>
      </c>
      <c r="D102" s="51">
        <v>3322.0</v>
      </c>
      <c r="E102" s="51" t="s">
        <v>106</v>
      </c>
      <c r="H102" s="51">
        <v>1.0</v>
      </c>
      <c r="I102" s="51">
        <v>1.0</v>
      </c>
      <c r="R102" s="51" t="s">
        <v>103</v>
      </c>
      <c r="AA102" s="51">
        <v>3.0</v>
      </c>
      <c r="AB102" s="51">
        <v>3.0</v>
      </c>
      <c r="AC102" s="51">
        <v>3.0</v>
      </c>
      <c r="AD102" s="51">
        <v>3.0</v>
      </c>
      <c r="AE102" s="51" t="s">
        <v>104</v>
      </c>
      <c r="AF102" s="51">
        <v>5.0</v>
      </c>
      <c r="AG102" s="51">
        <v>0.0</v>
      </c>
      <c r="AH102" s="51" t="s">
        <v>103</v>
      </c>
      <c r="AI102" s="81"/>
      <c r="AJ102" s="80">
        <f t="shared" si="1"/>
        <v>32</v>
      </c>
      <c r="AK102" s="80">
        <f t="shared" si="2"/>
        <v>19</v>
      </c>
    </row>
    <row r="103">
      <c r="A103" s="79">
        <v>44995.71931269676</v>
      </c>
      <c r="B103" s="51" t="s">
        <v>102</v>
      </c>
      <c r="C103" s="83" t="s">
        <v>136</v>
      </c>
      <c r="D103" s="51">
        <v>3322.0</v>
      </c>
      <c r="E103" s="51" t="s">
        <v>106</v>
      </c>
      <c r="H103" s="51">
        <v>1.0</v>
      </c>
      <c r="I103" s="51">
        <v>1.0</v>
      </c>
      <c r="R103" s="51" t="s">
        <v>103</v>
      </c>
      <c r="AA103" s="51">
        <v>3.0</v>
      </c>
      <c r="AB103" s="51">
        <v>3.0</v>
      </c>
      <c r="AC103" s="51">
        <v>2.0</v>
      </c>
      <c r="AD103" s="51">
        <v>2.0</v>
      </c>
      <c r="AE103" s="51" t="s">
        <v>104</v>
      </c>
      <c r="AF103" s="51">
        <v>5.0</v>
      </c>
      <c r="AG103" s="51">
        <v>0.0</v>
      </c>
      <c r="AH103" s="51" t="s">
        <v>103</v>
      </c>
      <c r="AI103" s="81"/>
      <c r="AJ103" s="80">
        <f t="shared" si="1"/>
        <v>30</v>
      </c>
      <c r="AK103" s="80">
        <f t="shared" si="2"/>
        <v>17</v>
      </c>
    </row>
    <row r="104">
      <c r="A104" s="79">
        <v>44995.73357689814</v>
      </c>
      <c r="B104" s="51" t="s">
        <v>102</v>
      </c>
      <c r="C104" s="83" t="s">
        <v>137</v>
      </c>
      <c r="D104" s="51">
        <v>3322.0</v>
      </c>
      <c r="E104" s="51" t="s">
        <v>106</v>
      </c>
      <c r="H104" s="51">
        <v>1.0</v>
      </c>
      <c r="I104" s="51">
        <v>1.0</v>
      </c>
      <c r="R104" s="51" t="s">
        <v>103</v>
      </c>
      <c r="U104" s="51">
        <v>1.0</v>
      </c>
      <c r="V104" s="51">
        <v>1.0</v>
      </c>
      <c r="AA104" s="51">
        <v>3.0</v>
      </c>
      <c r="AB104" s="51">
        <v>3.0</v>
      </c>
      <c r="AE104" s="51" t="s">
        <v>104</v>
      </c>
      <c r="AF104" s="51">
        <v>4.0</v>
      </c>
      <c r="AG104" s="51">
        <v>2.0</v>
      </c>
      <c r="AH104" s="51" t="s">
        <v>103</v>
      </c>
      <c r="AI104" s="81"/>
      <c r="AJ104" s="80">
        <f t="shared" si="1"/>
        <v>29</v>
      </c>
      <c r="AK104" s="80">
        <f t="shared" si="2"/>
        <v>16</v>
      </c>
    </row>
    <row r="105">
      <c r="A105" s="79">
        <v>44995.73630089121</v>
      </c>
      <c r="B105" s="51" t="s">
        <v>102</v>
      </c>
      <c r="C105" s="83" t="s">
        <v>138</v>
      </c>
      <c r="D105" s="51">
        <v>3322.0</v>
      </c>
      <c r="E105" s="51" t="s">
        <v>106</v>
      </c>
      <c r="H105" s="51">
        <v>1.0</v>
      </c>
      <c r="I105" s="51">
        <v>1.0</v>
      </c>
      <c r="R105" s="51" t="s">
        <v>103</v>
      </c>
      <c r="U105" s="51">
        <v>1.0</v>
      </c>
      <c r="V105" s="51">
        <v>1.0</v>
      </c>
      <c r="AA105" s="51">
        <v>3.0</v>
      </c>
      <c r="AB105" s="51">
        <v>3.0</v>
      </c>
      <c r="AC105" s="51">
        <v>1.0</v>
      </c>
      <c r="AD105" s="51">
        <v>1.0</v>
      </c>
      <c r="AE105" s="51" t="s">
        <v>104</v>
      </c>
      <c r="AF105" s="51">
        <v>4.0</v>
      </c>
      <c r="AG105" s="51">
        <v>1.0</v>
      </c>
      <c r="AH105" s="51" t="s">
        <v>103</v>
      </c>
      <c r="AI105" s="81"/>
      <c r="AJ105" s="80">
        <f t="shared" si="1"/>
        <v>31</v>
      </c>
      <c r="AK105" s="80">
        <f t="shared" si="2"/>
        <v>18</v>
      </c>
    </row>
    <row r="106">
      <c r="A106" s="79">
        <v>44998.78507509259</v>
      </c>
      <c r="B106" s="51" t="s">
        <v>102</v>
      </c>
      <c r="C106" s="51">
        <v>5.0</v>
      </c>
      <c r="D106" s="51">
        <v>3568.0</v>
      </c>
      <c r="E106" s="51" t="s">
        <v>106</v>
      </c>
      <c r="L106" s="51">
        <v>1.0</v>
      </c>
      <c r="M106" s="51">
        <v>0.0</v>
      </c>
      <c r="P106" s="51">
        <v>1.0</v>
      </c>
      <c r="Q106" s="51">
        <v>1.0</v>
      </c>
      <c r="R106" s="51" t="s">
        <v>103</v>
      </c>
      <c r="S106" s="51">
        <v>1.0</v>
      </c>
      <c r="T106" s="51">
        <v>1.0</v>
      </c>
      <c r="Y106" s="51">
        <v>1.0</v>
      </c>
      <c r="Z106" s="51">
        <v>1.0</v>
      </c>
      <c r="AA106" s="51">
        <v>1.0</v>
      </c>
      <c r="AB106" s="51">
        <v>1.0</v>
      </c>
      <c r="AE106" s="51" t="s">
        <v>107</v>
      </c>
      <c r="AF106" s="51">
        <v>2.0</v>
      </c>
      <c r="AG106" s="51">
        <v>0.0</v>
      </c>
      <c r="AH106" s="51" t="s">
        <v>103</v>
      </c>
      <c r="AI106" s="81"/>
      <c r="AJ106" s="80">
        <f t="shared" si="1"/>
        <v>22</v>
      </c>
      <c r="AK106" s="80">
        <f t="shared" si="2"/>
        <v>16</v>
      </c>
    </row>
    <row r="107">
      <c r="A107" s="79">
        <v>44998.78965283565</v>
      </c>
      <c r="B107" s="51" t="s">
        <v>102</v>
      </c>
      <c r="C107" s="51">
        <v>9.0</v>
      </c>
      <c r="D107" s="51">
        <v>3568.0</v>
      </c>
      <c r="E107" s="51" t="s">
        <v>106</v>
      </c>
      <c r="L107" s="51">
        <v>1.0</v>
      </c>
      <c r="M107" s="51">
        <v>0.0</v>
      </c>
      <c r="P107" s="51">
        <v>1.0</v>
      </c>
      <c r="Q107" s="51">
        <v>1.0</v>
      </c>
      <c r="R107" s="51" t="s">
        <v>103</v>
      </c>
      <c r="Y107" s="51">
        <v>1.0</v>
      </c>
      <c r="Z107" s="51">
        <v>1.0</v>
      </c>
      <c r="AA107" s="51">
        <v>2.0</v>
      </c>
      <c r="AB107" s="51">
        <v>2.0</v>
      </c>
      <c r="AC107" s="51">
        <v>1.0</v>
      </c>
      <c r="AD107" s="51">
        <v>1.0</v>
      </c>
      <c r="AE107" s="51" t="s">
        <v>107</v>
      </c>
      <c r="AF107" s="51">
        <v>3.0</v>
      </c>
      <c r="AG107" s="51">
        <v>0.0</v>
      </c>
      <c r="AH107" s="51" t="s">
        <v>103</v>
      </c>
      <c r="AI107" s="82" t="s">
        <v>175</v>
      </c>
      <c r="AJ107" s="80">
        <f t="shared" si="1"/>
        <v>22</v>
      </c>
      <c r="AK107" s="80">
        <f t="shared" si="2"/>
        <v>16</v>
      </c>
    </row>
    <row r="108">
      <c r="A108" s="79">
        <v>44998.793071215274</v>
      </c>
      <c r="B108" s="51" t="s">
        <v>102</v>
      </c>
      <c r="C108" s="51">
        <v>19.0</v>
      </c>
      <c r="D108" s="51">
        <v>3568.0</v>
      </c>
      <c r="E108" s="51" t="s">
        <v>106</v>
      </c>
      <c r="N108" s="51">
        <v>1.0</v>
      </c>
      <c r="O108" s="51">
        <v>1.0</v>
      </c>
      <c r="R108" s="51" t="s">
        <v>103</v>
      </c>
      <c r="Y108" s="51">
        <v>1.0</v>
      </c>
      <c r="Z108" s="51">
        <v>1.0</v>
      </c>
      <c r="AE108" s="51" t="s">
        <v>107</v>
      </c>
      <c r="AF108" s="51">
        <v>1.0</v>
      </c>
      <c r="AG108" s="51">
        <v>0.0</v>
      </c>
      <c r="AH108" s="51" t="s">
        <v>103</v>
      </c>
      <c r="AI108" s="81"/>
      <c r="AJ108" s="80">
        <f t="shared" si="1"/>
        <v>15</v>
      </c>
      <c r="AK108" s="80">
        <f t="shared" si="2"/>
        <v>9</v>
      </c>
    </row>
    <row r="109">
      <c r="A109" s="79">
        <v>44999.50831534722</v>
      </c>
      <c r="B109" s="51" t="s">
        <v>102</v>
      </c>
      <c r="C109" s="51">
        <v>23.0</v>
      </c>
      <c r="D109" s="51">
        <v>3568.0</v>
      </c>
      <c r="E109" s="51" t="s">
        <v>103</v>
      </c>
      <c r="N109" s="51">
        <v>1.0</v>
      </c>
      <c r="O109" s="51">
        <v>1.0</v>
      </c>
      <c r="R109" s="51" t="s">
        <v>103</v>
      </c>
      <c r="W109" s="51">
        <v>1.0</v>
      </c>
      <c r="X109" s="51">
        <v>1.0</v>
      </c>
      <c r="AE109" s="51" t="s">
        <v>104</v>
      </c>
      <c r="AF109" s="51">
        <v>2.0</v>
      </c>
      <c r="AG109" s="51">
        <v>0.0</v>
      </c>
      <c r="AH109" s="51" t="s">
        <v>103</v>
      </c>
      <c r="AI109" s="82" t="s">
        <v>176</v>
      </c>
      <c r="AJ109" s="80">
        <f t="shared" si="1"/>
        <v>16</v>
      </c>
      <c r="AK109" s="80">
        <f t="shared" si="2"/>
        <v>6</v>
      </c>
    </row>
    <row r="110">
      <c r="A110" s="79">
        <v>44999.510777731484</v>
      </c>
      <c r="B110" s="51" t="s">
        <v>102</v>
      </c>
      <c r="C110" s="51">
        <v>27.0</v>
      </c>
      <c r="D110" s="51">
        <v>3568.0</v>
      </c>
      <c r="E110" s="51" t="s">
        <v>103</v>
      </c>
      <c r="N110" s="51">
        <v>1.0</v>
      </c>
      <c r="O110" s="51">
        <v>1.0</v>
      </c>
      <c r="R110" s="51" t="s">
        <v>103</v>
      </c>
      <c r="Y110" s="51">
        <v>3.0</v>
      </c>
      <c r="Z110" s="51">
        <v>3.0</v>
      </c>
      <c r="AE110" s="51" t="s">
        <v>107</v>
      </c>
      <c r="AF110" s="51">
        <v>3.0</v>
      </c>
      <c r="AG110" s="51">
        <v>0.0</v>
      </c>
      <c r="AH110" s="51" t="s">
        <v>103</v>
      </c>
      <c r="AI110" s="82" t="s">
        <v>177</v>
      </c>
      <c r="AJ110" s="80">
        <f t="shared" si="1"/>
        <v>22</v>
      </c>
      <c r="AK110" s="80">
        <f t="shared" si="2"/>
        <v>19</v>
      </c>
    </row>
    <row r="111">
      <c r="A111" s="79">
        <v>44999.51549363426</v>
      </c>
      <c r="B111" s="51" t="s">
        <v>102</v>
      </c>
      <c r="C111" s="51">
        <v>33.0</v>
      </c>
      <c r="D111" s="51">
        <v>3568.0</v>
      </c>
      <c r="E111" s="51" t="s">
        <v>103</v>
      </c>
      <c r="N111" s="51">
        <v>1.0</v>
      </c>
      <c r="O111" s="51">
        <v>1.0</v>
      </c>
      <c r="R111" s="51" t="s">
        <v>103</v>
      </c>
      <c r="Y111" s="51">
        <v>3.0</v>
      </c>
      <c r="Z111" s="51">
        <v>3.0</v>
      </c>
      <c r="AA111" s="51">
        <v>1.0</v>
      </c>
      <c r="AB111" s="51">
        <v>1.0</v>
      </c>
      <c r="AE111" s="51" t="s">
        <v>107</v>
      </c>
      <c r="AF111" s="51">
        <v>3.0</v>
      </c>
      <c r="AG111" s="51">
        <v>0.0</v>
      </c>
      <c r="AH111" s="51" t="s">
        <v>103</v>
      </c>
      <c r="AI111" s="81"/>
      <c r="AJ111" s="80">
        <f t="shared" si="1"/>
        <v>25</v>
      </c>
      <c r="AK111" s="80">
        <f t="shared" si="2"/>
        <v>22</v>
      </c>
    </row>
    <row r="112">
      <c r="A112" s="79">
        <v>44999.84830725694</v>
      </c>
      <c r="B112" s="51" t="s">
        <v>178</v>
      </c>
      <c r="C112" s="51">
        <v>46.0</v>
      </c>
      <c r="D112" s="51">
        <v>3568.0</v>
      </c>
      <c r="E112" s="51" t="s">
        <v>106</v>
      </c>
      <c r="F112" s="51">
        <v>0.0</v>
      </c>
      <c r="G112" s="51">
        <v>0.0</v>
      </c>
      <c r="H112" s="51">
        <v>0.0</v>
      </c>
      <c r="I112" s="51">
        <v>0.0</v>
      </c>
      <c r="J112" s="51">
        <v>0.0</v>
      </c>
      <c r="K112" s="51">
        <v>0.0</v>
      </c>
      <c r="L112" s="51">
        <v>1.0</v>
      </c>
      <c r="M112" s="51">
        <v>1.0</v>
      </c>
      <c r="N112" s="51">
        <v>0.0</v>
      </c>
      <c r="O112" s="51">
        <v>0.0</v>
      </c>
      <c r="P112" s="51">
        <v>0.0</v>
      </c>
      <c r="Q112" s="51">
        <v>0.0</v>
      </c>
      <c r="R112" s="51" t="s">
        <v>103</v>
      </c>
      <c r="S112" s="51">
        <v>0.0</v>
      </c>
      <c r="T112" s="51">
        <v>0.0</v>
      </c>
      <c r="U112" s="51">
        <v>0.0</v>
      </c>
      <c r="V112" s="51">
        <v>0.0</v>
      </c>
      <c r="W112" s="51">
        <v>0.0</v>
      </c>
      <c r="X112" s="51">
        <v>0.0</v>
      </c>
      <c r="Y112" s="51">
        <v>0.0</v>
      </c>
      <c r="Z112" s="51">
        <v>0.0</v>
      </c>
      <c r="AA112" s="51">
        <v>0.0</v>
      </c>
      <c r="AB112" s="51">
        <v>0.0</v>
      </c>
      <c r="AC112" s="51">
        <v>0.0</v>
      </c>
      <c r="AD112" s="51">
        <v>0.0</v>
      </c>
      <c r="AE112" s="51" t="s">
        <v>103</v>
      </c>
      <c r="AF112" s="51">
        <v>0.0</v>
      </c>
      <c r="AG112" s="51">
        <v>0.0</v>
      </c>
      <c r="AH112" s="51" t="s">
        <v>106</v>
      </c>
      <c r="AI112" s="82" t="s">
        <v>179</v>
      </c>
      <c r="AJ112" s="80">
        <f t="shared" si="1"/>
        <v>9</v>
      </c>
      <c r="AK112" s="80">
        <f t="shared" si="2"/>
        <v>6</v>
      </c>
    </row>
    <row r="113">
      <c r="A113" s="79">
        <v>45004.53346730324</v>
      </c>
      <c r="B113" s="51" t="s">
        <v>102</v>
      </c>
      <c r="C113" s="51" t="s">
        <v>124</v>
      </c>
      <c r="D113" s="51">
        <v>3568.0</v>
      </c>
      <c r="E113" s="51" t="s">
        <v>106</v>
      </c>
      <c r="L113" s="51">
        <v>1.0</v>
      </c>
      <c r="M113" s="51">
        <v>1.0</v>
      </c>
      <c r="R113" s="51" t="s">
        <v>103</v>
      </c>
      <c r="Y113" s="51">
        <v>2.0</v>
      </c>
      <c r="Z113" s="51">
        <v>1.0</v>
      </c>
      <c r="AA113" s="51">
        <v>1.0</v>
      </c>
      <c r="AB113" s="51">
        <v>1.0</v>
      </c>
      <c r="AC113" s="51">
        <v>1.0</v>
      </c>
      <c r="AD113" s="51">
        <v>1.0</v>
      </c>
      <c r="AE113" s="51" t="s">
        <v>104</v>
      </c>
      <c r="AF113" s="51">
        <v>2.0</v>
      </c>
      <c r="AG113" s="51">
        <v>0.0</v>
      </c>
      <c r="AH113" s="51" t="s">
        <v>103</v>
      </c>
      <c r="AI113" s="82" t="s">
        <v>180</v>
      </c>
      <c r="AJ113" s="80">
        <f t="shared" si="1"/>
        <v>29</v>
      </c>
      <c r="AK113" s="80">
        <f t="shared" si="2"/>
        <v>16</v>
      </c>
    </row>
    <row r="114">
      <c r="A114" s="79">
        <v>44996.55827815972</v>
      </c>
      <c r="B114" s="51" t="s">
        <v>181</v>
      </c>
      <c r="C114" s="51">
        <v>4.0</v>
      </c>
      <c r="D114" s="51">
        <v>3707.0</v>
      </c>
      <c r="E114" s="51" t="s">
        <v>106</v>
      </c>
      <c r="F114" s="51">
        <v>0.0</v>
      </c>
      <c r="G114" s="51">
        <v>0.0</v>
      </c>
      <c r="H114" s="51">
        <v>0.0</v>
      </c>
      <c r="I114" s="51">
        <v>0.0</v>
      </c>
      <c r="J114" s="51">
        <v>0.0</v>
      </c>
      <c r="K114" s="51">
        <v>0.0</v>
      </c>
      <c r="L114" s="51">
        <v>0.0</v>
      </c>
      <c r="M114" s="51">
        <v>0.0</v>
      </c>
      <c r="N114" s="51">
        <v>0.0</v>
      </c>
      <c r="O114" s="51">
        <v>0.0</v>
      </c>
      <c r="P114" s="51">
        <v>0.0</v>
      </c>
      <c r="Q114" s="51">
        <v>0.0</v>
      </c>
      <c r="R114" s="51" t="s">
        <v>103</v>
      </c>
      <c r="AE114" s="51" t="s">
        <v>107</v>
      </c>
      <c r="AF114" s="51">
        <v>0.0</v>
      </c>
      <c r="AG114" s="51">
        <v>0.0</v>
      </c>
      <c r="AH114" s="51" t="s">
        <v>106</v>
      </c>
      <c r="AI114" s="82" t="s">
        <v>182</v>
      </c>
      <c r="AJ114" s="80">
        <f t="shared" si="1"/>
        <v>6</v>
      </c>
      <c r="AK114" s="80">
        <f t="shared" si="2"/>
        <v>0</v>
      </c>
    </row>
    <row r="115">
      <c r="A115" s="79">
        <v>44996.563073171295</v>
      </c>
      <c r="B115" s="51" t="s">
        <v>183</v>
      </c>
      <c r="C115" s="51">
        <v>10.0</v>
      </c>
      <c r="D115" s="51">
        <v>3707.0</v>
      </c>
      <c r="E115" s="51" t="s">
        <v>106</v>
      </c>
      <c r="R115" s="51" t="s">
        <v>104</v>
      </c>
      <c r="AA115" s="51">
        <v>2.0</v>
      </c>
      <c r="AB115" s="51">
        <v>2.0</v>
      </c>
      <c r="AC115" s="51">
        <v>1.0</v>
      </c>
      <c r="AD115" s="51">
        <v>1.0</v>
      </c>
      <c r="AE115" s="51" t="s">
        <v>104</v>
      </c>
      <c r="AF115" s="51">
        <v>2.0</v>
      </c>
      <c r="AG115" s="51">
        <v>1.0</v>
      </c>
      <c r="AH115" s="51" t="s">
        <v>103</v>
      </c>
      <c r="AI115" s="81"/>
      <c r="AJ115" s="80">
        <f t="shared" si="1"/>
        <v>33</v>
      </c>
      <c r="AK115" s="80">
        <f t="shared" si="2"/>
        <v>8</v>
      </c>
    </row>
    <row r="116">
      <c r="A116" s="79">
        <v>44996.56582480324</v>
      </c>
      <c r="B116" s="51" t="s">
        <v>184</v>
      </c>
      <c r="C116" s="51">
        <v>15.0</v>
      </c>
      <c r="D116" s="51">
        <v>3707.0</v>
      </c>
      <c r="E116" s="51" t="s">
        <v>106</v>
      </c>
      <c r="R116" s="51" t="s">
        <v>103</v>
      </c>
      <c r="Y116" s="51">
        <v>1.0</v>
      </c>
      <c r="Z116" s="51">
        <v>1.0</v>
      </c>
      <c r="AC116" s="51">
        <v>1.0</v>
      </c>
      <c r="AD116" s="51">
        <v>1.0</v>
      </c>
      <c r="AE116" s="51" t="s">
        <v>104</v>
      </c>
      <c r="AF116" s="51">
        <v>0.0</v>
      </c>
      <c r="AG116" s="51">
        <v>1.0</v>
      </c>
      <c r="AH116" s="51" t="s">
        <v>103</v>
      </c>
      <c r="AI116" s="81"/>
      <c r="AJ116" s="80">
        <f t="shared" si="1"/>
        <v>20</v>
      </c>
      <c r="AK116" s="80">
        <f t="shared" si="2"/>
        <v>7</v>
      </c>
    </row>
    <row r="117">
      <c r="A117" s="79">
        <v>44996.569739768514</v>
      </c>
      <c r="B117" s="51" t="s">
        <v>181</v>
      </c>
      <c r="C117" s="51">
        <v>30.0</v>
      </c>
      <c r="D117" s="51">
        <v>3707.0</v>
      </c>
      <c r="E117" s="51" t="s">
        <v>106</v>
      </c>
      <c r="R117" s="51" t="s">
        <v>103</v>
      </c>
      <c r="W117" s="51">
        <v>2.0</v>
      </c>
      <c r="X117" s="51">
        <v>2.0</v>
      </c>
      <c r="AC117" s="51">
        <v>1.0</v>
      </c>
      <c r="AD117" s="51">
        <v>1.0</v>
      </c>
      <c r="AE117" s="51" t="s">
        <v>108</v>
      </c>
      <c r="AF117" s="51">
        <v>1.0</v>
      </c>
      <c r="AG117" s="51">
        <v>1.0</v>
      </c>
      <c r="AH117" s="51" t="s">
        <v>103</v>
      </c>
      <c r="AI117" s="81"/>
      <c r="AJ117" s="80">
        <f t="shared" si="1"/>
        <v>15</v>
      </c>
      <c r="AK117" s="80">
        <f t="shared" si="2"/>
        <v>6</v>
      </c>
    </row>
    <row r="118">
      <c r="A118" s="79">
        <v>44996.574429976856</v>
      </c>
      <c r="B118" s="51" t="s">
        <v>181</v>
      </c>
      <c r="C118" s="51">
        <v>29.0</v>
      </c>
      <c r="D118" s="51">
        <v>3707.0</v>
      </c>
      <c r="E118" s="51" t="s">
        <v>106</v>
      </c>
      <c r="R118" s="51" t="s">
        <v>108</v>
      </c>
      <c r="AA118" s="51">
        <v>3.0</v>
      </c>
      <c r="AB118" s="51">
        <v>2.0</v>
      </c>
      <c r="AC118" s="51">
        <v>3.0</v>
      </c>
      <c r="AD118" s="51">
        <v>3.0</v>
      </c>
      <c r="AE118" s="51" t="s">
        <v>104</v>
      </c>
      <c r="AF118" s="51">
        <v>0.0</v>
      </c>
      <c r="AG118" s="51">
        <v>2.0</v>
      </c>
      <c r="AH118" s="51" t="s">
        <v>103</v>
      </c>
      <c r="AI118" s="81"/>
      <c r="AJ118" s="80">
        <f t="shared" si="1"/>
        <v>33</v>
      </c>
      <c r="AK118" s="80">
        <f t="shared" si="2"/>
        <v>12</v>
      </c>
    </row>
    <row r="119">
      <c r="A119" s="79">
        <v>44996.57912241898</v>
      </c>
      <c r="B119" s="51" t="s">
        <v>184</v>
      </c>
      <c r="C119" s="51">
        <v>36.0</v>
      </c>
      <c r="D119" s="51">
        <v>3707.0</v>
      </c>
      <c r="E119" s="51" t="s">
        <v>106</v>
      </c>
      <c r="R119" s="51" t="s">
        <v>104</v>
      </c>
      <c r="AA119" s="51">
        <v>2.0</v>
      </c>
      <c r="AB119" s="51">
        <v>2.0</v>
      </c>
      <c r="AC119" s="51">
        <v>3.0</v>
      </c>
      <c r="AD119" s="51">
        <v>3.0</v>
      </c>
      <c r="AE119" s="51" t="s">
        <v>107</v>
      </c>
      <c r="AF119" s="51">
        <v>0.0</v>
      </c>
      <c r="AG119" s="51">
        <v>1.0</v>
      </c>
      <c r="AH119" s="51" t="s">
        <v>103</v>
      </c>
      <c r="AI119" s="81"/>
      <c r="AJ119" s="80">
        <f t="shared" si="1"/>
        <v>30</v>
      </c>
      <c r="AK119" s="80">
        <f t="shared" si="2"/>
        <v>12</v>
      </c>
    </row>
    <row r="120">
      <c r="A120" s="79">
        <v>44996.582033136576</v>
      </c>
      <c r="B120" s="51" t="s">
        <v>181</v>
      </c>
      <c r="C120" s="51">
        <v>43.0</v>
      </c>
      <c r="D120" s="51">
        <v>3707.0</v>
      </c>
      <c r="E120" s="51" t="s">
        <v>106</v>
      </c>
      <c r="R120" s="51" t="s">
        <v>103</v>
      </c>
      <c r="W120" s="51">
        <v>1.0</v>
      </c>
      <c r="X120" s="51">
        <v>1.0</v>
      </c>
      <c r="AA120" s="51">
        <v>3.0</v>
      </c>
      <c r="AB120" s="51">
        <v>3.0</v>
      </c>
      <c r="AC120" s="51">
        <v>2.0</v>
      </c>
      <c r="AD120" s="51">
        <v>2.0</v>
      </c>
      <c r="AE120" s="51" t="s">
        <v>107</v>
      </c>
      <c r="AF120" s="51">
        <v>0.0</v>
      </c>
      <c r="AG120" s="51">
        <v>2.0</v>
      </c>
      <c r="AH120" s="51" t="s">
        <v>103</v>
      </c>
      <c r="AI120" s="81"/>
      <c r="AJ120" s="80">
        <f t="shared" si="1"/>
        <v>21</v>
      </c>
      <c r="AK120" s="80">
        <f t="shared" si="2"/>
        <v>15</v>
      </c>
    </row>
    <row r="121">
      <c r="A121" s="79">
        <v>44996.58735180556</v>
      </c>
      <c r="B121" s="51" t="s">
        <v>181</v>
      </c>
      <c r="C121" s="51">
        <v>48.0</v>
      </c>
      <c r="D121" s="51">
        <v>3707.0</v>
      </c>
      <c r="E121" s="51" t="s">
        <v>106</v>
      </c>
      <c r="R121" s="51" t="s">
        <v>103</v>
      </c>
      <c r="AC121" s="51">
        <v>5.0</v>
      </c>
      <c r="AD121" s="51">
        <v>5.0</v>
      </c>
      <c r="AE121" s="51" t="s">
        <v>107</v>
      </c>
      <c r="AF121" s="51">
        <v>1.0</v>
      </c>
      <c r="AG121" s="51">
        <v>1.0</v>
      </c>
      <c r="AH121" s="51" t="s">
        <v>103</v>
      </c>
      <c r="AI121" s="81"/>
      <c r="AJ121" s="80">
        <f t="shared" si="1"/>
        <v>16</v>
      </c>
      <c r="AK121" s="80">
        <f t="shared" si="2"/>
        <v>10</v>
      </c>
    </row>
    <row r="122">
      <c r="A122" s="79">
        <v>44996.590295277776</v>
      </c>
      <c r="B122" s="51" t="s">
        <v>181</v>
      </c>
      <c r="C122" s="51">
        <v>55.0</v>
      </c>
      <c r="D122" s="51">
        <v>3707.0</v>
      </c>
      <c r="E122" s="51" t="s">
        <v>106</v>
      </c>
      <c r="R122" s="51" t="s">
        <v>103</v>
      </c>
      <c r="U122" s="51">
        <v>1.0</v>
      </c>
      <c r="V122" s="51">
        <v>1.0</v>
      </c>
      <c r="AA122" s="51">
        <v>2.0</v>
      </c>
      <c r="AB122" s="51">
        <v>2.0</v>
      </c>
      <c r="AC122" s="51">
        <v>3.0</v>
      </c>
      <c r="AD122" s="51">
        <v>3.0</v>
      </c>
      <c r="AE122" s="51" t="s">
        <v>104</v>
      </c>
      <c r="AF122" s="51">
        <v>0.0</v>
      </c>
      <c r="AG122" s="51">
        <v>2.0</v>
      </c>
      <c r="AH122" s="51" t="s">
        <v>103</v>
      </c>
      <c r="AI122" s="81"/>
      <c r="AJ122" s="80">
        <f t="shared" si="1"/>
        <v>28</v>
      </c>
      <c r="AK122" s="80">
        <f t="shared" si="2"/>
        <v>15</v>
      </c>
    </row>
    <row r="123">
      <c r="A123" s="79">
        <v>44996.59464422453</v>
      </c>
      <c r="B123" s="51" t="s">
        <v>181</v>
      </c>
      <c r="C123" s="51">
        <v>60.0</v>
      </c>
      <c r="D123" s="51">
        <v>3707.0</v>
      </c>
      <c r="E123" s="51" t="s">
        <v>103</v>
      </c>
      <c r="R123" s="51" t="s">
        <v>104</v>
      </c>
      <c r="AA123" s="51">
        <v>2.0</v>
      </c>
      <c r="AB123" s="51">
        <v>2.0</v>
      </c>
      <c r="AC123" s="51">
        <v>1.0</v>
      </c>
      <c r="AD123" s="51">
        <v>1.0</v>
      </c>
      <c r="AE123" s="51" t="s">
        <v>104</v>
      </c>
      <c r="AF123" s="51">
        <v>0.0</v>
      </c>
      <c r="AG123" s="51">
        <v>1.0</v>
      </c>
      <c r="AH123" s="51" t="s">
        <v>103</v>
      </c>
      <c r="AI123" s="81"/>
      <c r="AJ123" s="80">
        <f t="shared" si="1"/>
        <v>30</v>
      </c>
      <c r="AK123" s="80">
        <f t="shared" si="2"/>
        <v>8</v>
      </c>
    </row>
    <row r="124">
      <c r="A124" s="79">
        <v>44996.601125497684</v>
      </c>
      <c r="B124" s="51" t="s">
        <v>184</v>
      </c>
      <c r="C124" s="51">
        <v>67.0</v>
      </c>
      <c r="D124" s="51">
        <v>3707.0</v>
      </c>
      <c r="E124" s="51" t="s">
        <v>106</v>
      </c>
      <c r="R124" s="51" t="s">
        <v>103</v>
      </c>
      <c r="AA124" s="51">
        <v>4.0</v>
      </c>
      <c r="AB124" s="51">
        <v>3.0</v>
      </c>
      <c r="AC124" s="51">
        <v>2.0</v>
      </c>
      <c r="AD124" s="51">
        <v>2.0</v>
      </c>
      <c r="AE124" s="51" t="s">
        <v>104</v>
      </c>
      <c r="AF124" s="51">
        <v>0.0</v>
      </c>
      <c r="AG124" s="51">
        <v>1.0</v>
      </c>
      <c r="AH124" s="51" t="s">
        <v>103</v>
      </c>
      <c r="AI124" s="81"/>
      <c r="AJ124" s="80">
        <f t="shared" si="1"/>
        <v>26</v>
      </c>
      <c r="AK124" s="80">
        <f t="shared" si="2"/>
        <v>13</v>
      </c>
    </row>
    <row r="125">
      <c r="A125" s="79">
        <v>44996.604414664354</v>
      </c>
      <c r="B125" s="51" t="s">
        <v>184</v>
      </c>
      <c r="C125" s="51">
        <v>72.0</v>
      </c>
      <c r="D125" s="51">
        <v>3707.0</v>
      </c>
      <c r="E125" s="51" t="s">
        <v>103</v>
      </c>
      <c r="R125" s="51" t="s">
        <v>104</v>
      </c>
      <c r="AA125" s="51">
        <v>1.0</v>
      </c>
      <c r="AB125" s="51">
        <v>1.0</v>
      </c>
      <c r="AC125" s="51">
        <v>4.0</v>
      </c>
      <c r="AD125" s="51">
        <v>4.0</v>
      </c>
      <c r="AE125" s="51" t="s">
        <v>103</v>
      </c>
      <c r="AF125" s="51">
        <v>0.0</v>
      </c>
      <c r="AG125" s="51">
        <v>1.0</v>
      </c>
      <c r="AH125" s="51" t="s">
        <v>103</v>
      </c>
      <c r="AI125" s="81"/>
      <c r="AJ125" s="80">
        <f t="shared" si="1"/>
        <v>23</v>
      </c>
      <c r="AK125" s="80">
        <f t="shared" si="2"/>
        <v>11</v>
      </c>
    </row>
    <row r="126">
      <c r="A126" s="79">
        <v>44996.60776866898</v>
      </c>
      <c r="B126" s="51" t="s">
        <v>184</v>
      </c>
      <c r="C126" s="51" t="s">
        <v>185</v>
      </c>
      <c r="D126" s="51">
        <v>3707.0</v>
      </c>
      <c r="E126" s="51" t="s">
        <v>106</v>
      </c>
      <c r="R126" s="51" t="s">
        <v>103</v>
      </c>
      <c r="AA126" s="51">
        <v>1.0</v>
      </c>
      <c r="AB126" s="51">
        <v>1.0</v>
      </c>
      <c r="AC126" s="51">
        <v>2.0</v>
      </c>
      <c r="AD126" s="51">
        <v>2.0</v>
      </c>
      <c r="AE126" s="51" t="s">
        <v>108</v>
      </c>
      <c r="AF126" s="51">
        <v>1.0</v>
      </c>
      <c r="AG126" s="51">
        <v>2.0</v>
      </c>
      <c r="AH126" s="51" t="s">
        <v>103</v>
      </c>
      <c r="AI126" s="81"/>
      <c r="AJ126" s="80">
        <f t="shared" si="1"/>
        <v>16</v>
      </c>
      <c r="AK126" s="80">
        <f t="shared" si="2"/>
        <v>7</v>
      </c>
    </row>
    <row r="127">
      <c r="A127" s="79">
        <v>44996.614488356485</v>
      </c>
      <c r="B127" s="51" t="s">
        <v>183</v>
      </c>
      <c r="C127" s="51" t="s">
        <v>186</v>
      </c>
      <c r="D127" s="51">
        <v>3707.0</v>
      </c>
      <c r="E127" s="51" t="s">
        <v>106</v>
      </c>
      <c r="R127" s="51" t="s">
        <v>103</v>
      </c>
      <c r="AE127" s="51" t="s">
        <v>107</v>
      </c>
      <c r="AF127" s="51">
        <v>1.0</v>
      </c>
      <c r="AG127" s="51">
        <v>0.0</v>
      </c>
      <c r="AH127" s="51" t="s">
        <v>103</v>
      </c>
      <c r="AI127" s="81"/>
      <c r="AJ127" s="80">
        <f t="shared" si="1"/>
        <v>6</v>
      </c>
      <c r="AK127" s="80">
        <f t="shared" si="2"/>
        <v>0</v>
      </c>
    </row>
    <row r="128">
      <c r="A128" s="79">
        <v>44996.61838627315</v>
      </c>
      <c r="B128" s="51" t="s">
        <v>181</v>
      </c>
      <c r="C128" s="51">
        <v>5.0</v>
      </c>
      <c r="D128" s="51">
        <v>3773.0</v>
      </c>
      <c r="E128" s="51" t="s">
        <v>103</v>
      </c>
      <c r="R128" s="51" t="s">
        <v>103</v>
      </c>
      <c r="W128" s="51">
        <v>2.0</v>
      </c>
      <c r="X128" s="51">
        <v>2.0</v>
      </c>
      <c r="AE128" s="51" t="s">
        <v>103</v>
      </c>
      <c r="AF128" s="51">
        <v>0.0</v>
      </c>
      <c r="AG128" s="51">
        <v>1.0</v>
      </c>
      <c r="AH128" s="51" t="s">
        <v>106</v>
      </c>
      <c r="AI128" s="82" t="s">
        <v>187</v>
      </c>
      <c r="AJ128" s="80">
        <f t="shared" si="1"/>
        <v>4</v>
      </c>
      <c r="AK128" s="80">
        <f t="shared" si="2"/>
        <v>4</v>
      </c>
    </row>
    <row r="129">
      <c r="A129" s="79">
        <v>44996.620731250005</v>
      </c>
      <c r="B129" s="51" t="s">
        <v>181</v>
      </c>
      <c r="C129" s="51">
        <v>10.0</v>
      </c>
      <c r="D129" s="51">
        <v>3773.0</v>
      </c>
      <c r="E129" s="51" t="s">
        <v>103</v>
      </c>
      <c r="R129" s="51" t="s">
        <v>103</v>
      </c>
      <c r="AE129" s="51" t="s">
        <v>103</v>
      </c>
      <c r="AF129" s="51">
        <v>0.0</v>
      </c>
      <c r="AG129" s="51">
        <v>0.0</v>
      </c>
      <c r="AH129" s="51" t="s">
        <v>106</v>
      </c>
      <c r="AI129" s="81"/>
      <c r="AJ129" s="80">
        <f t="shared" si="1"/>
        <v>0</v>
      </c>
      <c r="AK129" s="80">
        <f t="shared" si="2"/>
        <v>0</v>
      </c>
    </row>
    <row r="130">
      <c r="A130" s="79">
        <v>44996.623688252315</v>
      </c>
      <c r="B130" s="51" t="s">
        <v>181</v>
      </c>
      <c r="C130" s="51">
        <v>23.0</v>
      </c>
      <c r="D130" s="51">
        <v>3773.0</v>
      </c>
      <c r="E130" s="51" t="s">
        <v>103</v>
      </c>
      <c r="R130" s="51" t="s">
        <v>103</v>
      </c>
      <c r="AE130" s="51" t="s">
        <v>103</v>
      </c>
      <c r="AF130" s="51">
        <v>0.0</v>
      </c>
      <c r="AG130" s="51">
        <v>0.0</v>
      </c>
      <c r="AH130" s="51" t="s">
        <v>106</v>
      </c>
      <c r="AI130" s="81"/>
      <c r="AJ130" s="80">
        <f t="shared" si="1"/>
        <v>0</v>
      </c>
      <c r="AK130" s="80">
        <f t="shared" si="2"/>
        <v>0</v>
      </c>
    </row>
    <row r="131">
      <c r="A131" s="79">
        <v>45011.624212766204</v>
      </c>
      <c r="B131" s="51" t="s">
        <v>188</v>
      </c>
      <c r="C131" s="51">
        <v>3.0</v>
      </c>
      <c r="D131" s="51">
        <v>4395.0</v>
      </c>
      <c r="E131" s="51" t="s">
        <v>103</v>
      </c>
      <c r="F131" s="51">
        <v>0.0</v>
      </c>
      <c r="G131" s="51">
        <v>0.0</v>
      </c>
      <c r="H131" s="51">
        <v>0.0</v>
      </c>
      <c r="I131" s="51">
        <v>0.0</v>
      </c>
      <c r="J131" s="51">
        <v>0.0</v>
      </c>
      <c r="K131" s="51">
        <v>0.0</v>
      </c>
      <c r="L131" s="51">
        <v>1.0</v>
      </c>
      <c r="M131" s="51">
        <v>0.0</v>
      </c>
      <c r="N131" s="51">
        <v>0.0</v>
      </c>
      <c r="O131" s="51">
        <v>0.0</v>
      </c>
      <c r="P131" s="51">
        <v>0.0</v>
      </c>
      <c r="Q131" s="51">
        <v>0.0</v>
      </c>
      <c r="R131" s="51" t="s">
        <v>103</v>
      </c>
      <c r="S131" s="51">
        <v>1.0</v>
      </c>
      <c r="T131" s="51">
        <v>0.0</v>
      </c>
      <c r="U131" s="51">
        <v>0.0</v>
      </c>
      <c r="V131" s="51">
        <v>0.0</v>
      </c>
      <c r="W131" s="51">
        <v>0.0</v>
      </c>
      <c r="X131" s="51">
        <v>0.0</v>
      </c>
      <c r="Y131" s="51">
        <v>0.0</v>
      </c>
      <c r="Z131" s="51">
        <v>0.0</v>
      </c>
      <c r="AA131" s="51">
        <v>0.0</v>
      </c>
      <c r="AB131" s="51">
        <v>0.0</v>
      </c>
      <c r="AC131" s="51">
        <v>0.0</v>
      </c>
      <c r="AE131" s="51" t="s">
        <v>104</v>
      </c>
      <c r="AF131" s="51">
        <v>1.0</v>
      </c>
      <c r="AG131" s="51">
        <v>2.0</v>
      </c>
      <c r="AH131" s="51" t="s">
        <v>103</v>
      </c>
      <c r="AI131" s="51" t="s">
        <v>189</v>
      </c>
      <c r="AJ131" s="80">
        <f t="shared" si="1"/>
        <v>10</v>
      </c>
      <c r="AK131" s="80">
        <f t="shared" si="2"/>
        <v>0</v>
      </c>
    </row>
    <row r="132">
      <c r="A132" s="79">
        <v>45011.62842219908</v>
      </c>
      <c r="B132" s="51" t="s">
        <v>188</v>
      </c>
      <c r="C132" s="51">
        <v>8.0</v>
      </c>
      <c r="D132" s="51">
        <v>4395.0</v>
      </c>
      <c r="E132" s="51" t="s">
        <v>106</v>
      </c>
      <c r="F132" s="51">
        <v>1.0</v>
      </c>
      <c r="G132" s="51">
        <v>0.0</v>
      </c>
      <c r="H132" s="51">
        <v>0.0</v>
      </c>
      <c r="I132" s="51">
        <v>0.0</v>
      </c>
      <c r="J132" s="51">
        <v>0.0</v>
      </c>
      <c r="K132" s="51">
        <v>0.0</v>
      </c>
      <c r="L132" s="51">
        <v>0.0</v>
      </c>
      <c r="M132" s="51">
        <v>0.0</v>
      </c>
      <c r="N132" s="51">
        <v>0.0</v>
      </c>
      <c r="O132" s="51">
        <v>0.0</v>
      </c>
      <c r="P132" s="51">
        <v>0.0</v>
      </c>
      <c r="Q132" s="51">
        <v>0.0</v>
      </c>
      <c r="R132" s="51" t="s">
        <v>103</v>
      </c>
      <c r="S132" s="51">
        <v>0.0</v>
      </c>
      <c r="T132" s="51">
        <v>0.0</v>
      </c>
      <c r="U132" s="51">
        <v>0.0</v>
      </c>
      <c r="V132" s="51">
        <v>0.0</v>
      </c>
      <c r="W132" s="51">
        <v>0.0</v>
      </c>
      <c r="X132" s="51">
        <v>0.0</v>
      </c>
      <c r="Y132" s="51">
        <v>0.0</v>
      </c>
      <c r="Z132" s="51">
        <v>0.0</v>
      </c>
      <c r="AA132" s="51">
        <v>1.0</v>
      </c>
      <c r="AB132" s="51">
        <v>1.0</v>
      </c>
      <c r="AC132" s="51">
        <v>0.0</v>
      </c>
      <c r="AD132" s="51">
        <v>0.0</v>
      </c>
      <c r="AE132" s="51" t="s">
        <v>103</v>
      </c>
      <c r="AF132" s="51">
        <v>0.0</v>
      </c>
      <c r="AG132" s="51">
        <v>0.0</v>
      </c>
      <c r="AH132" s="51" t="s">
        <v>103</v>
      </c>
      <c r="AJ132" s="80">
        <f t="shared" si="1"/>
        <v>6</v>
      </c>
      <c r="AK132" s="80">
        <f t="shared" si="2"/>
        <v>3</v>
      </c>
    </row>
    <row r="133">
      <c r="A133" s="79">
        <v>45011.63546884259</v>
      </c>
      <c r="B133" s="51" t="s">
        <v>188</v>
      </c>
      <c r="C133" s="51">
        <v>18.0</v>
      </c>
      <c r="D133" s="51">
        <v>4395.0</v>
      </c>
      <c r="E133" s="51" t="s">
        <v>106</v>
      </c>
      <c r="F133" s="51">
        <v>0.0</v>
      </c>
      <c r="G133" s="51">
        <v>0.0</v>
      </c>
      <c r="H133" s="51">
        <v>0.0</v>
      </c>
      <c r="I133" s="51">
        <v>0.0</v>
      </c>
      <c r="J133" s="51">
        <v>0.0</v>
      </c>
      <c r="K133" s="51">
        <v>0.0</v>
      </c>
      <c r="L133" s="51">
        <v>0.0</v>
      </c>
      <c r="M133" s="51">
        <v>0.0</v>
      </c>
      <c r="N133" s="51">
        <v>0.0</v>
      </c>
      <c r="O133" s="51">
        <v>0.0</v>
      </c>
      <c r="P133" s="51">
        <v>0.0</v>
      </c>
      <c r="Q133" s="51">
        <v>0.0</v>
      </c>
      <c r="R133" s="51" t="s">
        <v>103</v>
      </c>
      <c r="S133" s="51">
        <v>0.0</v>
      </c>
      <c r="T133" s="51">
        <v>0.0</v>
      </c>
      <c r="U133" s="51">
        <v>0.0</v>
      </c>
      <c r="V133" s="51">
        <v>0.0</v>
      </c>
      <c r="W133" s="51">
        <v>0.0</v>
      </c>
      <c r="X133" s="51">
        <v>0.0</v>
      </c>
      <c r="Y133" s="51">
        <v>0.0</v>
      </c>
      <c r="Z133" s="51">
        <v>0.0</v>
      </c>
      <c r="AA133" s="51">
        <v>0.0</v>
      </c>
      <c r="AB133" s="51">
        <v>0.0</v>
      </c>
      <c r="AC133" s="51">
        <v>0.0</v>
      </c>
      <c r="AD133" s="51">
        <v>0.0</v>
      </c>
      <c r="AE133" s="51" t="s">
        <v>103</v>
      </c>
      <c r="AF133" s="51">
        <v>0.0</v>
      </c>
      <c r="AG133" s="51">
        <v>0.0</v>
      </c>
      <c r="AH133" s="51" t="s">
        <v>103</v>
      </c>
      <c r="AJ133" s="80">
        <f t="shared" si="1"/>
        <v>3</v>
      </c>
      <c r="AK133" s="80">
        <f t="shared" si="2"/>
        <v>0</v>
      </c>
    </row>
    <row r="134">
      <c r="A134" s="79">
        <v>45011.638848946764</v>
      </c>
      <c r="B134" s="51" t="s">
        <v>190</v>
      </c>
      <c r="C134" s="51">
        <v>25.0</v>
      </c>
      <c r="D134" s="51">
        <v>4395.0</v>
      </c>
      <c r="E134" s="51" t="s">
        <v>106</v>
      </c>
      <c r="F134" s="51">
        <v>0.0</v>
      </c>
      <c r="G134" s="51">
        <v>0.0</v>
      </c>
      <c r="H134" s="51">
        <v>0.0</v>
      </c>
      <c r="I134" s="51">
        <v>0.0</v>
      </c>
      <c r="J134" s="51">
        <v>0.0</v>
      </c>
      <c r="K134" s="51">
        <v>0.0</v>
      </c>
      <c r="L134" s="51">
        <v>0.0</v>
      </c>
      <c r="M134" s="51">
        <v>0.0</v>
      </c>
      <c r="N134" s="51">
        <v>0.0</v>
      </c>
      <c r="O134" s="51">
        <v>0.0</v>
      </c>
      <c r="P134" s="51">
        <v>0.0</v>
      </c>
      <c r="Q134" s="51">
        <v>0.0</v>
      </c>
      <c r="R134" s="51" t="s">
        <v>103</v>
      </c>
      <c r="S134" s="51">
        <v>0.0</v>
      </c>
      <c r="T134" s="51">
        <v>0.0</v>
      </c>
      <c r="U134" s="51">
        <v>0.0</v>
      </c>
      <c r="V134" s="51">
        <v>0.0</v>
      </c>
      <c r="W134" s="51">
        <v>0.0</v>
      </c>
      <c r="X134" s="51">
        <v>0.0</v>
      </c>
      <c r="Y134" s="51">
        <v>0.0</v>
      </c>
      <c r="Z134" s="51">
        <v>0.0</v>
      </c>
      <c r="AA134" s="51">
        <v>0.0</v>
      </c>
      <c r="AB134" s="51">
        <v>0.0</v>
      </c>
      <c r="AC134" s="51">
        <v>0.0</v>
      </c>
      <c r="AD134" s="51">
        <v>0.0</v>
      </c>
      <c r="AE134" s="51" t="s">
        <v>103</v>
      </c>
      <c r="AF134" s="51">
        <v>0.0</v>
      </c>
      <c r="AG134" s="51">
        <v>0.0</v>
      </c>
      <c r="AH134" s="51" t="s">
        <v>103</v>
      </c>
      <c r="AI134" s="51" t="s">
        <v>191</v>
      </c>
      <c r="AJ134" s="80">
        <f t="shared" si="1"/>
        <v>3</v>
      </c>
      <c r="AK134" s="80">
        <f t="shared" si="2"/>
        <v>0</v>
      </c>
    </row>
    <row r="135">
      <c r="A135" s="79">
        <v>45011.64183707176</v>
      </c>
      <c r="B135" s="51" t="s">
        <v>188</v>
      </c>
      <c r="C135" s="51">
        <v>33.0</v>
      </c>
      <c r="D135" s="51">
        <v>4395.0</v>
      </c>
      <c r="E135" s="51" t="s">
        <v>106</v>
      </c>
      <c r="F135" s="51">
        <v>0.0</v>
      </c>
      <c r="G135" s="51">
        <v>0.0</v>
      </c>
      <c r="H135" s="51">
        <v>0.0</v>
      </c>
      <c r="I135" s="51">
        <v>0.0</v>
      </c>
      <c r="J135" s="51">
        <v>0.0</v>
      </c>
      <c r="K135" s="51">
        <v>0.0</v>
      </c>
      <c r="L135" s="51">
        <v>0.0</v>
      </c>
      <c r="M135" s="51">
        <v>0.0</v>
      </c>
      <c r="N135" s="51">
        <v>0.0</v>
      </c>
      <c r="O135" s="51">
        <v>0.0</v>
      </c>
      <c r="P135" s="51">
        <v>0.0</v>
      </c>
      <c r="Q135" s="51">
        <v>0.0</v>
      </c>
      <c r="R135" s="51" t="s">
        <v>103</v>
      </c>
      <c r="S135" s="51">
        <v>0.0</v>
      </c>
      <c r="T135" s="51">
        <v>0.0</v>
      </c>
      <c r="U135" s="51">
        <v>0.0</v>
      </c>
      <c r="V135" s="51">
        <v>0.0</v>
      </c>
      <c r="W135" s="51">
        <v>1.0</v>
      </c>
      <c r="X135" s="51">
        <v>0.0</v>
      </c>
      <c r="Y135" s="51">
        <v>0.0</v>
      </c>
      <c r="Z135" s="51">
        <v>0.0</v>
      </c>
      <c r="AA135" s="51">
        <v>0.0</v>
      </c>
      <c r="AB135" s="51">
        <v>0.0</v>
      </c>
      <c r="AC135" s="51">
        <v>0.0</v>
      </c>
      <c r="AD135" s="51">
        <v>0.0</v>
      </c>
      <c r="AE135" s="51" t="s">
        <v>104</v>
      </c>
      <c r="AF135" s="51">
        <v>0.0</v>
      </c>
      <c r="AG135" s="51">
        <v>0.0</v>
      </c>
      <c r="AH135" s="51" t="s">
        <v>103</v>
      </c>
      <c r="AJ135" s="80">
        <f t="shared" si="1"/>
        <v>13</v>
      </c>
      <c r="AK135" s="80">
        <f t="shared" si="2"/>
        <v>0</v>
      </c>
    </row>
    <row r="136">
      <c r="A136" s="79">
        <v>45012.52877548611</v>
      </c>
      <c r="B136" s="51" t="s">
        <v>188</v>
      </c>
      <c r="C136" s="51">
        <v>38.0</v>
      </c>
      <c r="D136" s="51">
        <v>4395.0</v>
      </c>
      <c r="E136" s="51" t="s">
        <v>106</v>
      </c>
      <c r="F136" s="51">
        <v>0.0</v>
      </c>
      <c r="G136" s="51">
        <v>0.0</v>
      </c>
      <c r="H136" s="51">
        <v>0.0</v>
      </c>
      <c r="I136" s="51">
        <v>0.0</v>
      </c>
      <c r="J136" s="51">
        <v>0.0</v>
      </c>
      <c r="K136" s="51">
        <v>0.0</v>
      </c>
      <c r="L136" s="51">
        <v>0.0</v>
      </c>
      <c r="M136" s="51">
        <v>0.0</v>
      </c>
      <c r="N136" s="51">
        <v>0.0</v>
      </c>
      <c r="O136" s="51">
        <v>0.0</v>
      </c>
      <c r="P136" s="51">
        <v>0.0</v>
      </c>
      <c r="Q136" s="51">
        <v>0.0</v>
      </c>
      <c r="R136" s="51" t="s">
        <v>103</v>
      </c>
      <c r="S136" s="51">
        <v>0.0</v>
      </c>
      <c r="T136" s="51">
        <v>0.0</v>
      </c>
      <c r="U136" s="51">
        <v>0.0</v>
      </c>
      <c r="V136" s="51">
        <v>0.0</v>
      </c>
      <c r="W136" s="51">
        <v>0.0</v>
      </c>
      <c r="X136" s="51">
        <v>0.0</v>
      </c>
      <c r="Y136" s="51">
        <v>0.0</v>
      </c>
      <c r="Z136" s="51">
        <v>0.0</v>
      </c>
      <c r="AA136" s="51">
        <v>0.0</v>
      </c>
      <c r="AB136" s="51">
        <v>0.0</v>
      </c>
      <c r="AC136" s="51">
        <v>0.0</v>
      </c>
      <c r="AD136" s="51">
        <v>0.0</v>
      </c>
      <c r="AE136" s="51" t="s">
        <v>104</v>
      </c>
      <c r="AF136" s="51">
        <v>0.0</v>
      </c>
      <c r="AG136" s="51">
        <v>2.0</v>
      </c>
      <c r="AH136" s="51" t="s">
        <v>103</v>
      </c>
      <c r="AJ136" s="80">
        <f t="shared" si="1"/>
        <v>13</v>
      </c>
      <c r="AK136" s="80">
        <f t="shared" si="2"/>
        <v>0</v>
      </c>
    </row>
    <row r="137">
      <c r="A137" s="79">
        <v>45004.59095866898</v>
      </c>
      <c r="B137" s="51" t="s">
        <v>192</v>
      </c>
      <c r="C137" s="51">
        <v>79.0</v>
      </c>
      <c r="D137" s="51">
        <v>4405.0</v>
      </c>
      <c r="E137" s="51" t="s">
        <v>106</v>
      </c>
      <c r="F137" s="51">
        <v>0.0</v>
      </c>
      <c r="G137" s="51">
        <v>0.0</v>
      </c>
      <c r="H137" s="51">
        <v>0.0</v>
      </c>
      <c r="I137" s="51">
        <v>0.0</v>
      </c>
      <c r="J137" s="51">
        <v>0.0</v>
      </c>
      <c r="K137" s="51">
        <v>0.0</v>
      </c>
      <c r="L137" s="51">
        <v>0.0</v>
      </c>
      <c r="M137" s="51">
        <v>0.0</v>
      </c>
      <c r="N137" s="51">
        <v>0.0</v>
      </c>
      <c r="O137" s="51">
        <v>0.0</v>
      </c>
      <c r="P137" s="51">
        <v>0.0</v>
      </c>
      <c r="Q137" s="51">
        <v>0.0</v>
      </c>
      <c r="R137" s="51" t="s">
        <v>104</v>
      </c>
      <c r="S137" s="51">
        <v>4.0</v>
      </c>
      <c r="T137" s="51">
        <v>2.0</v>
      </c>
      <c r="U137" s="51">
        <v>0.0</v>
      </c>
      <c r="V137" s="51">
        <v>0.0</v>
      </c>
      <c r="W137" s="51">
        <v>0.0</v>
      </c>
      <c r="X137" s="51">
        <v>0.0</v>
      </c>
      <c r="Y137" s="51">
        <v>1.0</v>
      </c>
      <c r="Z137" s="51">
        <v>1.0</v>
      </c>
      <c r="AA137" s="51">
        <v>0.0</v>
      </c>
      <c r="AB137" s="51">
        <v>0.0</v>
      </c>
      <c r="AC137" s="51">
        <v>0.0</v>
      </c>
      <c r="AD137" s="51">
        <v>0.0</v>
      </c>
      <c r="AE137" s="51" t="s">
        <v>104</v>
      </c>
      <c r="AF137" s="51">
        <v>2.0</v>
      </c>
      <c r="AG137" s="51">
        <v>0.0</v>
      </c>
      <c r="AH137" s="51" t="s">
        <v>103</v>
      </c>
      <c r="AI137" s="82" t="s">
        <v>193</v>
      </c>
      <c r="AJ137" s="80">
        <f t="shared" si="1"/>
        <v>40</v>
      </c>
      <c r="AK137" s="80">
        <f t="shared" si="2"/>
        <v>15</v>
      </c>
    </row>
    <row r="138">
      <c r="A138" s="79">
        <v>45004.596321273144</v>
      </c>
      <c r="B138" s="51" t="s">
        <v>192</v>
      </c>
      <c r="C138" s="51">
        <v>71.0</v>
      </c>
      <c r="D138" s="51">
        <v>4405.0</v>
      </c>
      <c r="E138" s="51" t="s">
        <v>106</v>
      </c>
      <c r="P138" s="51">
        <v>1.0</v>
      </c>
      <c r="Q138" s="51">
        <v>0.0</v>
      </c>
      <c r="R138" s="51" t="s">
        <v>104</v>
      </c>
      <c r="S138" s="51">
        <v>3.0</v>
      </c>
      <c r="T138" s="51">
        <v>3.0</v>
      </c>
      <c r="AE138" s="51" t="s">
        <v>104</v>
      </c>
      <c r="AF138" s="51">
        <v>3.0</v>
      </c>
      <c r="AG138" s="51">
        <v>0.0</v>
      </c>
      <c r="AH138" s="51" t="s">
        <v>103</v>
      </c>
      <c r="AI138" s="82" t="s">
        <v>194</v>
      </c>
      <c r="AJ138" s="80">
        <f t="shared" si="1"/>
        <v>40</v>
      </c>
      <c r="AK138" s="80">
        <f t="shared" si="2"/>
        <v>15</v>
      </c>
    </row>
    <row r="139">
      <c r="A139" s="79">
        <v>45004.60095259259</v>
      </c>
      <c r="B139" s="51" t="s">
        <v>192</v>
      </c>
      <c r="C139" s="51" t="s">
        <v>195</v>
      </c>
      <c r="D139" s="51">
        <v>4405.0</v>
      </c>
      <c r="E139" s="51" t="s">
        <v>106</v>
      </c>
      <c r="J139" s="51">
        <v>1.0</v>
      </c>
      <c r="K139" s="51">
        <v>1.0</v>
      </c>
      <c r="R139" s="51" t="s">
        <v>104</v>
      </c>
      <c r="S139" s="51">
        <v>4.0</v>
      </c>
      <c r="T139" s="51">
        <v>3.0</v>
      </c>
      <c r="AE139" s="51" t="s">
        <v>104</v>
      </c>
      <c r="AF139" s="51">
        <v>3.0</v>
      </c>
      <c r="AG139" s="51">
        <v>2.0</v>
      </c>
      <c r="AH139" s="51" t="s">
        <v>103</v>
      </c>
      <c r="AI139" s="82" t="s">
        <v>196</v>
      </c>
      <c r="AJ139" s="80">
        <f t="shared" si="1"/>
        <v>43</v>
      </c>
      <c r="AK139" s="80">
        <f t="shared" si="2"/>
        <v>18</v>
      </c>
    </row>
    <row r="140">
      <c r="A140" s="79">
        <v>45004.60732760417</v>
      </c>
      <c r="B140" s="51" t="s">
        <v>192</v>
      </c>
      <c r="C140" s="51" t="s">
        <v>197</v>
      </c>
      <c r="D140" s="51">
        <v>4405.0</v>
      </c>
      <c r="E140" s="51" t="s">
        <v>106</v>
      </c>
      <c r="J140" s="51">
        <v>1.0</v>
      </c>
      <c r="K140" s="51">
        <v>0.0</v>
      </c>
      <c r="R140" s="51" t="s">
        <v>104</v>
      </c>
      <c r="S140" s="51">
        <v>3.0</v>
      </c>
      <c r="T140" s="51">
        <v>3.0</v>
      </c>
      <c r="Y140" s="51">
        <v>2.0</v>
      </c>
      <c r="Z140" s="51">
        <v>1.0</v>
      </c>
      <c r="AE140" s="51" t="s">
        <v>104</v>
      </c>
      <c r="AF140" s="51">
        <v>4.0</v>
      </c>
      <c r="AG140" s="51">
        <v>0.0</v>
      </c>
      <c r="AH140" s="51" t="s">
        <v>103</v>
      </c>
      <c r="AI140" s="82" t="s">
        <v>198</v>
      </c>
      <c r="AJ140" s="80">
        <f t="shared" si="1"/>
        <v>45</v>
      </c>
      <c r="AK140" s="80">
        <f t="shared" si="2"/>
        <v>20</v>
      </c>
    </row>
    <row r="141">
      <c r="A141" s="79">
        <v>45004.610013854166</v>
      </c>
      <c r="B141" s="51" t="s">
        <v>192</v>
      </c>
      <c r="C141" s="51" t="s">
        <v>199</v>
      </c>
      <c r="D141" s="51">
        <v>4405.0</v>
      </c>
      <c r="E141" s="51" t="s">
        <v>106</v>
      </c>
      <c r="P141" s="51">
        <v>1.0</v>
      </c>
      <c r="Q141" s="51">
        <v>1.0</v>
      </c>
      <c r="R141" s="51" t="s">
        <v>104</v>
      </c>
      <c r="S141" s="51">
        <v>4.0</v>
      </c>
      <c r="T141" s="51">
        <v>3.0</v>
      </c>
      <c r="V141" s="51">
        <v>1.0</v>
      </c>
      <c r="Y141" s="51">
        <v>1.0</v>
      </c>
      <c r="Z141" s="51">
        <v>1.0</v>
      </c>
      <c r="AE141" s="51" t="s">
        <v>104</v>
      </c>
      <c r="AF141" s="51">
        <v>3.0</v>
      </c>
      <c r="AG141" s="51">
        <v>0.0</v>
      </c>
      <c r="AH141" s="51" t="s">
        <v>103</v>
      </c>
      <c r="AI141" s="82" t="s">
        <v>200</v>
      </c>
      <c r="AJ141" s="80">
        <f t="shared" si="1"/>
        <v>51</v>
      </c>
      <c r="AK141" s="80">
        <f t="shared" si="2"/>
        <v>26</v>
      </c>
    </row>
    <row r="142">
      <c r="A142" s="79">
        <v>45008.81795295139</v>
      </c>
      <c r="B142" s="51" t="s">
        <v>192</v>
      </c>
      <c r="C142" s="51">
        <v>64.0</v>
      </c>
      <c r="D142" s="51">
        <v>4405.0</v>
      </c>
      <c r="E142" s="51" t="s">
        <v>106</v>
      </c>
      <c r="P142" s="51">
        <v>1.0</v>
      </c>
      <c r="Q142" s="51">
        <v>1.0</v>
      </c>
      <c r="R142" s="51" t="s">
        <v>104</v>
      </c>
      <c r="S142" s="51">
        <v>1.0</v>
      </c>
      <c r="T142" s="51">
        <v>1.0</v>
      </c>
      <c r="U142" s="51">
        <v>2.0</v>
      </c>
      <c r="V142" s="51">
        <v>2.0</v>
      </c>
      <c r="AA142" s="51">
        <v>1.0</v>
      </c>
      <c r="AB142" s="51">
        <v>1.0</v>
      </c>
      <c r="AE142" s="51" t="s">
        <v>104</v>
      </c>
      <c r="AF142" s="51">
        <v>4.0</v>
      </c>
      <c r="AG142" s="51">
        <v>0.0</v>
      </c>
      <c r="AH142" s="51" t="s">
        <v>103</v>
      </c>
      <c r="AI142" s="82" t="s">
        <v>201</v>
      </c>
      <c r="AJ142" s="80">
        <f t="shared" si="1"/>
        <v>42</v>
      </c>
      <c r="AK142" s="80">
        <f t="shared" si="2"/>
        <v>17</v>
      </c>
    </row>
    <row r="143">
      <c r="A143" s="79">
        <v>45008.82111729166</v>
      </c>
      <c r="B143" s="51" t="s">
        <v>192</v>
      </c>
      <c r="C143" s="51">
        <v>60.0</v>
      </c>
      <c r="D143" s="51">
        <v>4405.0</v>
      </c>
      <c r="E143" s="51" t="s">
        <v>106</v>
      </c>
      <c r="P143" s="51">
        <v>1.0</v>
      </c>
      <c r="Q143" s="51">
        <v>1.0</v>
      </c>
      <c r="R143" s="51" t="s">
        <v>104</v>
      </c>
      <c r="S143" s="51">
        <v>3.0</v>
      </c>
      <c r="T143" s="51">
        <v>2.0</v>
      </c>
      <c r="Y143" s="51">
        <v>1.0</v>
      </c>
      <c r="Z143" s="51">
        <v>1.0</v>
      </c>
      <c r="AC143" s="51">
        <v>1.0</v>
      </c>
      <c r="AD143" s="51">
        <v>1.0</v>
      </c>
      <c r="AE143" s="51" t="s">
        <v>104</v>
      </c>
      <c r="AF143" s="51">
        <v>3.0</v>
      </c>
      <c r="AG143" s="51">
        <v>0.0</v>
      </c>
      <c r="AH143" s="51" t="s">
        <v>103</v>
      </c>
      <c r="AI143" s="81"/>
      <c r="AJ143" s="80">
        <f t="shared" si="1"/>
        <v>45</v>
      </c>
      <c r="AK143" s="80">
        <f t="shared" si="2"/>
        <v>20</v>
      </c>
    </row>
    <row r="144">
      <c r="A144" s="79">
        <v>45008.827937951384</v>
      </c>
      <c r="B144" s="51" t="s">
        <v>192</v>
      </c>
      <c r="C144" s="51">
        <v>54.0</v>
      </c>
      <c r="D144" s="51">
        <v>4405.0</v>
      </c>
      <c r="E144" s="51" t="s">
        <v>106</v>
      </c>
      <c r="P144" s="51">
        <v>1.0</v>
      </c>
      <c r="Q144" s="51">
        <v>0.0</v>
      </c>
      <c r="R144" s="51" t="s">
        <v>104</v>
      </c>
      <c r="S144" s="51">
        <v>4.0</v>
      </c>
      <c r="T144" s="51">
        <v>4.0</v>
      </c>
      <c r="AE144" s="51" t="s">
        <v>104</v>
      </c>
      <c r="AF144" s="51">
        <v>4.0</v>
      </c>
      <c r="AG144" s="51">
        <v>0.0</v>
      </c>
      <c r="AH144" s="51" t="s">
        <v>103</v>
      </c>
      <c r="AI144" s="81"/>
      <c r="AJ144" s="80">
        <f t="shared" si="1"/>
        <v>45</v>
      </c>
      <c r="AK144" s="80">
        <f t="shared" si="2"/>
        <v>20</v>
      </c>
    </row>
    <row r="145">
      <c r="A145" s="79">
        <v>45004.55234556713</v>
      </c>
      <c r="B145" s="51" t="s">
        <v>102</v>
      </c>
      <c r="C145" s="51">
        <v>2.0</v>
      </c>
      <c r="D145" s="51">
        <v>5050.0</v>
      </c>
      <c r="E145" s="51" t="s">
        <v>106</v>
      </c>
      <c r="F145" s="51">
        <v>1.0</v>
      </c>
      <c r="G145" s="51">
        <v>1.0</v>
      </c>
      <c r="R145" s="51" t="s">
        <v>104</v>
      </c>
      <c r="S145" s="51">
        <v>1.0</v>
      </c>
      <c r="T145" s="51">
        <v>1.0</v>
      </c>
      <c r="U145" s="51">
        <v>2.0</v>
      </c>
      <c r="V145" s="51">
        <v>2.0</v>
      </c>
      <c r="Y145" s="51">
        <v>1.0</v>
      </c>
      <c r="Z145" s="51">
        <v>1.0</v>
      </c>
      <c r="AA145" s="51">
        <v>1.0</v>
      </c>
      <c r="AB145" s="51">
        <v>1.0</v>
      </c>
      <c r="AE145" s="51" t="s">
        <v>104</v>
      </c>
      <c r="AF145" s="51">
        <v>4.0</v>
      </c>
      <c r="AG145" s="51">
        <v>0.0</v>
      </c>
      <c r="AH145" s="51" t="s">
        <v>103</v>
      </c>
      <c r="AI145" s="82" t="s">
        <v>202</v>
      </c>
      <c r="AJ145" s="80">
        <f t="shared" si="1"/>
        <v>50</v>
      </c>
      <c r="AK145" s="80">
        <f t="shared" si="2"/>
        <v>25</v>
      </c>
    </row>
    <row r="146">
      <c r="A146" s="79">
        <v>45004.55493711805</v>
      </c>
      <c r="B146" s="51" t="s">
        <v>102</v>
      </c>
      <c r="C146" s="51">
        <v>8.0</v>
      </c>
      <c r="D146" s="51">
        <v>5050.0</v>
      </c>
      <c r="E146" s="51" t="s">
        <v>106</v>
      </c>
      <c r="F146" s="51">
        <v>1.0</v>
      </c>
      <c r="G146" s="51">
        <v>1.0</v>
      </c>
      <c r="R146" s="51" t="s">
        <v>104</v>
      </c>
      <c r="S146" s="51">
        <v>1.0</v>
      </c>
      <c r="T146" s="51">
        <v>1.0</v>
      </c>
      <c r="U146" s="51">
        <v>2.0</v>
      </c>
      <c r="V146" s="51">
        <v>2.0</v>
      </c>
      <c r="Y146" s="51">
        <v>1.0</v>
      </c>
      <c r="Z146" s="51">
        <v>1.0</v>
      </c>
      <c r="AA146" s="51">
        <v>1.0</v>
      </c>
      <c r="AB146" s="51">
        <v>1.0</v>
      </c>
      <c r="AE146" s="51" t="s">
        <v>108</v>
      </c>
      <c r="AF146" s="51">
        <v>4.0</v>
      </c>
      <c r="AG146" s="51">
        <v>0.0</v>
      </c>
      <c r="AH146" s="51" t="s">
        <v>103</v>
      </c>
      <c r="AI146" s="81"/>
      <c r="AJ146" s="80">
        <f t="shared" si="1"/>
        <v>46</v>
      </c>
      <c r="AK146" s="80">
        <f t="shared" si="2"/>
        <v>25</v>
      </c>
    </row>
    <row r="147">
      <c r="A147" s="79">
        <v>45004.55814173611</v>
      </c>
      <c r="B147" s="51" t="s">
        <v>102</v>
      </c>
      <c r="C147" s="51">
        <v>16.0</v>
      </c>
      <c r="D147" s="51">
        <v>5050.0</v>
      </c>
      <c r="E147" s="51" t="s">
        <v>106</v>
      </c>
      <c r="F147" s="51">
        <v>1.0</v>
      </c>
      <c r="G147" s="51">
        <v>1.0</v>
      </c>
      <c r="R147" s="51" t="s">
        <v>104</v>
      </c>
      <c r="S147" s="51">
        <v>2.0</v>
      </c>
      <c r="T147" s="51">
        <v>2.0</v>
      </c>
      <c r="Y147" s="51">
        <v>1.0</v>
      </c>
      <c r="Z147" s="51">
        <v>1.0</v>
      </c>
      <c r="AE147" s="51" t="s">
        <v>104</v>
      </c>
      <c r="AF147" s="51">
        <v>4.0</v>
      </c>
      <c r="AG147" s="51">
        <v>0.0</v>
      </c>
      <c r="AH147" s="51" t="s">
        <v>103</v>
      </c>
      <c r="AI147" s="82" t="s">
        <v>203</v>
      </c>
      <c r="AJ147" s="80">
        <f t="shared" si="1"/>
        <v>46</v>
      </c>
      <c r="AK147" s="80">
        <f t="shared" si="2"/>
        <v>21</v>
      </c>
    </row>
    <row r="148">
      <c r="A148" s="79">
        <v>45004.5593665625</v>
      </c>
      <c r="B148" s="51" t="s">
        <v>102</v>
      </c>
      <c r="C148" s="51">
        <v>25.0</v>
      </c>
      <c r="D148" s="51">
        <v>5050.0</v>
      </c>
      <c r="E148" s="51" t="s">
        <v>106</v>
      </c>
      <c r="F148" s="51">
        <v>1.0</v>
      </c>
      <c r="G148" s="51">
        <v>1.0</v>
      </c>
      <c r="R148" s="51" t="s">
        <v>104</v>
      </c>
      <c r="S148" s="51">
        <v>3.0</v>
      </c>
      <c r="T148" s="51">
        <v>3.0</v>
      </c>
      <c r="Y148" s="51">
        <v>2.0</v>
      </c>
      <c r="Z148" s="51">
        <v>2.0</v>
      </c>
      <c r="AA148" s="51">
        <v>1.0</v>
      </c>
      <c r="AB148" s="51">
        <v>1.0</v>
      </c>
      <c r="AE148" s="51" t="s">
        <v>104</v>
      </c>
      <c r="AF148" s="51">
        <v>5.0</v>
      </c>
      <c r="AG148" s="51">
        <v>0.0</v>
      </c>
      <c r="AH148" s="51" t="s">
        <v>103</v>
      </c>
      <c r="AI148" s="81"/>
      <c r="AJ148" s="80">
        <f t="shared" si="1"/>
        <v>59</v>
      </c>
      <c r="AK148" s="80">
        <f t="shared" si="2"/>
        <v>34</v>
      </c>
    </row>
    <row r="149">
      <c r="A149" s="79">
        <v>45004.56183849537</v>
      </c>
      <c r="B149" s="51" t="s">
        <v>102</v>
      </c>
      <c r="C149" s="51">
        <v>30.0</v>
      </c>
      <c r="D149" s="51">
        <v>5050.0</v>
      </c>
      <c r="E149" s="51" t="s">
        <v>106</v>
      </c>
      <c r="F149" s="51">
        <v>1.0</v>
      </c>
      <c r="G149" s="51">
        <v>1.0</v>
      </c>
      <c r="R149" s="51" t="s">
        <v>104</v>
      </c>
      <c r="S149" s="51">
        <v>1.0</v>
      </c>
      <c r="T149" s="51">
        <v>1.0</v>
      </c>
      <c r="U149" s="51">
        <v>1.0</v>
      </c>
      <c r="V149" s="51">
        <v>1.0</v>
      </c>
      <c r="AA149" s="51">
        <v>2.0</v>
      </c>
      <c r="AB149" s="51">
        <v>2.0</v>
      </c>
      <c r="AE149" s="51" t="s">
        <v>104</v>
      </c>
      <c r="AF149" s="51">
        <v>4.0</v>
      </c>
      <c r="AG149" s="51">
        <v>0.0</v>
      </c>
      <c r="AH149" s="51" t="s">
        <v>103</v>
      </c>
      <c r="AI149" s="81"/>
      <c r="AJ149" s="80">
        <f t="shared" si="1"/>
        <v>45</v>
      </c>
      <c r="AK149" s="80">
        <f t="shared" si="2"/>
        <v>20</v>
      </c>
    </row>
    <row r="150">
      <c r="A150" s="79">
        <v>45004.56450871528</v>
      </c>
      <c r="B150" s="51" t="s">
        <v>102</v>
      </c>
      <c r="C150" s="51">
        <v>37.0</v>
      </c>
      <c r="D150" s="51">
        <v>5050.0</v>
      </c>
      <c r="E150" s="51" t="s">
        <v>106</v>
      </c>
      <c r="F150" s="51">
        <v>1.0</v>
      </c>
      <c r="G150" s="51">
        <v>1.0</v>
      </c>
      <c r="R150" s="51" t="s">
        <v>104</v>
      </c>
      <c r="S150" s="51">
        <v>1.0</v>
      </c>
      <c r="T150" s="51">
        <v>1.0</v>
      </c>
      <c r="U150" s="51">
        <v>2.0</v>
      </c>
      <c r="V150" s="51">
        <v>2.0</v>
      </c>
      <c r="Y150" s="51">
        <v>1.0</v>
      </c>
      <c r="Z150" s="51">
        <v>1.0</v>
      </c>
      <c r="AE150" s="51" t="s">
        <v>104</v>
      </c>
      <c r="AF150" s="51">
        <v>4.0</v>
      </c>
      <c r="AG150" s="51">
        <v>0.0</v>
      </c>
      <c r="AH150" s="51" t="s">
        <v>103</v>
      </c>
      <c r="AI150" s="81"/>
      <c r="AJ150" s="80">
        <f t="shared" si="1"/>
        <v>47</v>
      </c>
      <c r="AK150" s="80">
        <f t="shared" si="2"/>
        <v>22</v>
      </c>
    </row>
    <row r="151">
      <c r="A151" s="79">
        <v>45004.56700407407</v>
      </c>
      <c r="B151" s="51" t="s">
        <v>102</v>
      </c>
      <c r="C151" s="51">
        <v>44.0</v>
      </c>
      <c r="D151" s="51">
        <v>5050.0</v>
      </c>
      <c r="E151" s="51" t="s">
        <v>106</v>
      </c>
      <c r="F151" s="51">
        <v>1.0</v>
      </c>
      <c r="G151" s="51">
        <v>1.0</v>
      </c>
      <c r="R151" s="51" t="s">
        <v>104</v>
      </c>
      <c r="S151" s="51">
        <v>2.0</v>
      </c>
      <c r="T151" s="51">
        <v>2.0</v>
      </c>
      <c r="Y151" s="51">
        <v>2.0</v>
      </c>
      <c r="Z151" s="51">
        <v>2.0</v>
      </c>
      <c r="AA151" s="51">
        <v>1.0</v>
      </c>
      <c r="AB151" s="51">
        <v>0.0</v>
      </c>
      <c r="AC151" s="51">
        <v>2.0</v>
      </c>
      <c r="AD151" s="51">
        <v>2.0</v>
      </c>
      <c r="AE151" s="51" t="s">
        <v>107</v>
      </c>
      <c r="AF151" s="51">
        <v>5.0</v>
      </c>
      <c r="AG151" s="51">
        <v>0.0</v>
      </c>
      <c r="AH151" s="51" t="s">
        <v>103</v>
      </c>
      <c r="AI151" s="81"/>
      <c r="AJ151" s="80">
        <f t="shared" si="1"/>
        <v>48</v>
      </c>
      <c r="AK151" s="80">
        <f t="shared" si="2"/>
        <v>30</v>
      </c>
    </row>
    <row r="152">
      <c r="A152" s="79">
        <v>45004.56833898148</v>
      </c>
      <c r="B152" s="51" t="s">
        <v>102</v>
      </c>
      <c r="C152" s="51">
        <v>52.0</v>
      </c>
      <c r="D152" s="51">
        <v>5050.0</v>
      </c>
      <c r="E152" s="51" t="s">
        <v>106</v>
      </c>
      <c r="F152" s="51">
        <v>1.0</v>
      </c>
      <c r="G152" s="51">
        <v>1.0</v>
      </c>
      <c r="R152" s="51" t="s">
        <v>103</v>
      </c>
      <c r="AE152" s="51" t="s">
        <v>103</v>
      </c>
      <c r="AF152" s="51">
        <v>1.0</v>
      </c>
      <c r="AG152" s="51">
        <v>0.0</v>
      </c>
      <c r="AH152" s="51" t="s">
        <v>106</v>
      </c>
      <c r="AI152" s="82" t="s">
        <v>204</v>
      </c>
      <c r="AJ152" s="80">
        <f t="shared" si="1"/>
        <v>9</v>
      </c>
      <c r="AK152" s="80">
        <f t="shared" si="2"/>
        <v>6</v>
      </c>
    </row>
    <row r="153">
      <c r="A153" s="79">
        <v>45004.574839479166</v>
      </c>
      <c r="B153" s="51" t="s">
        <v>102</v>
      </c>
      <c r="C153" s="51">
        <v>60.0</v>
      </c>
      <c r="D153" s="51">
        <v>5050.0</v>
      </c>
      <c r="E153" s="51" t="s">
        <v>106</v>
      </c>
      <c r="F153" s="51">
        <v>1.0</v>
      </c>
      <c r="G153" s="51">
        <v>1.0</v>
      </c>
      <c r="R153" s="51" t="s">
        <v>104</v>
      </c>
      <c r="S153" s="51">
        <v>2.0</v>
      </c>
      <c r="T153" s="51">
        <v>2.0</v>
      </c>
      <c r="Y153" s="51">
        <v>2.0</v>
      </c>
      <c r="Z153" s="51">
        <v>1.0</v>
      </c>
      <c r="AA153" s="51">
        <v>1.0</v>
      </c>
      <c r="AB153" s="51">
        <v>1.0</v>
      </c>
      <c r="AE153" s="51" t="s">
        <v>107</v>
      </c>
      <c r="AF153" s="51">
        <v>3.0</v>
      </c>
      <c r="AG153" s="51">
        <v>0.0</v>
      </c>
      <c r="AH153" s="51" t="s">
        <v>103</v>
      </c>
      <c r="AI153" s="82" t="s">
        <v>205</v>
      </c>
      <c r="AJ153" s="80">
        <f t="shared" si="1"/>
        <v>42</v>
      </c>
      <c r="AK153" s="80">
        <f t="shared" si="2"/>
        <v>24</v>
      </c>
    </row>
    <row r="154">
      <c r="A154" s="79">
        <v>45004.57784806713</v>
      </c>
      <c r="B154" s="51" t="s">
        <v>102</v>
      </c>
      <c r="C154" s="51">
        <v>66.0</v>
      </c>
      <c r="D154" s="51">
        <v>5050.0</v>
      </c>
      <c r="E154" s="51" t="s">
        <v>106</v>
      </c>
      <c r="F154" s="51">
        <v>1.0</v>
      </c>
      <c r="G154" s="51">
        <v>1.0</v>
      </c>
      <c r="R154" s="51" t="s">
        <v>104</v>
      </c>
      <c r="S154" s="51">
        <v>1.0</v>
      </c>
      <c r="T154" s="51">
        <v>1.0</v>
      </c>
      <c r="Y154" s="51">
        <v>5.0</v>
      </c>
      <c r="Z154" s="51">
        <v>2.0</v>
      </c>
      <c r="AE154" s="51" t="s">
        <v>108</v>
      </c>
      <c r="AF154" s="51">
        <v>3.0</v>
      </c>
      <c r="AG154" s="51">
        <v>0.0</v>
      </c>
      <c r="AH154" s="51" t="s">
        <v>103</v>
      </c>
      <c r="AI154" s="82" t="s">
        <v>206</v>
      </c>
      <c r="AJ154" s="80">
        <f t="shared" si="1"/>
        <v>42</v>
      </c>
      <c r="AK154" s="80">
        <f t="shared" si="2"/>
        <v>21</v>
      </c>
    </row>
    <row r="155">
      <c r="A155" s="79">
        <v>45004.58120377315</v>
      </c>
      <c r="B155" s="51" t="s">
        <v>102</v>
      </c>
      <c r="C155" s="51">
        <v>72.0</v>
      </c>
      <c r="D155" s="51">
        <v>5050.0</v>
      </c>
      <c r="E155" s="51" t="s">
        <v>106</v>
      </c>
      <c r="F155" s="51">
        <v>1.0</v>
      </c>
      <c r="G155" s="51">
        <v>1.0</v>
      </c>
      <c r="R155" s="51" t="s">
        <v>104</v>
      </c>
      <c r="S155" s="51">
        <v>2.0</v>
      </c>
      <c r="T155" s="51">
        <v>2.0</v>
      </c>
      <c r="Y155" s="51">
        <v>3.0</v>
      </c>
      <c r="Z155" s="51">
        <v>2.0</v>
      </c>
      <c r="AA155" s="51">
        <v>1.0</v>
      </c>
      <c r="AB155" s="51">
        <v>1.0</v>
      </c>
      <c r="AE155" s="51" t="s">
        <v>104</v>
      </c>
      <c r="AF155" s="51">
        <v>4.0</v>
      </c>
      <c r="AG155" s="51">
        <v>0.0</v>
      </c>
      <c r="AH155" s="51" t="s">
        <v>103</v>
      </c>
      <c r="AI155" s="81"/>
      <c r="AJ155" s="80">
        <f t="shared" si="1"/>
        <v>54</v>
      </c>
      <c r="AK155" s="80">
        <f t="shared" si="2"/>
        <v>29</v>
      </c>
    </row>
    <row r="156">
      <c r="A156" s="79">
        <v>45004.58310945602</v>
      </c>
      <c r="B156" s="51" t="s">
        <v>102</v>
      </c>
      <c r="C156" s="51">
        <v>80.0</v>
      </c>
      <c r="D156" s="51">
        <v>5050.0</v>
      </c>
      <c r="E156" s="51" t="s">
        <v>106</v>
      </c>
      <c r="F156" s="51">
        <v>1.0</v>
      </c>
      <c r="G156" s="51">
        <v>1.0</v>
      </c>
      <c r="R156" s="51" t="s">
        <v>104</v>
      </c>
      <c r="S156" s="51">
        <v>2.0</v>
      </c>
      <c r="T156" s="51">
        <v>2.0</v>
      </c>
      <c r="Y156" s="51">
        <v>1.0</v>
      </c>
      <c r="Z156" s="51">
        <v>1.0</v>
      </c>
      <c r="AE156" s="51" t="s">
        <v>104</v>
      </c>
      <c r="AF156" s="51">
        <v>3.0</v>
      </c>
      <c r="AG156" s="51">
        <v>0.0</v>
      </c>
      <c r="AH156" s="51" t="s">
        <v>103</v>
      </c>
      <c r="AI156" s="82" t="s">
        <v>207</v>
      </c>
      <c r="AJ156" s="80">
        <f t="shared" si="1"/>
        <v>46</v>
      </c>
      <c r="AK156" s="80">
        <f t="shared" si="2"/>
        <v>21</v>
      </c>
    </row>
    <row r="157">
      <c r="A157" s="79">
        <v>45004.585381296296</v>
      </c>
      <c r="B157" s="51" t="s">
        <v>102</v>
      </c>
      <c r="C157" s="51" t="s">
        <v>112</v>
      </c>
      <c r="D157" s="51">
        <v>5050.0</v>
      </c>
      <c r="E157" s="51" t="s">
        <v>106</v>
      </c>
      <c r="F157" s="51">
        <v>1.0</v>
      </c>
      <c r="G157" s="51">
        <v>1.0</v>
      </c>
      <c r="R157" s="51" t="s">
        <v>103</v>
      </c>
      <c r="S157" s="51">
        <v>4.0</v>
      </c>
      <c r="T157" s="51">
        <v>4.0</v>
      </c>
      <c r="U157" s="51">
        <v>1.0</v>
      </c>
      <c r="V157" s="51">
        <v>1.0</v>
      </c>
      <c r="AE157" s="51" t="s">
        <v>104</v>
      </c>
      <c r="AF157" s="51">
        <v>4.0</v>
      </c>
      <c r="AG157" s="51">
        <v>0.0</v>
      </c>
      <c r="AH157" s="51" t="s">
        <v>103</v>
      </c>
      <c r="AI157" s="81"/>
      <c r="AJ157" s="80">
        <f t="shared" si="1"/>
        <v>42</v>
      </c>
      <c r="AK157" s="80">
        <f t="shared" si="2"/>
        <v>29</v>
      </c>
    </row>
    <row r="158">
      <c r="A158" s="79">
        <v>45004.58674135417</v>
      </c>
      <c r="B158" s="51" t="s">
        <v>102</v>
      </c>
      <c r="C158" s="51" t="s">
        <v>141</v>
      </c>
      <c r="D158" s="51">
        <v>5050.0</v>
      </c>
      <c r="E158" s="51" t="s">
        <v>106</v>
      </c>
      <c r="F158" s="51">
        <v>1.0</v>
      </c>
      <c r="G158" s="51">
        <v>1.0</v>
      </c>
      <c r="R158" s="51" t="s">
        <v>103</v>
      </c>
      <c r="S158" s="51">
        <v>3.0</v>
      </c>
      <c r="T158" s="51">
        <v>3.0</v>
      </c>
      <c r="AE158" s="51" t="s">
        <v>104</v>
      </c>
      <c r="AF158" s="51">
        <v>4.0</v>
      </c>
      <c r="AG158" s="51">
        <v>0.0</v>
      </c>
      <c r="AH158" s="51" t="s">
        <v>103</v>
      </c>
      <c r="AI158" s="81"/>
      <c r="AJ158" s="80">
        <f t="shared" si="1"/>
        <v>34</v>
      </c>
      <c r="AK158" s="80">
        <f t="shared" si="2"/>
        <v>21</v>
      </c>
    </row>
    <row r="159">
      <c r="A159" s="79">
        <v>45004.58853688657</v>
      </c>
      <c r="B159" s="51" t="s">
        <v>102</v>
      </c>
      <c r="C159" s="51" t="s">
        <v>127</v>
      </c>
      <c r="D159" s="51">
        <v>5050.0</v>
      </c>
      <c r="E159" s="51" t="s">
        <v>106</v>
      </c>
      <c r="F159" s="51">
        <v>1.0</v>
      </c>
      <c r="G159" s="51">
        <v>1.0</v>
      </c>
      <c r="R159" s="51" t="s">
        <v>103</v>
      </c>
      <c r="S159" s="51">
        <v>4.0</v>
      </c>
      <c r="T159" s="51">
        <v>4.0</v>
      </c>
      <c r="AE159" s="51" t="s">
        <v>104</v>
      </c>
      <c r="AF159" s="51">
        <v>4.0</v>
      </c>
      <c r="AG159" s="51">
        <v>0.0</v>
      </c>
      <c r="AH159" s="51" t="s">
        <v>103</v>
      </c>
      <c r="AI159" s="81"/>
      <c r="AJ159" s="80">
        <f t="shared" si="1"/>
        <v>39</v>
      </c>
      <c r="AK159" s="80">
        <f t="shared" si="2"/>
        <v>26</v>
      </c>
    </row>
    <row r="160">
      <c r="A160" s="79">
        <v>45004.590061192124</v>
      </c>
      <c r="B160" s="51" t="s">
        <v>102</v>
      </c>
      <c r="C160" s="51" t="s">
        <v>116</v>
      </c>
      <c r="D160" s="51">
        <v>5050.0</v>
      </c>
      <c r="E160" s="51" t="s">
        <v>106</v>
      </c>
      <c r="F160" s="51">
        <v>1.0</v>
      </c>
      <c r="G160" s="51">
        <v>1.0</v>
      </c>
      <c r="R160" s="51" t="s">
        <v>103</v>
      </c>
      <c r="S160" s="51">
        <v>5.0</v>
      </c>
      <c r="T160" s="51">
        <v>4.0</v>
      </c>
      <c r="AE160" s="51" t="s">
        <v>104</v>
      </c>
      <c r="AF160" s="51">
        <v>4.0</v>
      </c>
      <c r="AG160" s="51">
        <v>0.0</v>
      </c>
      <c r="AH160" s="51" t="s">
        <v>103</v>
      </c>
      <c r="AI160" s="81"/>
      <c r="AJ160" s="80">
        <f t="shared" si="1"/>
        <v>39</v>
      </c>
      <c r="AK160" s="80">
        <f t="shared" si="2"/>
        <v>26</v>
      </c>
    </row>
    <row r="161">
      <c r="A161" s="79">
        <v>45004.59150435185</v>
      </c>
      <c r="B161" s="51" t="s">
        <v>102</v>
      </c>
      <c r="C161" s="51" t="s">
        <v>117</v>
      </c>
      <c r="D161" s="51">
        <v>5050.0</v>
      </c>
      <c r="E161" s="51" t="s">
        <v>106</v>
      </c>
      <c r="F161" s="51">
        <v>1.0</v>
      </c>
      <c r="G161" s="51">
        <v>1.0</v>
      </c>
      <c r="R161" s="51" t="s">
        <v>103</v>
      </c>
      <c r="S161" s="51">
        <v>4.0</v>
      </c>
      <c r="T161" s="51">
        <v>4.0</v>
      </c>
      <c r="AE161" s="51" t="s">
        <v>104</v>
      </c>
      <c r="AF161" s="51">
        <v>4.0</v>
      </c>
      <c r="AG161" s="51">
        <v>0.0</v>
      </c>
      <c r="AH161" s="51" t="s">
        <v>103</v>
      </c>
      <c r="AI161" s="81"/>
      <c r="AJ161" s="80">
        <f t="shared" si="1"/>
        <v>39</v>
      </c>
      <c r="AK161" s="80">
        <f t="shared" si="2"/>
        <v>26</v>
      </c>
    </row>
    <row r="162">
      <c r="A162" s="79">
        <v>45004.594216620375</v>
      </c>
      <c r="B162" s="51" t="s">
        <v>102</v>
      </c>
      <c r="C162" s="51" t="s">
        <v>137</v>
      </c>
      <c r="D162" s="51">
        <v>5050.0</v>
      </c>
      <c r="E162" s="51" t="s">
        <v>106</v>
      </c>
      <c r="F162" s="51">
        <v>1.0</v>
      </c>
      <c r="G162" s="51">
        <v>1.0</v>
      </c>
      <c r="R162" s="51" t="s">
        <v>103</v>
      </c>
      <c r="S162" s="51">
        <v>4.0</v>
      </c>
      <c r="T162" s="51">
        <v>4.0</v>
      </c>
      <c r="AE162" s="51" t="s">
        <v>103</v>
      </c>
      <c r="AF162" s="51">
        <v>4.0</v>
      </c>
      <c r="AG162" s="51">
        <v>0.0</v>
      </c>
      <c r="AH162" s="51" t="s">
        <v>106</v>
      </c>
      <c r="AI162" s="82" t="s">
        <v>208</v>
      </c>
      <c r="AJ162" s="80">
        <f t="shared" si="1"/>
        <v>29</v>
      </c>
      <c r="AK162" s="80">
        <f t="shared" si="2"/>
        <v>26</v>
      </c>
    </row>
    <row r="163">
      <c r="A163" s="79">
        <v>45004.596736782405</v>
      </c>
      <c r="B163" s="51" t="s">
        <v>102</v>
      </c>
      <c r="C163" s="51" t="s">
        <v>138</v>
      </c>
      <c r="D163" s="51">
        <v>5050.0</v>
      </c>
      <c r="E163" s="51" t="s">
        <v>106</v>
      </c>
      <c r="F163" s="51">
        <v>1.0</v>
      </c>
      <c r="G163" s="51">
        <v>1.0</v>
      </c>
      <c r="R163" s="51" t="s">
        <v>103</v>
      </c>
      <c r="S163" s="51">
        <v>4.0</v>
      </c>
      <c r="T163" s="51">
        <v>4.0</v>
      </c>
      <c r="AC163" s="51">
        <v>1.0</v>
      </c>
      <c r="AD163" s="51">
        <v>1.0</v>
      </c>
      <c r="AE163" s="51" t="s">
        <v>104</v>
      </c>
      <c r="AF163" s="51">
        <v>4.0</v>
      </c>
      <c r="AG163" s="51">
        <v>0.0</v>
      </c>
      <c r="AH163" s="51" t="s">
        <v>103</v>
      </c>
      <c r="AI163" s="81"/>
      <c r="AJ163" s="80">
        <f t="shared" si="1"/>
        <v>41</v>
      </c>
      <c r="AK163" s="80">
        <f t="shared" si="2"/>
        <v>28</v>
      </c>
    </row>
    <row r="164">
      <c r="A164" s="79">
        <v>45004.59911805556</v>
      </c>
      <c r="B164" s="51" t="s">
        <v>102</v>
      </c>
      <c r="C164" s="51" t="s">
        <v>209</v>
      </c>
      <c r="D164" s="51">
        <v>5050.0</v>
      </c>
      <c r="E164" s="51" t="s">
        <v>106</v>
      </c>
      <c r="F164" s="51">
        <v>1.0</v>
      </c>
      <c r="G164" s="51">
        <v>1.0</v>
      </c>
      <c r="R164" s="51" t="s">
        <v>103</v>
      </c>
      <c r="S164" s="51">
        <v>4.0</v>
      </c>
      <c r="T164" s="51">
        <v>4.0</v>
      </c>
      <c r="AC164" s="51">
        <v>1.0</v>
      </c>
      <c r="AD164" s="51">
        <v>1.0</v>
      </c>
      <c r="AE164" s="51" t="s">
        <v>107</v>
      </c>
      <c r="AF164" s="51">
        <v>3.0</v>
      </c>
      <c r="AG164" s="51">
        <v>0.0</v>
      </c>
      <c r="AH164" s="51" t="s">
        <v>103</v>
      </c>
      <c r="AI164" s="81"/>
      <c r="AJ164" s="80">
        <f t="shared" si="1"/>
        <v>34</v>
      </c>
      <c r="AK164" s="80">
        <f t="shared" si="2"/>
        <v>28</v>
      </c>
    </row>
    <row r="165">
      <c r="A165" s="79">
        <v>44996.43680939815</v>
      </c>
      <c r="B165" s="51" t="s">
        <v>102</v>
      </c>
      <c r="C165" s="51">
        <v>6.0</v>
      </c>
      <c r="D165" s="51">
        <v>5066.0</v>
      </c>
      <c r="E165" s="51" t="s">
        <v>103</v>
      </c>
      <c r="L165" s="51">
        <v>1.0</v>
      </c>
      <c r="M165" s="51">
        <v>1.0</v>
      </c>
      <c r="R165" s="51" t="s">
        <v>104</v>
      </c>
      <c r="S165" s="51">
        <v>3.0</v>
      </c>
      <c r="T165" s="51">
        <v>3.0</v>
      </c>
      <c r="Y165" s="51">
        <v>1.0</v>
      </c>
      <c r="Z165" s="51">
        <v>1.0</v>
      </c>
      <c r="AE165" s="51" t="s">
        <v>104</v>
      </c>
      <c r="AF165" s="51">
        <v>3.0</v>
      </c>
      <c r="AG165" s="51">
        <v>0.0</v>
      </c>
      <c r="AH165" s="51" t="s">
        <v>103</v>
      </c>
      <c r="AI165" s="81"/>
      <c r="AJ165" s="80">
        <f t="shared" si="1"/>
        <v>48</v>
      </c>
      <c r="AK165" s="80">
        <f t="shared" si="2"/>
        <v>26</v>
      </c>
    </row>
    <row r="166">
      <c r="A166" s="79">
        <v>44996.445984074075</v>
      </c>
      <c r="B166" s="51" t="s">
        <v>102</v>
      </c>
      <c r="C166" s="51">
        <v>13.0</v>
      </c>
      <c r="D166" s="51">
        <v>5066.0</v>
      </c>
      <c r="E166" s="51" t="s">
        <v>103</v>
      </c>
      <c r="L166" s="51">
        <v>1.0</v>
      </c>
      <c r="M166" s="51">
        <v>1.0</v>
      </c>
      <c r="R166" s="51" t="s">
        <v>104</v>
      </c>
      <c r="S166" s="51">
        <v>2.0</v>
      </c>
      <c r="T166" s="51">
        <v>1.0</v>
      </c>
      <c r="W166" s="51">
        <v>1.0</v>
      </c>
      <c r="X166" s="51">
        <v>1.0</v>
      </c>
      <c r="AE166" s="51" t="s">
        <v>107</v>
      </c>
      <c r="AF166" s="51">
        <v>2.0</v>
      </c>
      <c r="AG166" s="51">
        <v>0.0</v>
      </c>
      <c r="AH166" s="51" t="s">
        <v>103</v>
      </c>
      <c r="AI166" s="81"/>
      <c r="AJ166" s="80">
        <f t="shared" si="1"/>
        <v>28</v>
      </c>
      <c r="AK166" s="80">
        <f t="shared" si="2"/>
        <v>13</v>
      </c>
    </row>
    <row r="167">
      <c r="A167" s="79">
        <v>44996.44978622685</v>
      </c>
      <c r="B167" s="51" t="s">
        <v>102</v>
      </c>
      <c r="C167" s="51">
        <v>17.0</v>
      </c>
      <c r="D167" s="51">
        <v>5066.0</v>
      </c>
      <c r="E167" s="51" t="s">
        <v>103</v>
      </c>
      <c r="L167" s="51">
        <v>1.0</v>
      </c>
      <c r="M167" s="51">
        <v>1.0</v>
      </c>
      <c r="R167" s="51" t="s">
        <v>103</v>
      </c>
      <c r="W167" s="51">
        <v>1.0</v>
      </c>
      <c r="X167" s="51">
        <v>1.0</v>
      </c>
      <c r="AE167" s="51" t="s">
        <v>104</v>
      </c>
      <c r="AF167" s="51">
        <v>1.0</v>
      </c>
      <c r="AG167" s="51">
        <v>0.0</v>
      </c>
      <c r="AH167" s="51" t="s">
        <v>103</v>
      </c>
      <c r="AI167" s="82" t="s">
        <v>210</v>
      </c>
      <c r="AJ167" s="80">
        <f t="shared" si="1"/>
        <v>18</v>
      </c>
      <c r="AK167" s="80">
        <f t="shared" si="2"/>
        <v>8</v>
      </c>
    </row>
    <row r="168">
      <c r="A168" s="79">
        <v>44996.45322524305</v>
      </c>
      <c r="B168" s="51" t="s">
        <v>102</v>
      </c>
      <c r="C168" s="51">
        <v>24.0</v>
      </c>
      <c r="D168" s="51">
        <v>5066.0</v>
      </c>
      <c r="E168" s="51" t="s">
        <v>103</v>
      </c>
      <c r="L168" s="51">
        <v>1.0</v>
      </c>
      <c r="M168" s="51">
        <v>1.0</v>
      </c>
      <c r="R168" s="51" t="s">
        <v>104</v>
      </c>
      <c r="S168" s="51">
        <v>1.0</v>
      </c>
      <c r="T168" s="51">
        <v>1.0</v>
      </c>
      <c r="Y168" s="51">
        <v>2.0</v>
      </c>
      <c r="Z168" s="51">
        <v>2.0</v>
      </c>
      <c r="AE168" s="51" t="s">
        <v>104</v>
      </c>
      <c r="AF168" s="51">
        <v>3.0</v>
      </c>
      <c r="AG168" s="51">
        <v>0.0</v>
      </c>
      <c r="AH168" s="51" t="s">
        <v>103</v>
      </c>
      <c r="AI168" s="82" t="s">
        <v>211</v>
      </c>
      <c r="AJ168" s="80">
        <f t="shared" si="1"/>
        <v>43</v>
      </c>
      <c r="AK168" s="80">
        <f t="shared" si="2"/>
        <v>21</v>
      </c>
    </row>
    <row r="169">
      <c r="A169" s="79">
        <v>44996.46149990741</v>
      </c>
      <c r="B169" s="51" t="s">
        <v>102</v>
      </c>
      <c r="C169" s="51">
        <v>32.0</v>
      </c>
      <c r="D169" s="51">
        <v>5066.0</v>
      </c>
      <c r="E169" s="51" t="s">
        <v>103</v>
      </c>
      <c r="L169" s="51">
        <v>1.0</v>
      </c>
      <c r="M169" s="51">
        <v>1.0</v>
      </c>
      <c r="R169" s="51" t="s">
        <v>103</v>
      </c>
      <c r="S169" s="51">
        <v>2.0</v>
      </c>
      <c r="T169" s="51">
        <v>2.0</v>
      </c>
      <c r="U169" s="51">
        <v>1.0</v>
      </c>
      <c r="V169" s="51">
        <v>1.0</v>
      </c>
      <c r="Y169" s="51">
        <v>1.0</v>
      </c>
      <c r="Z169" s="51">
        <v>1.0</v>
      </c>
      <c r="AE169" s="51" t="s">
        <v>104</v>
      </c>
      <c r="AF169" s="51">
        <v>3.0</v>
      </c>
      <c r="AG169" s="51">
        <v>0.0</v>
      </c>
      <c r="AH169" s="51" t="s">
        <v>103</v>
      </c>
      <c r="AI169" s="81"/>
      <c r="AJ169" s="80">
        <f t="shared" si="1"/>
        <v>34</v>
      </c>
      <c r="AK169" s="80">
        <f t="shared" si="2"/>
        <v>24</v>
      </c>
    </row>
    <row r="170">
      <c r="A170" s="79">
        <v>44996.4647487037</v>
      </c>
      <c r="B170" s="51" t="s">
        <v>102</v>
      </c>
      <c r="C170" s="51">
        <v>36.0</v>
      </c>
      <c r="D170" s="51">
        <v>5066.0</v>
      </c>
      <c r="E170" s="51" t="s">
        <v>103</v>
      </c>
      <c r="L170" s="51">
        <v>1.0</v>
      </c>
      <c r="M170" s="51">
        <v>1.0</v>
      </c>
      <c r="R170" s="51" t="s">
        <v>103</v>
      </c>
      <c r="S170" s="51">
        <v>1.0</v>
      </c>
      <c r="T170" s="51">
        <v>0.0</v>
      </c>
      <c r="AE170" s="51" t="s">
        <v>104</v>
      </c>
      <c r="AF170" s="51">
        <v>1.0</v>
      </c>
      <c r="AG170" s="51">
        <v>0.0</v>
      </c>
      <c r="AH170" s="51" t="s">
        <v>103</v>
      </c>
      <c r="AI170" s="82" t="s">
        <v>212</v>
      </c>
      <c r="AJ170" s="80">
        <f t="shared" si="1"/>
        <v>16</v>
      </c>
      <c r="AK170" s="80">
        <f t="shared" si="2"/>
        <v>6</v>
      </c>
    </row>
    <row r="171">
      <c r="A171" s="79">
        <v>44996.46857333333</v>
      </c>
      <c r="B171" s="51" t="s">
        <v>102</v>
      </c>
      <c r="C171" s="51">
        <v>42.0</v>
      </c>
      <c r="D171" s="51">
        <v>5066.0</v>
      </c>
      <c r="E171" s="51" t="s">
        <v>103</v>
      </c>
      <c r="L171" s="51">
        <v>1.0</v>
      </c>
      <c r="M171" s="51">
        <v>1.0</v>
      </c>
      <c r="R171" s="51" t="s">
        <v>108</v>
      </c>
      <c r="S171" s="51">
        <v>1.0</v>
      </c>
      <c r="T171" s="51">
        <v>0.0</v>
      </c>
      <c r="W171" s="51">
        <v>1.0</v>
      </c>
      <c r="X171" s="51">
        <v>1.0</v>
      </c>
      <c r="AE171" s="51" t="s">
        <v>104</v>
      </c>
      <c r="AF171" s="51">
        <v>1.0</v>
      </c>
      <c r="AG171" s="51">
        <v>0.0</v>
      </c>
      <c r="AH171" s="51" t="s">
        <v>103</v>
      </c>
      <c r="AI171" s="82" t="s">
        <v>213</v>
      </c>
      <c r="AJ171" s="80">
        <f t="shared" si="1"/>
        <v>26</v>
      </c>
      <c r="AK171" s="80">
        <f t="shared" si="2"/>
        <v>8</v>
      </c>
    </row>
    <row r="172">
      <c r="A172" s="79">
        <v>44996.4731553125</v>
      </c>
      <c r="B172" s="51" t="s">
        <v>102</v>
      </c>
      <c r="C172" s="51">
        <v>49.0</v>
      </c>
      <c r="D172" s="51">
        <v>5066.0</v>
      </c>
      <c r="E172" s="51" t="s">
        <v>103</v>
      </c>
      <c r="L172" s="51">
        <v>1.0</v>
      </c>
      <c r="M172" s="51">
        <v>1.0</v>
      </c>
      <c r="R172" s="51" t="s">
        <v>104</v>
      </c>
      <c r="Y172" s="51">
        <v>2.0</v>
      </c>
      <c r="Z172" s="51">
        <v>2.0</v>
      </c>
      <c r="AE172" s="51" t="s">
        <v>104</v>
      </c>
      <c r="AF172" s="51">
        <v>2.0</v>
      </c>
      <c r="AG172" s="51">
        <v>0.0</v>
      </c>
      <c r="AH172" s="51" t="s">
        <v>103</v>
      </c>
      <c r="AI172" s="81"/>
      <c r="AJ172" s="80">
        <f t="shared" si="1"/>
        <v>38</v>
      </c>
      <c r="AK172" s="80">
        <f t="shared" si="2"/>
        <v>16</v>
      </c>
    </row>
    <row r="173">
      <c r="A173" s="79">
        <v>44996.47655678241</v>
      </c>
      <c r="B173" s="51" t="s">
        <v>102</v>
      </c>
      <c r="C173" s="51">
        <v>55.0</v>
      </c>
      <c r="D173" s="51">
        <v>5066.0</v>
      </c>
      <c r="E173" s="51" t="s">
        <v>103</v>
      </c>
      <c r="L173" s="51">
        <v>1.0</v>
      </c>
      <c r="M173" s="51">
        <v>1.0</v>
      </c>
      <c r="R173" s="51" t="s">
        <v>104</v>
      </c>
      <c r="S173" s="51">
        <v>2.0</v>
      </c>
      <c r="T173" s="51">
        <v>0.0</v>
      </c>
      <c r="W173" s="51">
        <v>1.0</v>
      </c>
      <c r="X173" s="51">
        <v>1.0</v>
      </c>
      <c r="Y173" s="51">
        <v>1.0</v>
      </c>
      <c r="Z173" s="51">
        <v>1.0</v>
      </c>
      <c r="AE173" s="51" t="s">
        <v>103</v>
      </c>
      <c r="AF173" s="51">
        <v>1.0</v>
      </c>
      <c r="AG173" s="51">
        <v>0.0</v>
      </c>
      <c r="AH173" s="51" t="s">
        <v>103</v>
      </c>
      <c r="AI173" s="82" t="s">
        <v>214</v>
      </c>
      <c r="AJ173" s="80">
        <f t="shared" si="1"/>
        <v>25</v>
      </c>
      <c r="AK173" s="80">
        <f t="shared" si="2"/>
        <v>13</v>
      </c>
    </row>
    <row r="174">
      <c r="A174" s="79">
        <v>44996.479215590276</v>
      </c>
      <c r="B174" s="51" t="s">
        <v>102</v>
      </c>
      <c r="C174" s="51">
        <v>60.0</v>
      </c>
      <c r="D174" s="51">
        <v>5066.0</v>
      </c>
      <c r="E174" s="51" t="s">
        <v>103</v>
      </c>
      <c r="L174" s="51">
        <v>1.0</v>
      </c>
      <c r="M174" s="51">
        <v>1.0</v>
      </c>
      <c r="R174" s="51" t="s">
        <v>104</v>
      </c>
      <c r="W174" s="51">
        <v>1.0</v>
      </c>
      <c r="X174" s="51">
        <v>1.0</v>
      </c>
      <c r="Y174" s="51">
        <v>3.0</v>
      </c>
      <c r="Z174" s="51">
        <v>2.0</v>
      </c>
      <c r="AE174" s="51" t="s">
        <v>104</v>
      </c>
      <c r="AF174" s="51">
        <v>3.0</v>
      </c>
      <c r="AG174" s="51">
        <v>0.0</v>
      </c>
      <c r="AH174" s="51" t="s">
        <v>103</v>
      </c>
      <c r="AI174" s="81"/>
      <c r="AJ174" s="80">
        <f t="shared" si="1"/>
        <v>40</v>
      </c>
      <c r="AK174" s="80">
        <f t="shared" si="2"/>
        <v>18</v>
      </c>
    </row>
    <row r="175">
      <c r="A175" s="79">
        <v>44996.481853136575</v>
      </c>
      <c r="B175" s="51" t="s">
        <v>102</v>
      </c>
      <c r="C175" s="51">
        <v>70.0</v>
      </c>
      <c r="D175" s="51">
        <v>5066.0</v>
      </c>
      <c r="E175" s="51" t="s">
        <v>103</v>
      </c>
      <c r="L175" s="51">
        <v>1.0</v>
      </c>
      <c r="M175" s="51">
        <v>1.0</v>
      </c>
      <c r="R175" s="51" t="s">
        <v>104</v>
      </c>
      <c r="S175" s="51">
        <v>1.0</v>
      </c>
      <c r="T175" s="51">
        <v>1.0</v>
      </c>
      <c r="U175" s="51">
        <v>2.0</v>
      </c>
      <c r="V175" s="51">
        <v>2.0</v>
      </c>
      <c r="AE175" s="51" t="s">
        <v>107</v>
      </c>
      <c r="AF175" s="51">
        <v>3.0</v>
      </c>
      <c r="AG175" s="51">
        <v>0.0</v>
      </c>
      <c r="AH175" s="51" t="s">
        <v>103</v>
      </c>
      <c r="AI175" s="81"/>
      <c r="AJ175" s="80">
        <f t="shared" si="1"/>
        <v>32</v>
      </c>
      <c r="AK175" s="80">
        <f t="shared" si="2"/>
        <v>17</v>
      </c>
    </row>
    <row r="176">
      <c r="A176" s="79">
        <v>44996.55875976852</v>
      </c>
      <c r="B176" s="51" t="s">
        <v>102</v>
      </c>
      <c r="C176" s="51">
        <v>76.0</v>
      </c>
      <c r="D176" s="51">
        <v>5066.0</v>
      </c>
      <c r="E176" s="51" t="s">
        <v>106</v>
      </c>
      <c r="L176" s="51">
        <v>1.0</v>
      </c>
      <c r="M176" s="51">
        <v>1.0</v>
      </c>
      <c r="R176" s="51" t="s">
        <v>103</v>
      </c>
      <c r="Y176" s="51">
        <v>1.0</v>
      </c>
      <c r="Z176" s="51">
        <v>1.0</v>
      </c>
      <c r="AE176" s="51" t="s">
        <v>103</v>
      </c>
      <c r="AF176" s="51">
        <v>2.0</v>
      </c>
      <c r="AG176" s="51">
        <v>0.0</v>
      </c>
      <c r="AH176" s="51" t="s">
        <v>103</v>
      </c>
      <c r="AI176" s="81"/>
      <c r="AJ176" s="80">
        <f t="shared" si="1"/>
        <v>14</v>
      </c>
      <c r="AK176" s="80">
        <f t="shared" si="2"/>
        <v>11</v>
      </c>
    </row>
    <row r="177">
      <c r="A177" s="79">
        <v>44996.56363700231</v>
      </c>
      <c r="B177" s="51" t="s">
        <v>102</v>
      </c>
      <c r="C177" s="51" t="s">
        <v>124</v>
      </c>
      <c r="D177" s="51">
        <v>5066.0</v>
      </c>
      <c r="E177" s="51" t="s">
        <v>106</v>
      </c>
      <c r="L177" s="51">
        <v>1.0</v>
      </c>
      <c r="M177" s="51">
        <v>1.0</v>
      </c>
      <c r="R177" s="51" t="s">
        <v>103</v>
      </c>
      <c r="S177" s="51">
        <v>1.0</v>
      </c>
      <c r="T177" s="51">
        <v>0.0</v>
      </c>
      <c r="W177" s="51">
        <v>1.0</v>
      </c>
      <c r="X177" s="51">
        <v>1.0</v>
      </c>
      <c r="Y177" s="51">
        <v>1.0</v>
      </c>
      <c r="Z177" s="51">
        <v>1.0</v>
      </c>
      <c r="AE177" s="51" t="s">
        <v>104</v>
      </c>
      <c r="AF177" s="51">
        <v>3.0</v>
      </c>
      <c r="AG177" s="51">
        <v>0.0</v>
      </c>
      <c r="AH177" s="51" t="s">
        <v>103</v>
      </c>
      <c r="AI177" s="81"/>
      <c r="AJ177" s="80">
        <f t="shared" si="1"/>
        <v>26</v>
      </c>
      <c r="AK177" s="80">
        <f t="shared" si="2"/>
        <v>13</v>
      </c>
    </row>
    <row r="178">
      <c r="A178" s="79">
        <v>44996.56980190972</v>
      </c>
      <c r="B178" s="51" t="s">
        <v>102</v>
      </c>
      <c r="C178" s="51" t="s">
        <v>126</v>
      </c>
      <c r="D178" s="51">
        <v>5066.0</v>
      </c>
      <c r="E178" s="51" t="s">
        <v>106</v>
      </c>
      <c r="L178" s="51">
        <v>1.0</v>
      </c>
      <c r="M178" s="51">
        <v>0.0</v>
      </c>
      <c r="P178" s="51">
        <v>1.0</v>
      </c>
      <c r="Q178" s="51">
        <v>1.0</v>
      </c>
      <c r="R178" s="51" t="s">
        <v>103</v>
      </c>
      <c r="S178" s="51">
        <v>1.0</v>
      </c>
      <c r="T178" s="51">
        <v>0.0</v>
      </c>
      <c r="AE178" s="51" t="s">
        <v>104</v>
      </c>
      <c r="AF178" s="51">
        <v>1.0</v>
      </c>
      <c r="AG178" s="51">
        <v>0.0</v>
      </c>
      <c r="AH178" s="51" t="s">
        <v>103</v>
      </c>
      <c r="AI178" s="82" t="s">
        <v>215</v>
      </c>
      <c r="AJ178" s="80">
        <f t="shared" si="1"/>
        <v>16</v>
      </c>
      <c r="AK178" s="80">
        <f t="shared" si="2"/>
        <v>3</v>
      </c>
    </row>
    <row r="179">
      <c r="A179" s="79">
        <v>45012.91830457176</v>
      </c>
      <c r="B179" s="51" t="s">
        <v>192</v>
      </c>
      <c r="C179" s="51">
        <v>41.0</v>
      </c>
      <c r="D179" s="51">
        <v>5067.0</v>
      </c>
      <c r="E179" s="51" t="s">
        <v>106</v>
      </c>
      <c r="H179" s="51">
        <v>1.0</v>
      </c>
      <c r="I179" s="51">
        <v>0.0</v>
      </c>
      <c r="R179" s="51" t="s">
        <v>103</v>
      </c>
      <c r="S179" s="51">
        <v>2.0</v>
      </c>
      <c r="T179" s="51">
        <v>2.0</v>
      </c>
      <c r="Y179" s="51">
        <v>1.0</v>
      </c>
      <c r="Z179" s="51">
        <v>1.0</v>
      </c>
      <c r="AE179" s="51" t="s">
        <v>104</v>
      </c>
      <c r="AF179" s="51">
        <v>2.0</v>
      </c>
      <c r="AG179" s="51">
        <v>0.0</v>
      </c>
      <c r="AH179" s="51" t="s">
        <v>103</v>
      </c>
      <c r="AJ179" s="80">
        <f t="shared" si="1"/>
        <v>28</v>
      </c>
      <c r="AK179" s="80">
        <f t="shared" si="2"/>
        <v>15</v>
      </c>
    </row>
    <row r="180">
      <c r="A180" s="79">
        <v>45012.9212049537</v>
      </c>
      <c r="B180" s="51" t="s">
        <v>192</v>
      </c>
      <c r="C180" s="51">
        <v>48.0</v>
      </c>
      <c r="D180" s="51">
        <v>5067.0</v>
      </c>
      <c r="E180" s="51" t="s">
        <v>106</v>
      </c>
      <c r="F180" s="51">
        <v>1.0</v>
      </c>
      <c r="G180" s="51">
        <v>1.0</v>
      </c>
      <c r="R180" s="51" t="s">
        <v>103</v>
      </c>
      <c r="S180" s="51">
        <v>1.0</v>
      </c>
      <c r="T180" s="51">
        <v>1.0</v>
      </c>
      <c r="AE180" s="51" t="s">
        <v>107</v>
      </c>
      <c r="AF180" s="51">
        <v>2.0</v>
      </c>
      <c r="AG180" s="51">
        <v>0.0</v>
      </c>
      <c r="AH180" s="51" t="s">
        <v>103</v>
      </c>
      <c r="AI180" s="51" t="s">
        <v>216</v>
      </c>
      <c r="AJ180" s="80">
        <f t="shared" si="1"/>
        <v>17</v>
      </c>
      <c r="AK180" s="80">
        <f t="shared" si="2"/>
        <v>11</v>
      </c>
    </row>
    <row r="181">
      <c r="A181" s="79">
        <v>45012.9241625463</v>
      </c>
      <c r="B181" s="51" t="s">
        <v>192</v>
      </c>
      <c r="C181" s="51">
        <v>53.0</v>
      </c>
      <c r="D181" s="51">
        <v>5067.0</v>
      </c>
      <c r="E181" s="51" t="s">
        <v>103</v>
      </c>
      <c r="F181" s="51">
        <v>1.0</v>
      </c>
      <c r="G181" s="51">
        <v>0.0</v>
      </c>
      <c r="J181" s="51">
        <v>0.0</v>
      </c>
      <c r="K181" s="51">
        <v>1.0</v>
      </c>
      <c r="R181" s="51" t="s">
        <v>108</v>
      </c>
      <c r="S181" s="51">
        <v>2.0</v>
      </c>
      <c r="T181" s="51">
        <v>2.0</v>
      </c>
      <c r="Y181" s="51">
        <v>1.0</v>
      </c>
      <c r="Z181" s="51">
        <v>1.0</v>
      </c>
      <c r="AE181" s="51" t="s">
        <v>104</v>
      </c>
      <c r="AF181" s="51">
        <v>3.0</v>
      </c>
      <c r="AG181" s="51">
        <v>0.0</v>
      </c>
      <c r="AH181" s="51" t="s">
        <v>106</v>
      </c>
      <c r="AI181" s="51" t="s">
        <v>217</v>
      </c>
      <c r="AJ181" s="80">
        <f t="shared" si="1"/>
        <v>36</v>
      </c>
      <c r="AK181" s="80">
        <f t="shared" si="2"/>
        <v>18</v>
      </c>
    </row>
    <row r="182">
      <c r="A182" s="79">
        <v>45012.93723954861</v>
      </c>
      <c r="B182" s="51" t="s">
        <v>192</v>
      </c>
      <c r="C182" s="51">
        <v>64.0</v>
      </c>
      <c r="D182" s="51">
        <v>5067.0</v>
      </c>
      <c r="E182" s="51" t="s">
        <v>106</v>
      </c>
      <c r="F182" s="51">
        <v>1.0</v>
      </c>
      <c r="G182" s="51">
        <v>0.0</v>
      </c>
      <c r="R182" s="51" t="s">
        <v>103</v>
      </c>
      <c r="S182" s="51">
        <v>2.0</v>
      </c>
      <c r="T182" s="51">
        <v>2.0</v>
      </c>
      <c r="AE182" s="51" t="s">
        <v>104</v>
      </c>
      <c r="AF182" s="51">
        <v>3.0</v>
      </c>
      <c r="AG182" s="51">
        <v>0.0</v>
      </c>
      <c r="AH182" s="51" t="s">
        <v>103</v>
      </c>
      <c r="AI182" s="51" t="s">
        <v>218</v>
      </c>
      <c r="AJ182" s="80">
        <f t="shared" si="1"/>
        <v>23</v>
      </c>
      <c r="AK182" s="80">
        <f t="shared" si="2"/>
        <v>10</v>
      </c>
    </row>
    <row r="183">
      <c r="A183" s="79">
        <v>45012.94006991899</v>
      </c>
      <c r="B183" s="51" t="s">
        <v>192</v>
      </c>
      <c r="C183" s="51">
        <v>70.0</v>
      </c>
      <c r="D183" s="51">
        <v>5067.0</v>
      </c>
      <c r="E183" s="51" t="s">
        <v>106</v>
      </c>
      <c r="F183" s="51">
        <v>1.0</v>
      </c>
      <c r="G183" s="51">
        <v>0.0</v>
      </c>
      <c r="R183" s="51" t="s">
        <v>103</v>
      </c>
      <c r="AE183" s="51" t="s">
        <v>104</v>
      </c>
      <c r="AF183" s="51">
        <v>0.0</v>
      </c>
      <c r="AG183" s="51">
        <v>4.0</v>
      </c>
      <c r="AH183" s="51" t="s">
        <v>103</v>
      </c>
      <c r="AI183" s="51" t="s">
        <v>219</v>
      </c>
      <c r="AJ183" s="80">
        <f t="shared" si="1"/>
        <v>13</v>
      </c>
      <c r="AK183" s="80">
        <f t="shared" si="2"/>
        <v>0</v>
      </c>
    </row>
    <row r="184">
      <c r="A184" s="79">
        <v>45012.942527719904</v>
      </c>
      <c r="B184" s="51" t="s">
        <v>192</v>
      </c>
      <c r="C184" s="51">
        <v>75.0</v>
      </c>
      <c r="D184" s="51">
        <v>5067.0</v>
      </c>
      <c r="E184" s="51" t="s">
        <v>106</v>
      </c>
      <c r="F184" s="51">
        <v>1.0</v>
      </c>
      <c r="G184" s="51">
        <v>1.0</v>
      </c>
      <c r="R184" s="51" t="s">
        <v>103</v>
      </c>
      <c r="Y184" s="51">
        <v>1.0</v>
      </c>
      <c r="Z184" s="51">
        <v>1.0</v>
      </c>
      <c r="AE184" s="51" t="s">
        <v>103</v>
      </c>
      <c r="AF184" s="51">
        <v>2.0</v>
      </c>
      <c r="AG184" s="51">
        <v>3.0</v>
      </c>
      <c r="AH184" s="51" t="s">
        <v>103</v>
      </c>
      <c r="AJ184" s="80">
        <f t="shared" si="1"/>
        <v>14</v>
      </c>
      <c r="AK184" s="80">
        <f t="shared" si="2"/>
        <v>11</v>
      </c>
    </row>
    <row r="185">
      <c r="A185" s="79">
        <v>44996.628851319445</v>
      </c>
      <c r="B185" s="51" t="s">
        <v>181</v>
      </c>
      <c r="C185" s="51">
        <v>6.0</v>
      </c>
      <c r="D185" s="51">
        <v>5205.0</v>
      </c>
      <c r="E185" s="51" t="s">
        <v>103</v>
      </c>
      <c r="R185" s="51" t="s">
        <v>103</v>
      </c>
      <c r="AE185" s="51" t="s">
        <v>103</v>
      </c>
      <c r="AF185" s="51">
        <v>0.0</v>
      </c>
      <c r="AG185" s="51">
        <v>1.0</v>
      </c>
      <c r="AH185" s="51" t="s">
        <v>103</v>
      </c>
      <c r="AI185" s="82" t="s">
        <v>220</v>
      </c>
      <c r="AJ185" s="80">
        <f t="shared" si="1"/>
        <v>0</v>
      </c>
      <c r="AK185" s="80">
        <f t="shared" si="2"/>
        <v>0</v>
      </c>
    </row>
    <row r="186">
      <c r="A186" s="79">
        <v>44996.631217002316</v>
      </c>
      <c r="B186" s="51" t="s">
        <v>221</v>
      </c>
      <c r="C186" s="51">
        <v>11.0</v>
      </c>
      <c r="D186" s="51">
        <v>5205.0</v>
      </c>
      <c r="E186" s="51" t="s">
        <v>103</v>
      </c>
      <c r="R186" s="51" t="s">
        <v>103</v>
      </c>
      <c r="AE186" s="51" t="s">
        <v>104</v>
      </c>
      <c r="AF186" s="51">
        <v>0.0</v>
      </c>
      <c r="AG186" s="51">
        <v>0.0</v>
      </c>
      <c r="AH186" s="51" t="s">
        <v>103</v>
      </c>
      <c r="AI186" s="81"/>
      <c r="AJ186" s="80">
        <f t="shared" si="1"/>
        <v>10</v>
      </c>
      <c r="AK186" s="80">
        <f t="shared" si="2"/>
        <v>0</v>
      </c>
    </row>
    <row r="187">
      <c r="A187" s="79">
        <v>44996.63277644676</v>
      </c>
      <c r="B187" s="51" t="s">
        <v>181</v>
      </c>
      <c r="C187" s="51">
        <v>15.0</v>
      </c>
      <c r="D187" s="51">
        <v>5205.0</v>
      </c>
      <c r="E187" s="51" t="s">
        <v>103</v>
      </c>
      <c r="R187" s="51" t="s">
        <v>103</v>
      </c>
      <c r="AE187" s="51" t="s">
        <v>103</v>
      </c>
      <c r="AF187" s="51">
        <v>0.0</v>
      </c>
      <c r="AG187" s="51">
        <v>1.0</v>
      </c>
      <c r="AH187" s="51" t="s">
        <v>103</v>
      </c>
      <c r="AI187" s="81"/>
      <c r="AJ187" s="80">
        <f t="shared" si="1"/>
        <v>0</v>
      </c>
      <c r="AK187" s="80">
        <f t="shared" si="2"/>
        <v>0</v>
      </c>
    </row>
    <row r="188">
      <c r="A188" s="79">
        <v>44996.63424806713</v>
      </c>
      <c r="B188" s="51" t="s">
        <v>181</v>
      </c>
      <c r="C188" s="51">
        <v>20.0</v>
      </c>
      <c r="D188" s="51">
        <v>5205.0</v>
      </c>
      <c r="E188" s="51" t="s">
        <v>103</v>
      </c>
      <c r="R188" s="51" t="s">
        <v>103</v>
      </c>
      <c r="AE188" s="51" t="s">
        <v>103</v>
      </c>
      <c r="AF188" s="51">
        <v>0.0</v>
      </c>
      <c r="AG188" s="51">
        <v>0.0</v>
      </c>
      <c r="AH188" s="51" t="s">
        <v>103</v>
      </c>
      <c r="AI188" s="81"/>
      <c r="AJ188" s="80">
        <f t="shared" si="1"/>
        <v>0</v>
      </c>
      <c r="AK188" s="80">
        <f t="shared" si="2"/>
        <v>0</v>
      </c>
    </row>
    <row r="189">
      <c r="A189" s="79">
        <v>44996.636030625</v>
      </c>
      <c r="B189" s="51" t="s">
        <v>184</v>
      </c>
      <c r="C189" s="51">
        <v>37.0</v>
      </c>
      <c r="D189" s="51">
        <v>5205.0</v>
      </c>
      <c r="E189" s="51" t="s">
        <v>106</v>
      </c>
      <c r="R189" s="51" t="s">
        <v>103</v>
      </c>
      <c r="AE189" s="51" t="s">
        <v>103</v>
      </c>
      <c r="AF189" s="51">
        <v>0.0</v>
      </c>
      <c r="AG189" s="51">
        <v>0.0</v>
      </c>
      <c r="AH189" s="51" t="s">
        <v>103</v>
      </c>
      <c r="AI189" s="81"/>
      <c r="AJ189" s="80">
        <f t="shared" si="1"/>
        <v>3</v>
      </c>
      <c r="AK189" s="80">
        <f t="shared" si="2"/>
        <v>0</v>
      </c>
    </row>
    <row r="190">
      <c r="A190" s="79">
        <v>45014.61333543982</v>
      </c>
      <c r="B190" s="51" t="s">
        <v>192</v>
      </c>
      <c r="C190" s="51">
        <v>40.0</v>
      </c>
      <c r="D190" s="51">
        <v>5509.0</v>
      </c>
      <c r="E190" s="51" t="s">
        <v>106</v>
      </c>
      <c r="R190" s="51" t="s">
        <v>103</v>
      </c>
      <c r="Y190" s="51">
        <v>1.0</v>
      </c>
      <c r="Z190" s="51">
        <v>1.0</v>
      </c>
      <c r="AA190" s="51">
        <v>1.0</v>
      </c>
      <c r="AB190" s="51">
        <v>1.0</v>
      </c>
      <c r="AC190" s="51">
        <v>2.0</v>
      </c>
      <c r="AD190" s="51">
        <v>2.0</v>
      </c>
      <c r="AE190" s="51" t="s">
        <v>107</v>
      </c>
      <c r="AF190" s="51">
        <v>3.0</v>
      </c>
      <c r="AG190" s="51">
        <v>0.0</v>
      </c>
      <c r="AH190" s="51" t="s">
        <v>103</v>
      </c>
      <c r="AI190" s="51" t="s">
        <v>222</v>
      </c>
      <c r="AJ190" s="80">
        <f t="shared" si="1"/>
        <v>18</v>
      </c>
      <c r="AK190" s="80">
        <f t="shared" si="2"/>
        <v>12</v>
      </c>
    </row>
    <row r="191">
      <c r="A191" s="79">
        <v>45014.61894262732</v>
      </c>
      <c r="B191" s="51" t="s">
        <v>192</v>
      </c>
      <c r="C191" s="51">
        <v>51.0</v>
      </c>
      <c r="D191" s="51">
        <v>5509.0</v>
      </c>
      <c r="E191" s="51" t="s">
        <v>106</v>
      </c>
      <c r="R191" s="51" t="s">
        <v>103</v>
      </c>
      <c r="S191" s="51">
        <v>1.0</v>
      </c>
      <c r="T191" s="51">
        <v>0.0</v>
      </c>
      <c r="W191" s="51">
        <v>0.0</v>
      </c>
      <c r="X191" s="51">
        <v>1.0</v>
      </c>
      <c r="AE191" s="51" t="s">
        <v>103</v>
      </c>
      <c r="AF191" s="51">
        <v>2.0</v>
      </c>
      <c r="AG191" s="51">
        <v>0.0</v>
      </c>
      <c r="AH191" s="51" t="s">
        <v>103</v>
      </c>
      <c r="AI191" s="51" t="s">
        <v>223</v>
      </c>
      <c r="AJ191" s="80">
        <f t="shared" si="1"/>
        <v>5</v>
      </c>
      <c r="AK191" s="80">
        <f t="shared" si="2"/>
        <v>2</v>
      </c>
    </row>
    <row r="192">
      <c r="A192" s="79">
        <v>45014.62123777778</v>
      </c>
      <c r="B192" s="51" t="s">
        <v>192</v>
      </c>
      <c r="C192" s="51">
        <v>58.0</v>
      </c>
      <c r="D192" s="51">
        <v>5509.0</v>
      </c>
      <c r="E192" s="51" t="s">
        <v>103</v>
      </c>
      <c r="R192" s="51" t="s">
        <v>103</v>
      </c>
      <c r="S192" s="51">
        <v>2.0</v>
      </c>
      <c r="T192" s="51">
        <v>0.0</v>
      </c>
      <c r="W192" s="51">
        <v>0.0</v>
      </c>
      <c r="X192" s="51">
        <v>1.0</v>
      </c>
      <c r="Y192" s="51">
        <v>2.0</v>
      </c>
      <c r="Z192" s="51">
        <v>2.0</v>
      </c>
      <c r="AE192" s="51" t="s">
        <v>104</v>
      </c>
      <c r="AF192" s="51">
        <v>3.0</v>
      </c>
      <c r="AG192" s="51">
        <v>0.0</v>
      </c>
      <c r="AH192" s="51" t="s">
        <v>103</v>
      </c>
      <c r="AJ192" s="80">
        <f t="shared" si="1"/>
        <v>22</v>
      </c>
      <c r="AK192" s="80">
        <f t="shared" si="2"/>
        <v>12</v>
      </c>
    </row>
    <row r="193">
      <c r="A193" s="79">
        <v>45014.62323106482</v>
      </c>
      <c r="B193" s="51" t="s">
        <v>192</v>
      </c>
      <c r="C193" s="51">
        <v>62.0</v>
      </c>
      <c r="D193" s="51">
        <v>5509.0</v>
      </c>
      <c r="E193" s="51" t="s">
        <v>103</v>
      </c>
      <c r="R193" s="51" t="s">
        <v>103</v>
      </c>
      <c r="Y193" s="51">
        <v>1.0</v>
      </c>
      <c r="Z193" s="51">
        <v>0.0</v>
      </c>
      <c r="AE193" s="51" t="s">
        <v>103</v>
      </c>
      <c r="AF193" s="51">
        <v>1.0</v>
      </c>
      <c r="AG193" s="51">
        <v>3.0</v>
      </c>
      <c r="AH193" s="51" t="s">
        <v>103</v>
      </c>
      <c r="AI193" s="51" t="s">
        <v>224</v>
      </c>
      <c r="AJ193" s="80">
        <f t="shared" si="1"/>
        <v>0</v>
      </c>
      <c r="AK193" s="80">
        <f t="shared" si="2"/>
        <v>0</v>
      </c>
    </row>
    <row r="194">
      <c r="A194" s="79">
        <v>45014.62739902778</v>
      </c>
      <c r="B194" s="51" t="s">
        <v>192</v>
      </c>
      <c r="C194" s="51">
        <v>68.0</v>
      </c>
      <c r="D194" s="51">
        <v>5509.0</v>
      </c>
      <c r="E194" s="51" t="s">
        <v>103</v>
      </c>
      <c r="L194" s="51">
        <v>0.0</v>
      </c>
      <c r="M194" s="51">
        <v>0.0</v>
      </c>
      <c r="R194" s="51" t="s">
        <v>103</v>
      </c>
      <c r="Y194" s="51">
        <v>1.0</v>
      </c>
      <c r="Z194" s="51">
        <v>1.0</v>
      </c>
      <c r="AE194" s="51" t="s">
        <v>107</v>
      </c>
      <c r="AF194" s="51">
        <v>0.0</v>
      </c>
      <c r="AG194" s="51">
        <v>2.0</v>
      </c>
      <c r="AH194" s="51" t="s">
        <v>103</v>
      </c>
      <c r="AI194" s="51" t="s">
        <v>225</v>
      </c>
      <c r="AJ194" s="80">
        <f t="shared" si="1"/>
        <v>8</v>
      </c>
      <c r="AK194" s="80">
        <f t="shared" si="2"/>
        <v>5</v>
      </c>
    </row>
    <row r="195">
      <c r="A195" s="79">
        <v>45014.63077982639</v>
      </c>
      <c r="B195" s="51" t="s">
        <v>192</v>
      </c>
      <c r="C195" s="51">
        <v>77.0</v>
      </c>
      <c r="D195" s="51">
        <v>5509.0</v>
      </c>
      <c r="E195" s="51" t="s">
        <v>103</v>
      </c>
      <c r="R195" s="51" t="s">
        <v>103</v>
      </c>
      <c r="AE195" s="51" t="s">
        <v>108</v>
      </c>
      <c r="AF195" s="51">
        <v>1.0</v>
      </c>
      <c r="AG195" s="51">
        <v>1.0</v>
      </c>
      <c r="AH195" s="51" t="s">
        <v>103</v>
      </c>
      <c r="AI195" s="51" t="s">
        <v>226</v>
      </c>
      <c r="AJ195" s="80">
        <f t="shared" si="1"/>
        <v>6</v>
      </c>
      <c r="AK195" s="80">
        <f t="shared" si="2"/>
        <v>0</v>
      </c>
    </row>
    <row r="196">
      <c r="A196" s="79">
        <v>44996.64953623843</v>
      </c>
      <c r="B196" s="51" t="s">
        <v>181</v>
      </c>
      <c r="C196" s="51">
        <v>6.0</v>
      </c>
      <c r="D196" s="51">
        <v>5641.0</v>
      </c>
      <c r="E196" s="51" t="s">
        <v>106</v>
      </c>
      <c r="R196" s="51" t="s">
        <v>104</v>
      </c>
      <c r="AE196" s="51" t="s">
        <v>104</v>
      </c>
      <c r="AF196" s="51">
        <v>0.0</v>
      </c>
      <c r="AG196" s="51">
        <v>1.0</v>
      </c>
      <c r="AH196" s="51" t="s">
        <v>103</v>
      </c>
      <c r="AI196" s="81"/>
      <c r="AJ196" s="80">
        <f t="shared" si="1"/>
        <v>25</v>
      </c>
      <c r="AK196" s="80">
        <f t="shared" si="2"/>
        <v>0</v>
      </c>
    </row>
    <row r="197">
      <c r="A197" s="79">
        <v>44996.651117754634</v>
      </c>
      <c r="B197" s="51" t="s">
        <v>221</v>
      </c>
      <c r="C197" s="51">
        <v>11.0</v>
      </c>
      <c r="D197" s="51">
        <v>5641.0</v>
      </c>
      <c r="E197" s="51" t="s">
        <v>106</v>
      </c>
      <c r="R197" s="51" t="s">
        <v>104</v>
      </c>
      <c r="AE197" s="51" t="s">
        <v>104</v>
      </c>
      <c r="AF197" s="51">
        <v>0.0</v>
      </c>
      <c r="AG197" s="51">
        <v>1.0</v>
      </c>
      <c r="AH197" s="51" t="s">
        <v>103</v>
      </c>
      <c r="AI197" s="81"/>
      <c r="AJ197" s="80">
        <f t="shared" si="1"/>
        <v>25</v>
      </c>
      <c r="AK197" s="80">
        <f t="shared" si="2"/>
        <v>0</v>
      </c>
    </row>
    <row r="198">
      <c r="A198" s="79">
        <v>44996.65354619213</v>
      </c>
      <c r="B198" s="51" t="s">
        <v>181</v>
      </c>
      <c r="C198" s="51">
        <v>15.0</v>
      </c>
      <c r="D198" s="51">
        <v>5641.0</v>
      </c>
      <c r="E198" s="51" t="s">
        <v>106</v>
      </c>
      <c r="R198" s="51" t="s">
        <v>108</v>
      </c>
      <c r="W198" s="51">
        <v>1.0</v>
      </c>
      <c r="X198" s="51">
        <v>1.0</v>
      </c>
      <c r="AC198" s="51">
        <v>2.0</v>
      </c>
      <c r="AD198" s="51">
        <v>2.0</v>
      </c>
      <c r="AE198" s="51" t="s">
        <v>104</v>
      </c>
      <c r="AF198" s="51">
        <v>0.0</v>
      </c>
      <c r="AG198" s="51">
        <v>1.0</v>
      </c>
      <c r="AH198" s="51" t="s">
        <v>103</v>
      </c>
      <c r="AI198" s="81"/>
      <c r="AJ198" s="80">
        <f t="shared" si="1"/>
        <v>27</v>
      </c>
      <c r="AK198" s="80">
        <f t="shared" si="2"/>
        <v>6</v>
      </c>
    </row>
    <row r="199">
      <c r="A199" s="79">
        <v>44996.655192499995</v>
      </c>
      <c r="B199" s="51" t="s">
        <v>221</v>
      </c>
      <c r="C199" s="51">
        <v>21.0</v>
      </c>
      <c r="D199" s="51">
        <v>5641.0</v>
      </c>
      <c r="E199" s="51" t="s">
        <v>106</v>
      </c>
      <c r="R199" s="51" t="s">
        <v>108</v>
      </c>
      <c r="AE199" s="51" t="s">
        <v>103</v>
      </c>
      <c r="AF199" s="51">
        <v>0.0</v>
      </c>
      <c r="AG199" s="51">
        <v>0.0</v>
      </c>
      <c r="AH199" s="51" t="s">
        <v>103</v>
      </c>
      <c r="AI199" s="81"/>
      <c r="AJ199" s="80">
        <f t="shared" si="1"/>
        <v>11</v>
      </c>
      <c r="AK199" s="80">
        <f t="shared" si="2"/>
        <v>0</v>
      </c>
    </row>
    <row r="200">
      <c r="A200" s="79">
        <v>44996.658121064815</v>
      </c>
      <c r="B200" s="51" t="s">
        <v>181</v>
      </c>
      <c r="C200" s="51">
        <v>31.0</v>
      </c>
      <c r="D200" s="51">
        <v>5641.0</v>
      </c>
      <c r="E200" s="51" t="s">
        <v>106</v>
      </c>
      <c r="R200" s="51" t="s">
        <v>104</v>
      </c>
      <c r="AC200" s="51">
        <v>1.0</v>
      </c>
      <c r="AD200" s="51">
        <v>1.0</v>
      </c>
      <c r="AE200" s="51" t="s">
        <v>104</v>
      </c>
      <c r="AF200" s="51">
        <v>0.0</v>
      </c>
      <c r="AG200" s="51">
        <v>1.0</v>
      </c>
      <c r="AH200" s="51" t="s">
        <v>103</v>
      </c>
      <c r="AI200" s="82" t="s">
        <v>227</v>
      </c>
      <c r="AJ200" s="80">
        <f t="shared" si="1"/>
        <v>27</v>
      </c>
      <c r="AK200" s="80">
        <f t="shared" si="2"/>
        <v>2</v>
      </c>
    </row>
    <row r="201">
      <c r="A201" s="79">
        <v>44996.66059929398</v>
      </c>
      <c r="B201" s="51" t="s">
        <v>181</v>
      </c>
      <c r="C201" s="51">
        <v>36.0</v>
      </c>
      <c r="D201" s="51">
        <v>5641.0</v>
      </c>
      <c r="E201" s="51" t="s">
        <v>106</v>
      </c>
      <c r="R201" s="51" t="s">
        <v>108</v>
      </c>
      <c r="AA201" s="51">
        <v>1.0</v>
      </c>
      <c r="AB201" s="51">
        <v>1.0</v>
      </c>
      <c r="AC201" s="51">
        <v>2.0</v>
      </c>
      <c r="AD201" s="51">
        <v>2.0</v>
      </c>
      <c r="AE201" s="51" t="s">
        <v>104</v>
      </c>
      <c r="AF201" s="51">
        <v>0.0</v>
      </c>
      <c r="AG201" s="51">
        <v>1.0</v>
      </c>
      <c r="AH201" s="51" t="s">
        <v>103</v>
      </c>
      <c r="AI201" s="81"/>
      <c r="AJ201" s="80">
        <f t="shared" si="1"/>
        <v>28</v>
      </c>
      <c r="AK201" s="80">
        <f t="shared" si="2"/>
        <v>7</v>
      </c>
    </row>
    <row r="202">
      <c r="A202" s="79">
        <v>44996.66238886574</v>
      </c>
      <c r="B202" s="51" t="s">
        <v>181</v>
      </c>
      <c r="C202" s="51">
        <v>41.0</v>
      </c>
      <c r="D202" s="51">
        <v>5641.0</v>
      </c>
      <c r="E202" s="51" t="s">
        <v>106</v>
      </c>
      <c r="R202" s="51" t="s">
        <v>108</v>
      </c>
      <c r="AC202" s="51">
        <v>1.0</v>
      </c>
      <c r="AD202" s="51">
        <v>1.0</v>
      </c>
      <c r="AE202" s="51" t="s">
        <v>104</v>
      </c>
      <c r="AF202" s="51">
        <v>0.0</v>
      </c>
      <c r="AG202" s="51">
        <v>1.0</v>
      </c>
      <c r="AH202" s="51" t="s">
        <v>103</v>
      </c>
      <c r="AI202" s="81"/>
      <c r="AJ202" s="80">
        <f t="shared" si="1"/>
        <v>23</v>
      </c>
      <c r="AK202" s="80">
        <f t="shared" si="2"/>
        <v>2</v>
      </c>
    </row>
    <row r="203">
      <c r="A203" s="79">
        <v>44996.66519825232</v>
      </c>
      <c r="B203" s="51" t="s">
        <v>228</v>
      </c>
      <c r="C203" s="51">
        <v>46.0</v>
      </c>
      <c r="D203" s="51">
        <v>5641.0</v>
      </c>
      <c r="E203" s="51" t="s">
        <v>106</v>
      </c>
      <c r="R203" s="51" t="s">
        <v>103</v>
      </c>
      <c r="AA203" s="51">
        <v>1.0</v>
      </c>
      <c r="AB203" s="51">
        <v>1.0</v>
      </c>
      <c r="AC203" s="51">
        <v>3.0</v>
      </c>
      <c r="AD203" s="51">
        <v>3.0</v>
      </c>
      <c r="AE203" s="51" t="s">
        <v>104</v>
      </c>
      <c r="AF203" s="51">
        <v>0.0</v>
      </c>
      <c r="AG203" s="51">
        <v>1.0</v>
      </c>
      <c r="AH203" s="51" t="s">
        <v>103</v>
      </c>
      <c r="AI203" s="81"/>
      <c r="AJ203" s="80">
        <f t="shared" si="1"/>
        <v>22</v>
      </c>
      <c r="AK203" s="80">
        <f t="shared" si="2"/>
        <v>9</v>
      </c>
    </row>
    <row r="204">
      <c r="A204" s="79">
        <v>44996.66761347222</v>
      </c>
      <c r="B204" s="51" t="s">
        <v>184</v>
      </c>
      <c r="C204" s="51" t="s">
        <v>229</v>
      </c>
      <c r="D204" s="51">
        <v>5641.0</v>
      </c>
      <c r="E204" s="51" t="s">
        <v>106</v>
      </c>
      <c r="R204" s="51" t="s">
        <v>104</v>
      </c>
      <c r="AA204" s="51">
        <v>2.0</v>
      </c>
      <c r="AB204" s="51">
        <v>2.0</v>
      </c>
      <c r="AE204" s="51" t="s">
        <v>104</v>
      </c>
      <c r="AF204" s="51">
        <v>0.0</v>
      </c>
      <c r="AG204" s="51">
        <v>1.0</v>
      </c>
      <c r="AH204" s="51" t="s">
        <v>103</v>
      </c>
      <c r="AI204" s="81"/>
      <c r="AJ204" s="80">
        <f t="shared" si="1"/>
        <v>31</v>
      </c>
      <c r="AK204" s="80">
        <f t="shared" si="2"/>
        <v>6</v>
      </c>
    </row>
    <row r="205">
      <c r="A205" s="79">
        <v>44996.66949497686</v>
      </c>
      <c r="B205" s="51" t="s">
        <v>184</v>
      </c>
      <c r="C205" s="51" t="s">
        <v>230</v>
      </c>
      <c r="D205" s="51">
        <v>5641.0</v>
      </c>
      <c r="E205" s="51" t="s">
        <v>106</v>
      </c>
      <c r="R205" s="51" t="s">
        <v>104</v>
      </c>
      <c r="AA205" s="51">
        <v>2.0</v>
      </c>
      <c r="AB205" s="51">
        <v>0.0</v>
      </c>
      <c r="AC205" s="51">
        <v>2.0</v>
      </c>
      <c r="AD205" s="51">
        <v>2.0</v>
      </c>
      <c r="AE205" s="51" t="s">
        <v>107</v>
      </c>
      <c r="AF205" s="51">
        <v>0.0</v>
      </c>
      <c r="AG205" s="51">
        <v>1.0</v>
      </c>
      <c r="AH205" s="51" t="s">
        <v>103</v>
      </c>
      <c r="AI205" s="81"/>
      <c r="AJ205" s="80">
        <f t="shared" si="1"/>
        <v>22</v>
      </c>
      <c r="AK205" s="80">
        <f t="shared" si="2"/>
        <v>4</v>
      </c>
    </row>
    <row r="206">
      <c r="A206" s="79">
        <v>44996.67121994213</v>
      </c>
      <c r="B206" s="51" t="s">
        <v>184</v>
      </c>
      <c r="C206" s="51" t="s">
        <v>231</v>
      </c>
      <c r="D206" s="51">
        <v>5641.0</v>
      </c>
      <c r="E206" s="51" t="s">
        <v>106</v>
      </c>
      <c r="R206" s="51" t="s">
        <v>104</v>
      </c>
      <c r="AA206" s="51">
        <v>2.0</v>
      </c>
      <c r="AB206" s="51">
        <v>2.0</v>
      </c>
      <c r="AE206" s="51" t="s">
        <v>104</v>
      </c>
      <c r="AF206" s="51">
        <v>0.0</v>
      </c>
      <c r="AG206" s="51">
        <v>1.0</v>
      </c>
      <c r="AH206" s="51" t="s">
        <v>103</v>
      </c>
      <c r="AI206" s="81"/>
      <c r="AJ206" s="80">
        <f t="shared" si="1"/>
        <v>31</v>
      </c>
      <c r="AK206" s="80">
        <f t="shared" si="2"/>
        <v>6</v>
      </c>
    </row>
    <row r="207">
      <c r="A207" s="79">
        <v>44997.43968966435</v>
      </c>
      <c r="B207" s="51" t="s">
        <v>144</v>
      </c>
      <c r="C207" s="51">
        <v>1.0</v>
      </c>
      <c r="D207" s="51">
        <v>5674.0</v>
      </c>
      <c r="E207" s="51" t="s">
        <v>106</v>
      </c>
      <c r="R207" s="51" t="s">
        <v>103</v>
      </c>
      <c r="S207" s="51">
        <v>2.0</v>
      </c>
      <c r="T207" s="51">
        <v>2.0</v>
      </c>
      <c r="U207" s="51">
        <v>1.0</v>
      </c>
      <c r="V207" s="51">
        <v>0.0</v>
      </c>
      <c r="W207" s="51">
        <v>2.0</v>
      </c>
      <c r="X207" s="51">
        <v>2.0</v>
      </c>
      <c r="Y207" s="51">
        <v>0.0</v>
      </c>
      <c r="AE207" s="51" t="s">
        <v>103</v>
      </c>
      <c r="AF207" s="51">
        <v>3.0</v>
      </c>
      <c r="AG207" s="51">
        <v>0.0</v>
      </c>
      <c r="AH207" s="51" t="s">
        <v>103</v>
      </c>
      <c r="AI207" s="82" t="s">
        <v>232</v>
      </c>
      <c r="AJ207" s="80">
        <f t="shared" si="1"/>
        <v>17</v>
      </c>
      <c r="AK207" s="80">
        <f t="shared" si="2"/>
        <v>14</v>
      </c>
    </row>
    <row r="208">
      <c r="A208" s="79">
        <v>44997.44229450231</v>
      </c>
      <c r="B208" s="51" t="s">
        <v>144</v>
      </c>
      <c r="C208" s="51">
        <v>7.0</v>
      </c>
      <c r="D208" s="51">
        <v>5674.0</v>
      </c>
      <c r="E208" s="51" t="s">
        <v>106</v>
      </c>
      <c r="N208" s="51">
        <v>1.0</v>
      </c>
      <c r="O208" s="51">
        <v>1.0</v>
      </c>
      <c r="R208" s="51" t="s">
        <v>103</v>
      </c>
      <c r="U208" s="51">
        <v>1.0</v>
      </c>
      <c r="V208" s="51">
        <v>0.0</v>
      </c>
      <c r="W208" s="51">
        <v>1.0</v>
      </c>
      <c r="X208" s="51">
        <v>1.0</v>
      </c>
      <c r="Y208" s="51">
        <v>1.0</v>
      </c>
      <c r="Z208" s="51">
        <v>1.0</v>
      </c>
      <c r="AA208" s="51">
        <v>1.0</v>
      </c>
      <c r="AB208" s="51">
        <v>1.0</v>
      </c>
      <c r="AC208" s="51">
        <v>2.0</v>
      </c>
      <c r="AD208" s="51">
        <v>2.0</v>
      </c>
      <c r="AE208" s="51" t="s">
        <v>103</v>
      </c>
      <c r="AF208" s="51">
        <v>4.0</v>
      </c>
      <c r="AG208" s="51">
        <v>0.0</v>
      </c>
      <c r="AH208" s="51" t="s">
        <v>103</v>
      </c>
      <c r="AI208" s="82" t="s">
        <v>233</v>
      </c>
      <c r="AJ208" s="80">
        <f t="shared" si="1"/>
        <v>21</v>
      </c>
      <c r="AK208" s="80">
        <f t="shared" si="2"/>
        <v>18</v>
      </c>
    </row>
    <row r="209">
      <c r="A209" s="79">
        <v>44997.44503618055</v>
      </c>
      <c r="B209" s="51" t="s">
        <v>144</v>
      </c>
      <c r="C209" s="51">
        <v>15.0</v>
      </c>
      <c r="D209" s="51">
        <v>5674.0</v>
      </c>
      <c r="E209" s="51" t="s">
        <v>106</v>
      </c>
      <c r="L209" s="51">
        <v>0.0</v>
      </c>
      <c r="N209" s="51">
        <v>1.0</v>
      </c>
      <c r="O209" s="51">
        <v>1.0</v>
      </c>
      <c r="R209" s="51" t="s">
        <v>103</v>
      </c>
      <c r="Y209" s="51">
        <v>2.0</v>
      </c>
      <c r="Z209" s="51">
        <v>2.0</v>
      </c>
      <c r="AA209" s="51">
        <v>1.0</v>
      </c>
      <c r="AB209" s="51">
        <v>1.0</v>
      </c>
      <c r="AE209" s="51" t="s">
        <v>103</v>
      </c>
      <c r="AF209" s="51">
        <v>4.0</v>
      </c>
      <c r="AG209" s="51">
        <v>0.0</v>
      </c>
      <c r="AH209" s="51" t="s">
        <v>103</v>
      </c>
      <c r="AI209" s="81"/>
      <c r="AJ209" s="80">
        <f t="shared" si="1"/>
        <v>20</v>
      </c>
      <c r="AK209" s="80">
        <f t="shared" si="2"/>
        <v>17</v>
      </c>
    </row>
    <row r="210">
      <c r="A210" s="79">
        <v>44997.44822056713</v>
      </c>
      <c r="B210" s="51" t="s">
        <v>144</v>
      </c>
      <c r="C210" s="51">
        <v>20.0</v>
      </c>
      <c r="D210" s="51">
        <v>5674.0</v>
      </c>
      <c r="E210" s="51" t="s">
        <v>106</v>
      </c>
      <c r="N210" s="51">
        <v>1.0</v>
      </c>
      <c r="O210" s="51">
        <v>1.0</v>
      </c>
      <c r="R210" s="51" t="s">
        <v>103</v>
      </c>
      <c r="Y210" s="51">
        <v>2.0</v>
      </c>
      <c r="Z210" s="51">
        <v>2.0</v>
      </c>
      <c r="AA210" s="51">
        <v>1.0</v>
      </c>
      <c r="AB210" s="51">
        <v>1.0</v>
      </c>
      <c r="AE210" s="51" t="s">
        <v>103</v>
      </c>
      <c r="AF210" s="51">
        <v>3.0</v>
      </c>
      <c r="AG210" s="51">
        <v>0.0</v>
      </c>
      <c r="AH210" s="51" t="s">
        <v>103</v>
      </c>
      <c r="AI210" s="81"/>
      <c r="AJ210" s="80">
        <f t="shared" si="1"/>
        <v>20</v>
      </c>
      <c r="AK210" s="80">
        <f t="shared" si="2"/>
        <v>17</v>
      </c>
    </row>
    <row r="211">
      <c r="A211" s="79">
        <v>44997.45233075232</v>
      </c>
      <c r="B211" s="51" t="s">
        <v>144</v>
      </c>
      <c r="C211" s="51">
        <v>28.0</v>
      </c>
      <c r="D211" s="51">
        <v>5674.0</v>
      </c>
      <c r="E211" s="51" t="s">
        <v>106</v>
      </c>
      <c r="F211" s="51">
        <v>0.0</v>
      </c>
      <c r="G211" s="51">
        <v>0.0</v>
      </c>
      <c r="J211" s="51">
        <v>0.0</v>
      </c>
      <c r="K211" s="51">
        <v>0.0</v>
      </c>
      <c r="N211" s="51">
        <v>1.0</v>
      </c>
      <c r="O211" s="51">
        <v>0.0</v>
      </c>
      <c r="P211" s="51">
        <v>1.0</v>
      </c>
      <c r="Q211" s="51">
        <v>1.0</v>
      </c>
      <c r="R211" s="51" t="s">
        <v>103</v>
      </c>
      <c r="S211" s="51">
        <v>1.0</v>
      </c>
      <c r="T211" s="51">
        <v>0.0</v>
      </c>
      <c r="W211" s="51">
        <v>1.0</v>
      </c>
      <c r="X211" s="51">
        <v>1.0</v>
      </c>
      <c r="AE211" s="51" t="s">
        <v>103</v>
      </c>
      <c r="AF211" s="51">
        <v>2.0</v>
      </c>
      <c r="AG211" s="51">
        <v>0.0</v>
      </c>
      <c r="AH211" s="51" t="s">
        <v>103</v>
      </c>
      <c r="AI211" s="81"/>
      <c r="AJ211" s="80">
        <f t="shared" si="1"/>
        <v>8</v>
      </c>
      <c r="AK211" s="80">
        <f t="shared" si="2"/>
        <v>5</v>
      </c>
    </row>
    <row r="212">
      <c r="A212" s="79">
        <v>44997.45731217593</v>
      </c>
      <c r="B212" s="51" t="s">
        <v>144</v>
      </c>
      <c r="C212" s="51">
        <v>32.0</v>
      </c>
      <c r="D212" s="51">
        <v>5674.0</v>
      </c>
      <c r="E212" s="51" t="s">
        <v>106</v>
      </c>
      <c r="F212" s="51">
        <v>0.0</v>
      </c>
      <c r="G212" s="51">
        <v>0.0</v>
      </c>
      <c r="H212" s="51">
        <v>0.0</v>
      </c>
      <c r="I212" s="51">
        <v>0.0</v>
      </c>
      <c r="J212" s="51">
        <v>0.0</v>
      </c>
      <c r="K212" s="51">
        <v>0.0</v>
      </c>
      <c r="L212" s="51">
        <v>0.0</v>
      </c>
      <c r="M212" s="51">
        <v>0.0</v>
      </c>
      <c r="N212" s="51">
        <v>1.0</v>
      </c>
      <c r="O212" s="51">
        <v>1.0</v>
      </c>
      <c r="P212" s="51">
        <v>0.0</v>
      </c>
      <c r="Q212" s="51">
        <v>0.0</v>
      </c>
      <c r="R212" s="51" t="s">
        <v>103</v>
      </c>
      <c r="S212" s="51">
        <v>2.0</v>
      </c>
      <c r="T212" s="51">
        <v>2.0</v>
      </c>
      <c r="Y212" s="51">
        <v>2.0</v>
      </c>
      <c r="Z212" s="51">
        <v>1.0</v>
      </c>
      <c r="AC212" s="51">
        <v>2.0</v>
      </c>
      <c r="AD212" s="51">
        <v>2.0</v>
      </c>
      <c r="AE212" s="51" t="s">
        <v>104</v>
      </c>
      <c r="AF212" s="51">
        <v>4.0</v>
      </c>
      <c r="AG212" s="51">
        <v>0.0</v>
      </c>
      <c r="AH212" s="51" t="s">
        <v>103</v>
      </c>
      <c r="AI212" s="81"/>
      <c r="AJ212" s="80">
        <f t="shared" si="1"/>
        <v>36</v>
      </c>
      <c r="AK212" s="80">
        <f t="shared" si="2"/>
        <v>23</v>
      </c>
    </row>
    <row r="213">
      <c r="A213" s="79">
        <v>44997.45960094908</v>
      </c>
      <c r="B213" s="51" t="s">
        <v>144</v>
      </c>
      <c r="C213" s="51">
        <v>37.0</v>
      </c>
      <c r="D213" s="51">
        <v>5674.0</v>
      </c>
      <c r="E213" s="51" t="s">
        <v>106</v>
      </c>
      <c r="P213" s="51">
        <v>1.0</v>
      </c>
      <c r="Q213" s="51">
        <v>1.0</v>
      </c>
      <c r="R213" s="51" t="s">
        <v>103</v>
      </c>
      <c r="S213" s="51">
        <v>2.0</v>
      </c>
      <c r="T213" s="51">
        <v>2.0</v>
      </c>
      <c r="U213" s="51">
        <v>1.0</v>
      </c>
      <c r="V213" s="51">
        <v>0.0</v>
      </c>
      <c r="W213" s="51">
        <v>1.0</v>
      </c>
      <c r="X213" s="51">
        <v>1.0</v>
      </c>
      <c r="AE213" s="51" t="s">
        <v>107</v>
      </c>
      <c r="AF213" s="51">
        <v>3.0</v>
      </c>
      <c r="AG213" s="51">
        <v>0.0</v>
      </c>
      <c r="AH213" s="51" t="s">
        <v>103</v>
      </c>
      <c r="AI213" s="82" t="s">
        <v>234</v>
      </c>
      <c r="AJ213" s="80">
        <f t="shared" si="1"/>
        <v>21</v>
      </c>
      <c r="AK213" s="80">
        <f t="shared" si="2"/>
        <v>15</v>
      </c>
    </row>
    <row r="214">
      <c r="A214" s="79">
        <v>44997.46177724537</v>
      </c>
      <c r="B214" s="51" t="s">
        <v>144</v>
      </c>
      <c r="C214" s="51">
        <v>46.0</v>
      </c>
      <c r="D214" s="51">
        <v>5674.0</v>
      </c>
      <c r="E214" s="51" t="s">
        <v>106</v>
      </c>
      <c r="P214" s="51">
        <v>1.0</v>
      </c>
      <c r="Q214" s="51">
        <v>1.0</v>
      </c>
      <c r="R214" s="51" t="s">
        <v>103</v>
      </c>
      <c r="S214" s="51">
        <v>1.0</v>
      </c>
      <c r="T214" s="51">
        <v>1.0</v>
      </c>
      <c r="W214" s="51">
        <v>1.0</v>
      </c>
      <c r="X214" s="51">
        <v>1.0</v>
      </c>
      <c r="AC214" s="51">
        <v>1.0</v>
      </c>
      <c r="AD214" s="51">
        <v>1.0</v>
      </c>
      <c r="AE214" s="51" t="s">
        <v>104</v>
      </c>
      <c r="AF214" s="51">
        <v>5.0</v>
      </c>
      <c r="AG214" s="51">
        <v>0.0</v>
      </c>
      <c r="AH214" s="51" t="s">
        <v>103</v>
      </c>
      <c r="AI214" s="81"/>
      <c r="AJ214" s="80">
        <f t="shared" si="1"/>
        <v>25</v>
      </c>
      <c r="AK214" s="80">
        <f t="shared" si="2"/>
        <v>12</v>
      </c>
    </row>
    <row r="215">
      <c r="A215" s="79">
        <v>44997.463907638885</v>
      </c>
      <c r="B215" s="51" t="s">
        <v>144</v>
      </c>
      <c r="C215" s="51">
        <v>53.0</v>
      </c>
      <c r="D215" s="51">
        <v>5674.0</v>
      </c>
      <c r="E215" s="51" t="s">
        <v>103</v>
      </c>
      <c r="F215" s="51">
        <v>0.0</v>
      </c>
      <c r="G215" s="51">
        <v>0.0</v>
      </c>
      <c r="P215" s="51">
        <v>1.0</v>
      </c>
      <c r="Q215" s="51">
        <v>0.0</v>
      </c>
      <c r="R215" s="51" t="s">
        <v>103</v>
      </c>
      <c r="S215" s="51">
        <v>1.0</v>
      </c>
      <c r="T215" s="51">
        <v>0.0</v>
      </c>
      <c r="U215" s="51">
        <v>1.0</v>
      </c>
      <c r="V215" s="51">
        <v>1.0</v>
      </c>
      <c r="W215" s="51">
        <v>1.0</v>
      </c>
      <c r="X215" s="51">
        <v>1.0</v>
      </c>
      <c r="AC215" s="51">
        <v>1.0</v>
      </c>
      <c r="AD215" s="51">
        <v>1.0</v>
      </c>
      <c r="AE215" s="51" t="s">
        <v>103</v>
      </c>
      <c r="AF215" s="51">
        <v>4.0</v>
      </c>
      <c r="AG215" s="51">
        <v>0.0</v>
      </c>
      <c r="AH215" s="51" t="s">
        <v>103</v>
      </c>
      <c r="AI215" s="81"/>
      <c r="AJ215" s="80">
        <f t="shared" si="1"/>
        <v>7</v>
      </c>
      <c r="AK215" s="80">
        <f t="shared" si="2"/>
        <v>7</v>
      </c>
    </row>
    <row r="216">
      <c r="A216" s="79">
        <v>44997.46641288194</v>
      </c>
      <c r="B216" s="51" t="s">
        <v>144</v>
      </c>
      <c r="C216" s="51">
        <v>60.0</v>
      </c>
      <c r="D216" s="51">
        <v>5674.0</v>
      </c>
      <c r="E216" s="51" t="s">
        <v>106</v>
      </c>
      <c r="H216" s="51">
        <v>1.0</v>
      </c>
      <c r="I216" s="51">
        <v>1.0</v>
      </c>
      <c r="R216" s="51" t="s">
        <v>104</v>
      </c>
      <c r="W216" s="51">
        <v>1.0</v>
      </c>
      <c r="X216" s="51">
        <v>1.0</v>
      </c>
      <c r="Y216" s="51">
        <v>2.0</v>
      </c>
      <c r="Z216" s="51">
        <v>2.0</v>
      </c>
      <c r="AE216" s="51" t="s">
        <v>103</v>
      </c>
      <c r="AF216" s="51">
        <v>4.0</v>
      </c>
      <c r="AG216" s="51">
        <v>0.0</v>
      </c>
      <c r="AH216" s="51" t="s">
        <v>103</v>
      </c>
      <c r="AI216" s="81"/>
      <c r="AJ216" s="80">
        <f t="shared" si="1"/>
        <v>31</v>
      </c>
      <c r="AK216" s="80">
        <f t="shared" si="2"/>
        <v>16</v>
      </c>
    </row>
    <row r="217">
      <c r="A217" s="79">
        <v>44997.4688819213</v>
      </c>
      <c r="B217" s="51" t="s">
        <v>144</v>
      </c>
      <c r="C217" s="51">
        <v>64.0</v>
      </c>
      <c r="D217" s="51">
        <v>5674.0</v>
      </c>
      <c r="E217" s="51" t="s">
        <v>106</v>
      </c>
      <c r="P217" s="51">
        <v>1.0</v>
      </c>
      <c r="Q217" s="51">
        <v>0.0</v>
      </c>
      <c r="R217" s="51" t="s">
        <v>103</v>
      </c>
      <c r="W217" s="51">
        <v>1.0</v>
      </c>
      <c r="X217" s="51">
        <v>1.0</v>
      </c>
      <c r="Y217" s="51">
        <v>2.0</v>
      </c>
      <c r="Z217" s="51">
        <v>2.0</v>
      </c>
      <c r="AA217" s="51">
        <v>1.0</v>
      </c>
      <c r="AB217" s="51">
        <v>1.0</v>
      </c>
      <c r="AE217" s="51" t="s">
        <v>103</v>
      </c>
      <c r="AF217" s="51">
        <v>4.0</v>
      </c>
      <c r="AG217" s="51">
        <v>0.0</v>
      </c>
      <c r="AH217" s="51" t="s">
        <v>103</v>
      </c>
      <c r="AI217" s="81"/>
      <c r="AJ217" s="80">
        <f t="shared" si="1"/>
        <v>18</v>
      </c>
      <c r="AK217" s="80">
        <f t="shared" si="2"/>
        <v>15</v>
      </c>
    </row>
    <row r="218">
      <c r="A218" s="79">
        <v>44997.47138309028</v>
      </c>
      <c r="B218" s="51" t="s">
        <v>144</v>
      </c>
      <c r="C218" s="51">
        <v>68.0</v>
      </c>
      <c r="D218" s="51">
        <v>5674.0</v>
      </c>
      <c r="E218" s="51" t="s">
        <v>106</v>
      </c>
      <c r="N218" s="51">
        <v>1.0</v>
      </c>
      <c r="O218" s="51">
        <v>1.0</v>
      </c>
      <c r="R218" s="51" t="s">
        <v>108</v>
      </c>
      <c r="W218" s="51">
        <v>2.0</v>
      </c>
      <c r="X218" s="51">
        <v>1.0</v>
      </c>
      <c r="AE218" s="51" t="s">
        <v>104</v>
      </c>
      <c r="AF218" s="51">
        <v>3.0</v>
      </c>
      <c r="AG218" s="51">
        <v>0.0</v>
      </c>
      <c r="AH218" s="51" t="s">
        <v>103</v>
      </c>
      <c r="AI218" s="81"/>
      <c r="AJ218" s="80">
        <f t="shared" si="1"/>
        <v>27</v>
      </c>
      <c r="AK218" s="80">
        <f t="shared" si="2"/>
        <v>6</v>
      </c>
    </row>
    <row r="219">
      <c r="A219" s="79">
        <v>44997.4729255787</v>
      </c>
      <c r="B219" s="51" t="s">
        <v>144</v>
      </c>
      <c r="C219" s="51" t="s">
        <v>235</v>
      </c>
      <c r="D219" s="51">
        <v>5674.0</v>
      </c>
      <c r="E219" s="51" t="s">
        <v>106</v>
      </c>
      <c r="N219" s="51">
        <v>1.0</v>
      </c>
      <c r="O219" s="51">
        <v>1.0</v>
      </c>
      <c r="R219" s="51" t="s">
        <v>104</v>
      </c>
      <c r="W219" s="51">
        <v>1.0</v>
      </c>
      <c r="X219" s="51">
        <v>1.0</v>
      </c>
      <c r="AE219" s="51" t="s">
        <v>103</v>
      </c>
      <c r="AF219" s="51">
        <v>3.0</v>
      </c>
      <c r="AG219" s="51">
        <v>0.0</v>
      </c>
      <c r="AH219" s="51" t="s">
        <v>106</v>
      </c>
      <c r="AI219" s="82" t="s">
        <v>236</v>
      </c>
      <c r="AJ219" s="80">
        <f t="shared" si="1"/>
        <v>21</v>
      </c>
      <c r="AK219" s="80">
        <f t="shared" si="2"/>
        <v>6</v>
      </c>
    </row>
    <row r="220">
      <c r="A220" s="79">
        <v>44997.476627129625</v>
      </c>
      <c r="B220" s="51" t="s">
        <v>144</v>
      </c>
      <c r="C220" s="51" t="s">
        <v>237</v>
      </c>
      <c r="D220" s="51">
        <v>5674.0</v>
      </c>
      <c r="E220" s="51" t="s">
        <v>106</v>
      </c>
      <c r="N220" s="51">
        <v>1.0</v>
      </c>
      <c r="O220" s="51">
        <v>1.0</v>
      </c>
      <c r="R220" s="51" t="s">
        <v>103</v>
      </c>
      <c r="W220" s="51">
        <v>1.0</v>
      </c>
      <c r="X220" s="51">
        <v>1.0</v>
      </c>
      <c r="AA220" s="51">
        <v>1.0</v>
      </c>
      <c r="AB220" s="51">
        <v>1.0</v>
      </c>
      <c r="AE220" s="51" t="s">
        <v>103</v>
      </c>
      <c r="AF220" s="51">
        <v>3.0</v>
      </c>
      <c r="AG220" s="51">
        <v>0.0</v>
      </c>
      <c r="AH220" s="51" t="s">
        <v>103</v>
      </c>
      <c r="AI220" s="81"/>
      <c r="AJ220" s="80">
        <f t="shared" si="1"/>
        <v>12</v>
      </c>
      <c r="AK220" s="80">
        <f t="shared" si="2"/>
        <v>9</v>
      </c>
    </row>
    <row r="221">
      <c r="A221" s="79">
        <v>44996.674841307875</v>
      </c>
      <c r="B221" s="51" t="s">
        <v>184</v>
      </c>
      <c r="C221" s="51">
        <v>6.0</v>
      </c>
      <c r="D221" s="51">
        <v>5708.0</v>
      </c>
      <c r="E221" s="51" t="s">
        <v>106</v>
      </c>
      <c r="R221" s="51" t="s">
        <v>103</v>
      </c>
      <c r="W221" s="51">
        <v>1.0</v>
      </c>
      <c r="X221" s="51">
        <v>1.0</v>
      </c>
      <c r="AE221" s="51" t="s">
        <v>103</v>
      </c>
      <c r="AF221" s="51">
        <v>0.0</v>
      </c>
      <c r="AG221" s="51">
        <v>1.0</v>
      </c>
      <c r="AH221" s="51" t="s">
        <v>103</v>
      </c>
      <c r="AI221" s="81"/>
      <c r="AJ221" s="80">
        <f t="shared" si="1"/>
        <v>5</v>
      </c>
      <c r="AK221" s="80">
        <f t="shared" si="2"/>
        <v>2</v>
      </c>
    </row>
    <row r="222">
      <c r="A222" s="79">
        <v>44996.67836583333</v>
      </c>
      <c r="B222" s="51" t="s">
        <v>184</v>
      </c>
      <c r="C222" s="51">
        <v>12.0</v>
      </c>
      <c r="D222" s="51">
        <v>5708.0</v>
      </c>
      <c r="E222" s="51" t="s">
        <v>103</v>
      </c>
      <c r="R222" s="51" t="s">
        <v>103</v>
      </c>
      <c r="Y222" s="51">
        <v>1.0</v>
      </c>
      <c r="Z222" s="51">
        <v>1.0</v>
      </c>
      <c r="AA222" s="51">
        <v>2.0</v>
      </c>
      <c r="AB222" s="51">
        <v>2.0</v>
      </c>
      <c r="AE222" s="51" t="s">
        <v>108</v>
      </c>
      <c r="AF222" s="51">
        <v>0.0</v>
      </c>
      <c r="AG222" s="51">
        <v>2.0</v>
      </c>
      <c r="AH222" s="51" t="s">
        <v>106</v>
      </c>
      <c r="AI222" s="82" t="s">
        <v>238</v>
      </c>
      <c r="AJ222" s="80">
        <f t="shared" si="1"/>
        <v>17</v>
      </c>
      <c r="AK222" s="80">
        <f t="shared" si="2"/>
        <v>11</v>
      </c>
    </row>
    <row r="223">
      <c r="A223" s="79">
        <v>44996.920756168984</v>
      </c>
      <c r="B223" s="51" t="s">
        <v>184</v>
      </c>
      <c r="C223" s="51">
        <v>16.0</v>
      </c>
      <c r="D223" s="51">
        <v>5708.0</v>
      </c>
      <c r="E223" s="51" t="s">
        <v>106</v>
      </c>
      <c r="R223" s="51" t="s">
        <v>103</v>
      </c>
      <c r="U223" s="51">
        <v>1.0</v>
      </c>
      <c r="V223" s="51">
        <v>1.0</v>
      </c>
      <c r="AE223" s="51" t="s">
        <v>103</v>
      </c>
      <c r="AF223" s="51">
        <v>1.0</v>
      </c>
      <c r="AG223" s="51">
        <v>0.0</v>
      </c>
      <c r="AH223" s="51" t="s">
        <v>106</v>
      </c>
      <c r="AI223" s="81"/>
      <c r="AJ223" s="80">
        <f t="shared" si="1"/>
        <v>6</v>
      </c>
      <c r="AK223" s="80">
        <f t="shared" si="2"/>
        <v>3</v>
      </c>
    </row>
    <row r="224">
      <c r="A224" s="79">
        <v>44996.92285299768</v>
      </c>
      <c r="B224" s="51" t="s">
        <v>184</v>
      </c>
      <c r="C224" s="51">
        <v>21.0</v>
      </c>
      <c r="D224" s="51">
        <v>5708.0</v>
      </c>
      <c r="E224" s="51" t="s">
        <v>106</v>
      </c>
      <c r="R224" s="51" t="s">
        <v>103</v>
      </c>
      <c r="Y224" s="51">
        <v>2.0</v>
      </c>
      <c r="Z224" s="51">
        <v>2.0</v>
      </c>
      <c r="AA224" s="51">
        <v>1.0</v>
      </c>
      <c r="AB224" s="51">
        <v>1.0</v>
      </c>
      <c r="AE224" s="51" t="s">
        <v>107</v>
      </c>
      <c r="AF224" s="51">
        <v>0.0</v>
      </c>
      <c r="AG224" s="51">
        <v>1.0</v>
      </c>
      <c r="AH224" s="51" t="s">
        <v>103</v>
      </c>
      <c r="AI224" s="81"/>
      <c r="AJ224" s="80">
        <f t="shared" si="1"/>
        <v>19</v>
      </c>
      <c r="AK224" s="80">
        <f t="shared" si="2"/>
        <v>13</v>
      </c>
    </row>
    <row r="225">
      <c r="A225" s="79">
        <v>44996.92454649306</v>
      </c>
      <c r="B225" s="51" t="s">
        <v>181</v>
      </c>
      <c r="C225" s="51">
        <v>25.0</v>
      </c>
      <c r="D225" s="51">
        <v>5708.0</v>
      </c>
      <c r="E225" s="51" t="s">
        <v>106</v>
      </c>
      <c r="R225" s="51" t="s">
        <v>103</v>
      </c>
      <c r="Y225" s="51">
        <v>2.0</v>
      </c>
      <c r="Z225" s="51">
        <v>2.0</v>
      </c>
      <c r="AE225" s="51" t="s">
        <v>103</v>
      </c>
      <c r="AF225" s="51">
        <v>0.0</v>
      </c>
      <c r="AG225" s="51">
        <v>1.0</v>
      </c>
      <c r="AH225" s="51" t="s">
        <v>106</v>
      </c>
      <c r="AI225" s="81"/>
      <c r="AJ225" s="80">
        <f t="shared" si="1"/>
        <v>13</v>
      </c>
      <c r="AK225" s="80">
        <f t="shared" si="2"/>
        <v>10</v>
      </c>
    </row>
    <row r="226">
      <c r="A226" s="79">
        <v>44996.94675446759</v>
      </c>
      <c r="B226" s="51" t="s">
        <v>221</v>
      </c>
      <c r="C226" s="51">
        <v>32.0</v>
      </c>
      <c r="D226" s="51">
        <v>5708.0</v>
      </c>
      <c r="E226" s="51" t="s">
        <v>106</v>
      </c>
      <c r="R226" s="51" t="s">
        <v>103</v>
      </c>
      <c r="Y226" s="51">
        <v>2.0</v>
      </c>
      <c r="Z226" s="51">
        <v>2.0</v>
      </c>
      <c r="AA226" s="51">
        <v>2.0</v>
      </c>
      <c r="AB226" s="51">
        <v>2.0</v>
      </c>
      <c r="AE226" s="51" t="s">
        <v>107</v>
      </c>
      <c r="AF226" s="51">
        <v>0.0</v>
      </c>
      <c r="AG226" s="51">
        <v>2.0</v>
      </c>
      <c r="AH226" s="51" t="s">
        <v>103</v>
      </c>
      <c r="AI226" s="81"/>
      <c r="AJ226" s="80">
        <f t="shared" si="1"/>
        <v>22</v>
      </c>
      <c r="AK226" s="80">
        <f t="shared" si="2"/>
        <v>16</v>
      </c>
    </row>
    <row r="227">
      <c r="A227" s="79">
        <v>45003.41823083333</v>
      </c>
      <c r="B227" s="51" t="s">
        <v>239</v>
      </c>
      <c r="C227" s="51">
        <v>42.0</v>
      </c>
      <c r="D227" s="51">
        <v>5708.0</v>
      </c>
      <c r="E227" s="51" t="s">
        <v>106</v>
      </c>
      <c r="R227" s="51" t="s">
        <v>103</v>
      </c>
      <c r="Y227" s="51">
        <v>2.0</v>
      </c>
      <c r="Z227" s="51">
        <v>2.0</v>
      </c>
      <c r="AE227" s="51" t="s">
        <v>104</v>
      </c>
      <c r="AF227" s="51">
        <v>2.0</v>
      </c>
      <c r="AG227" s="51">
        <v>1.0</v>
      </c>
      <c r="AH227" s="51" t="s">
        <v>103</v>
      </c>
      <c r="AI227" s="82" t="s">
        <v>240</v>
      </c>
      <c r="AJ227" s="80">
        <f t="shared" si="1"/>
        <v>23</v>
      </c>
      <c r="AK227" s="80">
        <f t="shared" si="2"/>
        <v>10</v>
      </c>
    </row>
    <row r="228">
      <c r="A228" s="79">
        <v>45003.420867974535</v>
      </c>
      <c r="B228" s="51" t="s">
        <v>239</v>
      </c>
      <c r="C228" s="51">
        <v>47.0</v>
      </c>
      <c r="D228" s="51">
        <v>5708.0</v>
      </c>
      <c r="E228" s="51" t="s">
        <v>106</v>
      </c>
      <c r="R228" s="51" t="s">
        <v>103</v>
      </c>
      <c r="S228" s="51">
        <v>1.0</v>
      </c>
      <c r="T228" s="51">
        <v>0.0</v>
      </c>
      <c r="Y228" s="51">
        <v>1.0</v>
      </c>
      <c r="Z228" s="51">
        <v>1.0</v>
      </c>
      <c r="AE228" s="51" t="s">
        <v>104</v>
      </c>
      <c r="AF228" s="51">
        <v>1.0</v>
      </c>
      <c r="AG228" s="51">
        <v>1.0</v>
      </c>
      <c r="AH228" s="51" t="s">
        <v>103</v>
      </c>
      <c r="AI228" s="82" t="s">
        <v>241</v>
      </c>
      <c r="AJ228" s="80">
        <f t="shared" si="1"/>
        <v>18</v>
      </c>
      <c r="AK228" s="80">
        <f t="shared" si="2"/>
        <v>5</v>
      </c>
    </row>
    <row r="229">
      <c r="A229" s="79">
        <v>45003.4242140625</v>
      </c>
      <c r="B229" s="51" t="s">
        <v>239</v>
      </c>
      <c r="C229" s="51">
        <v>53.0</v>
      </c>
      <c r="D229" s="51">
        <v>5708.0</v>
      </c>
      <c r="E229" s="51" t="s">
        <v>106</v>
      </c>
      <c r="R229" s="51" t="s">
        <v>103</v>
      </c>
      <c r="Y229" s="51">
        <v>3.0</v>
      </c>
      <c r="Z229" s="51">
        <v>2.0</v>
      </c>
      <c r="AA229" s="51">
        <v>1.0</v>
      </c>
      <c r="AB229" s="51">
        <v>1.0</v>
      </c>
      <c r="AE229" s="51" t="s">
        <v>103</v>
      </c>
      <c r="AF229" s="51">
        <v>2.0</v>
      </c>
      <c r="AG229" s="51">
        <v>1.0</v>
      </c>
      <c r="AH229" s="51" t="s">
        <v>106</v>
      </c>
      <c r="AI229" s="82" t="s">
        <v>242</v>
      </c>
      <c r="AJ229" s="80">
        <f t="shared" si="1"/>
        <v>16</v>
      </c>
      <c r="AK229" s="80">
        <f t="shared" si="2"/>
        <v>13</v>
      </c>
    </row>
    <row r="230">
      <c r="A230" s="79">
        <v>45003.426758842594</v>
      </c>
      <c r="B230" s="51" t="s">
        <v>239</v>
      </c>
      <c r="C230" s="51">
        <v>57.0</v>
      </c>
      <c r="D230" s="51">
        <v>5708.0</v>
      </c>
      <c r="E230" s="51" t="s">
        <v>106</v>
      </c>
      <c r="R230" s="51" t="s">
        <v>103</v>
      </c>
      <c r="Y230" s="51">
        <v>2.0</v>
      </c>
      <c r="Z230" s="51">
        <v>2.0</v>
      </c>
      <c r="AA230" s="51">
        <v>1.0</v>
      </c>
      <c r="AB230" s="51">
        <v>1.0</v>
      </c>
      <c r="AC230" s="51">
        <v>1.0</v>
      </c>
      <c r="AD230" s="51">
        <v>1.0</v>
      </c>
      <c r="AE230" s="51" t="s">
        <v>104</v>
      </c>
      <c r="AF230" s="51">
        <v>3.0</v>
      </c>
      <c r="AG230" s="51">
        <v>1.0</v>
      </c>
      <c r="AH230" s="51" t="s">
        <v>103</v>
      </c>
      <c r="AI230" s="82" t="s">
        <v>243</v>
      </c>
      <c r="AJ230" s="80">
        <f t="shared" si="1"/>
        <v>28</v>
      </c>
      <c r="AK230" s="80">
        <f t="shared" si="2"/>
        <v>15</v>
      </c>
    </row>
    <row r="231">
      <c r="A231" s="79">
        <v>45003.4292982176</v>
      </c>
      <c r="B231" s="51" t="s">
        <v>239</v>
      </c>
      <c r="C231" s="51">
        <v>61.0</v>
      </c>
      <c r="D231" s="51">
        <v>5708.0</v>
      </c>
      <c r="E231" s="51" t="s">
        <v>106</v>
      </c>
      <c r="R231" s="51" t="s">
        <v>103</v>
      </c>
      <c r="AC231" s="51">
        <v>5.0</v>
      </c>
      <c r="AD231" s="51">
        <v>4.0</v>
      </c>
      <c r="AE231" s="51" t="s">
        <v>104</v>
      </c>
      <c r="AF231" s="51">
        <v>2.0</v>
      </c>
      <c r="AG231" s="51">
        <v>1.0</v>
      </c>
      <c r="AH231" s="51" t="s">
        <v>103</v>
      </c>
      <c r="AI231" s="82" t="s">
        <v>244</v>
      </c>
      <c r="AJ231" s="80">
        <f t="shared" si="1"/>
        <v>21</v>
      </c>
      <c r="AK231" s="80">
        <f t="shared" si="2"/>
        <v>8</v>
      </c>
    </row>
    <row r="232">
      <c r="A232" s="79">
        <v>45003.43266278935</v>
      </c>
      <c r="B232" s="51" t="s">
        <v>239</v>
      </c>
      <c r="C232" s="51">
        <v>70.0</v>
      </c>
      <c r="D232" s="51">
        <v>5708.0</v>
      </c>
      <c r="E232" s="51" t="s">
        <v>106</v>
      </c>
      <c r="R232" s="51" t="s">
        <v>103</v>
      </c>
      <c r="Y232" s="51">
        <v>2.0</v>
      </c>
      <c r="Z232" s="51">
        <v>2.0</v>
      </c>
      <c r="AC232" s="51">
        <v>1.0</v>
      </c>
      <c r="AD232" s="51">
        <v>1.0</v>
      </c>
      <c r="AE232" s="51" t="s">
        <v>107</v>
      </c>
      <c r="AF232" s="51">
        <v>2.0</v>
      </c>
      <c r="AG232" s="51">
        <v>1.0</v>
      </c>
      <c r="AH232" s="51" t="s">
        <v>103</v>
      </c>
      <c r="AI232" s="81"/>
      <c r="AJ232" s="80">
        <f t="shared" si="1"/>
        <v>18</v>
      </c>
      <c r="AK232" s="80">
        <f t="shared" si="2"/>
        <v>12</v>
      </c>
    </row>
    <row r="233">
      <c r="A233" s="79">
        <v>44995.814717037036</v>
      </c>
      <c r="B233" s="51" t="s">
        <v>102</v>
      </c>
      <c r="C233" s="51">
        <v>8.0</v>
      </c>
      <c r="D233" s="51">
        <v>6081.0</v>
      </c>
      <c r="E233" s="51" t="s">
        <v>106</v>
      </c>
      <c r="F233" s="51">
        <v>1.0</v>
      </c>
      <c r="G233" s="51">
        <v>1.0</v>
      </c>
      <c r="R233" s="51" t="s">
        <v>103</v>
      </c>
      <c r="S233" s="51">
        <v>2.0</v>
      </c>
      <c r="T233" s="51">
        <v>1.0</v>
      </c>
      <c r="W233" s="51">
        <v>2.0</v>
      </c>
      <c r="X233" s="51">
        <v>2.0</v>
      </c>
      <c r="Y233" s="51">
        <v>2.0</v>
      </c>
      <c r="Z233" s="51">
        <v>2.0</v>
      </c>
      <c r="AA233" s="51">
        <v>1.0</v>
      </c>
      <c r="AB233" s="51">
        <v>1.0</v>
      </c>
      <c r="AE233" s="51" t="s">
        <v>107</v>
      </c>
      <c r="AF233" s="51">
        <v>5.0</v>
      </c>
      <c r="AG233" s="51">
        <v>0.0</v>
      </c>
      <c r="AH233" s="51" t="s">
        <v>103</v>
      </c>
      <c r="AI233" s="82" t="s">
        <v>245</v>
      </c>
      <c r="AJ233" s="80">
        <f t="shared" si="1"/>
        <v>34</v>
      </c>
      <c r="AK233" s="80">
        <f t="shared" si="2"/>
        <v>28</v>
      </c>
    </row>
    <row r="234">
      <c r="A234" s="79">
        <v>44995.81836081018</v>
      </c>
      <c r="B234" s="51" t="s">
        <v>102</v>
      </c>
      <c r="C234" s="51">
        <v>20.0</v>
      </c>
      <c r="D234" s="51">
        <v>6081.0</v>
      </c>
      <c r="E234" s="51" t="s">
        <v>106</v>
      </c>
      <c r="F234" s="51">
        <v>1.0</v>
      </c>
      <c r="G234" s="51">
        <v>1.0</v>
      </c>
      <c r="R234" s="51" t="s">
        <v>104</v>
      </c>
      <c r="S234" s="51">
        <v>2.0</v>
      </c>
      <c r="T234" s="51">
        <v>2.0</v>
      </c>
      <c r="U234" s="51">
        <v>1.0</v>
      </c>
      <c r="V234" s="51">
        <v>0.0</v>
      </c>
      <c r="W234" s="51">
        <v>1.0</v>
      </c>
      <c r="X234" s="51">
        <v>1.0</v>
      </c>
      <c r="Y234" s="51">
        <v>1.0</v>
      </c>
      <c r="Z234" s="51">
        <v>1.0</v>
      </c>
      <c r="AA234" s="51">
        <v>1.0</v>
      </c>
      <c r="AB234" s="51">
        <v>1.0</v>
      </c>
      <c r="AE234" s="51" t="s">
        <v>103</v>
      </c>
      <c r="AF234" s="51">
        <v>3.0</v>
      </c>
      <c r="AG234" s="51">
        <v>0.0</v>
      </c>
      <c r="AH234" s="51" t="s">
        <v>103</v>
      </c>
      <c r="AI234" s="82" t="s">
        <v>246</v>
      </c>
      <c r="AJ234" s="80">
        <f t="shared" si="1"/>
        <v>41</v>
      </c>
      <c r="AK234" s="80">
        <f t="shared" si="2"/>
        <v>26</v>
      </c>
    </row>
    <row r="235">
      <c r="A235" s="79">
        <v>44995.8229258912</v>
      </c>
      <c r="B235" s="51" t="s">
        <v>102</v>
      </c>
      <c r="C235" s="51">
        <v>27.0</v>
      </c>
      <c r="D235" s="51">
        <v>6081.0</v>
      </c>
      <c r="E235" s="51" t="s">
        <v>106</v>
      </c>
      <c r="F235" s="51">
        <v>1.0</v>
      </c>
      <c r="G235" s="51">
        <v>1.0</v>
      </c>
      <c r="L235" s="51">
        <v>1.0</v>
      </c>
      <c r="M235" s="51">
        <v>0.0</v>
      </c>
      <c r="R235" s="51" t="s">
        <v>103</v>
      </c>
      <c r="S235" s="51">
        <v>3.0</v>
      </c>
      <c r="T235" s="51">
        <v>1.0</v>
      </c>
      <c r="W235" s="51">
        <v>1.0</v>
      </c>
      <c r="X235" s="51">
        <v>1.0</v>
      </c>
      <c r="Y235" s="51">
        <v>1.0</v>
      </c>
      <c r="Z235" s="51">
        <v>1.0</v>
      </c>
      <c r="AA235" s="51">
        <v>1.0</v>
      </c>
      <c r="AB235" s="51">
        <v>1.0</v>
      </c>
      <c r="AC235" s="51">
        <v>1.0</v>
      </c>
      <c r="AD235" s="51">
        <v>1.0</v>
      </c>
      <c r="AE235" s="51" t="s">
        <v>108</v>
      </c>
      <c r="AF235" s="51">
        <v>3.0</v>
      </c>
      <c r="AG235" s="51">
        <v>0.0</v>
      </c>
      <c r="AH235" s="51" t="s">
        <v>103</v>
      </c>
      <c r="AI235" s="82" t="s">
        <v>247</v>
      </c>
      <c r="AJ235" s="80">
        <f t="shared" si="1"/>
        <v>32</v>
      </c>
      <c r="AK235" s="80">
        <f t="shared" si="2"/>
        <v>23</v>
      </c>
    </row>
    <row r="236">
      <c r="A236" s="79">
        <v>44995.82591809028</v>
      </c>
      <c r="B236" s="51" t="s">
        <v>102</v>
      </c>
      <c r="C236" s="51">
        <v>33.0</v>
      </c>
      <c r="D236" s="51">
        <v>6081.0</v>
      </c>
      <c r="E236" s="51" t="s">
        <v>106</v>
      </c>
      <c r="F236" s="51">
        <v>1.0</v>
      </c>
      <c r="G236" s="51">
        <v>0.0</v>
      </c>
      <c r="R236" s="51" t="s">
        <v>104</v>
      </c>
      <c r="W236" s="51">
        <v>1.0</v>
      </c>
      <c r="X236" s="51">
        <v>1.0</v>
      </c>
      <c r="Y236" s="51">
        <v>3.0</v>
      </c>
      <c r="Z236" s="51">
        <v>3.0</v>
      </c>
      <c r="AA236" s="51">
        <v>2.0</v>
      </c>
      <c r="AB236" s="51">
        <v>2.0</v>
      </c>
      <c r="AC236" s="51">
        <v>2.0</v>
      </c>
      <c r="AD236" s="51">
        <v>2.0</v>
      </c>
      <c r="AE236" s="51" t="s">
        <v>107</v>
      </c>
      <c r="AF236" s="51">
        <v>5.0</v>
      </c>
      <c r="AG236" s="51">
        <v>0.0</v>
      </c>
      <c r="AH236" s="51" t="s">
        <v>103</v>
      </c>
      <c r="AI236" s="82" t="s">
        <v>248</v>
      </c>
      <c r="AJ236" s="80">
        <f t="shared" si="1"/>
        <v>45</v>
      </c>
      <c r="AK236" s="80">
        <f t="shared" si="2"/>
        <v>27</v>
      </c>
    </row>
    <row r="237">
      <c r="A237" s="79">
        <v>44995.83075775463</v>
      </c>
      <c r="B237" s="51" t="s">
        <v>102</v>
      </c>
      <c r="C237" s="51">
        <v>37.0</v>
      </c>
      <c r="D237" s="51">
        <v>6081.0</v>
      </c>
      <c r="E237" s="51" t="s">
        <v>106</v>
      </c>
      <c r="F237" s="51">
        <v>1.0</v>
      </c>
      <c r="G237" s="51">
        <v>1.0</v>
      </c>
      <c r="R237" s="51" t="s">
        <v>104</v>
      </c>
      <c r="Y237" s="51">
        <v>1.0</v>
      </c>
      <c r="Z237" s="51">
        <v>1.0</v>
      </c>
      <c r="AE237" s="51" t="s">
        <v>107</v>
      </c>
      <c r="AF237" s="51">
        <v>2.0</v>
      </c>
      <c r="AG237" s="51">
        <v>0.0</v>
      </c>
      <c r="AH237" s="51" t="s">
        <v>106</v>
      </c>
      <c r="AI237" s="82" t="s">
        <v>249</v>
      </c>
      <c r="AJ237" s="80">
        <f t="shared" si="1"/>
        <v>29</v>
      </c>
      <c r="AK237" s="80">
        <f t="shared" si="2"/>
        <v>11</v>
      </c>
    </row>
    <row r="238">
      <c r="A238" s="79">
        <v>44995.83375090278</v>
      </c>
      <c r="B238" s="51" t="s">
        <v>102</v>
      </c>
      <c r="C238" s="51">
        <v>41.0</v>
      </c>
      <c r="D238" s="51">
        <v>6081.0</v>
      </c>
      <c r="E238" s="51" t="s">
        <v>106</v>
      </c>
      <c r="F238" s="51">
        <v>1.0</v>
      </c>
      <c r="G238" s="51">
        <v>0.0</v>
      </c>
      <c r="L238" s="51">
        <v>1.0</v>
      </c>
      <c r="M238" s="51">
        <v>1.0</v>
      </c>
      <c r="R238" s="51" t="s">
        <v>103</v>
      </c>
      <c r="S238" s="51">
        <v>3.0</v>
      </c>
      <c r="T238" s="51">
        <v>2.0</v>
      </c>
      <c r="Y238" s="51">
        <v>2.0</v>
      </c>
      <c r="Z238" s="51">
        <v>1.0</v>
      </c>
      <c r="AA238" s="51">
        <v>1.0</v>
      </c>
      <c r="AB238" s="51">
        <v>1.0</v>
      </c>
      <c r="AE238" s="51" t="s">
        <v>104</v>
      </c>
      <c r="AF238" s="51">
        <v>3.0</v>
      </c>
      <c r="AG238" s="51">
        <v>0.0</v>
      </c>
      <c r="AH238" s="51" t="s">
        <v>103</v>
      </c>
      <c r="AI238" s="82" t="s">
        <v>250</v>
      </c>
      <c r="AJ238" s="80">
        <f t="shared" si="1"/>
        <v>37</v>
      </c>
      <c r="AK238" s="80">
        <f t="shared" si="2"/>
        <v>24</v>
      </c>
    </row>
    <row r="239">
      <c r="A239" s="79">
        <v>44995.83819699074</v>
      </c>
      <c r="B239" s="51" t="s">
        <v>102</v>
      </c>
      <c r="C239" s="51">
        <v>53.0</v>
      </c>
      <c r="D239" s="51">
        <v>6081.0</v>
      </c>
      <c r="E239" s="51" t="s">
        <v>106</v>
      </c>
      <c r="F239" s="51">
        <v>1.0</v>
      </c>
      <c r="G239" s="51">
        <v>1.0</v>
      </c>
      <c r="R239" s="51" t="s">
        <v>104</v>
      </c>
      <c r="Y239" s="51">
        <v>2.0</v>
      </c>
      <c r="Z239" s="51">
        <v>2.0</v>
      </c>
      <c r="AA239" s="51">
        <v>1.0</v>
      </c>
      <c r="AB239" s="51">
        <v>0.0</v>
      </c>
      <c r="AC239" s="51">
        <v>1.0</v>
      </c>
      <c r="AD239" s="51">
        <v>1.0</v>
      </c>
      <c r="AE239" s="51" t="s">
        <v>104</v>
      </c>
      <c r="AF239" s="51">
        <v>4.0</v>
      </c>
      <c r="AG239" s="51">
        <v>0.0</v>
      </c>
      <c r="AH239" s="51" t="s">
        <v>103</v>
      </c>
      <c r="AI239" s="81"/>
      <c r="AJ239" s="80">
        <f t="shared" si="1"/>
        <v>43</v>
      </c>
      <c r="AK239" s="80">
        <f t="shared" si="2"/>
        <v>18</v>
      </c>
    </row>
    <row r="240">
      <c r="A240" s="79">
        <v>44995.84081724537</v>
      </c>
      <c r="B240" s="51" t="s">
        <v>102</v>
      </c>
      <c r="C240" s="51">
        <v>58.0</v>
      </c>
      <c r="D240" s="51">
        <v>6081.0</v>
      </c>
      <c r="E240" s="51" t="s">
        <v>106</v>
      </c>
      <c r="F240" s="51">
        <v>1.0</v>
      </c>
      <c r="G240" s="51">
        <v>0.0</v>
      </c>
      <c r="P240" s="51">
        <v>1.0</v>
      </c>
      <c r="Q240" s="51">
        <v>1.0</v>
      </c>
      <c r="R240" s="51" t="s">
        <v>103</v>
      </c>
      <c r="S240" s="51">
        <v>2.0</v>
      </c>
      <c r="T240" s="51">
        <v>2.0</v>
      </c>
      <c r="U240" s="51">
        <v>1.0</v>
      </c>
      <c r="V240" s="51">
        <v>1.0</v>
      </c>
      <c r="W240" s="51">
        <v>1.0</v>
      </c>
      <c r="X240" s="51">
        <v>1.0</v>
      </c>
      <c r="Y240" s="51">
        <v>1.0</v>
      </c>
      <c r="Z240" s="51">
        <v>1.0</v>
      </c>
      <c r="AA240" s="51">
        <v>1.0</v>
      </c>
      <c r="AB240" s="51">
        <v>1.0</v>
      </c>
      <c r="AE240" s="51" t="s">
        <v>104</v>
      </c>
      <c r="AF240" s="51">
        <v>4.0</v>
      </c>
      <c r="AG240" s="51">
        <v>0.0</v>
      </c>
      <c r="AH240" s="51" t="s">
        <v>103</v>
      </c>
      <c r="AI240" s="81"/>
      <c r="AJ240" s="80">
        <f t="shared" si="1"/>
        <v>39</v>
      </c>
      <c r="AK240" s="80">
        <f t="shared" si="2"/>
        <v>26</v>
      </c>
    </row>
    <row r="241">
      <c r="A241" s="79">
        <v>44995.84623685185</v>
      </c>
      <c r="B241" s="51" t="s">
        <v>102</v>
      </c>
      <c r="C241" s="51">
        <v>66.0</v>
      </c>
      <c r="D241" s="51">
        <v>6081.0</v>
      </c>
      <c r="E241" s="51" t="s">
        <v>106</v>
      </c>
      <c r="F241" s="51">
        <v>1.0</v>
      </c>
      <c r="G241" s="51">
        <v>1.0</v>
      </c>
      <c r="R241" s="51" t="s">
        <v>103</v>
      </c>
      <c r="S241" s="51">
        <v>1.0</v>
      </c>
      <c r="T241" s="51">
        <v>1.0</v>
      </c>
      <c r="U241" s="51">
        <v>1.0</v>
      </c>
      <c r="V241" s="51">
        <v>0.0</v>
      </c>
      <c r="W241" s="51">
        <v>1.0</v>
      </c>
      <c r="X241" s="51">
        <v>1.0</v>
      </c>
      <c r="Y241" s="51">
        <v>1.0</v>
      </c>
      <c r="Z241" s="51">
        <v>1.0</v>
      </c>
      <c r="AA241" s="51">
        <v>3.0</v>
      </c>
      <c r="AB241" s="51">
        <v>1.0</v>
      </c>
      <c r="AC241" s="51">
        <v>3.0</v>
      </c>
      <c r="AD241" s="51">
        <v>2.0</v>
      </c>
      <c r="AE241" s="51" t="s">
        <v>107</v>
      </c>
      <c r="AF241" s="51">
        <v>4.0</v>
      </c>
      <c r="AG241" s="51">
        <v>0.0</v>
      </c>
      <c r="AH241" s="51" t="s">
        <v>103</v>
      </c>
      <c r="AI241" s="81"/>
      <c r="AJ241" s="80">
        <f t="shared" si="1"/>
        <v>31</v>
      </c>
      <c r="AK241" s="80">
        <f t="shared" si="2"/>
        <v>25</v>
      </c>
    </row>
    <row r="242">
      <c r="A242" s="79">
        <v>44995.85008509259</v>
      </c>
      <c r="B242" s="51" t="s">
        <v>102</v>
      </c>
      <c r="C242" s="51">
        <v>73.0</v>
      </c>
      <c r="D242" s="51">
        <v>6081.0</v>
      </c>
      <c r="E242" s="51" t="s">
        <v>106</v>
      </c>
      <c r="F242" s="51">
        <v>1.0</v>
      </c>
      <c r="G242" s="51">
        <v>1.0</v>
      </c>
      <c r="R242" s="51" t="s">
        <v>104</v>
      </c>
      <c r="S242" s="51">
        <v>1.0</v>
      </c>
      <c r="T242" s="51">
        <v>1.0</v>
      </c>
      <c r="W242" s="51">
        <v>1.0</v>
      </c>
      <c r="X242" s="51">
        <v>1.0</v>
      </c>
      <c r="Y242" s="51">
        <v>2.0</v>
      </c>
      <c r="Z242" s="51">
        <v>2.0</v>
      </c>
      <c r="AA242" s="51">
        <v>1.0</v>
      </c>
      <c r="AB242" s="51">
        <v>1.0</v>
      </c>
      <c r="AC242" s="51">
        <v>1.0</v>
      </c>
      <c r="AD242" s="51">
        <v>1.0</v>
      </c>
      <c r="AE242" s="51" t="s">
        <v>104</v>
      </c>
      <c r="AF242" s="51">
        <v>4.0</v>
      </c>
      <c r="AG242" s="51">
        <v>0.0</v>
      </c>
      <c r="AH242" s="51" t="s">
        <v>103</v>
      </c>
      <c r="AI242" s="82" t="s">
        <v>251</v>
      </c>
      <c r="AJ242" s="80">
        <f t="shared" si="1"/>
        <v>53</v>
      </c>
      <c r="AK242" s="80">
        <f t="shared" si="2"/>
        <v>28</v>
      </c>
    </row>
    <row r="243">
      <c r="A243" s="79">
        <v>44995.85324674768</v>
      </c>
      <c r="B243" s="51" t="s">
        <v>102</v>
      </c>
      <c r="C243" s="51">
        <v>78.0</v>
      </c>
      <c r="D243" s="51">
        <v>6081.0</v>
      </c>
      <c r="E243" s="51" t="s">
        <v>106</v>
      </c>
      <c r="F243" s="51">
        <v>1.0</v>
      </c>
      <c r="G243" s="51">
        <v>1.0</v>
      </c>
      <c r="L243" s="51">
        <v>1.0</v>
      </c>
      <c r="M243" s="51">
        <v>1.0</v>
      </c>
      <c r="R243" s="51" t="s">
        <v>103</v>
      </c>
      <c r="S243" s="51">
        <v>2.0</v>
      </c>
      <c r="T243" s="51">
        <v>1.0</v>
      </c>
      <c r="U243" s="51">
        <v>1.0</v>
      </c>
      <c r="V243" s="51">
        <v>1.0</v>
      </c>
      <c r="W243" s="51">
        <v>1.0</v>
      </c>
      <c r="X243" s="51">
        <v>1.0</v>
      </c>
      <c r="AA243" s="51">
        <v>1.0</v>
      </c>
      <c r="AB243" s="51">
        <v>1.0</v>
      </c>
      <c r="AE243" s="51" t="s">
        <v>104</v>
      </c>
      <c r="AF243" s="51">
        <v>5.0</v>
      </c>
      <c r="AG243" s="51">
        <v>0.0</v>
      </c>
      <c r="AH243" s="51" t="s">
        <v>103</v>
      </c>
      <c r="AI243" s="82" t="s">
        <v>252</v>
      </c>
      <c r="AJ243" s="80">
        <f t="shared" si="1"/>
        <v>38</v>
      </c>
      <c r="AK243" s="80">
        <f t="shared" si="2"/>
        <v>25</v>
      </c>
    </row>
    <row r="244">
      <c r="A244" s="79">
        <v>44995.859153240744</v>
      </c>
      <c r="B244" s="51" t="s">
        <v>102</v>
      </c>
      <c r="C244" s="51" t="s">
        <v>134</v>
      </c>
      <c r="D244" s="51">
        <v>6081.0</v>
      </c>
      <c r="E244" s="51" t="s">
        <v>106</v>
      </c>
      <c r="F244" s="51">
        <v>1.0</v>
      </c>
      <c r="G244" s="51">
        <v>1.0</v>
      </c>
      <c r="L244" s="51">
        <v>1.0</v>
      </c>
      <c r="M244" s="51">
        <v>0.0</v>
      </c>
      <c r="P244" s="51">
        <v>1.0</v>
      </c>
      <c r="Q244" s="51">
        <v>1.0</v>
      </c>
      <c r="R244" s="51" t="s">
        <v>103</v>
      </c>
      <c r="U244" s="51">
        <v>1.0</v>
      </c>
      <c r="V244" s="51">
        <v>0.0</v>
      </c>
      <c r="W244" s="51">
        <v>2.0</v>
      </c>
      <c r="X244" s="51">
        <v>2.0</v>
      </c>
      <c r="Y244" s="51">
        <v>1.0</v>
      </c>
      <c r="Z244" s="51">
        <v>0.0</v>
      </c>
      <c r="AA244" s="51">
        <v>1.0</v>
      </c>
      <c r="AB244" s="51">
        <v>1.0</v>
      </c>
      <c r="AE244" s="51" t="s">
        <v>104</v>
      </c>
      <c r="AF244" s="51">
        <v>3.0</v>
      </c>
      <c r="AG244" s="51">
        <v>0.0</v>
      </c>
      <c r="AH244" s="51" t="s">
        <v>103</v>
      </c>
      <c r="AI244" s="82" t="s">
        <v>253</v>
      </c>
      <c r="AJ244" s="80">
        <f t="shared" si="1"/>
        <v>29</v>
      </c>
      <c r="AK244" s="80">
        <f t="shared" si="2"/>
        <v>16</v>
      </c>
    </row>
    <row r="245">
      <c r="A245" s="79">
        <v>44995.86518789352</v>
      </c>
      <c r="B245" s="51" t="s">
        <v>102</v>
      </c>
      <c r="C245" s="51" t="s">
        <v>135</v>
      </c>
      <c r="D245" s="51">
        <v>6081.0</v>
      </c>
      <c r="E245" s="51" t="s">
        <v>106</v>
      </c>
      <c r="F245" s="51">
        <v>1.0</v>
      </c>
      <c r="G245" s="51">
        <v>1.0</v>
      </c>
      <c r="L245" s="51">
        <v>1.0</v>
      </c>
      <c r="M245" s="51">
        <v>1.0</v>
      </c>
      <c r="R245" s="51" t="s">
        <v>103</v>
      </c>
      <c r="U245" s="51">
        <v>4.0</v>
      </c>
      <c r="V245" s="51">
        <v>2.0</v>
      </c>
      <c r="W245" s="51">
        <v>1.0</v>
      </c>
      <c r="X245" s="51">
        <v>0.0</v>
      </c>
      <c r="AE245" s="51" t="s">
        <v>104</v>
      </c>
      <c r="AF245" s="51">
        <v>3.0</v>
      </c>
      <c r="AG245" s="51">
        <v>0.0</v>
      </c>
      <c r="AH245" s="51" t="s">
        <v>103</v>
      </c>
      <c r="AI245" s="81"/>
      <c r="AJ245" s="80">
        <f t="shared" si="1"/>
        <v>31</v>
      </c>
      <c r="AK245" s="80">
        <f t="shared" si="2"/>
        <v>18</v>
      </c>
    </row>
    <row r="246">
      <c r="A246" s="79">
        <v>44995.869062928236</v>
      </c>
      <c r="B246" s="51" t="s">
        <v>102</v>
      </c>
      <c r="C246" s="51" t="s">
        <v>136</v>
      </c>
      <c r="D246" s="51">
        <v>6081.0</v>
      </c>
      <c r="E246" s="51" t="s">
        <v>106</v>
      </c>
      <c r="F246" s="51">
        <v>1.0</v>
      </c>
      <c r="G246" s="51">
        <v>1.0</v>
      </c>
      <c r="N246" s="51">
        <v>1.0</v>
      </c>
      <c r="O246" s="51">
        <v>0.0</v>
      </c>
      <c r="P246" s="51">
        <v>1.0</v>
      </c>
      <c r="Q246" s="51">
        <v>1.0</v>
      </c>
      <c r="R246" s="51" t="s">
        <v>103</v>
      </c>
      <c r="Y246" s="51">
        <v>1.0</v>
      </c>
      <c r="Z246" s="51">
        <v>1.0</v>
      </c>
      <c r="AA246" s="51">
        <v>1.0</v>
      </c>
      <c r="AB246" s="51">
        <v>1.0</v>
      </c>
      <c r="AE246" s="51" t="s">
        <v>104</v>
      </c>
      <c r="AF246" s="51">
        <v>3.0</v>
      </c>
      <c r="AG246" s="51">
        <v>3.0</v>
      </c>
      <c r="AH246" s="51" t="s">
        <v>103</v>
      </c>
      <c r="AI246" s="82" t="s">
        <v>254</v>
      </c>
      <c r="AJ246" s="80">
        <f t="shared" si="1"/>
        <v>30</v>
      </c>
      <c r="AK246" s="80">
        <f t="shared" si="2"/>
        <v>17</v>
      </c>
    </row>
    <row r="247">
      <c r="A247" s="79">
        <v>44995.96821386574</v>
      </c>
      <c r="B247" s="51" t="s">
        <v>102</v>
      </c>
      <c r="C247" s="51" t="s">
        <v>137</v>
      </c>
      <c r="D247" s="51">
        <v>6081.0</v>
      </c>
      <c r="E247" s="51" t="s">
        <v>106</v>
      </c>
      <c r="F247" s="51">
        <v>1.0</v>
      </c>
      <c r="G247" s="51">
        <v>1.0</v>
      </c>
      <c r="L247" s="51">
        <v>1.0</v>
      </c>
      <c r="M247" s="51">
        <v>1.0</v>
      </c>
      <c r="R247" s="51" t="s">
        <v>103</v>
      </c>
      <c r="S247" s="51">
        <v>1.0</v>
      </c>
      <c r="T247" s="51">
        <v>1.0</v>
      </c>
      <c r="W247" s="51">
        <v>3.0</v>
      </c>
      <c r="X247" s="51">
        <v>3.0</v>
      </c>
      <c r="Y247" s="51">
        <v>1.0</v>
      </c>
      <c r="Z247" s="51">
        <v>1.0</v>
      </c>
      <c r="AE247" s="51" t="s">
        <v>104</v>
      </c>
      <c r="AF247" s="51">
        <v>5.0</v>
      </c>
      <c r="AG247" s="51">
        <v>0.0</v>
      </c>
      <c r="AH247" s="51" t="s">
        <v>103</v>
      </c>
      <c r="AI247" s="81"/>
      <c r="AJ247" s="80">
        <f t="shared" si="1"/>
        <v>41</v>
      </c>
      <c r="AK247" s="80">
        <f t="shared" si="2"/>
        <v>28</v>
      </c>
    </row>
    <row r="248">
      <c r="A248" s="79">
        <v>44995.971892222224</v>
      </c>
      <c r="B248" s="51" t="s">
        <v>102</v>
      </c>
      <c r="C248" s="51" t="s">
        <v>138</v>
      </c>
      <c r="D248" s="51">
        <v>6081.0</v>
      </c>
      <c r="E248" s="51" t="s">
        <v>106</v>
      </c>
      <c r="F248" s="51">
        <v>1.0</v>
      </c>
      <c r="G248" s="51">
        <v>1.0</v>
      </c>
      <c r="L248" s="51">
        <v>1.0</v>
      </c>
      <c r="M248" s="51">
        <v>0.0</v>
      </c>
      <c r="R248" s="51" t="s">
        <v>103</v>
      </c>
      <c r="U248" s="51">
        <v>3.0</v>
      </c>
      <c r="V248" s="51">
        <v>2.0</v>
      </c>
      <c r="W248" s="51">
        <v>2.0</v>
      </c>
      <c r="X248" s="51">
        <v>2.0</v>
      </c>
      <c r="AA248" s="51">
        <v>1.0</v>
      </c>
      <c r="AB248" s="51">
        <v>1.0</v>
      </c>
      <c r="AE248" s="51" t="s">
        <v>104</v>
      </c>
      <c r="AF248" s="51">
        <v>5.0</v>
      </c>
      <c r="AG248" s="51">
        <v>0.0</v>
      </c>
      <c r="AH248" s="51" t="s">
        <v>103</v>
      </c>
      <c r="AI248" s="82" t="s">
        <v>255</v>
      </c>
      <c r="AJ248" s="80">
        <f t="shared" si="1"/>
        <v>32</v>
      </c>
      <c r="AK248" s="80">
        <f t="shared" si="2"/>
        <v>19</v>
      </c>
    </row>
    <row r="249">
      <c r="A249" s="79">
        <v>45004.625113159724</v>
      </c>
      <c r="B249" s="51" t="s">
        <v>192</v>
      </c>
      <c r="C249" s="51">
        <v>58.0</v>
      </c>
      <c r="D249" s="51">
        <v>6101.0</v>
      </c>
      <c r="E249" s="51" t="s">
        <v>106</v>
      </c>
      <c r="L249" s="51">
        <v>1.0</v>
      </c>
      <c r="M249" s="51">
        <v>1.0</v>
      </c>
      <c r="R249" s="51" t="s">
        <v>103</v>
      </c>
      <c r="AC249" s="51">
        <v>1.0</v>
      </c>
      <c r="AD249" s="51">
        <v>1.0</v>
      </c>
      <c r="AE249" s="51" t="s">
        <v>107</v>
      </c>
      <c r="AF249" s="51">
        <v>1.0</v>
      </c>
      <c r="AG249" s="51">
        <v>0.0</v>
      </c>
      <c r="AH249" s="51" t="s">
        <v>106</v>
      </c>
      <c r="AI249" s="82" t="s">
        <v>256</v>
      </c>
      <c r="AJ249" s="80">
        <f t="shared" si="1"/>
        <v>14</v>
      </c>
      <c r="AK249" s="80">
        <f t="shared" si="2"/>
        <v>8</v>
      </c>
    </row>
    <row r="250">
      <c r="A250" s="79">
        <v>45004.67037021991</v>
      </c>
      <c r="B250" s="51" t="s">
        <v>192</v>
      </c>
      <c r="C250" s="51">
        <v>63.0</v>
      </c>
      <c r="D250" s="51">
        <v>6101.0</v>
      </c>
      <c r="E250" s="51" t="s">
        <v>106</v>
      </c>
      <c r="L250" s="51">
        <v>1.0</v>
      </c>
      <c r="M250" s="51">
        <v>1.0</v>
      </c>
      <c r="R250" s="51" t="s">
        <v>103</v>
      </c>
      <c r="AC250" s="51">
        <v>1.0</v>
      </c>
      <c r="AD250" s="51">
        <v>1.0</v>
      </c>
      <c r="AE250" s="51" t="s">
        <v>104</v>
      </c>
      <c r="AF250" s="51">
        <v>2.0</v>
      </c>
      <c r="AG250" s="51">
        <v>1.0</v>
      </c>
      <c r="AH250" s="51" t="s">
        <v>103</v>
      </c>
      <c r="AI250" s="82" t="s">
        <v>257</v>
      </c>
      <c r="AJ250" s="80">
        <f t="shared" si="1"/>
        <v>21</v>
      </c>
      <c r="AK250" s="80">
        <f t="shared" si="2"/>
        <v>8</v>
      </c>
    </row>
    <row r="251">
      <c r="A251" s="79">
        <v>45004.881437916665</v>
      </c>
      <c r="B251" s="51" t="s">
        <v>192</v>
      </c>
      <c r="C251" s="51">
        <v>70.0</v>
      </c>
      <c r="D251" s="51">
        <v>6101.0</v>
      </c>
      <c r="E251" s="51" t="s">
        <v>106</v>
      </c>
      <c r="L251" s="51">
        <v>1.0</v>
      </c>
      <c r="M251" s="51">
        <v>0.0</v>
      </c>
      <c r="N251" s="51">
        <v>0.0</v>
      </c>
      <c r="O251" s="51">
        <v>1.0</v>
      </c>
      <c r="R251" s="51" t="s">
        <v>103</v>
      </c>
      <c r="Y251" s="51">
        <v>3.0</v>
      </c>
      <c r="Z251" s="51">
        <v>3.0</v>
      </c>
      <c r="AE251" s="51" t="s">
        <v>107</v>
      </c>
      <c r="AF251" s="51">
        <v>2.0</v>
      </c>
      <c r="AG251" s="51">
        <v>0.0</v>
      </c>
      <c r="AH251" s="51" t="s">
        <v>103</v>
      </c>
      <c r="AI251" s="82" t="s">
        <v>258</v>
      </c>
      <c r="AJ251" s="80">
        <f t="shared" si="1"/>
        <v>25</v>
      </c>
      <c r="AK251" s="80">
        <f t="shared" si="2"/>
        <v>19</v>
      </c>
    </row>
    <row r="252">
      <c r="A252" s="79">
        <v>45008.83319251158</v>
      </c>
      <c r="B252" s="51" t="s">
        <v>192</v>
      </c>
      <c r="C252" s="51">
        <v>58.0</v>
      </c>
      <c r="D252" s="51">
        <v>6101.0</v>
      </c>
      <c r="E252" s="51" t="s">
        <v>106</v>
      </c>
      <c r="L252" s="51">
        <v>1.0</v>
      </c>
      <c r="M252" s="51">
        <v>1.0</v>
      </c>
      <c r="R252" s="51" t="s">
        <v>103</v>
      </c>
      <c r="AC252" s="51">
        <v>1.0</v>
      </c>
      <c r="AD252" s="51">
        <v>1.0</v>
      </c>
      <c r="AE252" s="51" t="s">
        <v>107</v>
      </c>
      <c r="AF252" s="51">
        <v>2.0</v>
      </c>
      <c r="AG252" s="51">
        <v>0.0</v>
      </c>
      <c r="AH252" s="51" t="s">
        <v>103</v>
      </c>
      <c r="AI252" s="82" t="s">
        <v>259</v>
      </c>
      <c r="AJ252" s="80">
        <f t="shared" si="1"/>
        <v>14</v>
      </c>
      <c r="AK252" s="80">
        <f t="shared" si="2"/>
        <v>8</v>
      </c>
    </row>
    <row r="253">
      <c r="A253" s="79">
        <v>44997.47957081019</v>
      </c>
      <c r="B253" s="51" t="s">
        <v>144</v>
      </c>
      <c r="C253" s="51">
        <v>3.0</v>
      </c>
      <c r="D253" s="51">
        <v>6556.0</v>
      </c>
      <c r="E253" s="51" t="s">
        <v>106</v>
      </c>
      <c r="R253" s="51" t="s">
        <v>103</v>
      </c>
      <c r="AE253" s="51" t="s">
        <v>103</v>
      </c>
      <c r="AF253" s="51">
        <v>0.0</v>
      </c>
      <c r="AG253" s="51">
        <v>0.0</v>
      </c>
      <c r="AH253" s="51" t="s">
        <v>103</v>
      </c>
      <c r="AI253" s="81"/>
      <c r="AJ253" s="80">
        <f t="shared" si="1"/>
        <v>3</v>
      </c>
      <c r="AK253" s="80">
        <f t="shared" si="2"/>
        <v>0</v>
      </c>
    </row>
    <row r="254">
      <c r="A254" s="79">
        <v>44997.48143400463</v>
      </c>
      <c r="B254" s="51" t="s">
        <v>144</v>
      </c>
      <c r="C254" s="51">
        <v>9.0</v>
      </c>
      <c r="D254" s="51">
        <v>6556.0</v>
      </c>
      <c r="E254" s="51" t="s">
        <v>103</v>
      </c>
      <c r="R254" s="51" t="s">
        <v>103</v>
      </c>
      <c r="W254" s="51">
        <v>1.0</v>
      </c>
      <c r="X254" s="51">
        <v>1.0</v>
      </c>
      <c r="AE254" s="51" t="s">
        <v>103</v>
      </c>
      <c r="AF254" s="51">
        <v>1.0</v>
      </c>
      <c r="AG254" s="51">
        <v>1.0</v>
      </c>
      <c r="AH254" s="51" t="s">
        <v>103</v>
      </c>
      <c r="AI254" s="82" t="s">
        <v>260</v>
      </c>
      <c r="AJ254" s="80">
        <f t="shared" si="1"/>
        <v>2</v>
      </c>
      <c r="AK254" s="80">
        <f t="shared" si="2"/>
        <v>2</v>
      </c>
    </row>
    <row r="255">
      <c r="A255" s="79">
        <v>44997.48305784722</v>
      </c>
      <c r="B255" s="51" t="s">
        <v>144</v>
      </c>
      <c r="C255" s="51">
        <v>19.0</v>
      </c>
      <c r="D255" s="51">
        <v>6556.0</v>
      </c>
      <c r="E255" s="51" t="s">
        <v>103</v>
      </c>
      <c r="R255" s="51" t="s">
        <v>103</v>
      </c>
      <c r="AC255" s="51">
        <v>1.0</v>
      </c>
      <c r="AD255" s="51">
        <v>1.0</v>
      </c>
      <c r="AE255" s="51" t="s">
        <v>103</v>
      </c>
      <c r="AF255" s="51">
        <v>1.0</v>
      </c>
      <c r="AG255" s="51">
        <v>0.0</v>
      </c>
      <c r="AH255" s="51" t="s">
        <v>103</v>
      </c>
      <c r="AI255" s="81"/>
      <c r="AJ255" s="80">
        <f t="shared" si="1"/>
        <v>2</v>
      </c>
      <c r="AK255" s="80">
        <f t="shared" si="2"/>
        <v>2</v>
      </c>
    </row>
    <row r="256">
      <c r="A256" s="79">
        <v>44997.48451408565</v>
      </c>
      <c r="B256" s="51" t="s">
        <v>144</v>
      </c>
      <c r="C256" s="51">
        <v>24.0</v>
      </c>
      <c r="D256" s="51">
        <v>6556.0</v>
      </c>
      <c r="E256" s="51" t="s">
        <v>103</v>
      </c>
      <c r="R256" s="51" t="s">
        <v>103</v>
      </c>
      <c r="AE256" s="51" t="s">
        <v>103</v>
      </c>
      <c r="AF256" s="51">
        <v>0.0</v>
      </c>
      <c r="AG256" s="51">
        <v>2.0</v>
      </c>
      <c r="AH256" s="51" t="s">
        <v>103</v>
      </c>
      <c r="AI256" s="81"/>
      <c r="AJ256" s="80">
        <f t="shared" si="1"/>
        <v>0</v>
      </c>
      <c r="AK256" s="80">
        <f t="shared" si="2"/>
        <v>0</v>
      </c>
    </row>
    <row r="257">
      <c r="A257" s="79">
        <v>45004.89677121528</v>
      </c>
      <c r="B257" s="51" t="s">
        <v>192</v>
      </c>
      <c r="C257" s="51">
        <v>64.0</v>
      </c>
      <c r="D257" s="51">
        <v>6615.0</v>
      </c>
      <c r="E257" s="51" t="s">
        <v>106</v>
      </c>
      <c r="L257" s="51">
        <v>1.0</v>
      </c>
      <c r="M257" s="51">
        <v>1.0</v>
      </c>
      <c r="R257" s="51" t="s">
        <v>103</v>
      </c>
      <c r="Y257" s="51">
        <v>1.0</v>
      </c>
      <c r="Z257" s="51">
        <v>1.0</v>
      </c>
      <c r="AE257" s="51" t="s">
        <v>104</v>
      </c>
      <c r="AF257" s="51">
        <v>2.0</v>
      </c>
      <c r="AG257" s="51">
        <v>0.0</v>
      </c>
      <c r="AH257" s="51" t="s">
        <v>103</v>
      </c>
      <c r="AI257" s="82" t="s">
        <v>222</v>
      </c>
      <c r="AJ257" s="80">
        <f t="shared" si="1"/>
        <v>24</v>
      </c>
      <c r="AK257" s="80">
        <f t="shared" si="2"/>
        <v>11</v>
      </c>
    </row>
    <row r="258">
      <c r="A258" s="79">
        <v>45004.90062556713</v>
      </c>
      <c r="B258" s="51" t="s">
        <v>192</v>
      </c>
      <c r="C258" s="51">
        <v>69.0</v>
      </c>
      <c r="D258" s="51">
        <v>6615.0</v>
      </c>
      <c r="E258" s="51" t="s">
        <v>106</v>
      </c>
      <c r="L258" s="51">
        <v>1.0</v>
      </c>
      <c r="M258" s="51">
        <v>1.0</v>
      </c>
      <c r="N258" s="51">
        <v>0.0</v>
      </c>
      <c r="O258" s="51">
        <v>0.0</v>
      </c>
      <c r="R258" s="51" t="s">
        <v>103</v>
      </c>
      <c r="AE258" s="51" t="s">
        <v>107</v>
      </c>
      <c r="AF258" s="51">
        <v>1.0</v>
      </c>
      <c r="AG258" s="51">
        <v>0.0</v>
      </c>
      <c r="AH258" s="51" t="s">
        <v>106</v>
      </c>
      <c r="AI258" s="82" t="s">
        <v>261</v>
      </c>
      <c r="AJ258" s="80">
        <f t="shared" si="1"/>
        <v>12</v>
      </c>
      <c r="AK258" s="80">
        <f t="shared" si="2"/>
        <v>6</v>
      </c>
    </row>
    <row r="259">
      <c r="A259" s="79">
        <v>45004.93169048611</v>
      </c>
      <c r="B259" s="51" t="s">
        <v>192</v>
      </c>
      <c r="C259" s="51">
        <v>80.0</v>
      </c>
      <c r="D259" s="51">
        <v>6615.0</v>
      </c>
      <c r="E259" s="51" t="s">
        <v>103</v>
      </c>
      <c r="R259" s="51" t="s">
        <v>103</v>
      </c>
      <c r="Y259" s="51">
        <v>1.0</v>
      </c>
      <c r="Z259" s="51">
        <v>1.0</v>
      </c>
      <c r="AE259" s="51" t="s">
        <v>103</v>
      </c>
      <c r="AF259" s="51">
        <v>1.0</v>
      </c>
      <c r="AG259" s="51">
        <v>0.0</v>
      </c>
      <c r="AH259" s="51" t="s">
        <v>106</v>
      </c>
      <c r="AI259" s="82" t="s">
        <v>262</v>
      </c>
      <c r="AJ259" s="80">
        <f t="shared" si="1"/>
        <v>5</v>
      </c>
      <c r="AK259" s="80">
        <f t="shared" si="2"/>
        <v>5</v>
      </c>
    </row>
    <row r="260">
      <c r="A260" s="79">
        <v>45005.350323506944</v>
      </c>
      <c r="B260" s="51" t="s">
        <v>239</v>
      </c>
      <c r="C260" s="51">
        <v>2.0</v>
      </c>
      <c r="D260" s="51">
        <v>6616.0</v>
      </c>
      <c r="E260" s="51" t="s">
        <v>103</v>
      </c>
      <c r="R260" s="51" t="s">
        <v>103</v>
      </c>
      <c r="AE260" s="51" t="s">
        <v>103</v>
      </c>
      <c r="AF260" s="51">
        <v>0.0</v>
      </c>
      <c r="AG260" s="51">
        <v>0.0</v>
      </c>
      <c r="AH260" s="51" t="s">
        <v>106</v>
      </c>
      <c r="AI260" s="82" t="s">
        <v>263</v>
      </c>
      <c r="AJ260" s="80">
        <f t="shared" si="1"/>
        <v>0</v>
      </c>
      <c r="AK260" s="80">
        <f t="shared" si="2"/>
        <v>0</v>
      </c>
    </row>
    <row r="261">
      <c r="A261" s="79">
        <v>45005.35781577547</v>
      </c>
      <c r="B261" s="51" t="s">
        <v>239</v>
      </c>
      <c r="C261" s="51">
        <v>8.0</v>
      </c>
      <c r="D261" s="51">
        <v>6616.0</v>
      </c>
      <c r="E261" s="51" t="s">
        <v>103</v>
      </c>
      <c r="R261" s="51" t="s">
        <v>103</v>
      </c>
      <c r="AE261" s="51" t="s">
        <v>103</v>
      </c>
      <c r="AF261" s="51">
        <v>0.0</v>
      </c>
      <c r="AG261" s="51">
        <v>0.0</v>
      </c>
      <c r="AH261" s="51" t="s">
        <v>106</v>
      </c>
      <c r="AI261" s="82" t="s">
        <v>264</v>
      </c>
      <c r="AJ261" s="80">
        <f t="shared" si="1"/>
        <v>0</v>
      </c>
      <c r="AK261" s="80">
        <f t="shared" si="2"/>
        <v>0</v>
      </c>
    </row>
    <row r="262">
      <c r="A262" s="79">
        <v>45005.358766087964</v>
      </c>
      <c r="B262" s="51" t="s">
        <v>239</v>
      </c>
      <c r="C262" s="51">
        <v>15.0</v>
      </c>
      <c r="D262" s="51">
        <v>6616.0</v>
      </c>
      <c r="E262" s="51" t="s">
        <v>103</v>
      </c>
      <c r="R262" s="51" t="s">
        <v>103</v>
      </c>
      <c r="AE262" s="51" t="s">
        <v>103</v>
      </c>
      <c r="AF262" s="51">
        <v>0.0</v>
      </c>
      <c r="AG262" s="51">
        <v>0.0</v>
      </c>
      <c r="AH262" s="51" t="s">
        <v>106</v>
      </c>
      <c r="AI262" s="82" t="s">
        <v>265</v>
      </c>
      <c r="AJ262" s="80">
        <f t="shared" si="1"/>
        <v>0</v>
      </c>
      <c r="AK262" s="80">
        <f t="shared" si="2"/>
        <v>0</v>
      </c>
    </row>
    <row r="263">
      <c r="A263" s="79">
        <v>45005.359629398146</v>
      </c>
      <c r="B263" s="51" t="s">
        <v>239</v>
      </c>
      <c r="C263" s="51">
        <v>21.0</v>
      </c>
      <c r="D263" s="51">
        <v>6616.0</v>
      </c>
      <c r="E263" s="51" t="s">
        <v>103</v>
      </c>
      <c r="R263" s="51" t="s">
        <v>103</v>
      </c>
      <c r="AE263" s="51" t="s">
        <v>103</v>
      </c>
      <c r="AF263" s="51">
        <v>0.0</v>
      </c>
      <c r="AG263" s="51">
        <v>0.0</v>
      </c>
      <c r="AH263" s="51" t="s">
        <v>106</v>
      </c>
      <c r="AI263" s="82" t="s">
        <v>266</v>
      </c>
      <c r="AJ263" s="80">
        <f t="shared" si="1"/>
        <v>0</v>
      </c>
      <c r="AK263" s="80">
        <f t="shared" si="2"/>
        <v>0</v>
      </c>
    </row>
    <row r="264">
      <c r="A264" s="79">
        <v>45005.362232604166</v>
      </c>
      <c r="B264" s="51" t="s">
        <v>239</v>
      </c>
      <c r="C264" s="51">
        <v>27.0</v>
      </c>
      <c r="D264" s="51">
        <v>6616.0</v>
      </c>
      <c r="E264" s="51" t="s">
        <v>103</v>
      </c>
      <c r="R264" s="51" t="s">
        <v>103</v>
      </c>
      <c r="AE264" s="51" t="s">
        <v>103</v>
      </c>
      <c r="AF264" s="51">
        <v>0.0</v>
      </c>
      <c r="AG264" s="51">
        <v>0.0</v>
      </c>
      <c r="AH264" s="51" t="s">
        <v>103</v>
      </c>
      <c r="AI264" s="82" t="s">
        <v>267</v>
      </c>
      <c r="AJ264" s="80">
        <f t="shared" si="1"/>
        <v>0</v>
      </c>
      <c r="AK264" s="80">
        <f t="shared" si="2"/>
        <v>0</v>
      </c>
    </row>
    <row r="265">
      <c r="A265" s="79">
        <v>45005.364497476854</v>
      </c>
      <c r="B265" s="51" t="s">
        <v>239</v>
      </c>
      <c r="C265" s="51">
        <v>33.0</v>
      </c>
      <c r="D265" s="51">
        <v>6616.0</v>
      </c>
      <c r="E265" s="51" t="s">
        <v>103</v>
      </c>
      <c r="R265" s="51" t="s">
        <v>103</v>
      </c>
      <c r="AE265" s="51" t="s">
        <v>103</v>
      </c>
      <c r="AF265" s="51">
        <v>0.0</v>
      </c>
      <c r="AG265" s="51">
        <v>0.0</v>
      </c>
      <c r="AH265" s="51" t="s">
        <v>103</v>
      </c>
      <c r="AI265" s="82" t="s">
        <v>268</v>
      </c>
      <c r="AJ265" s="80">
        <f t="shared" si="1"/>
        <v>0</v>
      </c>
      <c r="AK265" s="80">
        <f t="shared" si="2"/>
        <v>0</v>
      </c>
    </row>
    <row r="266">
      <c r="A266" s="79">
        <v>45005.36641962963</v>
      </c>
      <c r="B266" s="51" t="s">
        <v>239</v>
      </c>
      <c r="C266" s="51">
        <v>40.0</v>
      </c>
      <c r="D266" s="51">
        <v>6616.0</v>
      </c>
      <c r="E266" s="51" t="s">
        <v>103</v>
      </c>
      <c r="R266" s="51" t="s">
        <v>103</v>
      </c>
      <c r="AE266" s="51" t="s">
        <v>103</v>
      </c>
      <c r="AF266" s="51">
        <v>0.0</v>
      </c>
      <c r="AG266" s="51">
        <v>0.0</v>
      </c>
      <c r="AH266" s="51" t="s">
        <v>103</v>
      </c>
      <c r="AI266" s="82" t="s">
        <v>269</v>
      </c>
      <c r="AJ266" s="80">
        <f t="shared" si="1"/>
        <v>0</v>
      </c>
      <c r="AK266" s="80">
        <f t="shared" si="2"/>
        <v>0</v>
      </c>
    </row>
    <row r="267">
      <c r="A267" s="79">
        <v>45005.36895509259</v>
      </c>
      <c r="B267" s="51" t="s">
        <v>239</v>
      </c>
      <c r="C267" s="51">
        <v>50.0</v>
      </c>
      <c r="D267" s="51">
        <v>6616.0</v>
      </c>
      <c r="E267" s="51" t="s">
        <v>103</v>
      </c>
      <c r="R267" s="51" t="s">
        <v>103</v>
      </c>
      <c r="AE267" s="51" t="s">
        <v>103</v>
      </c>
      <c r="AF267" s="51">
        <v>0.0</v>
      </c>
      <c r="AG267" s="51">
        <v>0.0</v>
      </c>
      <c r="AH267" s="51" t="s">
        <v>103</v>
      </c>
      <c r="AI267" s="82" t="s">
        <v>270</v>
      </c>
      <c r="AJ267" s="80">
        <f t="shared" si="1"/>
        <v>0</v>
      </c>
      <c r="AK267" s="80">
        <f t="shared" si="2"/>
        <v>0</v>
      </c>
    </row>
    <row r="268">
      <c r="A268" s="79">
        <v>44998.781323449075</v>
      </c>
      <c r="B268" s="51" t="s">
        <v>239</v>
      </c>
      <c r="C268" s="51">
        <v>1.0</v>
      </c>
      <c r="D268" s="51">
        <v>7221.0</v>
      </c>
      <c r="E268" s="51" t="s">
        <v>103</v>
      </c>
      <c r="F268" s="51">
        <v>0.0</v>
      </c>
      <c r="G268" s="51">
        <v>0.0</v>
      </c>
      <c r="H268" s="51">
        <v>0.0</v>
      </c>
      <c r="I268" s="51">
        <v>0.0</v>
      </c>
      <c r="J268" s="51">
        <v>0.0</v>
      </c>
      <c r="K268" s="51">
        <v>0.0</v>
      </c>
      <c r="L268" s="51">
        <v>0.0</v>
      </c>
      <c r="M268" s="51">
        <v>0.0</v>
      </c>
      <c r="N268" s="51">
        <v>0.0</v>
      </c>
      <c r="O268" s="51">
        <v>0.0</v>
      </c>
      <c r="P268" s="51">
        <v>0.0</v>
      </c>
      <c r="Q268" s="51">
        <v>0.0</v>
      </c>
      <c r="R268" s="51" t="s">
        <v>103</v>
      </c>
      <c r="S268" s="51">
        <v>0.0</v>
      </c>
      <c r="T268" s="51">
        <v>0.0</v>
      </c>
      <c r="U268" s="51">
        <v>0.0</v>
      </c>
      <c r="V268" s="51">
        <v>0.0</v>
      </c>
      <c r="W268" s="51">
        <v>0.0</v>
      </c>
      <c r="X268" s="51">
        <v>0.0</v>
      </c>
      <c r="Y268" s="51">
        <v>0.0</v>
      </c>
      <c r="Z268" s="51">
        <v>0.0</v>
      </c>
      <c r="AA268" s="51">
        <v>0.0</v>
      </c>
      <c r="AB268" s="51">
        <v>0.0</v>
      </c>
      <c r="AC268" s="51">
        <v>0.0</v>
      </c>
      <c r="AD268" s="51">
        <v>0.0</v>
      </c>
      <c r="AE268" s="51" t="s">
        <v>103</v>
      </c>
      <c r="AF268" s="51">
        <v>0.0</v>
      </c>
      <c r="AG268" s="51">
        <v>0.0</v>
      </c>
      <c r="AH268" s="51" t="s">
        <v>106</v>
      </c>
      <c r="AI268" s="82" t="s">
        <v>271</v>
      </c>
      <c r="AJ268" s="80">
        <f t="shared" si="1"/>
        <v>0</v>
      </c>
      <c r="AK268" s="80">
        <f t="shared" si="2"/>
        <v>0</v>
      </c>
    </row>
    <row r="269">
      <c r="A269" s="79">
        <v>44998.78396747685</v>
      </c>
      <c r="B269" s="51" t="s">
        <v>239</v>
      </c>
      <c r="C269" s="51">
        <v>1.0</v>
      </c>
      <c r="D269" s="51">
        <v>7221.0</v>
      </c>
      <c r="E269" s="51" t="s">
        <v>103</v>
      </c>
      <c r="F269" s="51">
        <v>0.0</v>
      </c>
      <c r="G269" s="51">
        <v>0.0</v>
      </c>
      <c r="H269" s="51">
        <v>0.0</v>
      </c>
      <c r="I269" s="51">
        <v>0.0</v>
      </c>
      <c r="J269" s="51">
        <v>0.0</v>
      </c>
      <c r="K269" s="51">
        <v>0.0</v>
      </c>
      <c r="L269" s="51">
        <v>0.0</v>
      </c>
      <c r="M269" s="51">
        <v>0.0</v>
      </c>
      <c r="N269" s="51">
        <v>0.0</v>
      </c>
      <c r="O269" s="51">
        <v>0.0</v>
      </c>
      <c r="P269" s="51">
        <v>0.0</v>
      </c>
      <c r="Q269" s="51">
        <v>0.0</v>
      </c>
      <c r="R269" s="51" t="s">
        <v>103</v>
      </c>
      <c r="S269" s="51">
        <v>0.0</v>
      </c>
      <c r="T269" s="51">
        <v>0.0</v>
      </c>
      <c r="U269" s="51">
        <v>0.0</v>
      </c>
      <c r="V269" s="51">
        <v>0.0</v>
      </c>
      <c r="W269" s="51">
        <v>2.0</v>
      </c>
      <c r="X269" s="51">
        <v>1.0</v>
      </c>
      <c r="Y269" s="51">
        <v>0.0</v>
      </c>
      <c r="Z269" s="51">
        <v>0.0</v>
      </c>
      <c r="AA269" s="51">
        <v>0.0</v>
      </c>
      <c r="AB269" s="51">
        <v>0.0</v>
      </c>
      <c r="AC269" s="51">
        <v>0.0</v>
      </c>
      <c r="AD269" s="51">
        <v>0.0</v>
      </c>
      <c r="AE269" s="51" t="s">
        <v>103</v>
      </c>
      <c r="AF269" s="51">
        <v>0.0</v>
      </c>
      <c r="AG269" s="51">
        <v>0.0</v>
      </c>
      <c r="AH269" s="51" t="s">
        <v>106</v>
      </c>
      <c r="AI269" s="81"/>
      <c r="AJ269" s="80">
        <f t="shared" si="1"/>
        <v>2</v>
      </c>
      <c r="AK269" s="80">
        <f t="shared" si="2"/>
        <v>2</v>
      </c>
    </row>
    <row r="270">
      <c r="A270" s="79">
        <v>44998.78708811343</v>
      </c>
      <c r="B270" s="51" t="s">
        <v>239</v>
      </c>
      <c r="C270" s="51">
        <v>8.0</v>
      </c>
      <c r="D270" s="51">
        <v>7221.0</v>
      </c>
      <c r="E270" s="51" t="s">
        <v>103</v>
      </c>
      <c r="F270" s="51">
        <v>0.0</v>
      </c>
      <c r="G270" s="51">
        <v>0.0</v>
      </c>
      <c r="H270" s="51">
        <v>0.0</v>
      </c>
      <c r="I270" s="51">
        <v>0.0</v>
      </c>
      <c r="J270" s="51">
        <v>0.0</v>
      </c>
      <c r="K270" s="51">
        <v>0.0</v>
      </c>
      <c r="L270" s="51">
        <v>0.0</v>
      </c>
      <c r="M270" s="51">
        <v>0.0</v>
      </c>
      <c r="N270" s="51">
        <v>0.0</v>
      </c>
      <c r="O270" s="51">
        <v>0.0</v>
      </c>
      <c r="P270" s="51">
        <v>0.0</v>
      </c>
      <c r="Q270" s="51">
        <v>0.0</v>
      </c>
      <c r="R270" s="51" t="s">
        <v>103</v>
      </c>
      <c r="S270" s="51">
        <v>0.0</v>
      </c>
      <c r="T270" s="51">
        <v>0.0</v>
      </c>
      <c r="U270" s="51">
        <v>0.0</v>
      </c>
      <c r="V270" s="51">
        <v>0.0</v>
      </c>
      <c r="W270" s="51">
        <v>3.0</v>
      </c>
      <c r="X270" s="51">
        <v>3.0</v>
      </c>
      <c r="Y270" s="51">
        <v>0.0</v>
      </c>
      <c r="Z270" s="51">
        <v>0.0</v>
      </c>
      <c r="AA270" s="51">
        <v>0.0</v>
      </c>
      <c r="AB270" s="51">
        <v>0.0</v>
      </c>
      <c r="AC270" s="51">
        <v>0.0</v>
      </c>
      <c r="AD270" s="51">
        <v>0.0</v>
      </c>
      <c r="AE270" s="51" t="s">
        <v>107</v>
      </c>
      <c r="AF270" s="51">
        <v>0.0</v>
      </c>
      <c r="AG270" s="51">
        <v>0.0</v>
      </c>
      <c r="AH270" s="51" t="s">
        <v>103</v>
      </c>
      <c r="AI270" s="82" t="s">
        <v>272</v>
      </c>
      <c r="AJ270" s="80">
        <f t="shared" si="1"/>
        <v>9</v>
      </c>
      <c r="AK270" s="80">
        <f t="shared" si="2"/>
        <v>6</v>
      </c>
    </row>
    <row r="271">
      <c r="A271" s="79">
        <v>44998.78987032408</v>
      </c>
      <c r="B271" s="51" t="s">
        <v>239</v>
      </c>
      <c r="C271" s="51">
        <v>16.0</v>
      </c>
      <c r="D271" s="51">
        <v>7221.0</v>
      </c>
      <c r="E271" s="51" t="s">
        <v>103</v>
      </c>
      <c r="F271" s="51">
        <v>0.0</v>
      </c>
      <c r="G271" s="51">
        <v>0.0</v>
      </c>
      <c r="H271" s="51">
        <v>0.0</v>
      </c>
      <c r="I271" s="51">
        <v>0.0</v>
      </c>
      <c r="J271" s="51">
        <v>0.0</v>
      </c>
      <c r="K271" s="51">
        <v>0.0</v>
      </c>
      <c r="L271" s="51">
        <v>0.0</v>
      </c>
      <c r="M271" s="51">
        <v>0.0</v>
      </c>
      <c r="N271" s="51">
        <v>0.0</v>
      </c>
      <c r="O271" s="51">
        <v>0.0</v>
      </c>
      <c r="P271" s="51">
        <v>0.0</v>
      </c>
      <c r="Q271" s="51">
        <v>0.0</v>
      </c>
      <c r="R271" s="51" t="s">
        <v>103</v>
      </c>
      <c r="S271" s="51">
        <v>0.0</v>
      </c>
      <c r="T271" s="51">
        <v>0.0</v>
      </c>
      <c r="U271" s="51">
        <v>1.0</v>
      </c>
      <c r="V271" s="51">
        <v>0.0</v>
      </c>
      <c r="W271" s="51">
        <v>1.0</v>
      </c>
      <c r="X271" s="51">
        <v>1.0</v>
      </c>
      <c r="Y271" s="51">
        <v>0.0</v>
      </c>
      <c r="Z271" s="51">
        <v>0.0</v>
      </c>
      <c r="AA271" s="51">
        <v>0.0</v>
      </c>
      <c r="AB271" s="51">
        <v>0.0</v>
      </c>
      <c r="AC271" s="51">
        <v>0.0</v>
      </c>
      <c r="AD271" s="51">
        <v>0.0</v>
      </c>
      <c r="AE271" s="51" t="s">
        <v>107</v>
      </c>
      <c r="AF271" s="51">
        <v>0.0</v>
      </c>
      <c r="AG271" s="51">
        <v>0.0</v>
      </c>
      <c r="AH271" s="51" t="s">
        <v>106</v>
      </c>
      <c r="AI271" s="81"/>
      <c r="AJ271" s="80">
        <f t="shared" si="1"/>
        <v>5</v>
      </c>
      <c r="AK271" s="80">
        <f t="shared" si="2"/>
        <v>2</v>
      </c>
    </row>
    <row r="272">
      <c r="A272" s="79">
        <v>44998.79223612268</v>
      </c>
      <c r="B272" s="51" t="s">
        <v>239</v>
      </c>
      <c r="C272" s="51">
        <v>22.0</v>
      </c>
      <c r="D272" s="51">
        <v>7221.0</v>
      </c>
      <c r="E272" s="51" t="s">
        <v>103</v>
      </c>
      <c r="R272" s="51" t="s">
        <v>103</v>
      </c>
      <c r="S272" s="51">
        <v>0.0</v>
      </c>
      <c r="T272" s="51">
        <v>0.0</v>
      </c>
      <c r="U272" s="51">
        <v>0.0</v>
      </c>
      <c r="V272" s="51">
        <v>0.0</v>
      </c>
      <c r="W272" s="51">
        <v>0.0</v>
      </c>
      <c r="X272" s="51">
        <v>0.0</v>
      </c>
      <c r="Y272" s="51">
        <v>0.0</v>
      </c>
      <c r="Z272" s="51">
        <v>0.0</v>
      </c>
      <c r="AA272" s="51">
        <v>0.0</v>
      </c>
      <c r="AB272" s="51">
        <v>0.0</v>
      </c>
      <c r="AC272" s="51">
        <v>0.0</v>
      </c>
      <c r="AD272" s="51">
        <v>0.0</v>
      </c>
      <c r="AE272" s="51" t="s">
        <v>107</v>
      </c>
      <c r="AF272" s="51">
        <v>0.0</v>
      </c>
      <c r="AG272" s="51">
        <v>0.0</v>
      </c>
      <c r="AH272" s="51" t="s">
        <v>106</v>
      </c>
      <c r="AI272" s="82" t="s">
        <v>273</v>
      </c>
      <c r="AJ272" s="80">
        <f t="shared" si="1"/>
        <v>3</v>
      </c>
      <c r="AK272" s="80">
        <f t="shared" si="2"/>
        <v>0</v>
      </c>
    </row>
    <row r="273">
      <c r="A273" s="79">
        <v>44998.79627180556</v>
      </c>
      <c r="B273" s="51" t="s">
        <v>239</v>
      </c>
      <c r="C273" s="51">
        <v>29.0</v>
      </c>
      <c r="D273" s="51">
        <v>7221.0</v>
      </c>
      <c r="E273" s="51" t="s">
        <v>106</v>
      </c>
      <c r="F273" s="51">
        <v>0.0</v>
      </c>
      <c r="G273" s="51">
        <v>0.0</v>
      </c>
      <c r="R273" s="51" t="s">
        <v>103</v>
      </c>
      <c r="S273" s="51">
        <v>0.0</v>
      </c>
      <c r="T273" s="51">
        <v>0.0</v>
      </c>
      <c r="U273" s="51">
        <v>0.0</v>
      </c>
      <c r="V273" s="51">
        <v>0.0</v>
      </c>
      <c r="W273" s="51">
        <v>2.0</v>
      </c>
      <c r="X273" s="51">
        <v>1.0</v>
      </c>
      <c r="Y273" s="51">
        <v>0.0</v>
      </c>
      <c r="Z273" s="51">
        <v>0.0</v>
      </c>
      <c r="AA273" s="51">
        <v>0.0</v>
      </c>
      <c r="AB273" s="51">
        <v>0.0</v>
      </c>
      <c r="AC273" s="51">
        <v>0.0</v>
      </c>
      <c r="AD273" s="51">
        <v>0.0</v>
      </c>
      <c r="AE273" s="51" t="s">
        <v>107</v>
      </c>
      <c r="AF273" s="51">
        <v>1.0</v>
      </c>
      <c r="AG273" s="51">
        <v>2.0</v>
      </c>
      <c r="AH273" s="51" t="s">
        <v>103</v>
      </c>
      <c r="AI273" s="81"/>
      <c r="AJ273" s="80">
        <f t="shared" si="1"/>
        <v>8</v>
      </c>
      <c r="AK273" s="80">
        <f t="shared" si="2"/>
        <v>2</v>
      </c>
    </row>
    <row r="274">
      <c r="A274" s="79">
        <v>44998.79965302083</v>
      </c>
      <c r="B274" s="51" t="s">
        <v>239</v>
      </c>
      <c r="C274" s="51">
        <v>33.0</v>
      </c>
      <c r="D274" s="51">
        <v>7221.0</v>
      </c>
      <c r="E274" s="51" t="s">
        <v>106</v>
      </c>
      <c r="F274" s="51">
        <v>0.0</v>
      </c>
      <c r="G274" s="51">
        <v>0.0</v>
      </c>
      <c r="H274" s="51">
        <v>0.0</v>
      </c>
      <c r="I274" s="51">
        <v>0.0</v>
      </c>
      <c r="J274" s="51">
        <v>0.0</v>
      </c>
      <c r="K274" s="51">
        <v>0.0</v>
      </c>
      <c r="L274" s="51">
        <v>0.0</v>
      </c>
      <c r="M274" s="51">
        <v>0.0</v>
      </c>
      <c r="N274" s="51">
        <v>0.0</v>
      </c>
      <c r="O274" s="51">
        <v>0.0</v>
      </c>
      <c r="P274" s="51">
        <v>0.0</v>
      </c>
      <c r="Q274" s="51">
        <v>0.0</v>
      </c>
      <c r="R274" s="51" t="s">
        <v>103</v>
      </c>
      <c r="S274" s="51">
        <v>0.0</v>
      </c>
      <c r="T274" s="51">
        <v>0.0</v>
      </c>
      <c r="U274" s="51">
        <v>0.0</v>
      </c>
      <c r="V274" s="51">
        <v>0.0</v>
      </c>
      <c r="W274" s="51">
        <v>3.0</v>
      </c>
      <c r="X274" s="51">
        <v>1.0</v>
      </c>
      <c r="Y274" s="51">
        <v>0.0</v>
      </c>
      <c r="Z274" s="51">
        <v>0.0</v>
      </c>
      <c r="AA274" s="51">
        <v>0.0</v>
      </c>
      <c r="AB274" s="51">
        <v>0.0</v>
      </c>
      <c r="AC274" s="51">
        <v>2.0</v>
      </c>
      <c r="AD274" s="51">
        <v>1.0</v>
      </c>
      <c r="AE274" s="51" t="s">
        <v>107</v>
      </c>
      <c r="AF274" s="51">
        <v>0.0</v>
      </c>
      <c r="AG274" s="51">
        <v>0.0</v>
      </c>
      <c r="AH274" s="51" t="s">
        <v>103</v>
      </c>
      <c r="AI274" s="81"/>
      <c r="AJ274" s="80">
        <f t="shared" si="1"/>
        <v>10</v>
      </c>
      <c r="AK274" s="80">
        <f t="shared" si="2"/>
        <v>4</v>
      </c>
    </row>
    <row r="275">
      <c r="A275" s="79">
        <v>44998.80219805556</v>
      </c>
      <c r="B275" s="51" t="s">
        <v>239</v>
      </c>
      <c r="C275" s="51">
        <v>41.0</v>
      </c>
      <c r="D275" s="51">
        <v>7221.0</v>
      </c>
      <c r="E275" s="51" t="s">
        <v>106</v>
      </c>
      <c r="F275" s="51">
        <v>0.0</v>
      </c>
      <c r="G275" s="51">
        <v>0.0</v>
      </c>
      <c r="H275" s="51">
        <v>0.0</v>
      </c>
      <c r="I275" s="51">
        <v>0.0</v>
      </c>
      <c r="J275" s="51">
        <v>0.0</v>
      </c>
      <c r="K275" s="51">
        <v>0.0</v>
      </c>
      <c r="L275" s="51">
        <v>0.0</v>
      </c>
      <c r="M275" s="51">
        <v>0.0</v>
      </c>
      <c r="N275" s="51">
        <v>0.0</v>
      </c>
      <c r="O275" s="51">
        <v>0.0</v>
      </c>
      <c r="P275" s="51">
        <v>0.0</v>
      </c>
      <c r="Q275" s="51">
        <v>0.0</v>
      </c>
      <c r="R275" s="51" t="s">
        <v>103</v>
      </c>
      <c r="S275" s="51">
        <v>0.0</v>
      </c>
      <c r="T275" s="51">
        <v>0.0</v>
      </c>
      <c r="U275" s="51">
        <v>0.0</v>
      </c>
      <c r="V275" s="51">
        <v>0.0</v>
      </c>
      <c r="W275" s="51">
        <v>3.0</v>
      </c>
      <c r="X275" s="51">
        <v>0.0</v>
      </c>
      <c r="Y275" s="51">
        <v>0.0</v>
      </c>
      <c r="Z275" s="51">
        <v>0.0</v>
      </c>
      <c r="AA275" s="51">
        <v>0.0</v>
      </c>
      <c r="AB275" s="51">
        <v>0.0</v>
      </c>
      <c r="AC275" s="51">
        <v>2.0</v>
      </c>
      <c r="AD275" s="51">
        <v>0.0</v>
      </c>
      <c r="AE275" s="51" t="s">
        <v>107</v>
      </c>
      <c r="AF275" s="51">
        <v>0.0</v>
      </c>
      <c r="AG275" s="51">
        <v>2.0</v>
      </c>
      <c r="AH275" s="51" t="s">
        <v>103</v>
      </c>
      <c r="AI275" s="82" t="s">
        <v>274</v>
      </c>
      <c r="AJ275" s="80">
        <f t="shared" si="1"/>
        <v>6</v>
      </c>
      <c r="AK275" s="80">
        <f t="shared" si="2"/>
        <v>0</v>
      </c>
    </row>
    <row r="276">
      <c r="A276" s="79">
        <v>44998.80777413194</v>
      </c>
      <c r="B276" s="51" t="s">
        <v>239</v>
      </c>
      <c r="C276" s="51">
        <v>51.0</v>
      </c>
      <c r="D276" s="51">
        <v>7221.0</v>
      </c>
      <c r="E276" s="51" t="s">
        <v>106</v>
      </c>
      <c r="F276" s="51">
        <v>0.0</v>
      </c>
      <c r="G276" s="51">
        <v>0.0</v>
      </c>
      <c r="R276" s="51" t="s">
        <v>103</v>
      </c>
      <c r="S276" s="51">
        <v>0.0</v>
      </c>
      <c r="T276" s="51">
        <v>0.0</v>
      </c>
      <c r="U276" s="51">
        <v>0.0</v>
      </c>
      <c r="V276" s="51">
        <v>0.0</v>
      </c>
      <c r="W276" s="51">
        <v>0.0</v>
      </c>
      <c r="X276" s="51">
        <v>0.0</v>
      </c>
      <c r="Y276" s="51">
        <v>0.0</v>
      </c>
      <c r="Z276" s="51">
        <v>0.0</v>
      </c>
      <c r="AA276" s="51">
        <v>0.0</v>
      </c>
      <c r="AB276" s="51">
        <v>0.0</v>
      </c>
      <c r="AC276" s="51">
        <v>3.0</v>
      </c>
      <c r="AD276" s="51">
        <v>1.0</v>
      </c>
      <c r="AE276" s="51" t="s">
        <v>107</v>
      </c>
      <c r="AF276" s="51">
        <v>0.0</v>
      </c>
      <c r="AG276" s="51">
        <v>0.0</v>
      </c>
      <c r="AH276" s="51" t="s">
        <v>103</v>
      </c>
      <c r="AI276" s="81"/>
      <c r="AJ276" s="80">
        <f t="shared" si="1"/>
        <v>8</v>
      </c>
      <c r="AK276" s="80">
        <f t="shared" si="2"/>
        <v>2</v>
      </c>
    </row>
    <row r="277">
      <c r="A277" s="79">
        <v>44998.81004123842</v>
      </c>
      <c r="B277" s="51" t="s">
        <v>239</v>
      </c>
      <c r="C277" s="51">
        <v>55.0</v>
      </c>
      <c r="D277" s="51">
        <v>7221.0</v>
      </c>
      <c r="E277" s="51" t="s">
        <v>103</v>
      </c>
      <c r="R277" s="51" t="s">
        <v>103</v>
      </c>
      <c r="S277" s="51">
        <v>0.0</v>
      </c>
      <c r="T277" s="51">
        <v>0.0</v>
      </c>
      <c r="AE277" s="51" t="s">
        <v>107</v>
      </c>
      <c r="AF277" s="51">
        <v>0.0</v>
      </c>
      <c r="AG277" s="51">
        <v>0.0</v>
      </c>
      <c r="AH277" s="51" t="s">
        <v>106</v>
      </c>
      <c r="AI277" s="82" t="s">
        <v>275</v>
      </c>
      <c r="AJ277" s="80">
        <f t="shared" si="1"/>
        <v>3</v>
      </c>
      <c r="AK277" s="80">
        <f t="shared" si="2"/>
        <v>0</v>
      </c>
    </row>
    <row r="278">
      <c r="A278" s="79">
        <v>44997.697029375</v>
      </c>
      <c r="B278" s="51" t="s">
        <v>102</v>
      </c>
      <c r="C278" s="51">
        <v>4.0</v>
      </c>
      <c r="D278" s="51">
        <v>7225.0</v>
      </c>
      <c r="E278" s="51" t="s">
        <v>106</v>
      </c>
      <c r="L278" s="51">
        <v>1.0</v>
      </c>
      <c r="M278" s="51">
        <v>1.0</v>
      </c>
      <c r="R278" s="51" t="s">
        <v>103</v>
      </c>
      <c r="S278" s="51">
        <v>4.0</v>
      </c>
      <c r="T278" s="51">
        <v>4.0</v>
      </c>
      <c r="AE278" s="51" t="s">
        <v>107</v>
      </c>
      <c r="AF278" s="51">
        <v>3.0</v>
      </c>
      <c r="AG278" s="51">
        <v>0.0</v>
      </c>
      <c r="AH278" s="51" t="s">
        <v>103</v>
      </c>
      <c r="AI278" s="81"/>
      <c r="AJ278" s="80">
        <f t="shared" si="1"/>
        <v>32</v>
      </c>
      <c r="AK278" s="80">
        <f t="shared" si="2"/>
        <v>26</v>
      </c>
    </row>
    <row r="279">
      <c r="A279" s="79">
        <v>44997.70175104166</v>
      </c>
      <c r="B279" s="51" t="s">
        <v>102</v>
      </c>
      <c r="C279" s="51">
        <v>11.0</v>
      </c>
      <c r="D279" s="51">
        <v>7225.0</v>
      </c>
      <c r="E279" s="51" t="s">
        <v>103</v>
      </c>
      <c r="L279" s="51">
        <v>1.0</v>
      </c>
      <c r="M279" s="51">
        <v>1.0</v>
      </c>
      <c r="R279" s="51" t="s">
        <v>103</v>
      </c>
      <c r="S279" s="51">
        <v>1.0</v>
      </c>
      <c r="T279" s="51">
        <v>1.0</v>
      </c>
      <c r="U279" s="51">
        <v>3.0</v>
      </c>
      <c r="V279" s="51">
        <v>3.0</v>
      </c>
      <c r="W279" s="51">
        <v>1.0</v>
      </c>
      <c r="X279" s="51">
        <v>1.0</v>
      </c>
      <c r="AE279" s="51" t="s">
        <v>107</v>
      </c>
      <c r="AF279" s="51">
        <v>4.0</v>
      </c>
      <c r="AG279" s="51">
        <v>0.0</v>
      </c>
      <c r="AH279" s="51" t="s">
        <v>103</v>
      </c>
      <c r="AI279" s="81"/>
      <c r="AJ279" s="80">
        <f t="shared" si="1"/>
        <v>25</v>
      </c>
      <c r="AK279" s="80">
        <f t="shared" si="2"/>
        <v>22</v>
      </c>
    </row>
    <row r="280">
      <c r="A280" s="79">
        <v>44997.704244560184</v>
      </c>
      <c r="B280" s="51" t="s">
        <v>102</v>
      </c>
      <c r="C280" s="51">
        <v>16.0</v>
      </c>
      <c r="D280" s="51">
        <v>7225.0</v>
      </c>
      <c r="E280" s="51" t="s">
        <v>106</v>
      </c>
      <c r="L280" s="51">
        <v>1.0</v>
      </c>
      <c r="M280" s="51">
        <v>1.0</v>
      </c>
      <c r="R280" s="51" t="s">
        <v>103</v>
      </c>
      <c r="U280" s="51">
        <v>1.0</v>
      </c>
      <c r="V280" s="51">
        <v>0.0</v>
      </c>
      <c r="W280" s="51">
        <v>1.0</v>
      </c>
      <c r="X280" s="51">
        <v>1.0</v>
      </c>
      <c r="AE280" s="51" t="s">
        <v>107</v>
      </c>
      <c r="AF280" s="51">
        <v>1.0</v>
      </c>
      <c r="AG280" s="51">
        <v>0.0</v>
      </c>
      <c r="AH280" s="51" t="s">
        <v>106</v>
      </c>
      <c r="AI280" s="82" t="s">
        <v>276</v>
      </c>
      <c r="AJ280" s="80">
        <f t="shared" si="1"/>
        <v>14</v>
      </c>
      <c r="AK280" s="80">
        <f t="shared" si="2"/>
        <v>8</v>
      </c>
    </row>
    <row r="281">
      <c r="A281" s="79">
        <v>44997.70991584491</v>
      </c>
      <c r="B281" s="51" t="s">
        <v>102</v>
      </c>
      <c r="C281" s="51">
        <v>20.0</v>
      </c>
      <c r="D281" s="51">
        <v>7225.0</v>
      </c>
      <c r="E281" s="51" t="s">
        <v>106</v>
      </c>
      <c r="L281" s="51">
        <v>1.0</v>
      </c>
      <c r="M281" s="51">
        <v>1.0</v>
      </c>
      <c r="R281" s="51" t="s">
        <v>103</v>
      </c>
      <c r="S281" s="51">
        <v>3.0</v>
      </c>
      <c r="T281" s="51">
        <v>2.0</v>
      </c>
      <c r="W281" s="51">
        <v>1.0</v>
      </c>
      <c r="X281" s="51">
        <v>1.0</v>
      </c>
      <c r="AE281" s="51" t="s">
        <v>107</v>
      </c>
      <c r="AF281" s="51">
        <v>3.0</v>
      </c>
      <c r="AG281" s="51">
        <v>0.0</v>
      </c>
      <c r="AH281" s="51" t="s">
        <v>103</v>
      </c>
      <c r="AI281" s="82" t="s">
        <v>277</v>
      </c>
      <c r="AJ281" s="80">
        <f t="shared" si="1"/>
        <v>24</v>
      </c>
      <c r="AK281" s="80">
        <f t="shared" si="2"/>
        <v>18</v>
      </c>
    </row>
    <row r="282">
      <c r="A282" s="79">
        <v>44997.715578206014</v>
      </c>
      <c r="B282" s="51" t="s">
        <v>102</v>
      </c>
      <c r="C282" s="51">
        <v>28.0</v>
      </c>
      <c r="D282" s="51">
        <v>7225.0</v>
      </c>
      <c r="E282" s="51" t="s">
        <v>106</v>
      </c>
      <c r="L282" s="51">
        <v>1.0</v>
      </c>
      <c r="M282" s="51">
        <v>1.0</v>
      </c>
      <c r="R282" s="51" t="s">
        <v>103</v>
      </c>
      <c r="S282" s="51">
        <v>3.0</v>
      </c>
      <c r="T282" s="51">
        <v>2.0</v>
      </c>
      <c r="W282" s="51">
        <v>1.0</v>
      </c>
      <c r="X282" s="51">
        <v>1.0</v>
      </c>
      <c r="AE282" s="51" t="s">
        <v>103</v>
      </c>
      <c r="AF282" s="51">
        <v>3.0</v>
      </c>
      <c r="AG282" s="51">
        <v>0.0</v>
      </c>
      <c r="AH282" s="51" t="s">
        <v>106</v>
      </c>
      <c r="AI282" s="82" t="s">
        <v>278</v>
      </c>
      <c r="AJ282" s="80">
        <f t="shared" si="1"/>
        <v>21</v>
      </c>
      <c r="AK282" s="80">
        <f t="shared" si="2"/>
        <v>18</v>
      </c>
    </row>
    <row r="283">
      <c r="A283" s="79">
        <v>44997.71917136574</v>
      </c>
      <c r="B283" s="51" t="s">
        <v>102</v>
      </c>
      <c r="C283" s="51">
        <v>33.0</v>
      </c>
      <c r="D283" s="51">
        <v>7225.0</v>
      </c>
      <c r="E283" s="51" t="s">
        <v>106</v>
      </c>
      <c r="L283" s="51">
        <v>1.0</v>
      </c>
      <c r="M283" s="51">
        <v>1.0</v>
      </c>
      <c r="R283" s="51" t="s">
        <v>103</v>
      </c>
      <c r="S283" s="51">
        <v>4.0</v>
      </c>
      <c r="T283" s="51">
        <v>4.0</v>
      </c>
      <c r="AE283" s="51" t="s">
        <v>107</v>
      </c>
      <c r="AF283" s="51">
        <v>3.0</v>
      </c>
      <c r="AG283" s="51">
        <v>0.0</v>
      </c>
      <c r="AH283" s="51" t="s">
        <v>103</v>
      </c>
      <c r="AI283" s="81"/>
      <c r="AJ283" s="80">
        <f t="shared" si="1"/>
        <v>32</v>
      </c>
      <c r="AK283" s="80">
        <f t="shared" si="2"/>
        <v>26</v>
      </c>
    </row>
    <row r="284">
      <c r="A284" s="79">
        <v>44997.72645641204</v>
      </c>
      <c r="B284" s="51" t="s">
        <v>102</v>
      </c>
      <c r="C284" s="51">
        <v>40.0</v>
      </c>
      <c r="D284" s="51">
        <v>7225.0</v>
      </c>
      <c r="E284" s="51" t="s">
        <v>106</v>
      </c>
      <c r="F284" s="51">
        <v>1.0</v>
      </c>
      <c r="G284" s="51">
        <v>0.0</v>
      </c>
      <c r="H284" s="51">
        <v>1.0</v>
      </c>
      <c r="I284" s="51">
        <v>1.0</v>
      </c>
      <c r="R284" s="51" t="s">
        <v>103</v>
      </c>
      <c r="S284" s="51">
        <v>2.0</v>
      </c>
      <c r="T284" s="51">
        <v>2.0</v>
      </c>
      <c r="U284" s="51">
        <v>1.0</v>
      </c>
      <c r="V284" s="51">
        <v>1.0</v>
      </c>
      <c r="W284" s="51">
        <v>1.0</v>
      </c>
      <c r="X284" s="51">
        <v>1.0</v>
      </c>
      <c r="AE284" s="51" t="s">
        <v>107</v>
      </c>
      <c r="AF284" s="51">
        <v>4.0</v>
      </c>
      <c r="AG284" s="51">
        <v>0.0</v>
      </c>
      <c r="AH284" s="51" t="s">
        <v>103</v>
      </c>
      <c r="AI284" s="81"/>
      <c r="AJ284" s="80">
        <f t="shared" si="1"/>
        <v>25</v>
      </c>
      <c r="AK284" s="80">
        <f t="shared" si="2"/>
        <v>19</v>
      </c>
    </row>
    <row r="285">
      <c r="A285" s="79">
        <v>44997.730709421296</v>
      </c>
      <c r="B285" s="51" t="s">
        <v>102</v>
      </c>
      <c r="C285" s="51">
        <v>45.0</v>
      </c>
      <c r="D285" s="51">
        <v>7225.0</v>
      </c>
      <c r="E285" s="51" t="s">
        <v>106</v>
      </c>
      <c r="L285" s="51">
        <v>1.0</v>
      </c>
      <c r="M285" s="51">
        <v>1.0</v>
      </c>
      <c r="R285" s="51" t="s">
        <v>103</v>
      </c>
      <c r="S285" s="51">
        <v>1.0</v>
      </c>
      <c r="T285" s="51">
        <v>1.0</v>
      </c>
      <c r="AE285" s="51" t="s">
        <v>107</v>
      </c>
      <c r="AF285" s="51">
        <v>1.0</v>
      </c>
      <c r="AG285" s="51">
        <v>0.0</v>
      </c>
      <c r="AH285" s="51" t="s">
        <v>103</v>
      </c>
      <c r="AI285" s="82" t="s">
        <v>279</v>
      </c>
      <c r="AJ285" s="80">
        <f t="shared" si="1"/>
        <v>17</v>
      </c>
      <c r="AK285" s="80">
        <f t="shared" si="2"/>
        <v>11</v>
      </c>
    </row>
    <row r="286">
      <c r="A286" s="79">
        <v>44997.73326097222</v>
      </c>
      <c r="B286" s="51" t="s">
        <v>102</v>
      </c>
      <c r="C286" s="51">
        <v>52.0</v>
      </c>
      <c r="D286" s="51">
        <v>7225.0</v>
      </c>
      <c r="E286" s="51" t="s">
        <v>106</v>
      </c>
      <c r="L286" s="51">
        <v>1.0</v>
      </c>
      <c r="M286" s="51">
        <v>1.0</v>
      </c>
      <c r="R286" s="51" t="s">
        <v>103</v>
      </c>
      <c r="S286" s="51">
        <v>2.0</v>
      </c>
      <c r="T286" s="51">
        <v>2.0</v>
      </c>
      <c r="U286" s="51">
        <v>1.0</v>
      </c>
      <c r="V286" s="51">
        <v>1.0</v>
      </c>
      <c r="AE286" s="51" t="s">
        <v>107</v>
      </c>
      <c r="AF286" s="51">
        <v>2.0</v>
      </c>
      <c r="AG286" s="51">
        <v>0.0</v>
      </c>
      <c r="AH286" s="51" t="s">
        <v>103</v>
      </c>
      <c r="AI286" s="81"/>
      <c r="AJ286" s="80">
        <f t="shared" si="1"/>
        <v>25</v>
      </c>
      <c r="AK286" s="80">
        <f t="shared" si="2"/>
        <v>19</v>
      </c>
    </row>
    <row r="287">
      <c r="A287" s="79">
        <v>44997.735494733795</v>
      </c>
      <c r="B287" s="51" t="s">
        <v>102</v>
      </c>
      <c r="C287" s="51">
        <v>59.0</v>
      </c>
      <c r="D287" s="51">
        <v>7225.0</v>
      </c>
      <c r="E287" s="51" t="s">
        <v>106</v>
      </c>
      <c r="L287" s="51">
        <v>1.0</v>
      </c>
      <c r="M287" s="51">
        <v>1.0</v>
      </c>
      <c r="R287" s="51" t="s">
        <v>103</v>
      </c>
      <c r="S287" s="51">
        <v>4.0</v>
      </c>
      <c r="T287" s="51">
        <v>3.0</v>
      </c>
      <c r="W287" s="51">
        <v>1.0</v>
      </c>
      <c r="X287" s="51">
        <v>1.0</v>
      </c>
      <c r="AE287" s="51" t="s">
        <v>108</v>
      </c>
      <c r="AF287" s="51">
        <v>3.0</v>
      </c>
      <c r="AG287" s="51">
        <v>0.0</v>
      </c>
      <c r="AH287" s="51" t="s">
        <v>103</v>
      </c>
      <c r="AI287" s="81"/>
      <c r="AJ287" s="80">
        <f t="shared" si="1"/>
        <v>32</v>
      </c>
      <c r="AK287" s="80">
        <f t="shared" si="2"/>
        <v>23</v>
      </c>
    </row>
    <row r="288">
      <c r="A288" s="79">
        <v>44997.74190793981</v>
      </c>
      <c r="B288" s="51" t="s">
        <v>102</v>
      </c>
      <c r="C288" s="51">
        <v>65.0</v>
      </c>
      <c r="D288" s="51">
        <v>7225.0</v>
      </c>
      <c r="E288" s="51" t="s">
        <v>106</v>
      </c>
      <c r="L288" s="51">
        <v>1.0</v>
      </c>
      <c r="M288" s="51">
        <v>1.0</v>
      </c>
      <c r="R288" s="51" t="s">
        <v>103</v>
      </c>
      <c r="S288" s="51">
        <v>1.0</v>
      </c>
      <c r="T288" s="51">
        <v>1.0</v>
      </c>
      <c r="U288" s="51">
        <v>2.0</v>
      </c>
      <c r="V288" s="51">
        <v>2.0</v>
      </c>
      <c r="W288" s="51">
        <v>1.0</v>
      </c>
      <c r="X288" s="51">
        <v>1.0</v>
      </c>
      <c r="AE288" s="51" t="s">
        <v>107</v>
      </c>
      <c r="AF288" s="51">
        <v>4.0</v>
      </c>
      <c r="AG288" s="51">
        <v>0.0</v>
      </c>
      <c r="AH288" s="51" t="s">
        <v>103</v>
      </c>
      <c r="AI288" s="81"/>
      <c r="AJ288" s="80">
        <f t="shared" si="1"/>
        <v>25</v>
      </c>
      <c r="AK288" s="80">
        <f t="shared" si="2"/>
        <v>19</v>
      </c>
    </row>
    <row r="289">
      <c r="A289" s="79">
        <v>44997.74662071759</v>
      </c>
      <c r="B289" s="51" t="s">
        <v>102</v>
      </c>
      <c r="C289" s="51">
        <v>75.0</v>
      </c>
      <c r="D289" s="51">
        <v>7225.0</v>
      </c>
      <c r="E289" s="51" t="s">
        <v>106</v>
      </c>
      <c r="L289" s="51">
        <v>1.0</v>
      </c>
      <c r="M289" s="51">
        <v>1.0</v>
      </c>
      <c r="R289" s="51" t="s">
        <v>103</v>
      </c>
      <c r="S289" s="51">
        <v>1.0</v>
      </c>
      <c r="T289" s="51">
        <v>1.0</v>
      </c>
      <c r="U289" s="51">
        <v>2.0</v>
      </c>
      <c r="V289" s="51">
        <v>2.0</v>
      </c>
      <c r="AA289" s="51">
        <v>1.0</v>
      </c>
      <c r="AB289" s="51">
        <v>1.0</v>
      </c>
      <c r="AE289" s="51" t="s">
        <v>107</v>
      </c>
      <c r="AF289" s="51">
        <v>5.0</v>
      </c>
      <c r="AG289" s="51">
        <v>0.0</v>
      </c>
      <c r="AH289" s="51" t="s">
        <v>103</v>
      </c>
      <c r="AI289" s="81"/>
      <c r="AJ289" s="80">
        <f t="shared" si="1"/>
        <v>26</v>
      </c>
      <c r="AK289" s="80">
        <f t="shared" si="2"/>
        <v>20</v>
      </c>
    </row>
    <row r="290">
      <c r="A290" s="79">
        <v>44998.40991508102</v>
      </c>
      <c r="B290" s="51" t="s">
        <v>102</v>
      </c>
      <c r="C290" s="51" t="s">
        <v>124</v>
      </c>
      <c r="D290" s="51">
        <v>7225.0</v>
      </c>
      <c r="E290" s="51" t="s">
        <v>106</v>
      </c>
      <c r="L290" s="51">
        <v>1.0</v>
      </c>
      <c r="M290" s="51">
        <v>1.0</v>
      </c>
      <c r="R290" s="51" t="s">
        <v>103</v>
      </c>
      <c r="S290" s="51">
        <v>4.0</v>
      </c>
      <c r="T290" s="51">
        <v>3.0</v>
      </c>
      <c r="AE290" s="51" t="s">
        <v>107</v>
      </c>
      <c r="AF290" s="51">
        <v>3.0</v>
      </c>
      <c r="AG290" s="51">
        <v>0.0</v>
      </c>
      <c r="AH290" s="51" t="s">
        <v>103</v>
      </c>
      <c r="AI290" s="81"/>
      <c r="AJ290" s="80">
        <f t="shared" si="1"/>
        <v>27</v>
      </c>
      <c r="AK290" s="80">
        <f t="shared" si="2"/>
        <v>21</v>
      </c>
    </row>
    <row r="291">
      <c r="A291" s="79">
        <v>44998.41239157408</v>
      </c>
      <c r="B291" s="51" t="s">
        <v>102</v>
      </c>
      <c r="C291" s="51" t="s">
        <v>135</v>
      </c>
      <c r="D291" s="51">
        <v>7225.0</v>
      </c>
      <c r="E291" s="51" t="s">
        <v>106</v>
      </c>
      <c r="L291" s="51">
        <v>1.0</v>
      </c>
      <c r="M291" s="51">
        <v>1.0</v>
      </c>
      <c r="R291" s="51" t="s">
        <v>103</v>
      </c>
      <c r="S291" s="51">
        <v>3.0</v>
      </c>
      <c r="T291" s="51">
        <v>3.0</v>
      </c>
      <c r="U291" s="51">
        <v>1.0</v>
      </c>
      <c r="V291" s="51">
        <v>1.0</v>
      </c>
      <c r="AE291" s="51" t="s">
        <v>107</v>
      </c>
      <c r="AF291" s="51">
        <v>4.0</v>
      </c>
      <c r="AG291" s="51">
        <v>0.0</v>
      </c>
      <c r="AH291" s="51" t="s">
        <v>103</v>
      </c>
      <c r="AI291" s="81"/>
      <c r="AJ291" s="80">
        <f t="shared" si="1"/>
        <v>30</v>
      </c>
      <c r="AK291" s="80">
        <f t="shared" si="2"/>
        <v>24</v>
      </c>
    </row>
    <row r="292">
      <c r="A292" s="79">
        <v>44998.414601701385</v>
      </c>
      <c r="B292" s="51" t="s">
        <v>102</v>
      </c>
      <c r="C292" s="51" t="s">
        <v>114</v>
      </c>
      <c r="D292" s="51">
        <v>7225.0</v>
      </c>
      <c r="E292" s="51" t="s">
        <v>106</v>
      </c>
      <c r="L292" s="51">
        <v>1.0</v>
      </c>
      <c r="M292" s="51">
        <v>1.0</v>
      </c>
      <c r="R292" s="51" t="s">
        <v>103</v>
      </c>
      <c r="S292" s="51">
        <v>3.0</v>
      </c>
      <c r="T292" s="51">
        <v>3.0</v>
      </c>
      <c r="U292" s="51">
        <v>2.0</v>
      </c>
      <c r="V292" s="51">
        <v>2.0</v>
      </c>
      <c r="AE292" s="51" t="s">
        <v>107</v>
      </c>
      <c r="AF292" s="51">
        <v>3.0</v>
      </c>
      <c r="AG292" s="51">
        <v>0.0</v>
      </c>
      <c r="AH292" s="51" t="s">
        <v>103</v>
      </c>
      <c r="AI292" s="81"/>
      <c r="AJ292" s="80">
        <f t="shared" si="1"/>
        <v>33</v>
      </c>
      <c r="AK292" s="80">
        <f t="shared" si="2"/>
        <v>27</v>
      </c>
    </row>
    <row r="293">
      <c r="A293" s="79">
        <v>44998.41736302083</v>
      </c>
      <c r="B293" s="51" t="s">
        <v>102</v>
      </c>
      <c r="C293" s="51" t="s">
        <v>116</v>
      </c>
      <c r="D293" s="51">
        <v>7225.0</v>
      </c>
      <c r="E293" s="51" t="s">
        <v>106</v>
      </c>
      <c r="L293" s="51">
        <v>1.0</v>
      </c>
      <c r="M293" s="51">
        <v>1.0</v>
      </c>
      <c r="R293" s="51" t="s">
        <v>103</v>
      </c>
      <c r="S293" s="51">
        <v>3.0</v>
      </c>
      <c r="T293" s="51">
        <v>2.0</v>
      </c>
      <c r="U293" s="51">
        <v>2.0</v>
      </c>
      <c r="V293" s="51">
        <v>2.0</v>
      </c>
      <c r="W293" s="51">
        <v>1.0</v>
      </c>
      <c r="X293" s="51">
        <v>1.0</v>
      </c>
      <c r="AE293" s="51" t="s">
        <v>107</v>
      </c>
      <c r="AF293" s="51">
        <v>4.0</v>
      </c>
      <c r="AG293" s="51">
        <v>0.0</v>
      </c>
      <c r="AH293" s="51" t="s">
        <v>103</v>
      </c>
      <c r="AI293" s="81"/>
      <c r="AJ293" s="80">
        <f t="shared" si="1"/>
        <v>30</v>
      </c>
      <c r="AK293" s="80">
        <f t="shared" si="2"/>
        <v>24</v>
      </c>
    </row>
    <row r="294">
      <c r="A294" s="79">
        <v>44998.41945498843</v>
      </c>
      <c r="B294" s="51" t="s">
        <v>102</v>
      </c>
      <c r="C294" s="51" t="s">
        <v>117</v>
      </c>
      <c r="D294" s="51">
        <v>7225.0</v>
      </c>
      <c r="E294" s="51" t="s">
        <v>106</v>
      </c>
      <c r="L294" s="51">
        <v>1.0</v>
      </c>
      <c r="M294" s="51">
        <v>1.0</v>
      </c>
      <c r="R294" s="51" t="s">
        <v>103</v>
      </c>
      <c r="S294" s="51">
        <v>3.0</v>
      </c>
      <c r="T294" s="51">
        <v>3.0</v>
      </c>
      <c r="U294" s="51">
        <v>2.0</v>
      </c>
      <c r="V294" s="51">
        <v>2.0</v>
      </c>
      <c r="AE294" s="51" t="s">
        <v>107</v>
      </c>
      <c r="AF294" s="51">
        <v>4.0</v>
      </c>
      <c r="AG294" s="51">
        <v>0.0</v>
      </c>
      <c r="AH294" s="51" t="s">
        <v>103</v>
      </c>
      <c r="AI294" s="81"/>
      <c r="AJ294" s="80">
        <f t="shared" si="1"/>
        <v>33</v>
      </c>
      <c r="AK294" s="80">
        <f t="shared" si="2"/>
        <v>27</v>
      </c>
    </row>
    <row r="295">
      <c r="A295" s="79">
        <v>44998.42224383102</v>
      </c>
      <c r="B295" s="51" t="s">
        <v>102</v>
      </c>
      <c r="C295" s="51" t="s">
        <v>137</v>
      </c>
      <c r="D295" s="51">
        <v>7225.0</v>
      </c>
      <c r="E295" s="51" t="s">
        <v>106</v>
      </c>
      <c r="L295" s="51">
        <v>1.0</v>
      </c>
      <c r="M295" s="51">
        <v>1.0</v>
      </c>
      <c r="R295" s="51" t="s">
        <v>103</v>
      </c>
      <c r="S295" s="51">
        <v>2.0</v>
      </c>
      <c r="T295" s="51">
        <v>2.0</v>
      </c>
      <c r="U295" s="51">
        <v>2.0</v>
      </c>
      <c r="V295" s="51">
        <v>2.0</v>
      </c>
      <c r="AE295" s="51" t="s">
        <v>107</v>
      </c>
      <c r="AF295" s="51">
        <v>4.0</v>
      </c>
      <c r="AG295" s="51">
        <v>0.0</v>
      </c>
      <c r="AH295" s="51" t="s">
        <v>103</v>
      </c>
      <c r="AI295" s="82" t="s">
        <v>280</v>
      </c>
      <c r="AJ295" s="80">
        <f t="shared" si="1"/>
        <v>28</v>
      </c>
      <c r="AK295" s="80">
        <f t="shared" si="2"/>
        <v>22</v>
      </c>
    </row>
    <row r="296">
      <c r="A296" s="79">
        <v>44998.42556740741</v>
      </c>
      <c r="B296" s="51" t="s">
        <v>102</v>
      </c>
      <c r="C296" s="51" t="s">
        <v>138</v>
      </c>
      <c r="D296" s="51">
        <v>7225.0</v>
      </c>
      <c r="E296" s="51" t="s">
        <v>106</v>
      </c>
      <c r="L296" s="51">
        <v>1.0</v>
      </c>
      <c r="M296" s="51">
        <v>1.0</v>
      </c>
      <c r="R296" s="51" t="s">
        <v>103</v>
      </c>
      <c r="S296" s="51">
        <v>3.0</v>
      </c>
      <c r="T296" s="51">
        <v>3.0</v>
      </c>
      <c r="U296" s="51">
        <v>1.0</v>
      </c>
      <c r="V296" s="51">
        <v>1.0</v>
      </c>
      <c r="AE296" s="51" t="s">
        <v>107</v>
      </c>
      <c r="AF296" s="51">
        <v>4.0</v>
      </c>
      <c r="AG296" s="51">
        <v>0.0</v>
      </c>
      <c r="AH296" s="51" t="s">
        <v>103</v>
      </c>
      <c r="AI296" s="81"/>
      <c r="AJ296" s="80">
        <f t="shared" si="1"/>
        <v>30</v>
      </c>
      <c r="AK296" s="80">
        <f t="shared" si="2"/>
        <v>24</v>
      </c>
    </row>
    <row r="297">
      <c r="A297" s="79">
        <v>44998.83822694444</v>
      </c>
      <c r="B297" s="51" t="s">
        <v>239</v>
      </c>
      <c r="C297" s="51">
        <v>5.0</v>
      </c>
      <c r="D297" s="51">
        <v>7598.0</v>
      </c>
      <c r="E297" s="51" t="s">
        <v>106</v>
      </c>
      <c r="R297" s="51" t="s">
        <v>103</v>
      </c>
      <c r="AE297" s="51" t="s">
        <v>104</v>
      </c>
      <c r="AF297" s="51">
        <v>1.0</v>
      </c>
      <c r="AG297" s="51">
        <v>0.0</v>
      </c>
      <c r="AH297" s="51" t="s">
        <v>103</v>
      </c>
      <c r="AI297" s="81"/>
      <c r="AJ297" s="80">
        <f t="shared" si="1"/>
        <v>13</v>
      </c>
      <c r="AK297" s="80">
        <f t="shared" si="2"/>
        <v>0</v>
      </c>
    </row>
    <row r="298">
      <c r="A298" s="79">
        <v>45000.791420740745</v>
      </c>
      <c r="B298" s="51" t="s">
        <v>239</v>
      </c>
      <c r="C298" s="51">
        <v>12.0</v>
      </c>
      <c r="D298" s="51">
        <v>7598.0</v>
      </c>
      <c r="E298" s="51" t="s">
        <v>106</v>
      </c>
      <c r="F298" s="51">
        <v>0.0</v>
      </c>
      <c r="G298" s="51">
        <v>0.0</v>
      </c>
      <c r="R298" s="51" t="s">
        <v>103</v>
      </c>
      <c r="S298" s="51">
        <v>0.0</v>
      </c>
      <c r="T298" s="51">
        <v>0.0</v>
      </c>
      <c r="U298" s="51">
        <v>0.0</v>
      </c>
      <c r="V298" s="51">
        <v>0.0</v>
      </c>
      <c r="W298" s="51">
        <v>0.0</v>
      </c>
      <c r="X298" s="51">
        <v>0.0</v>
      </c>
      <c r="Y298" s="51">
        <v>0.0</v>
      </c>
      <c r="Z298" s="51">
        <v>0.0</v>
      </c>
      <c r="AA298" s="51">
        <v>0.0</v>
      </c>
      <c r="AB298" s="51">
        <v>0.0</v>
      </c>
      <c r="AC298" s="51">
        <v>0.0</v>
      </c>
      <c r="AD298" s="51">
        <v>0.0</v>
      </c>
      <c r="AE298" s="51" t="s">
        <v>104</v>
      </c>
      <c r="AF298" s="51">
        <v>0.0</v>
      </c>
      <c r="AG298" s="51">
        <v>1.0</v>
      </c>
      <c r="AH298" s="51" t="s">
        <v>103</v>
      </c>
      <c r="AI298" s="82" t="s">
        <v>281</v>
      </c>
      <c r="AJ298" s="80">
        <f t="shared" si="1"/>
        <v>13</v>
      </c>
      <c r="AK298" s="80">
        <f t="shared" si="2"/>
        <v>0</v>
      </c>
    </row>
    <row r="299">
      <c r="A299" s="79">
        <v>45000.80162574074</v>
      </c>
      <c r="B299" s="51" t="s">
        <v>239</v>
      </c>
      <c r="C299" s="51">
        <v>16.0</v>
      </c>
      <c r="D299" s="51">
        <v>7598.0</v>
      </c>
      <c r="E299" s="51" t="s">
        <v>106</v>
      </c>
      <c r="R299" s="51" t="s">
        <v>103</v>
      </c>
      <c r="AE299" s="51" t="s">
        <v>104</v>
      </c>
      <c r="AF299" s="51">
        <v>0.0</v>
      </c>
      <c r="AG299" s="51">
        <v>0.0</v>
      </c>
      <c r="AH299" s="51" t="s">
        <v>103</v>
      </c>
      <c r="AI299" s="82" t="s">
        <v>282</v>
      </c>
      <c r="AJ299" s="80">
        <f t="shared" si="1"/>
        <v>13</v>
      </c>
      <c r="AK299" s="80">
        <f t="shared" si="2"/>
        <v>0</v>
      </c>
    </row>
    <row r="300">
      <c r="A300" s="79">
        <v>45000.806696087966</v>
      </c>
      <c r="B300" s="51" t="s">
        <v>239</v>
      </c>
      <c r="C300" s="51">
        <v>22.0</v>
      </c>
      <c r="D300" s="51">
        <v>7598.0</v>
      </c>
      <c r="E300" s="51" t="s">
        <v>106</v>
      </c>
      <c r="R300" s="51" t="s">
        <v>103</v>
      </c>
      <c r="AC300" s="51">
        <v>3.0</v>
      </c>
      <c r="AD300" s="51">
        <v>3.0</v>
      </c>
      <c r="AE300" s="51" t="s">
        <v>104</v>
      </c>
      <c r="AF300" s="51">
        <v>2.0</v>
      </c>
      <c r="AG300" s="51">
        <v>1.0</v>
      </c>
      <c r="AH300" s="51" t="s">
        <v>103</v>
      </c>
      <c r="AI300" s="81"/>
      <c r="AJ300" s="80">
        <f t="shared" si="1"/>
        <v>19</v>
      </c>
      <c r="AK300" s="80">
        <f t="shared" si="2"/>
        <v>6</v>
      </c>
    </row>
    <row r="301">
      <c r="A301" s="79">
        <v>45000.81416190972</v>
      </c>
      <c r="B301" s="51" t="s">
        <v>239</v>
      </c>
      <c r="C301" s="51">
        <v>26.0</v>
      </c>
      <c r="D301" s="51">
        <v>7598.0</v>
      </c>
      <c r="E301" s="51" t="s">
        <v>106</v>
      </c>
      <c r="R301" s="51" t="s">
        <v>103</v>
      </c>
      <c r="W301" s="51">
        <v>1.0</v>
      </c>
      <c r="X301" s="51">
        <v>0.0</v>
      </c>
      <c r="AC301" s="51">
        <v>1.0</v>
      </c>
      <c r="AD301" s="51">
        <v>1.0</v>
      </c>
      <c r="AE301" s="51" t="s">
        <v>104</v>
      </c>
      <c r="AF301" s="51">
        <v>0.0</v>
      </c>
      <c r="AG301" s="51">
        <v>0.0</v>
      </c>
      <c r="AH301" s="51" t="s">
        <v>103</v>
      </c>
      <c r="AI301" s="81"/>
      <c r="AJ301" s="80">
        <f t="shared" si="1"/>
        <v>15</v>
      </c>
      <c r="AK301" s="80">
        <f t="shared" si="2"/>
        <v>2</v>
      </c>
    </row>
    <row r="302">
      <c r="A302" s="79">
        <v>45000.816141539355</v>
      </c>
      <c r="B302" s="51" t="s">
        <v>239</v>
      </c>
      <c r="C302" s="51">
        <v>34.0</v>
      </c>
      <c r="D302" s="51">
        <v>7598.0</v>
      </c>
      <c r="E302" s="51" t="s">
        <v>106</v>
      </c>
      <c r="R302" s="51" t="s">
        <v>103</v>
      </c>
      <c r="AC302" s="51">
        <v>1.0</v>
      </c>
      <c r="AD302" s="51">
        <v>0.0</v>
      </c>
      <c r="AE302" s="51" t="s">
        <v>104</v>
      </c>
      <c r="AF302" s="51">
        <v>1.0</v>
      </c>
      <c r="AG302" s="51">
        <v>1.0</v>
      </c>
      <c r="AH302" s="51" t="s">
        <v>103</v>
      </c>
      <c r="AI302" s="81"/>
      <c r="AJ302" s="80">
        <f t="shared" si="1"/>
        <v>13</v>
      </c>
      <c r="AK302" s="80">
        <f t="shared" si="2"/>
        <v>0</v>
      </c>
    </row>
    <row r="303">
      <c r="A303" s="79">
        <v>45000.85533979167</v>
      </c>
      <c r="B303" s="51" t="s">
        <v>239</v>
      </c>
      <c r="C303" s="51">
        <v>40.0</v>
      </c>
      <c r="D303" s="51">
        <v>7598.0</v>
      </c>
      <c r="E303" s="51" t="s">
        <v>106</v>
      </c>
      <c r="R303" s="51" t="s">
        <v>103</v>
      </c>
      <c r="AE303" s="51" t="s">
        <v>104</v>
      </c>
      <c r="AF303" s="51">
        <v>0.0</v>
      </c>
      <c r="AG303" s="51">
        <v>0.0</v>
      </c>
      <c r="AH303" s="51" t="s">
        <v>103</v>
      </c>
      <c r="AI303" s="82" t="s">
        <v>283</v>
      </c>
      <c r="AJ303" s="80">
        <f t="shared" si="1"/>
        <v>13</v>
      </c>
      <c r="AK303" s="80">
        <f t="shared" si="2"/>
        <v>0</v>
      </c>
    </row>
    <row r="304">
      <c r="A304" s="79">
        <v>45000.860494699074</v>
      </c>
      <c r="B304" s="51" t="s">
        <v>239</v>
      </c>
      <c r="C304" s="51" t="s">
        <v>284</v>
      </c>
      <c r="D304" s="51">
        <v>7598.0</v>
      </c>
      <c r="E304" s="51" t="s">
        <v>106</v>
      </c>
      <c r="R304" s="51" t="s">
        <v>103</v>
      </c>
      <c r="AE304" s="51" t="s">
        <v>104</v>
      </c>
      <c r="AF304" s="51">
        <v>0.0</v>
      </c>
      <c r="AG304" s="51">
        <v>1.0</v>
      </c>
      <c r="AH304" s="51" t="s">
        <v>103</v>
      </c>
      <c r="AI304" s="82" t="s">
        <v>283</v>
      </c>
      <c r="AJ304" s="80">
        <f t="shared" si="1"/>
        <v>13</v>
      </c>
      <c r="AK304" s="80">
        <f t="shared" si="2"/>
        <v>0</v>
      </c>
    </row>
    <row r="305">
      <c r="A305" s="79">
        <v>45000.86228533565</v>
      </c>
      <c r="B305" s="51" t="s">
        <v>239</v>
      </c>
      <c r="C305" s="51" t="s">
        <v>285</v>
      </c>
      <c r="D305" s="51">
        <v>7598.0</v>
      </c>
      <c r="E305" s="51" t="s">
        <v>106</v>
      </c>
      <c r="R305" s="51" t="s">
        <v>103</v>
      </c>
      <c r="AE305" s="51" t="s">
        <v>104</v>
      </c>
      <c r="AF305" s="51">
        <v>0.0</v>
      </c>
      <c r="AG305" s="51">
        <v>2.0</v>
      </c>
      <c r="AH305" s="51" t="s">
        <v>103</v>
      </c>
      <c r="AI305" s="82" t="s">
        <v>286</v>
      </c>
      <c r="AJ305" s="80">
        <f t="shared" si="1"/>
        <v>13</v>
      </c>
      <c r="AK305" s="80">
        <f t="shared" si="2"/>
        <v>0</v>
      </c>
    </row>
    <row r="306">
      <c r="A306" s="79">
        <v>44998.92660313657</v>
      </c>
      <c r="B306" s="51" t="s">
        <v>287</v>
      </c>
      <c r="C306" s="51">
        <v>6.0</v>
      </c>
      <c r="D306" s="51">
        <v>8374.0</v>
      </c>
      <c r="E306" s="51" t="s">
        <v>106</v>
      </c>
      <c r="F306" s="51">
        <v>0.0</v>
      </c>
      <c r="G306" s="51">
        <v>0.0</v>
      </c>
      <c r="H306" s="51">
        <v>0.0</v>
      </c>
      <c r="I306" s="51">
        <v>0.0</v>
      </c>
      <c r="J306" s="51">
        <v>0.0</v>
      </c>
      <c r="K306" s="51">
        <v>0.0</v>
      </c>
      <c r="L306" s="51">
        <v>0.0</v>
      </c>
      <c r="M306" s="51">
        <v>0.0</v>
      </c>
      <c r="N306" s="51">
        <v>0.0</v>
      </c>
      <c r="O306" s="51">
        <v>0.0</v>
      </c>
      <c r="P306" s="51">
        <v>0.0</v>
      </c>
      <c r="Q306" s="51">
        <v>0.0</v>
      </c>
      <c r="R306" s="51" t="s">
        <v>103</v>
      </c>
      <c r="Y306" s="51">
        <v>1.0</v>
      </c>
      <c r="Z306" s="51">
        <v>1.0</v>
      </c>
      <c r="AA306" s="51">
        <v>1.0</v>
      </c>
      <c r="AB306" s="51">
        <v>0.0</v>
      </c>
      <c r="AC306" s="51">
        <v>1.0</v>
      </c>
      <c r="AD306" s="51">
        <v>1.0</v>
      </c>
      <c r="AE306" s="51" t="s">
        <v>104</v>
      </c>
      <c r="AF306" s="51">
        <v>0.0</v>
      </c>
      <c r="AG306" s="51">
        <v>0.0</v>
      </c>
      <c r="AH306" s="51" t="s">
        <v>103</v>
      </c>
      <c r="AI306" s="82" t="s">
        <v>288</v>
      </c>
      <c r="AJ306" s="80">
        <f t="shared" si="1"/>
        <v>20</v>
      </c>
      <c r="AK306" s="80">
        <f t="shared" si="2"/>
        <v>7</v>
      </c>
    </row>
    <row r="307">
      <c r="A307" s="79">
        <v>44998.93109344908</v>
      </c>
      <c r="B307" s="51" t="s">
        <v>289</v>
      </c>
      <c r="C307" s="51">
        <v>11.0</v>
      </c>
      <c r="D307" s="51">
        <v>8374.0</v>
      </c>
      <c r="E307" s="51" t="s">
        <v>103</v>
      </c>
      <c r="F307" s="51">
        <v>0.0</v>
      </c>
      <c r="G307" s="51">
        <v>0.0</v>
      </c>
      <c r="H307" s="51">
        <v>0.0</v>
      </c>
      <c r="I307" s="51">
        <v>0.0</v>
      </c>
      <c r="J307" s="51">
        <v>0.0</v>
      </c>
      <c r="K307" s="51">
        <v>0.0</v>
      </c>
      <c r="L307" s="51">
        <v>0.0</v>
      </c>
      <c r="M307" s="51">
        <v>0.0</v>
      </c>
      <c r="N307" s="51">
        <v>0.0</v>
      </c>
      <c r="O307" s="51">
        <v>0.0</v>
      </c>
      <c r="P307" s="51">
        <v>0.0</v>
      </c>
      <c r="Q307" s="51">
        <v>0.0</v>
      </c>
      <c r="R307" s="51" t="s">
        <v>103</v>
      </c>
      <c r="S307" s="51">
        <v>0.0</v>
      </c>
      <c r="T307" s="51">
        <v>0.0</v>
      </c>
      <c r="U307" s="51">
        <v>0.0</v>
      </c>
      <c r="V307" s="51">
        <v>0.0</v>
      </c>
      <c r="W307" s="51">
        <v>0.0</v>
      </c>
      <c r="X307" s="51">
        <v>0.0</v>
      </c>
      <c r="Y307" s="51">
        <v>1.0</v>
      </c>
      <c r="Z307" s="51">
        <v>1.0</v>
      </c>
      <c r="AA307" s="51">
        <v>0.0</v>
      </c>
      <c r="AB307" s="51">
        <v>0.0</v>
      </c>
      <c r="AC307" s="51">
        <v>0.0</v>
      </c>
      <c r="AD307" s="51">
        <v>0.0</v>
      </c>
      <c r="AE307" s="51" t="s">
        <v>104</v>
      </c>
      <c r="AF307" s="51">
        <v>1.0</v>
      </c>
      <c r="AG307" s="51">
        <v>0.0</v>
      </c>
      <c r="AH307" s="51" t="s">
        <v>103</v>
      </c>
      <c r="AI307" s="81"/>
      <c r="AJ307" s="80">
        <f t="shared" si="1"/>
        <v>15</v>
      </c>
      <c r="AK307" s="80">
        <f t="shared" si="2"/>
        <v>5</v>
      </c>
    </row>
    <row r="308">
      <c r="A308" s="79">
        <v>44998.94111771991</v>
      </c>
      <c r="B308" s="51" t="s">
        <v>289</v>
      </c>
      <c r="C308" s="51">
        <v>66.0</v>
      </c>
      <c r="D308" s="51">
        <v>8374.0</v>
      </c>
      <c r="E308" s="51" t="s">
        <v>106</v>
      </c>
      <c r="L308" s="51">
        <v>0.0</v>
      </c>
      <c r="M308" s="51">
        <v>0.0</v>
      </c>
      <c r="R308" s="51" t="s">
        <v>103</v>
      </c>
      <c r="Y308" s="51">
        <v>2.0</v>
      </c>
      <c r="Z308" s="51">
        <v>2.0</v>
      </c>
      <c r="AE308" s="51" t="s">
        <v>104</v>
      </c>
      <c r="AF308" s="51">
        <v>1.0</v>
      </c>
      <c r="AG308" s="51">
        <v>0.0</v>
      </c>
      <c r="AH308" s="51" t="s">
        <v>103</v>
      </c>
      <c r="AI308" s="81"/>
      <c r="AJ308" s="80">
        <f t="shared" si="1"/>
        <v>23</v>
      </c>
      <c r="AK308" s="80">
        <f t="shared" si="2"/>
        <v>10</v>
      </c>
    </row>
    <row r="309">
      <c r="A309" s="79">
        <v>44998.94572699074</v>
      </c>
      <c r="B309" s="51" t="s">
        <v>287</v>
      </c>
      <c r="C309" s="51" t="s">
        <v>113</v>
      </c>
      <c r="D309" s="51">
        <v>8374.0</v>
      </c>
      <c r="E309" s="51" t="s">
        <v>103</v>
      </c>
      <c r="R309" s="51" t="s">
        <v>103</v>
      </c>
      <c r="Y309" s="51">
        <v>2.0</v>
      </c>
      <c r="Z309" s="51">
        <v>2.0</v>
      </c>
      <c r="AA309" s="51">
        <v>1.0</v>
      </c>
      <c r="AB309" s="51">
        <v>1.0</v>
      </c>
      <c r="AE309" s="51" t="s">
        <v>104</v>
      </c>
      <c r="AF309" s="51">
        <v>1.0</v>
      </c>
      <c r="AG309" s="51">
        <v>0.0</v>
      </c>
      <c r="AH309" s="51" t="s">
        <v>103</v>
      </c>
      <c r="AI309" s="81"/>
      <c r="AJ309" s="80">
        <f t="shared" si="1"/>
        <v>23</v>
      </c>
      <c r="AK309" s="80">
        <f t="shared" si="2"/>
        <v>13</v>
      </c>
    </row>
    <row r="310">
      <c r="A310" s="79">
        <v>44998.95182443287</v>
      </c>
      <c r="B310" s="51" t="s">
        <v>289</v>
      </c>
      <c r="C310" s="51">
        <v>54.0</v>
      </c>
      <c r="D310" s="51">
        <v>8374.0</v>
      </c>
      <c r="E310" s="51" t="s">
        <v>103</v>
      </c>
      <c r="R310" s="51" t="s">
        <v>103</v>
      </c>
      <c r="Y310" s="51">
        <v>2.0</v>
      </c>
      <c r="Z310" s="51">
        <v>2.0</v>
      </c>
      <c r="AE310" s="51" t="s">
        <v>107</v>
      </c>
      <c r="AF310" s="51">
        <v>1.0</v>
      </c>
      <c r="AG310" s="51">
        <v>0.0</v>
      </c>
      <c r="AH310" s="51" t="s">
        <v>103</v>
      </c>
      <c r="AI310" s="81"/>
      <c r="AJ310" s="80">
        <f t="shared" si="1"/>
        <v>13</v>
      </c>
      <c r="AK310" s="80">
        <f t="shared" si="2"/>
        <v>10</v>
      </c>
    </row>
    <row r="311">
      <c r="A311" s="79">
        <v>44998.7801315625</v>
      </c>
      <c r="B311" s="51" t="s">
        <v>290</v>
      </c>
      <c r="C311" s="51">
        <v>5.0</v>
      </c>
      <c r="D311" s="51">
        <v>8424.0</v>
      </c>
      <c r="E311" s="51" t="s">
        <v>103</v>
      </c>
      <c r="F311" s="51">
        <v>0.0</v>
      </c>
      <c r="G311" s="51">
        <v>0.0</v>
      </c>
      <c r="H311" s="51">
        <v>0.0</v>
      </c>
      <c r="I311" s="51">
        <v>0.0</v>
      </c>
      <c r="J311" s="51">
        <v>0.0</v>
      </c>
      <c r="K311" s="51">
        <v>0.0</v>
      </c>
      <c r="L311" s="51">
        <v>1.0</v>
      </c>
      <c r="M311" s="51">
        <v>0.0</v>
      </c>
      <c r="N311" s="51">
        <v>0.0</v>
      </c>
      <c r="O311" s="51">
        <v>0.0</v>
      </c>
      <c r="P311" s="51">
        <v>0.0</v>
      </c>
      <c r="Q311" s="51">
        <v>0.0</v>
      </c>
      <c r="R311" s="51" t="s">
        <v>104</v>
      </c>
      <c r="S311" s="51">
        <v>0.0</v>
      </c>
      <c r="T311" s="51">
        <v>0.0</v>
      </c>
      <c r="U311" s="51">
        <v>0.0</v>
      </c>
      <c r="V311" s="51">
        <v>0.0</v>
      </c>
      <c r="W311" s="51">
        <v>1.0</v>
      </c>
      <c r="X311" s="51">
        <v>1.0</v>
      </c>
      <c r="Y311" s="51">
        <v>0.0</v>
      </c>
      <c r="AA311" s="51">
        <v>0.0</v>
      </c>
      <c r="AC311" s="51">
        <v>1.0</v>
      </c>
      <c r="AD311" s="51">
        <v>1.0</v>
      </c>
      <c r="AE311" s="51" t="s">
        <v>103</v>
      </c>
      <c r="AF311" s="51">
        <v>0.0</v>
      </c>
      <c r="AG311" s="51">
        <v>1.0</v>
      </c>
      <c r="AH311" s="51" t="s">
        <v>103</v>
      </c>
      <c r="AI311" s="82" t="s">
        <v>291</v>
      </c>
      <c r="AJ311" s="80">
        <f t="shared" si="1"/>
        <v>16</v>
      </c>
      <c r="AK311" s="80">
        <f t="shared" si="2"/>
        <v>4</v>
      </c>
    </row>
    <row r="312">
      <c r="A312" s="79">
        <v>44998.78423547454</v>
      </c>
      <c r="B312" s="51" t="s">
        <v>290</v>
      </c>
      <c r="C312" s="51">
        <v>9.0</v>
      </c>
      <c r="D312" s="51">
        <v>8424.0</v>
      </c>
      <c r="E312" s="51" t="s">
        <v>103</v>
      </c>
      <c r="F312" s="51">
        <v>1.0</v>
      </c>
      <c r="G312" s="51">
        <v>0.0</v>
      </c>
      <c r="J312" s="51">
        <v>1.0</v>
      </c>
      <c r="K312" s="51">
        <v>1.0</v>
      </c>
      <c r="R312" s="51" t="s">
        <v>104</v>
      </c>
      <c r="AE312" s="51" t="s">
        <v>104</v>
      </c>
      <c r="AF312" s="51">
        <v>2.0</v>
      </c>
      <c r="AG312" s="51">
        <v>2.0</v>
      </c>
      <c r="AH312" s="51" t="s">
        <v>103</v>
      </c>
      <c r="AI312" s="82" t="s">
        <v>292</v>
      </c>
      <c r="AJ312" s="80">
        <f t="shared" si="1"/>
        <v>25</v>
      </c>
      <c r="AK312" s="80">
        <f t="shared" si="2"/>
        <v>3</v>
      </c>
    </row>
    <row r="313">
      <c r="A313" s="79">
        <v>44998.79082780093</v>
      </c>
      <c r="B313" s="51" t="s">
        <v>290</v>
      </c>
      <c r="C313" s="51">
        <v>13.0</v>
      </c>
      <c r="D313" s="51">
        <v>8424.0</v>
      </c>
      <c r="E313" s="51" t="s">
        <v>106</v>
      </c>
      <c r="F313" s="51">
        <v>1.0</v>
      </c>
      <c r="G313" s="51">
        <v>0.0</v>
      </c>
      <c r="J313" s="51">
        <v>1.0</v>
      </c>
      <c r="K313" s="51">
        <v>1.0</v>
      </c>
      <c r="R313" s="51" t="s">
        <v>103</v>
      </c>
      <c r="AA313" s="51">
        <v>1.0</v>
      </c>
      <c r="AB313" s="51">
        <v>1.0</v>
      </c>
      <c r="AC313" s="51">
        <v>1.0</v>
      </c>
      <c r="AD313" s="51">
        <v>1.0</v>
      </c>
      <c r="AE313" s="51" t="s">
        <v>104</v>
      </c>
      <c r="AF313" s="51">
        <v>1.0</v>
      </c>
      <c r="AG313" s="51">
        <v>1.0</v>
      </c>
      <c r="AH313" s="51" t="s">
        <v>103</v>
      </c>
      <c r="AI313" s="82" t="s">
        <v>293</v>
      </c>
      <c r="AJ313" s="80">
        <f t="shared" si="1"/>
        <v>21</v>
      </c>
      <c r="AK313" s="80">
        <f t="shared" si="2"/>
        <v>8</v>
      </c>
    </row>
    <row r="314">
      <c r="A314" s="79">
        <v>44998.79704917824</v>
      </c>
      <c r="B314" s="51" t="s">
        <v>290</v>
      </c>
      <c r="C314" s="51">
        <v>20.0</v>
      </c>
      <c r="D314" s="51">
        <v>8424.0</v>
      </c>
      <c r="E314" s="51" t="s">
        <v>103</v>
      </c>
      <c r="F314" s="51">
        <v>1.0</v>
      </c>
      <c r="G314" s="51">
        <v>0.0</v>
      </c>
      <c r="J314" s="51">
        <v>1.0</v>
      </c>
      <c r="K314" s="51">
        <v>1.0</v>
      </c>
      <c r="R314" s="51" t="s">
        <v>104</v>
      </c>
      <c r="AE314" s="51" t="s">
        <v>108</v>
      </c>
      <c r="AF314" s="51">
        <v>0.0</v>
      </c>
      <c r="AG314" s="51">
        <v>3.0</v>
      </c>
      <c r="AH314" s="51" t="s">
        <v>103</v>
      </c>
      <c r="AI314" s="82" t="s">
        <v>294</v>
      </c>
      <c r="AJ314" s="80">
        <f t="shared" si="1"/>
        <v>21</v>
      </c>
      <c r="AK314" s="80">
        <f t="shared" si="2"/>
        <v>3</v>
      </c>
    </row>
    <row r="315">
      <c r="A315" s="79">
        <v>44998.79968984953</v>
      </c>
      <c r="B315" s="51" t="s">
        <v>290</v>
      </c>
      <c r="C315" s="51">
        <v>25.0</v>
      </c>
      <c r="D315" s="51">
        <v>8424.0</v>
      </c>
      <c r="E315" s="51" t="s">
        <v>103</v>
      </c>
      <c r="R315" s="51" t="s">
        <v>103</v>
      </c>
      <c r="AE315" s="51" t="s">
        <v>104</v>
      </c>
      <c r="AF315" s="51">
        <v>0.0</v>
      </c>
      <c r="AG315" s="51">
        <v>4.0</v>
      </c>
      <c r="AH315" s="51" t="s">
        <v>103</v>
      </c>
      <c r="AI315" s="82" t="s">
        <v>295</v>
      </c>
      <c r="AJ315" s="80">
        <f t="shared" si="1"/>
        <v>10</v>
      </c>
      <c r="AK315" s="80">
        <f t="shared" si="2"/>
        <v>0</v>
      </c>
    </row>
    <row r="316">
      <c r="A316" s="79">
        <v>44998.80298612268</v>
      </c>
      <c r="B316" s="51" t="s">
        <v>290</v>
      </c>
      <c r="C316" s="51">
        <v>31.0</v>
      </c>
      <c r="D316" s="51">
        <v>8424.0</v>
      </c>
      <c r="E316" s="51" t="s">
        <v>103</v>
      </c>
      <c r="J316" s="51">
        <v>1.0</v>
      </c>
      <c r="K316" s="51">
        <v>1.0</v>
      </c>
      <c r="R316" s="51" t="s">
        <v>104</v>
      </c>
      <c r="AE316" s="51" t="s">
        <v>104</v>
      </c>
      <c r="AF316" s="51">
        <v>1.0</v>
      </c>
      <c r="AG316" s="51">
        <v>1.0</v>
      </c>
      <c r="AH316" s="51" t="s">
        <v>103</v>
      </c>
      <c r="AI316" s="81"/>
      <c r="AJ316" s="80">
        <f t="shared" si="1"/>
        <v>25</v>
      </c>
      <c r="AK316" s="80">
        <f t="shared" si="2"/>
        <v>3</v>
      </c>
    </row>
    <row r="317">
      <c r="A317" s="79">
        <v>44998.80944997685</v>
      </c>
      <c r="B317" s="51" t="s">
        <v>290</v>
      </c>
      <c r="C317" s="51">
        <v>37.0</v>
      </c>
      <c r="D317" s="51">
        <v>8424.0</v>
      </c>
      <c r="E317" s="51" t="s">
        <v>103</v>
      </c>
      <c r="R317" s="51" t="s">
        <v>108</v>
      </c>
      <c r="AE317" s="51" t="s">
        <v>104</v>
      </c>
      <c r="AF317" s="51">
        <v>0.0</v>
      </c>
      <c r="AG317" s="51">
        <v>0.0</v>
      </c>
      <c r="AH317" s="51" t="s">
        <v>103</v>
      </c>
      <c r="AI317" s="81"/>
      <c r="AJ317" s="80">
        <f t="shared" si="1"/>
        <v>18</v>
      </c>
      <c r="AK317" s="80">
        <f t="shared" si="2"/>
        <v>0</v>
      </c>
    </row>
    <row r="318">
      <c r="A318" s="79">
        <v>44998.81282003473</v>
      </c>
      <c r="B318" s="51" t="s">
        <v>290</v>
      </c>
      <c r="C318" s="51">
        <v>43.0</v>
      </c>
      <c r="D318" s="51">
        <v>8424.0</v>
      </c>
      <c r="E318" s="51" t="s">
        <v>106</v>
      </c>
      <c r="F318" s="51">
        <v>1.0</v>
      </c>
      <c r="G318" s="51">
        <v>0.0</v>
      </c>
      <c r="J318" s="51">
        <v>1.0</v>
      </c>
      <c r="K318" s="51">
        <v>1.0</v>
      </c>
      <c r="R318" s="51" t="s">
        <v>103</v>
      </c>
      <c r="AE318" s="51" t="s">
        <v>107</v>
      </c>
      <c r="AF318" s="51">
        <v>0.0</v>
      </c>
      <c r="AG318" s="51">
        <v>0.0</v>
      </c>
      <c r="AH318" s="51" t="s">
        <v>106</v>
      </c>
      <c r="AI318" s="82" t="s">
        <v>296</v>
      </c>
      <c r="AJ318" s="80">
        <f t="shared" si="1"/>
        <v>9</v>
      </c>
      <c r="AK318" s="80">
        <f t="shared" si="2"/>
        <v>3</v>
      </c>
    </row>
    <row r="319">
      <c r="A319" s="79">
        <v>44998.818300486106</v>
      </c>
      <c r="B319" s="51" t="s">
        <v>290</v>
      </c>
      <c r="C319" s="51">
        <v>52.0</v>
      </c>
      <c r="D319" s="51">
        <v>8424.0</v>
      </c>
      <c r="E319" s="51" t="s">
        <v>103</v>
      </c>
      <c r="L319" s="51">
        <v>1.0</v>
      </c>
      <c r="M319" s="51">
        <v>1.0</v>
      </c>
      <c r="R319" s="51" t="s">
        <v>103</v>
      </c>
      <c r="AE319" s="51" t="s">
        <v>103</v>
      </c>
      <c r="AF319" s="51">
        <v>0.0</v>
      </c>
      <c r="AG319" s="51">
        <v>0.0</v>
      </c>
      <c r="AH319" s="51" t="s">
        <v>103</v>
      </c>
      <c r="AI319" s="82" t="s">
        <v>297</v>
      </c>
      <c r="AJ319" s="80">
        <f t="shared" si="1"/>
        <v>6</v>
      </c>
      <c r="AK319" s="80">
        <f t="shared" si="2"/>
        <v>6</v>
      </c>
    </row>
    <row r="320">
      <c r="A320" s="79">
        <v>45014.87599850695</v>
      </c>
      <c r="B320" s="51" t="s">
        <v>102</v>
      </c>
      <c r="C320" s="51">
        <v>11.0</v>
      </c>
      <c r="D320" s="51">
        <v>8832.0</v>
      </c>
      <c r="E320" s="51" t="s">
        <v>103</v>
      </c>
      <c r="R320" s="51" t="s">
        <v>103</v>
      </c>
      <c r="AC320" s="51">
        <v>1.0</v>
      </c>
      <c r="AD320" s="51">
        <v>1.0</v>
      </c>
      <c r="AE320" s="51" t="s">
        <v>104</v>
      </c>
      <c r="AF320" s="51">
        <v>0.0</v>
      </c>
      <c r="AG320" s="51">
        <v>1.0</v>
      </c>
      <c r="AH320" s="51" t="s">
        <v>103</v>
      </c>
      <c r="AI320" s="51" t="s">
        <v>298</v>
      </c>
      <c r="AJ320" s="80">
        <f t="shared" si="1"/>
        <v>12</v>
      </c>
      <c r="AK320" s="80">
        <f t="shared" si="2"/>
        <v>2</v>
      </c>
    </row>
    <row r="321">
      <c r="A321" s="79">
        <v>45014.878437858795</v>
      </c>
      <c r="B321" s="51" t="s">
        <v>102</v>
      </c>
      <c r="C321" s="51">
        <v>79.0</v>
      </c>
      <c r="D321" s="51">
        <v>8832.0</v>
      </c>
      <c r="E321" s="51" t="s">
        <v>106</v>
      </c>
      <c r="R321" s="51" t="s">
        <v>103</v>
      </c>
      <c r="AE321" s="51" t="s">
        <v>104</v>
      </c>
      <c r="AF321" s="51">
        <v>0.0</v>
      </c>
      <c r="AG321" s="51">
        <v>2.0</v>
      </c>
      <c r="AH321" s="51" t="s">
        <v>103</v>
      </c>
      <c r="AI321" s="51" t="s">
        <v>299</v>
      </c>
      <c r="AJ321" s="80">
        <f t="shared" si="1"/>
        <v>13</v>
      </c>
      <c r="AK321" s="80">
        <f t="shared" si="2"/>
        <v>0</v>
      </c>
    </row>
    <row r="322">
      <c r="A322" s="79">
        <v>45014.88392590277</v>
      </c>
      <c r="B322" s="51" t="s">
        <v>102</v>
      </c>
      <c r="C322" s="51">
        <v>33.0</v>
      </c>
      <c r="D322" s="51">
        <v>8832.0</v>
      </c>
      <c r="E322" s="51" t="s">
        <v>106</v>
      </c>
      <c r="R322" s="51" t="s">
        <v>103</v>
      </c>
      <c r="AC322" s="51">
        <v>1.0</v>
      </c>
      <c r="AD322" s="51">
        <v>1.0</v>
      </c>
      <c r="AE322" s="51" t="s">
        <v>103</v>
      </c>
      <c r="AF322" s="51">
        <v>0.0</v>
      </c>
      <c r="AG322" s="51">
        <v>1.0</v>
      </c>
      <c r="AH322" s="51" t="s">
        <v>103</v>
      </c>
      <c r="AJ322" s="80">
        <f t="shared" si="1"/>
        <v>5</v>
      </c>
      <c r="AK322" s="80">
        <f t="shared" si="2"/>
        <v>2</v>
      </c>
    </row>
    <row r="323">
      <c r="A323" s="79">
        <v>45014.88549962963</v>
      </c>
      <c r="B323" s="51" t="s">
        <v>102</v>
      </c>
      <c r="C323" s="51">
        <v>53.0</v>
      </c>
      <c r="D323" s="51">
        <v>8832.0</v>
      </c>
      <c r="E323" s="51" t="s">
        <v>106</v>
      </c>
      <c r="R323" s="51" t="s">
        <v>103</v>
      </c>
      <c r="AE323" s="51" t="s">
        <v>107</v>
      </c>
      <c r="AF323" s="51">
        <v>0.0</v>
      </c>
      <c r="AG323" s="51">
        <v>2.0</v>
      </c>
      <c r="AH323" s="51" t="s">
        <v>103</v>
      </c>
      <c r="AI323" s="51" t="s">
        <v>300</v>
      </c>
      <c r="AJ323" s="80">
        <f t="shared" si="1"/>
        <v>6</v>
      </c>
      <c r="AK323" s="80">
        <f t="shared" si="2"/>
        <v>0</v>
      </c>
    </row>
    <row r="324">
      <c r="A324" s="79">
        <v>45005.373935682874</v>
      </c>
      <c r="B324" s="51" t="s">
        <v>239</v>
      </c>
      <c r="C324" s="51">
        <v>4.0</v>
      </c>
      <c r="D324" s="51">
        <v>8895.0</v>
      </c>
      <c r="E324" s="51" t="s">
        <v>103</v>
      </c>
      <c r="R324" s="51" t="s">
        <v>103</v>
      </c>
      <c r="AE324" s="51" t="s">
        <v>103</v>
      </c>
      <c r="AF324" s="51">
        <v>0.0</v>
      </c>
      <c r="AG324" s="51">
        <v>0.0</v>
      </c>
      <c r="AH324" s="51" t="s">
        <v>103</v>
      </c>
      <c r="AI324" s="82" t="s">
        <v>301</v>
      </c>
      <c r="AJ324" s="80">
        <f t="shared" si="1"/>
        <v>0</v>
      </c>
      <c r="AK324" s="80">
        <f t="shared" si="2"/>
        <v>0</v>
      </c>
    </row>
    <row r="325">
      <c r="A325" s="79">
        <v>45005.37724428241</v>
      </c>
      <c r="B325" s="51" t="s">
        <v>239</v>
      </c>
      <c r="C325" s="51">
        <v>9.0</v>
      </c>
      <c r="D325" s="51">
        <v>8895.0</v>
      </c>
      <c r="E325" s="51" t="s">
        <v>103</v>
      </c>
      <c r="R325" s="51" t="s">
        <v>103</v>
      </c>
      <c r="W325" s="51">
        <v>2.0</v>
      </c>
      <c r="X325" s="51">
        <v>1.0</v>
      </c>
      <c r="AE325" s="51" t="s">
        <v>107</v>
      </c>
      <c r="AF325" s="51">
        <v>0.0</v>
      </c>
      <c r="AG325" s="51">
        <v>0.0</v>
      </c>
      <c r="AH325" s="51" t="s">
        <v>103</v>
      </c>
      <c r="AI325" s="82" t="s">
        <v>302</v>
      </c>
      <c r="AJ325" s="80">
        <f t="shared" si="1"/>
        <v>5</v>
      </c>
      <c r="AK325" s="80">
        <f t="shared" si="2"/>
        <v>2</v>
      </c>
    </row>
    <row r="326">
      <c r="A326" s="79">
        <v>45005.38155315972</v>
      </c>
      <c r="B326" s="51" t="s">
        <v>239</v>
      </c>
      <c r="C326" s="51">
        <v>15.0</v>
      </c>
      <c r="D326" s="51">
        <v>8895.0</v>
      </c>
      <c r="E326" s="51" t="s">
        <v>103</v>
      </c>
      <c r="R326" s="51" t="s">
        <v>103</v>
      </c>
      <c r="AE326" s="51" t="s">
        <v>103</v>
      </c>
      <c r="AF326" s="51">
        <v>0.0</v>
      </c>
      <c r="AG326" s="51">
        <v>0.0</v>
      </c>
      <c r="AH326" s="51" t="s">
        <v>103</v>
      </c>
      <c r="AI326" s="81"/>
      <c r="AJ326" s="80">
        <f t="shared" si="1"/>
        <v>0</v>
      </c>
      <c r="AK326" s="80">
        <f t="shared" si="2"/>
        <v>0</v>
      </c>
    </row>
    <row r="327">
      <c r="A327" s="79">
        <v>45005.81605820602</v>
      </c>
      <c r="B327" s="51" t="s">
        <v>239</v>
      </c>
      <c r="C327" s="51">
        <v>25.0</v>
      </c>
      <c r="D327" s="51">
        <v>8895.0</v>
      </c>
      <c r="E327" s="51" t="s">
        <v>103</v>
      </c>
      <c r="R327" s="51" t="s">
        <v>103</v>
      </c>
      <c r="AE327" s="51" t="s">
        <v>107</v>
      </c>
      <c r="AF327" s="51">
        <v>1.0</v>
      </c>
      <c r="AG327" s="51">
        <v>0.0</v>
      </c>
      <c r="AH327" s="51" t="s">
        <v>106</v>
      </c>
      <c r="AI327" s="82" t="s">
        <v>303</v>
      </c>
      <c r="AJ327" s="80">
        <f t="shared" si="1"/>
        <v>3</v>
      </c>
      <c r="AK327" s="80">
        <f t="shared" si="2"/>
        <v>0</v>
      </c>
    </row>
    <row r="328">
      <c r="A328" s="79">
        <v>45005.82131262732</v>
      </c>
      <c r="B328" s="51" t="s">
        <v>239</v>
      </c>
      <c r="C328" s="51">
        <v>30.0</v>
      </c>
      <c r="D328" s="51">
        <v>8895.0</v>
      </c>
      <c r="E328" s="51" t="s">
        <v>103</v>
      </c>
      <c r="R328" s="51" t="s">
        <v>103</v>
      </c>
      <c r="AE328" s="51" t="s">
        <v>103</v>
      </c>
      <c r="AF328" s="51">
        <v>0.0</v>
      </c>
      <c r="AG328" s="51">
        <v>0.0</v>
      </c>
      <c r="AH328" s="51" t="s">
        <v>106</v>
      </c>
      <c r="AI328" s="82" t="s">
        <v>304</v>
      </c>
      <c r="AJ328" s="80">
        <f t="shared" si="1"/>
        <v>0</v>
      </c>
      <c r="AK328" s="80">
        <f t="shared" si="2"/>
        <v>0</v>
      </c>
    </row>
    <row r="329">
      <c r="A329" s="79">
        <v>45005.8243200463</v>
      </c>
      <c r="B329" s="51" t="s">
        <v>239</v>
      </c>
      <c r="C329" s="51">
        <v>34.0</v>
      </c>
      <c r="D329" s="51">
        <v>8895.0</v>
      </c>
      <c r="E329" s="51" t="s">
        <v>103</v>
      </c>
      <c r="R329" s="51" t="s">
        <v>103</v>
      </c>
      <c r="AE329" s="51" t="s">
        <v>104</v>
      </c>
      <c r="AF329" s="51">
        <v>0.0</v>
      </c>
      <c r="AG329" s="51">
        <v>0.0</v>
      </c>
      <c r="AH329" s="51" t="s">
        <v>103</v>
      </c>
      <c r="AI329" s="82" t="s">
        <v>305</v>
      </c>
      <c r="AJ329" s="80">
        <f t="shared" si="1"/>
        <v>10</v>
      </c>
      <c r="AK329" s="80">
        <f t="shared" si="2"/>
        <v>0</v>
      </c>
    </row>
    <row r="330">
      <c r="A330" s="79">
        <v>45005.827041157405</v>
      </c>
      <c r="B330" s="51" t="s">
        <v>239</v>
      </c>
      <c r="C330" s="51">
        <v>42.0</v>
      </c>
      <c r="D330" s="51">
        <v>8895.0</v>
      </c>
      <c r="E330" s="51" t="s">
        <v>103</v>
      </c>
      <c r="R330" s="51" t="s">
        <v>103</v>
      </c>
      <c r="W330" s="51">
        <v>1.0</v>
      </c>
      <c r="X330" s="51">
        <v>1.0</v>
      </c>
      <c r="AE330" s="51" t="s">
        <v>104</v>
      </c>
      <c r="AF330" s="51">
        <v>1.0</v>
      </c>
      <c r="AG330" s="51">
        <v>0.0</v>
      </c>
      <c r="AH330" s="51" t="s">
        <v>103</v>
      </c>
      <c r="AI330" s="82" t="s">
        <v>306</v>
      </c>
      <c r="AJ330" s="80">
        <f t="shared" si="1"/>
        <v>12</v>
      </c>
      <c r="AK330" s="80">
        <f t="shared" si="2"/>
        <v>2</v>
      </c>
    </row>
    <row r="331">
      <c r="A331" s="79">
        <v>45006.35175072917</v>
      </c>
      <c r="B331" s="51" t="s">
        <v>239</v>
      </c>
      <c r="C331" s="51">
        <v>50.0</v>
      </c>
      <c r="D331" s="51">
        <v>8895.0</v>
      </c>
      <c r="E331" s="51" t="s">
        <v>103</v>
      </c>
      <c r="R331" s="51" t="s">
        <v>103</v>
      </c>
      <c r="W331" s="51">
        <v>1.0</v>
      </c>
      <c r="X331" s="51">
        <v>0.0</v>
      </c>
      <c r="AE331" s="51" t="s">
        <v>104</v>
      </c>
      <c r="AF331" s="51">
        <v>1.0</v>
      </c>
      <c r="AG331" s="51">
        <v>1.0</v>
      </c>
      <c r="AH331" s="51" t="s">
        <v>103</v>
      </c>
      <c r="AI331" s="81"/>
      <c r="AJ331" s="80">
        <f t="shared" si="1"/>
        <v>10</v>
      </c>
      <c r="AK331" s="80">
        <f t="shared" si="2"/>
        <v>0</v>
      </c>
    </row>
    <row r="332">
      <c r="A332" s="79">
        <v>45006.356058935184</v>
      </c>
      <c r="B332" s="51" t="s">
        <v>239</v>
      </c>
      <c r="C332" s="51">
        <v>60.0</v>
      </c>
      <c r="D332" s="51">
        <v>8895.0</v>
      </c>
      <c r="E332" s="51" t="s">
        <v>103</v>
      </c>
      <c r="R332" s="51" t="s">
        <v>103</v>
      </c>
      <c r="W332" s="51">
        <v>1.0</v>
      </c>
      <c r="X332" s="51">
        <v>0.0</v>
      </c>
      <c r="AE332" s="51" t="s">
        <v>103</v>
      </c>
      <c r="AF332" s="51">
        <v>0.0</v>
      </c>
      <c r="AG332" s="51">
        <v>0.0</v>
      </c>
      <c r="AH332" s="51" t="s">
        <v>106</v>
      </c>
      <c r="AI332" s="81"/>
      <c r="AJ332" s="80">
        <f t="shared" si="1"/>
        <v>0</v>
      </c>
      <c r="AK332" s="80">
        <f t="shared" si="2"/>
        <v>0</v>
      </c>
    </row>
    <row r="333">
      <c r="A333" s="79">
        <v>44996.582420266204</v>
      </c>
      <c r="B333" s="51" t="s">
        <v>102</v>
      </c>
      <c r="C333" s="51">
        <v>4.0</v>
      </c>
      <c r="D333" s="51">
        <v>9209.0</v>
      </c>
      <c r="E333" s="51" t="s">
        <v>106</v>
      </c>
      <c r="R333" s="51" t="s">
        <v>103</v>
      </c>
      <c r="W333" s="51">
        <v>1.0</v>
      </c>
      <c r="X333" s="51">
        <v>1.0</v>
      </c>
      <c r="AE333" s="51" t="s">
        <v>107</v>
      </c>
      <c r="AF333" s="51">
        <v>1.0</v>
      </c>
      <c r="AG333" s="51">
        <v>0.0</v>
      </c>
      <c r="AH333" s="51" t="s">
        <v>103</v>
      </c>
      <c r="AI333" s="81"/>
      <c r="AJ333" s="80">
        <f t="shared" si="1"/>
        <v>8</v>
      </c>
      <c r="AK333" s="80">
        <f t="shared" si="2"/>
        <v>2</v>
      </c>
    </row>
    <row r="334">
      <c r="A334" s="79">
        <v>44996.584017002315</v>
      </c>
      <c r="B334" s="51" t="s">
        <v>102</v>
      </c>
      <c r="C334" s="51">
        <v>23.0</v>
      </c>
      <c r="D334" s="51">
        <v>9209.0</v>
      </c>
      <c r="E334" s="51" t="s">
        <v>103</v>
      </c>
      <c r="J334" s="51">
        <v>1.0</v>
      </c>
      <c r="K334" s="51">
        <v>1.0</v>
      </c>
      <c r="R334" s="51" t="s">
        <v>103</v>
      </c>
      <c r="AE334" s="51" t="s">
        <v>103</v>
      </c>
      <c r="AF334" s="51">
        <v>0.0</v>
      </c>
      <c r="AG334" s="51">
        <v>0.0</v>
      </c>
      <c r="AH334" s="51" t="s">
        <v>106</v>
      </c>
      <c r="AI334" s="82" t="s">
        <v>307</v>
      </c>
      <c r="AJ334" s="80">
        <f t="shared" si="1"/>
        <v>3</v>
      </c>
      <c r="AK334" s="80">
        <f t="shared" si="2"/>
        <v>3</v>
      </c>
    </row>
    <row r="335">
      <c r="A335" s="79">
        <v>44998.42961905093</v>
      </c>
      <c r="B335" s="51" t="s">
        <v>102</v>
      </c>
      <c r="C335" s="51">
        <v>63.0</v>
      </c>
      <c r="D335" s="51">
        <v>9209.0</v>
      </c>
      <c r="E335" s="51" t="s">
        <v>106</v>
      </c>
      <c r="R335" s="51" t="s">
        <v>103</v>
      </c>
      <c r="AE335" s="51" t="s">
        <v>104</v>
      </c>
      <c r="AF335" s="51">
        <v>0.0</v>
      </c>
      <c r="AG335" s="51">
        <v>0.0</v>
      </c>
      <c r="AH335" s="51" t="s">
        <v>103</v>
      </c>
      <c r="AI335" s="81"/>
      <c r="AJ335" s="80">
        <f t="shared" si="1"/>
        <v>13</v>
      </c>
      <c r="AK335" s="80">
        <f t="shared" si="2"/>
        <v>0</v>
      </c>
    </row>
    <row r="336">
      <c r="A336" s="79">
        <v>44998.43137244213</v>
      </c>
      <c r="B336" s="51" t="s">
        <v>102</v>
      </c>
      <c r="C336" s="51">
        <v>75.0</v>
      </c>
      <c r="D336" s="51">
        <v>9209.0</v>
      </c>
      <c r="E336" s="51" t="s">
        <v>106</v>
      </c>
      <c r="R336" s="51" t="s">
        <v>103</v>
      </c>
      <c r="AE336" s="51" t="s">
        <v>104</v>
      </c>
      <c r="AF336" s="51">
        <v>0.0</v>
      </c>
      <c r="AG336" s="51">
        <v>0.0</v>
      </c>
      <c r="AH336" s="51" t="s">
        <v>103</v>
      </c>
      <c r="AI336" s="81"/>
      <c r="AJ336" s="80">
        <f t="shared" si="1"/>
        <v>13</v>
      </c>
      <c r="AK336" s="80">
        <f t="shared" si="2"/>
        <v>0</v>
      </c>
    </row>
    <row r="337">
      <c r="A337" s="79">
        <v>44998.816336909724</v>
      </c>
      <c r="B337" s="51" t="s">
        <v>239</v>
      </c>
      <c r="C337" s="51">
        <v>6.0</v>
      </c>
      <c r="D337" s="51">
        <v>9210.0</v>
      </c>
      <c r="E337" s="51" t="s">
        <v>106</v>
      </c>
      <c r="R337" s="51" t="s">
        <v>103</v>
      </c>
      <c r="AC337" s="51">
        <v>1.0</v>
      </c>
      <c r="AD337" s="51">
        <v>0.0</v>
      </c>
      <c r="AE337" s="51" t="s">
        <v>104</v>
      </c>
      <c r="AF337" s="51">
        <v>2.0</v>
      </c>
      <c r="AG337" s="51">
        <v>1.0</v>
      </c>
      <c r="AH337" s="51" t="s">
        <v>103</v>
      </c>
      <c r="AI337" s="81"/>
      <c r="AJ337" s="80">
        <f t="shared" si="1"/>
        <v>13</v>
      </c>
      <c r="AK337" s="80">
        <f t="shared" si="2"/>
        <v>0</v>
      </c>
    </row>
    <row r="338">
      <c r="A338" s="79">
        <v>44998.82066116898</v>
      </c>
      <c r="B338" s="51" t="s">
        <v>239</v>
      </c>
      <c r="C338" s="51">
        <v>12.0</v>
      </c>
      <c r="D338" s="51">
        <v>9210.0</v>
      </c>
      <c r="E338" s="51" t="s">
        <v>106</v>
      </c>
      <c r="R338" s="51" t="s">
        <v>103</v>
      </c>
      <c r="AC338" s="51">
        <v>2.0</v>
      </c>
      <c r="AD338" s="51">
        <v>2.0</v>
      </c>
      <c r="AE338" s="51" t="s">
        <v>104</v>
      </c>
      <c r="AF338" s="51">
        <v>2.0</v>
      </c>
      <c r="AG338" s="51">
        <v>1.0</v>
      </c>
      <c r="AH338" s="51" t="s">
        <v>103</v>
      </c>
      <c r="AI338" s="81"/>
      <c r="AJ338" s="80">
        <f t="shared" si="1"/>
        <v>17</v>
      </c>
      <c r="AK338" s="80">
        <f t="shared" si="2"/>
        <v>4</v>
      </c>
    </row>
    <row r="339">
      <c r="A339" s="79">
        <v>44998.824090891205</v>
      </c>
      <c r="B339" s="51" t="s">
        <v>239</v>
      </c>
      <c r="C339" s="51">
        <v>19.0</v>
      </c>
      <c r="D339" s="51">
        <v>9210.0</v>
      </c>
      <c r="E339" s="51" t="s">
        <v>106</v>
      </c>
      <c r="R339" s="51" t="s">
        <v>103</v>
      </c>
      <c r="AC339" s="51">
        <v>1.0</v>
      </c>
      <c r="AD339" s="51">
        <v>1.0</v>
      </c>
      <c r="AE339" s="51" t="s">
        <v>104</v>
      </c>
      <c r="AF339" s="51">
        <v>2.0</v>
      </c>
      <c r="AG339" s="51">
        <v>0.0</v>
      </c>
      <c r="AH339" s="51" t="s">
        <v>103</v>
      </c>
      <c r="AI339" s="82" t="s">
        <v>308</v>
      </c>
      <c r="AJ339" s="80">
        <f t="shared" si="1"/>
        <v>15</v>
      </c>
      <c r="AK339" s="80">
        <f t="shared" si="2"/>
        <v>2</v>
      </c>
    </row>
    <row r="340">
      <c r="A340" s="79">
        <v>44998.82672822916</v>
      </c>
      <c r="B340" s="51" t="s">
        <v>239</v>
      </c>
      <c r="C340" s="51" t="s">
        <v>309</v>
      </c>
      <c r="D340" s="51">
        <v>9210.0</v>
      </c>
      <c r="E340" s="51" t="s">
        <v>106</v>
      </c>
      <c r="R340" s="51" t="s">
        <v>103</v>
      </c>
      <c r="AC340" s="51">
        <v>1.0</v>
      </c>
      <c r="AD340" s="51">
        <v>1.0</v>
      </c>
      <c r="AE340" s="51" t="s">
        <v>104</v>
      </c>
      <c r="AF340" s="51">
        <v>1.0</v>
      </c>
      <c r="AG340" s="51">
        <v>1.0</v>
      </c>
      <c r="AH340" s="51" t="s">
        <v>103</v>
      </c>
      <c r="AI340" s="81"/>
      <c r="AJ340" s="80">
        <f t="shared" si="1"/>
        <v>15</v>
      </c>
      <c r="AK340" s="80">
        <f t="shared" si="2"/>
        <v>2</v>
      </c>
    </row>
    <row r="341">
      <c r="A341" s="79">
        <v>45006.36436258102</v>
      </c>
      <c r="B341" s="51" t="s">
        <v>239</v>
      </c>
      <c r="C341" s="51">
        <v>1.0</v>
      </c>
      <c r="D341" s="51">
        <v>9211.0</v>
      </c>
      <c r="E341" s="51" t="s">
        <v>103</v>
      </c>
      <c r="R341" s="51" t="s">
        <v>103</v>
      </c>
      <c r="W341" s="51">
        <v>1.0</v>
      </c>
      <c r="X341" s="51">
        <v>0.0</v>
      </c>
      <c r="AC341" s="51">
        <v>1.0</v>
      </c>
      <c r="AD341" s="51">
        <v>0.0</v>
      </c>
      <c r="AE341" s="51" t="s">
        <v>103</v>
      </c>
      <c r="AF341" s="51">
        <v>1.0</v>
      </c>
      <c r="AG341" s="51">
        <v>1.0</v>
      </c>
      <c r="AH341" s="51" t="s">
        <v>106</v>
      </c>
      <c r="AI341" s="81"/>
      <c r="AJ341" s="80">
        <f t="shared" si="1"/>
        <v>0</v>
      </c>
      <c r="AK341" s="80">
        <f t="shared" si="2"/>
        <v>0</v>
      </c>
    </row>
    <row r="342">
      <c r="A342" s="79">
        <v>45006.36759037037</v>
      </c>
      <c r="B342" s="51" t="s">
        <v>239</v>
      </c>
      <c r="C342" s="51">
        <v>11.0</v>
      </c>
      <c r="D342" s="51">
        <v>9211.0</v>
      </c>
      <c r="E342" s="51" t="s">
        <v>103</v>
      </c>
      <c r="R342" s="51" t="s">
        <v>103</v>
      </c>
      <c r="AE342" s="51" t="s">
        <v>104</v>
      </c>
      <c r="AF342" s="51">
        <v>1.0</v>
      </c>
      <c r="AG342" s="51">
        <v>1.0</v>
      </c>
      <c r="AH342" s="51" t="s">
        <v>103</v>
      </c>
      <c r="AI342" s="81"/>
      <c r="AJ342" s="80">
        <f t="shared" si="1"/>
        <v>10</v>
      </c>
      <c r="AK342" s="80">
        <f t="shared" si="2"/>
        <v>0</v>
      </c>
    </row>
    <row r="343">
      <c r="A343" s="79">
        <v>45006.37068782408</v>
      </c>
      <c r="B343" s="51" t="s">
        <v>239</v>
      </c>
      <c r="C343" s="51">
        <v>18.0</v>
      </c>
      <c r="D343" s="51">
        <v>9211.0</v>
      </c>
      <c r="E343" s="51" t="s">
        <v>103</v>
      </c>
      <c r="R343" s="51" t="s">
        <v>103</v>
      </c>
      <c r="AE343" s="51" t="s">
        <v>104</v>
      </c>
      <c r="AF343" s="51">
        <v>1.0</v>
      </c>
      <c r="AG343" s="51">
        <v>1.0</v>
      </c>
      <c r="AH343" s="51" t="s">
        <v>103</v>
      </c>
      <c r="AI343" s="81"/>
      <c r="AJ343" s="80">
        <f t="shared" si="1"/>
        <v>10</v>
      </c>
      <c r="AK343" s="80">
        <f t="shared" si="2"/>
        <v>0</v>
      </c>
    </row>
    <row r="344">
      <c r="A344" s="79">
        <v>45006.372778159726</v>
      </c>
      <c r="B344" s="51" t="s">
        <v>239</v>
      </c>
      <c r="C344" s="51">
        <v>26.0</v>
      </c>
      <c r="D344" s="51">
        <v>9211.0</v>
      </c>
      <c r="E344" s="51" t="s">
        <v>103</v>
      </c>
      <c r="R344" s="51" t="s">
        <v>103</v>
      </c>
      <c r="AE344" s="51" t="s">
        <v>103</v>
      </c>
      <c r="AF344" s="51">
        <v>0.0</v>
      </c>
      <c r="AG344" s="51">
        <v>2.0</v>
      </c>
      <c r="AH344" s="51" t="s">
        <v>106</v>
      </c>
      <c r="AI344" s="81"/>
      <c r="AJ344" s="80">
        <f t="shared" si="1"/>
        <v>0</v>
      </c>
      <c r="AK344" s="80">
        <f t="shared" si="2"/>
        <v>0</v>
      </c>
    </row>
    <row r="345">
      <c r="A345" s="79">
        <v>44998.82613002315</v>
      </c>
      <c r="B345" s="51" t="s">
        <v>290</v>
      </c>
      <c r="C345" s="51" t="s">
        <v>310</v>
      </c>
      <c r="D345" s="51">
        <v>9241.0</v>
      </c>
      <c r="E345" s="51" t="s">
        <v>106</v>
      </c>
      <c r="R345" s="51" t="s">
        <v>103</v>
      </c>
      <c r="W345" s="51">
        <v>1.0</v>
      </c>
      <c r="X345" s="51">
        <v>1.0</v>
      </c>
      <c r="AE345" s="51" t="s">
        <v>107</v>
      </c>
      <c r="AF345" s="51">
        <v>0.0</v>
      </c>
      <c r="AG345" s="51">
        <v>0.0</v>
      </c>
      <c r="AH345" s="51" t="s">
        <v>106</v>
      </c>
      <c r="AI345" s="82" t="s">
        <v>311</v>
      </c>
      <c r="AJ345" s="80">
        <f t="shared" si="1"/>
        <v>8</v>
      </c>
      <c r="AK345" s="80">
        <f t="shared" si="2"/>
        <v>2</v>
      </c>
    </row>
    <row r="346">
      <c r="A346" s="79">
        <v>44998.828914537036</v>
      </c>
      <c r="B346" s="51" t="s">
        <v>312</v>
      </c>
      <c r="C346" s="51">
        <v>58.0</v>
      </c>
      <c r="D346" s="51">
        <v>9241.0</v>
      </c>
      <c r="E346" s="51" t="s">
        <v>106</v>
      </c>
      <c r="R346" s="51" t="s">
        <v>103</v>
      </c>
      <c r="W346" s="51">
        <v>1.0</v>
      </c>
      <c r="X346" s="51">
        <v>1.0</v>
      </c>
      <c r="AC346" s="51">
        <v>2.0</v>
      </c>
      <c r="AD346" s="51">
        <v>2.0</v>
      </c>
      <c r="AE346" s="51" t="s">
        <v>104</v>
      </c>
      <c r="AF346" s="51">
        <v>1.0</v>
      </c>
      <c r="AG346" s="51">
        <v>1.0</v>
      </c>
      <c r="AH346" s="51" t="s">
        <v>103</v>
      </c>
      <c r="AI346" s="82" t="s">
        <v>313</v>
      </c>
      <c r="AJ346" s="80">
        <f t="shared" si="1"/>
        <v>19</v>
      </c>
      <c r="AK346" s="80">
        <f t="shared" si="2"/>
        <v>6</v>
      </c>
    </row>
    <row r="347">
      <c r="A347" s="79">
        <v>44998.830626145835</v>
      </c>
      <c r="B347" s="51" t="s">
        <v>290</v>
      </c>
      <c r="C347" s="51">
        <v>36.0</v>
      </c>
      <c r="D347" s="51">
        <v>9241.0</v>
      </c>
      <c r="E347" s="51" t="s">
        <v>106</v>
      </c>
      <c r="R347" s="51" t="s">
        <v>103</v>
      </c>
      <c r="W347" s="51">
        <v>2.0</v>
      </c>
      <c r="X347" s="51">
        <v>2.0</v>
      </c>
      <c r="AC347" s="51">
        <v>1.0</v>
      </c>
      <c r="AD347" s="51">
        <v>1.0</v>
      </c>
      <c r="AE347" s="51" t="s">
        <v>104</v>
      </c>
      <c r="AF347" s="51">
        <v>1.0</v>
      </c>
      <c r="AG347" s="51">
        <v>0.0</v>
      </c>
      <c r="AH347" s="51" t="s">
        <v>103</v>
      </c>
      <c r="AI347" s="81"/>
      <c r="AJ347" s="80">
        <f t="shared" si="1"/>
        <v>19</v>
      </c>
      <c r="AK347" s="80">
        <f t="shared" si="2"/>
        <v>6</v>
      </c>
    </row>
    <row r="348">
      <c r="A348" s="79">
        <v>44998.8238094213</v>
      </c>
      <c r="B348" s="51" t="s">
        <v>290</v>
      </c>
      <c r="C348" s="51">
        <v>58.0</v>
      </c>
      <c r="D348" s="51">
        <v>9242.0</v>
      </c>
      <c r="E348" s="51" t="s">
        <v>106</v>
      </c>
      <c r="R348" s="51" t="s">
        <v>103</v>
      </c>
      <c r="W348" s="51">
        <v>1.0</v>
      </c>
      <c r="X348" s="51">
        <v>1.0</v>
      </c>
      <c r="AC348" s="51">
        <v>2.0</v>
      </c>
      <c r="AD348" s="51">
        <v>2.0</v>
      </c>
      <c r="AE348" s="51" t="s">
        <v>104</v>
      </c>
      <c r="AF348" s="51">
        <v>2.0</v>
      </c>
      <c r="AG348" s="51">
        <v>0.0</v>
      </c>
      <c r="AH348" s="51" t="s">
        <v>103</v>
      </c>
      <c r="AI348" s="82" t="s">
        <v>314</v>
      </c>
      <c r="AJ348" s="80">
        <f t="shared" si="1"/>
        <v>19</v>
      </c>
      <c r="AK348" s="80">
        <f t="shared" si="2"/>
        <v>6</v>
      </c>
    </row>
    <row r="349">
      <c r="AI349" s="81"/>
      <c r="AJ349" s="80">
        <f t="shared" si="1"/>
        <v>0</v>
      </c>
      <c r="AK349" s="80">
        <f t="shared" si="2"/>
        <v>0</v>
      </c>
    </row>
    <row r="350">
      <c r="AI350" s="81"/>
      <c r="AJ350" s="80">
        <f t="shared" si="1"/>
        <v>0</v>
      </c>
      <c r="AK350" s="80">
        <f t="shared" si="2"/>
        <v>0</v>
      </c>
    </row>
    <row r="351">
      <c r="AI351" s="81"/>
      <c r="AJ351" s="80">
        <f t="shared" si="1"/>
        <v>0</v>
      </c>
      <c r="AK351" s="80">
        <f t="shared" si="2"/>
        <v>0</v>
      </c>
    </row>
    <row r="352">
      <c r="AI352" s="81"/>
      <c r="AJ352" s="80">
        <f t="shared" si="1"/>
        <v>0</v>
      </c>
      <c r="AK352" s="80">
        <f t="shared" si="2"/>
        <v>0</v>
      </c>
    </row>
    <row r="353">
      <c r="AI353" s="81"/>
      <c r="AJ353" s="80">
        <f t="shared" si="1"/>
        <v>0</v>
      </c>
      <c r="AK353" s="80">
        <f t="shared" si="2"/>
        <v>0</v>
      </c>
    </row>
    <row r="354">
      <c r="AI354" s="81"/>
      <c r="AJ354" s="80">
        <f t="shared" si="1"/>
        <v>0</v>
      </c>
      <c r="AK354" s="80">
        <f t="shared" si="2"/>
        <v>0</v>
      </c>
    </row>
    <row r="355">
      <c r="AI355" s="81"/>
      <c r="AJ355" s="80">
        <f t="shared" si="1"/>
        <v>0</v>
      </c>
      <c r="AK355" s="80">
        <f t="shared" si="2"/>
        <v>0</v>
      </c>
    </row>
    <row r="356">
      <c r="AI356" s="81"/>
      <c r="AJ356" s="80">
        <f t="shared" si="1"/>
        <v>0</v>
      </c>
      <c r="AK356" s="80">
        <f t="shared" si="2"/>
        <v>0</v>
      </c>
    </row>
    <row r="357">
      <c r="AI357" s="81"/>
      <c r="AJ357" s="80">
        <f t="shared" si="1"/>
        <v>0</v>
      </c>
      <c r="AK357" s="80">
        <f t="shared" si="2"/>
        <v>0</v>
      </c>
    </row>
    <row r="358">
      <c r="AI358" s="81"/>
      <c r="AJ358" s="80">
        <f t="shared" si="1"/>
        <v>0</v>
      </c>
      <c r="AK358" s="80">
        <f t="shared" si="2"/>
        <v>0</v>
      </c>
    </row>
    <row r="359">
      <c r="AI359" s="81"/>
      <c r="AJ359" s="80">
        <f t="shared" si="1"/>
        <v>0</v>
      </c>
      <c r="AK359" s="80">
        <f t="shared" si="2"/>
        <v>0</v>
      </c>
    </row>
    <row r="360">
      <c r="AI360" s="81"/>
      <c r="AJ360" s="80">
        <f t="shared" si="1"/>
        <v>0</v>
      </c>
      <c r="AK360" s="80">
        <f t="shared" si="2"/>
        <v>0</v>
      </c>
    </row>
    <row r="361">
      <c r="AI361" s="81"/>
      <c r="AJ361" s="80">
        <f t="shared" si="1"/>
        <v>0</v>
      </c>
      <c r="AK361" s="80">
        <f t="shared" si="2"/>
        <v>0</v>
      </c>
    </row>
    <row r="362">
      <c r="AI362" s="81"/>
      <c r="AJ362" s="80">
        <f t="shared" si="1"/>
        <v>0</v>
      </c>
      <c r="AK362" s="80">
        <f t="shared" si="2"/>
        <v>0</v>
      </c>
    </row>
    <row r="363">
      <c r="AI363" s="81"/>
      <c r="AJ363" s="80">
        <f t="shared" si="1"/>
        <v>0</v>
      </c>
      <c r="AK363" s="80">
        <f t="shared" si="2"/>
        <v>0</v>
      </c>
    </row>
    <row r="364">
      <c r="AI364" s="81"/>
      <c r="AJ364" s="80">
        <f t="shared" si="1"/>
        <v>0</v>
      </c>
      <c r="AK364" s="80">
        <f t="shared" si="2"/>
        <v>0</v>
      </c>
    </row>
    <row r="365">
      <c r="AI365" s="81"/>
      <c r="AJ365" s="80">
        <f t="shared" si="1"/>
        <v>0</v>
      </c>
      <c r="AK365" s="80">
        <f t="shared" si="2"/>
        <v>0</v>
      </c>
    </row>
    <row r="366">
      <c r="AI366" s="81"/>
      <c r="AJ366" s="80">
        <f t="shared" si="1"/>
        <v>0</v>
      </c>
      <c r="AK366" s="80">
        <f t="shared" si="2"/>
        <v>0</v>
      </c>
    </row>
    <row r="367">
      <c r="AI367" s="81"/>
      <c r="AJ367" s="80">
        <f t="shared" si="1"/>
        <v>0</v>
      </c>
      <c r="AK367" s="80">
        <f t="shared" si="2"/>
        <v>0</v>
      </c>
    </row>
    <row r="368">
      <c r="AI368" s="81"/>
      <c r="AJ368" s="80">
        <f t="shared" si="1"/>
        <v>0</v>
      </c>
      <c r="AK368" s="80">
        <f t="shared" si="2"/>
        <v>0</v>
      </c>
    </row>
    <row r="369">
      <c r="AI369" s="81"/>
      <c r="AJ369" s="80">
        <f t="shared" si="1"/>
        <v>0</v>
      </c>
      <c r="AK369" s="80">
        <f t="shared" si="2"/>
        <v>0</v>
      </c>
    </row>
    <row r="370">
      <c r="AI370" s="81"/>
      <c r="AJ370" s="80">
        <f t="shared" si="1"/>
        <v>0</v>
      </c>
      <c r="AK370" s="80">
        <f t="shared" si="2"/>
        <v>0</v>
      </c>
    </row>
    <row r="371">
      <c r="AI371" s="81"/>
      <c r="AJ371" s="80">
        <f t="shared" si="1"/>
        <v>0</v>
      </c>
      <c r="AK371" s="80">
        <f t="shared" si="2"/>
        <v>0</v>
      </c>
    </row>
    <row r="372">
      <c r="AI372" s="81"/>
      <c r="AJ372" s="80">
        <f t="shared" si="1"/>
        <v>0</v>
      </c>
      <c r="AK372" s="80">
        <f t="shared" si="2"/>
        <v>0</v>
      </c>
    </row>
    <row r="373">
      <c r="AI373" s="81"/>
      <c r="AJ373" s="80">
        <f t="shared" si="1"/>
        <v>0</v>
      </c>
      <c r="AK373" s="80">
        <f t="shared" si="2"/>
        <v>0</v>
      </c>
    </row>
    <row r="374">
      <c r="AI374" s="81"/>
      <c r="AJ374" s="80">
        <f t="shared" si="1"/>
        <v>0</v>
      </c>
      <c r="AK374" s="80">
        <f t="shared" si="2"/>
        <v>0</v>
      </c>
    </row>
    <row r="375">
      <c r="AI375" s="81"/>
      <c r="AJ375" s="80">
        <f t="shared" si="1"/>
        <v>0</v>
      </c>
      <c r="AK375" s="80">
        <f t="shared" si="2"/>
        <v>0</v>
      </c>
    </row>
    <row r="376">
      <c r="AI376" s="81"/>
      <c r="AJ376" s="80">
        <f t="shared" si="1"/>
        <v>0</v>
      </c>
      <c r="AK376" s="80">
        <f t="shared" si="2"/>
        <v>0</v>
      </c>
    </row>
    <row r="377">
      <c r="AI377" s="81"/>
      <c r="AJ377" s="80">
        <f t="shared" si="1"/>
        <v>0</v>
      </c>
      <c r="AK377" s="80">
        <f t="shared" si="2"/>
        <v>0</v>
      </c>
    </row>
    <row r="378">
      <c r="AI378" s="81"/>
      <c r="AJ378" s="80">
        <f t="shared" si="1"/>
        <v>0</v>
      </c>
      <c r="AK378" s="80">
        <f t="shared" si="2"/>
        <v>0</v>
      </c>
    </row>
    <row r="379">
      <c r="AI379" s="81"/>
      <c r="AJ379" s="80">
        <f t="shared" si="1"/>
        <v>0</v>
      </c>
      <c r="AK379" s="80">
        <f t="shared" si="2"/>
        <v>0</v>
      </c>
    </row>
    <row r="380">
      <c r="AI380" s="81"/>
      <c r="AJ380" s="80">
        <f t="shared" si="1"/>
        <v>0</v>
      </c>
      <c r="AK380" s="80">
        <f t="shared" si="2"/>
        <v>0</v>
      </c>
    </row>
    <row r="381">
      <c r="AI381" s="81"/>
      <c r="AJ381" s="80">
        <f t="shared" si="1"/>
        <v>0</v>
      </c>
      <c r="AK381" s="80">
        <f t="shared" si="2"/>
        <v>0</v>
      </c>
    </row>
    <row r="382">
      <c r="AI382" s="81"/>
      <c r="AJ382" s="80">
        <f t="shared" si="1"/>
        <v>0</v>
      </c>
      <c r="AK382" s="80">
        <f t="shared" si="2"/>
        <v>0</v>
      </c>
    </row>
    <row r="383">
      <c r="AI383" s="81"/>
      <c r="AJ383" s="80">
        <f t="shared" si="1"/>
        <v>0</v>
      </c>
      <c r="AK383" s="80">
        <f t="shared" si="2"/>
        <v>0</v>
      </c>
    </row>
    <row r="384">
      <c r="AI384" s="81"/>
      <c r="AJ384" s="80">
        <f t="shared" si="1"/>
        <v>0</v>
      </c>
      <c r="AK384" s="80">
        <f t="shared" si="2"/>
        <v>0</v>
      </c>
    </row>
    <row r="385">
      <c r="AI385" s="81"/>
      <c r="AJ385" s="80">
        <f t="shared" si="1"/>
        <v>0</v>
      </c>
      <c r="AK385" s="80">
        <f t="shared" si="2"/>
        <v>0</v>
      </c>
    </row>
    <row r="386">
      <c r="AI386" s="81"/>
      <c r="AJ386" s="80">
        <f t="shared" si="1"/>
        <v>0</v>
      </c>
      <c r="AK386" s="80">
        <f t="shared" si="2"/>
        <v>0</v>
      </c>
    </row>
    <row r="387">
      <c r="AI387" s="81"/>
      <c r="AJ387" s="80">
        <f t="shared" si="1"/>
        <v>0</v>
      </c>
      <c r="AK387" s="80">
        <f t="shared" si="2"/>
        <v>0</v>
      </c>
    </row>
    <row r="388">
      <c r="AI388" s="81"/>
      <c r="AJ388" s="80">
        <f t="shared" si="1"/>
        <v>0</v>
      </c>
      <c r="AK388" s="80">
        <f t="shared" si="2"/>
        <v>0</v>
      </c>
    </row>
    <row r="389">
      <c r="AI389" s="81"/>
      <c r="AJ389" s="80">
        <f t="shared" si="1"/>
        <v>0</v>
      </c>
      <c r="AK389" s="80">
        <f t="shared" si="2"/>
        <v>0</v>
      </c>
    </row>
    <row r="390">
      <c r="AI390" s="81"/>
      <c r="AJ390" s="80">
        <f t="shared" si="1"/>
        <v>0</v>
      </c>
      <c r="AK390" s="80">
        <f t="shared" si="2"/>
        <v>0</v>
      </c>
    </row>
    <row r="391">
      <c r="AI391" s="81"/>
      <c r="AJ391" s="80">
        <f t="shared" si="1"/>
        <v>0</v>
      </c>
      <c r="AK391" s="80">
        <f t="shared" si="2"/>
        <v>0</v>
      </c>
    </row>
    <row r="392">
      <c r="AI392" s="81"/>
      <c r="AJ392" s="80">
        <f t="shared" si="1"/>
        <v>0</v>
      </c>
      <c r="AK392" s="80">
        <f t="shared" si="2"/>
        <v>0</v>
      </c>
    </row>
    <row r="393">
      <c r="AI393" s="81"/>
      <c r="AJ393" s="80">
        <f t="shared" si="1"/>
        <v>0</v>
      </c>
      <c r="AK393" s="80">
        <f t="shared" si="2"/>
        <v>0</v>
      </c>
    </row>
    <row r="394">
      <c r="AI394" s="81"/>
      <c r="AJ394" s="80">
        <f t="shared" si="1"/>
        <v>0</v>
      </c>
      <c r="AK394" s="80">
        <f t="shared" si="2"/>
        <v>0</v>
      </c>
    </row>
    <row r="395">
      <c r="AI395" s="81"/>
      <c r="AJ395" s="80">
        <f t="shared" si="1"/>
        <v>0</v>
      </c>
      <c r="AK395" s="80">
        <f t="shared" si="2"/>
        <v>0</v>
      </c>
    </row>
    <row r="396">
      <c r="AI396" s="81"/>
      <c r="AJ396" s="80">
        <f t="shared" si="1"/>
        <v>0</v>
      </c>
      <c r="AK396" s="80">
        <f t="shared" si="2"/>
        <v>0</v>
      </c>
    </row>
    <row r="397">
      <c r="AI397" s="81"/>
      <c r="AJ397" s="80">
        <f t="shared" si="1"/>
        <v>0</v>
      </c>
      <c r="AK397" s="80">
        <f t="shared" si="2"/>
        <v>0</v>
      </c>
    </row>
    <row r="398">
      <c r="AI398" s="81"/>
      <c r="AJ398" s="80">
        <f t="shared" si="1"/>
        <v>0</v>
      </c>
      <c r="AK398" s="80">
        <f t="shared" si="2"/>
        <v>0</v>
      </c>
    </row>
    <row r="399">
      <c r="AI399" s="81"/>
      <c r="AJ399" s="80">
        <f t="shared" si="1"/>
        <v>0</v>
      </c>
      <c r="AK399" s="80">
        <f t="shared" si="2"/>
        <v>0</v>
      </c>
    </row>
    <row r="400">
      <c r="AI400" s="81"/>
      <c r="AJ400" s="80">
        <f t="shared" si="1"/>
        <v>0</v>
      </c>
      <c r="AK400" s="80">
        <f t="shared" si="2"/>
        <v>0</v>
      </c>
    </row>
    <row r="401">
      <c r="AI401" s="81"/>
      <c r="AJ401" s="80">
        <f t="shared" si="1"/>
        <v>0</v>
      </c>
      <c r="AK401" s="80">
        <f t="shared" si="2"/>
        <v>0</v>
      </c>
    </row>
    <row r="402">
      <c r="AI402" s="81"/>
      <c r="AJ402" s="80">
        <f t="shared" si="1"/>
        <v>0</v>
      </c>
      <c r="AK402" s="80">
        <f t="shared" si="2"/>
        <v>0</v>
      </c>
    </row>
    <row r="403">
      <c r="AI403" s="81"/>
      <c r="AJ403" s="80">
        <f t="shared" si="1"/>
        <v>0</v>
      </c>
      <c r="AK403" s="80">
        <f t="shared" si="2"/>
        <v>0</v>
      </c>
    </row>
    <row r="404">
      <c r="AI404" s="81"/>
      <c r="AJ404" s="80">
        <f t="shared" si="1"/>
        <v>0</v>
      </c>
      <c r="AK404" s="80">
        <f t="shared" si="2"/>
        <v>0</v>
      </c>
    </row>
    <row r="405">
      <c r="AI405" s="81"/>
      <c r="AJ405" s="80">
        <f t="shared" si="1"/>
        <v>0</v>
      </c>
      <c r="AK405" s="80">
        <f t="shared" si="2"/>
        <v>0</v>
      </c>
    </row>
    <row r="406">
      <c r="AI406" s="81"/>
      <c r="AJ406" s="80">
        <f t="shared" si="1"/>
        <v>0</v>
      </c>
      <c r="AK406" s="80">
        <f t="shared" si="2"/>
        <v>0</v>
      </c>
    </row>
    <row r="407">
      <c r="AI407" s="81"/>
      <c r="AJ407" s="80">
        <f t="shared" si="1"/>
        <v>0</v>
      </c>
      <c r="AK407" s="80">
        <f t="shared" si="2"/>
        <v>0</v>
      </c>
    </row>
    <row r="408">
      <c r="AI408" s="81"/>
      <c r="AJ408" s="80">
        <f t="shared" si="1"/>
        <v>0</v>
      </c>
      <c r="AK408" s="80">
        <f t="shared" si="2"/>
        <v>0</v>
      </c>
    </row>
    <row r="409">
      <c r="AI409" s="81"/>
      <c r="AJ409" s="80">
        <f t="shared" si="1"/>
        <v>0</v>
      </c>
      <c r="AK409" s="80">
        <f t="shared" si="2"/>
        <v>0</v>
      </c>
    </row>
    <row r="410">
      <c r="AI410" s="81"/>
      <c r="AJ410" s="80">
        <f t="shared" si="1"/>
        <v>0</v>
      </c>
      <c r="AK410" s="80">
        <f t="shared" si="2"/>
        <v>0</v>
      </c>
    </row>
    <row r="411">
      <c r="AI411" s="81"/>
      <c r="AJ411" s="80">
        <f t="shared" si="1"/>
        <v>0</v>
      </c>
      <c r="AK411" s="80">
        <f t="shared" si="2"/>
        <v>0</v>
      </c>
    </row>
    <row r="412">
      <c r="AI412" s="81"/>
      <c r="AJ412" s="80">
        <f t="shared" si="1"/>
        <v>0</v>
      </c>
      <c r="AK412" s="80">
        <f t="shared" si="2"/>
        <v>0</v>
      </c>
    </row>
    <row r="413">
      <c r="AI413" s="81"/>
      <c r="AJ413" s="80">
        <f t="shared" si="1"/>
        <v>0</v>
      </c>
      <c r="AK413" s="80">
        <f t="shared" si="2"/>
        <v>0</v>
      </c>
    </row>
    <row r="414">
      <c r="AI414" s="81"/>
      <c r="AJ414" s="80">
        <f t="shared" si="1"/>
        <v>0</v>
      </c>
      <c r="AK414" s="80">
        <f t="shared" si="2"/>
        <v>0</v>
      </c>
    </row>
    <row r="415">
      <c r="AI415" s="81"/>
      <c r="AJ415" s="80">
        <f t="shared" si="1"/>
        <v>0</v>
      </c>
      <c r="AK415" s="80">
        <f t="shared" si="2"/>
        <v>0</v>
      </c>
    </row>
    <row r="416">
      <c r="AI416" s="81"/>
      <c r="AJ416" s="80">
        <f t="shared" si="1"/>
        <v>0</v>
      </c>
      <c r="AK416" s="80">
        <f t="shared" si="2"/>
        <v>0</v>
      </c>
    </row>
    <row r="417">
      <c r="AI417" s="81"/>
      <c r="AJ417" s="80">
        <f t="shared" si="1"/>
        <v>0</v>
      </c>
      <c r="AK417" s="80">
        <f t="shared" si="2"/>
        <v>0</v>
      </c>
    </row>
    <row r="418">
      <c r="AI418" s="81"/>
      <c r="AJ418" s="80">
        <f t="shared" si="1"/>
        <v>0</v>
      </c>
      <c r="AK418" s="80">
        <f t="shared" si="2"/>
        <v>0</v>
      </c>
    </row>
    <row r="419">
      <c r="AI419" s="81"/>
      <c r="AJ419" s="80">
        <f t="shared" si="1"/>
        <v>0</v>
      </c>
      <c r="AK419" s="80">
        <f t="shared" si="2"/>
        <v>0</v>
      </c>
    </row>
    <row r="420">
      <c r="AI420" s="81"/>
      <c r="AJ420" s="80">
        <f t="shared" si="1"/>
        <v>0</v>
      </c>
      <c r="AK420" s="80">
        <f t="shared" si="2"/>
        <v>0</v>
      </c>
    </row>
    <row r="421">
      <c r="AI421" s="81"/>
      <c r="AJ421" s="80">
        <f t="shared" si="1"/>
        <v>0</v>
      </c>
      <c r="AK421" s="80">
        <f t="shared" si="2"/>
        <v>0</v>
      </c>
    </row>
    <row r="422">
      <c r="AI422" s="81"/>
      <c r="AJ422" s="80">
        <f t="shared" si="1"/>
        <v>0</v>
      </c>
      <c r="AK422" s="80">
        <f t="shared" si="2"/>
        <v>0</v>
      </c>
    </row>
    <row r="423">
      <c r="AI423" s="81"/>
      <c r="AJ423" s="80">
        <f t="shared" si="1"/>
        <v>0</v>
      </c>
      <c r="AK423" s="80">
        <f t="shared" si="2"/>
        <v>0</v>
      </c>
    </row>
    <row r="424">
      <c r="AI424" s="81"/>
      <c r="AJ424" s="80">
        <f t="shared" si="1"/>
        <v>0</v>
      </c>
      <c r="AK424" s="80">
        <f t="shared" si="2"/>
        <v>0</v>
      </c>
    </row>
    <row r="425">
      <c r="AI425" s="81"/>
      <c r="AJ425" s="80">
        <f t="shared" si="1"/>
        <v>0</v>
      </c>
      <c r="AK425" s="80">
        <f t="shared" si="2"/>
        <v>0</v>
      </c>
    </row>
    <row r="426">
      <c r="AI426" s="81"/>
      <c r="AJ426" s="80">
        <f t="shared" si="1"/>
        <v>0</v>
      </c>
      <c r="AK426" s="80">
        <f t="shared" si="2"/>
        <v>0</v>
      </c>
    </row>
    <row r="427">
      <c r="AI427" s="81"/>
      <c r="AJ427" s="80">
        <f t="shared" si="1"/>
        <v>0</v>
      </c>
      <c r="AK427" s="80">
        <f t="shared" si="2"/>
        <v>0</v>
      </c>
    </row>
    <row r="428">
      <c r="AI428" s="81"/>
      <c r="AJ428" s="80">
        <f t="shared" si="1"/>
        <v>0</v>
      </c>
      <c r="AK428" s="80">
        <f t="shared" si="2"/>
        <v>0</v>
      </c>
    </row>
    <row r="429">
      <c r="AI429" s="81"/>
      <c r="AJ429" s="80">
        <f t="shared" si="1"/>
        <v>0</v>
      </c>
      <c r="AK429" s="80">
        <f t="shared" si="2"/>
        <v>0</v>
      </c>
    </row>
    <row r="430">
      <c r="AI430" s="81"/>
      <c r="AJ430" s="80">
        <f t="shared" si="1"/>
        <v>0</v>
      </c>
      <c r="AK430" s="80">
        <f t="shared" si="2"/>
        <v>0</v>
      </c>
    </row>
    <row r="431">
      <c r="AI431" s="81"/>
      <c r="AJ431" s="80">
        <f t="shared" si="1"/>
        <v>0</v>
      </c>
      <c r="AK431" s="80">
        <f t="shared" si="2"/>
        <v>0</v>
      </c>
    </row>
    <row r="432">
      <c r="AI432" s="81"/>
      <c r="AJ432" s="80">
        <f t="shared" si="1"/>
        <v>0</v>
      </c>
      <c r="AK432" s="80">
        <f t="shared" si="2"/>
        <v>0</v>
      </c>
    </row>
    <row r="433">
      <c r="AI433" s="81"/>
      <c r="AJ433" s="80">
        <f t="shared" si="1"/>
        <v>0</v>
      </c>
      <c r="AK433" s="80">
        <f t="shared" si="2"/>
        <v>0</v>
      </c>
    </row>
    <row r="434">
      <c r="AI434" s="81"/>
      <c r="AJ434" s="80">
        <f t="shared" si="1"/>
        <v>0</v>
      </c>
      <c r="AK434" s="80">
        <f t="shared" si="2"/>
        <v>0</v>
      </c>
    </row>
    <row r="435">
      <c r="AI435" s="81"/>
      <c r="AJ435" s="80">
        <f t="shared" si="1"/>
        <v>0</v>
      </c>
      <c r="AK435" s="80">
        <f t="shared" si="2"/>
        <v>0</v>
      </c>
    </row>
    <row r="436">
      <c r="AI436" s="81"/>
      <c r="AJ436" s="80">
        <f t="shared" si="1"/>
        <v>0</v>
      </c>
      <c r="AK436" s="80">
        <f t="shared" si="2"/>
        <v>0</v>
      </c>
    </row>
    <row r="437">
      <c r="AI437" s="81"/>
      <c r="AJ437" s="80">
        <f t="shared" si="1"/>
        <v>0</v>
      </c>
      <c r="AK437" s="80">
        <f t="shared" si="2"/>
        <v>0</v>
      </c>
    </row>
    <row r="438">
      <c r="AI438" s="81"/>
      <c r="AJ438" s="80">
        <f t="shared" si="1"/>
        <v>0</v>
      </c>
      <c r="AK438" s="80">
        <f t="shared" si="2"/>
        <v>0</v>
      </c>
    </row>
    <row r="439">
      <c r="AI439" s="81"/>
      <c r="AJ439" s="80">
        <f t="shared" si="1"/>
        <v>0</v>
      </c>
      <c r="AK439" s="80">
        <f t="shared" si="2"/>
        <v>0</v>
      </c>
    </row>
    <row r="440">
      <c r="AI440" s="81"/>
      <c r="AJ440" s="80">
        <f t="shared" si="1"/>
        <v>0</v>
      </c>
      <c r="AK440" s="80">
        <f t="shared" si="2"/>
        <v>0</v>
      </c>
    </row>
    <row r="441">
      <c r="AI441" s="81"/>
      <c r="AJ441" s="80">
        <f t="shared" si="1"/>
        <v>0</v>
      </c>
      <c r="AK441" s="80">
        <f t="shared" si="2"/>
        <v>0</v>
      </c>
    </row>
    <row r="442">
      <c r="AI442" s="81"/>
      <c r="AJ442" s="80">
        <f t="shared" si="1"/>
        <v>0</v>
      </c>
      <c r="AK442" s="80">
        <f t="shared" si="2"/>
        <v>0</v>
      </c>
    </row>
    <row r="443">
      <c r="AI443" s="81"/>
      <c r="AJ443" s="80">
        <f t="shared" si="1"/>
        <v>0</v>
      </c>
      <c r="AK443" s="80">
        <f t="shared" si="2"/>
        <v>0</v>
      </c>
    </row>
    <row r="444">
      <c r="AI444" s="81"/>
      <c r="AJ444" s="80">
        <f t="shared" si="1"/>
        <v>0</v>
      </c>
      <c r="AK444" s="80">
        <f t="shared" si="2"/>
        <v>0</v>
      </c>
    </row>
    <row r="445">
      <c r="AI445" s="81"/>
      <c r="AJ445" s="80">
        <f t="shared" si="1"/>
        <v>0</v>
      </c>
      <c r="AK445" s="80">
        <f t="shared" si="2"/>
        <v>0</v>
      </c>
    </row>
    <row r="446">
      <c r="AI446" s="81"/>
      <c r="AJ446" s="80">
        <f t="shared" si="1"/>
        <v>0</v>
      </c>
      <c r="AK446" s="80">
        <f t="shared" si="2"/>
        <v>0</v>
      </c>
    </row>
    <row r="447">
      <c r="AI447" s="81"/>
      <c r="AJ447" s="80">
        <f t="shared" si="1"/>
        <v>0</v>
      </c>
      <c r="AK447" s="80">
        <f t="shared" si="2"/>
        <v>0</v>
      </c>
    </row>
    <row r="448">
      <c r="AI448" s="81"/>
      <c r="AJ448" s="80">
        <f t="shared" si="1"/>
        <v>0</v>
      </c>
      <c r="AK448" s="80">
        <f t="shared" si="2"/>
        <v>0</v>
      </c>
    </row>
  </sheetData>
  <autoFilter ref="$A$1:$AK$448">
    <sortState ref="A1:AK448">
      <sortCondition ref="D1:D448"/>
      <sortCondition ref="A1:A448"/>
      <sortCondition descending="1" ref="AJ1:AJ448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4" width="18.88"/>
    <col customWidth="1" min="35" max="35" width="12.5"/>
    <col customWidth="1" min="36" max="36" width="64.5"/>
    <col customWidth="1" min="37" max="41" width="18.88"/>
  </cols>
  <sheetData>
    <row r="1">
      <c r="A1" s="84" t="s">
        <v>78</v>
      </c>
      <c r="B1" s="84" t="s">
        <v>315</v>
      </c>
      <c r="C1" s="84" t="s">
        <v>316</v>
      </c>
      <c r="D1" s="84" t="s">
        <v>317</v>
      </c>
      <c r="E1" s="84" t="s">
        <v>318</v>
      </c>
      <c r="F1" s="84" t="s">
        <v>319</v>
      </c>
      <c r="G1" s="84" t="s">
        <v>320</v>
      </c>
      <c r="H1" s="84" t="s">
        <v>321</v>
      </c>
      <c r="I1" s="84" t="s">
        <v>322</v>
      </c>
      <c r="J1" s="84" t="s">
        <v>323</v>
      </c>
      <c r="K1" s="84" t="s">
        <v>324</v>
      </c>
      <c r="L1" s="84" t="s">
        <v>325</v>
      </c>
      <c r="M1" s="84" t="s">
        <v>326</v>
      </c>
      <c r="N1" s="84" t="s">
        <v>327</v>
      </c>
      <c r="O1" s="84" t="s">
        <v>328</v>
      </c>
      <c r="P1" s="84" t="s">
        <v>329</v>
      </c>
      <c r="Q1" s="84" t="s">
        <v>330</v>
      </c>
      <c r="R1" s="84" t="s">
        <v>331</v>
      </c>
      <c r="S1" s="84" t="s">
        <v>332</v>
      </c>
      <c r="T1" s="84" t="s">
        <v>333</v>
      </c>
      <c r="U1" s="84" t="s">
        <v>334</v>
      </c>
      <c r="V1" s="84" t="s">
        <v>335</v>
      </c>
      <c r="W1" s="84" t="s">
        <v>336</v>
      </c>
      <c r="X1" s="84" t="s">
        <v>337</v>
      </c>
      <c r="Y1" s="84" t="s">
        <v>338</v>
      </c>
      <c r="Z1" s="84" t="s">
        <v>339</v>
      </c>
      <c r="AA1" s="84" t="s">
        <v>340</v>
      </c>
      <c r="AB1" s="84" t="s">
        <v>341</v>
      </c>
      <c r="AC1" s="84" t="s">
        <v>342</v>
      </c>
      <c r="AD1" s="84" t="s">
        <v>343</v>
      </c>
      <c r="AE1" s="84" t="s">
        <v>344</v>
      </c>
      <c r="AF1" s="84" t="s">
        <v>345</v>
      </c>
      <c r="AG1" s="84" t="s">
        <v>346</v>
      </c>
      <c r="AH1" s="84" t="s">
        <v>347</v>
      </c>
      <c r="AI1" s="84" t="s">
        <v>348</v>
      </c>
      <c r="AJ1" s="84" t="s">
        <v>349</v>
      </c>
      <c r="AK1" s="51" t="s">
        <v>100</v>
      </c>
      <c r="AL1" s="51" t="s">
        <v>101</v>
      </c>
    </row>
    <row r="2">
      <c r="A2" s="84" t="s">
        <v>102</v>
      </c>
      <c r="B2" s="85">
        <v>6.0</v>
      </c>
      <c r="C2" s="85">
        <v>9996.0</v>
      </c>
      <c r="D2" s="85">
        <v>0.0</v>
      </c>
      <c r="E2" s="85">
        <v>0.0</v>
      </c>
      <c r="F2" s="85">
        <v>0.0</v>
      </c>
      <c r="G2" s="85">
        <v>0.0</v>
      </c>
      <c r="H2" s="85">
        <v>0.0</v>
      </c>
      <c r="I2" s="85">
        <v>0.0</v>
      </c>
      <c r="J2" s="85">
        <v>0.0</v>
      </c>
      <c r="K2" s="85">
        <v>0.0</v>
      </c>
      <c r="L2" s="85">
        <v>1.0</v>
      </c>
      <c r="M2" s="85">
        <v>0.0</v>
      </c>
      <c r="N2" s="85">
        <v>0.0</v>
      </c>
      <c r="O2" s="85">
        <v>0.0</v>
      </c>
      <c r="P2" s="62" t="b">
        <v>0</v>
      </c>
      <c r="Q2" s="62" t="b">
        <v>0</v>
      </c>
      <c r="R2" s="62" t="b">
        <v>1</v>
      </c>
      <c r="S2" s="85">
        <v>0.0</v>
      </c>
      <c r="T2" s="85">
        <v>0.0</v>
      </c>
      <c r="U2" s="85">
        <v>0.0</v>
      </c>
      <c r="V2" s="85">
        <v>0.0</v>
      </c>
      <c r="W2" s="85">
        <v>0.0</v>
      </c>
      <c r="X2" s="85">
        <v>0.0</v>
      </c>
      <c r="Y2" s="85">
        <v>0.0</v>
      </c>
      <c r="Z2" s="85">
        <v>0.0</v>
      </c>
      <c r="AA2" s="85">
        <v>0.0</v>
      </c>
      <c r="AB2" s="85">
        <v>0.0</v>
      </c>
      <c r="AC2" s="85">
        <v>0.0</v>
      </c>
      <c r="AD2" s="85">
        <v>0.0</v>
      </c>
      <c r="AE2" s="62" t="b">
        <v>0</v>
      </c>
      <c r="AF2" s="62" t="b">
        <v>0</v>
      </c>
      <c r="AG2" s="85">
        <v>1.0</v>
      </c>
      <c r="AH2" s="86">
        <v>1.0</v>
      </c>
      <c r="AI2" s="62" t="b">
        <v>1</v>
      </c>
      <c r="AJ2" s="87" t="s">
        <v>350</v>
      </c>
      <c r="AK2" s="80">
        <f t="shared" ref="AK2:AK158" si="1">SUM(if(R2=TRUE,3),E2*6,G2*4,I2*3,K2*6,M2*4,O2*3,T2*5,V2*3,X2*2,Z2*5,AB2*3,AD2*2,if(P2=TRUE,if(P2=Q2,12,8),0),if(AE2=TRUE,if(AE2=AF2,10,+6),+0))</f>
        <v>3</v>
      </c>
      <c r="AL2" s="80">
        <f t="shared" ref="AL2:AL158" si="2">SUM(if(R2=TRUE,3),E2*6,G2*4,I2*3,K2*6,M2*4,O2*3,T2*5,V2*3,X2*2,Z2*5,AB2*3,AD2*2)</f>
        <v>3</v>
      </c>
    </row>
    <row r="3">
      <c r="A3" s="84" t="s">
        <v>351</v>
      </c>
      <c r="B3" s="85">
        <v>12.0</v>
      </c>
      <c r="C3" s="85">
        <v>9996.0</v>
      </c>
      <c r="D3" s="85">
        <v>0.0</v>
      </c>
      <c r="E3" s="85">
        <v>0.0</v>
      </c>
      <c r="F3" s="85">
        <v>0.0</v>
      </c>
      <c r="G3" s="85">
        <v>0.0</v>
      </c>
      <c r="H3" s="85">
        <v>0.0</v>
      </c>
      <c r="I3" s="85">
        <v>0.0</v>
      </c>
      <c r="J3" s="85">
        <v>0.0</v>
      </c>
      <c r="K3" s="85">
        <v>0.0</v>
      </c>
      <c r="L3" s="85">
        <v>0.0</v>
      </c>
      <c r="M3" s="85">
        <v>0.0</v>
      </c>
      <c r="N3" s="85">
        <v>1.0</v>
      </c>
      <c r="O3" s="85">
        <v>1.0</v>
      </c>
      <c r="P3" s="62" t="b">
        <v>0</v>
      </c>
      <c r="Q3" s="62" t="b">
        <v>0</v>
      </c>
      <c r="R3" s="62" t="b">
        <v>0</v>
      </c>
      <c r="S3" s="85">
        <v>0.0</v>
      </c>
      <c r="T3" s="85">
        <v>0.0</v>
      </c>
      <c r="U3" s="85">
        <v>0.0</v>
      </c>
      <c r="V3" s="85">
        <v>0.0</v>
      </c>
      <c r="W3" s="85">
        <v>0.0</v>
      </c>
      <c r="X3" s="85">
        <v>0.0</v>
      </c>
      <c r="Y3" s="85">
        <v>0.0</v>
      </c>
      <c r="Z3" s="85">
        <v>0.0</v>
      </c>
      <c r="AA3" s="85">
        <v>0.0</v>
      </c>
      <c r="AB3" s="85">
        <v>0.0</v>
      </c>
      <c r="AC3" s="85">
        <v>0.0</v>
      </c>
      <c r="AD3" s="85">
        <v>0.0</v>
      </c>
      <c r="AE3" s="62" t="b">
        <v>0</v>
      </c>
      <c r="AF3" s="62" t="b">
        <v>0</v>
      </c>
      <c r="AG3" s="85">
        <v>0.0</v>
      </c>
      <c r="AH3" s="86">
        <v>2.0</v>
      </c>
      <c r="AI3" s="62" t="b">
        <v>0</v>
      </c>
      <c r="AJ3" s="87" t="s">
        <v>352</v>
      </c>
      <c r="AK3" s="80">
        <f t="shared" si="1"/>
        <v>3</v>
      </c>
      <c r="AL3" s="80">
        <f t="shared" si="2"/>
        <v>3</v>
      </c>
    </row>
    <row r="4">
      <c r="A4" s="84" t="s">
        <v>102</v>
      </c>
      <c r="B4" s="85">
        <v>18.0</v>
      </c>
      <c r="C4" s="85">
        <v>9996.0</v>
      </c>
      <c r="D4" s="85">
        <v>0.0</v>
      </c>
      <c r="E4" s="85">
        <v>0.0</v>
      </c>
      <c r="F4" s="85">
        <v>0.0</v>
      </c>
      <c r="G4" s="85">
        <v>0.0</v>
      </c>
      <c r="H4" s="85">
        <v>0.0</v>
      </c>
      <c r="I4" s="85">
        <v>0.0</v>
      </c>
      <c r="J4" s="85">
        <v>0.0</v>
      </c>
      <c r="K4" s="85">
        <v>0.0</v>
      </c>
      <c r="L4" s="85">
        <v>0.0</v>
      </c>
      <c r="M4" s="85">
        <v>0.0</v>
      </c>
      <c r="N4" s="85">
        <v>1.0</v>
      </c>
      <c r="O4" s="85">
        <v>1.0</v>
      </c>
      <c r="P4" s="62" t="b">
        <v>0</v>
      </c>
      <c r="Q4" s="62" t="b">
        <v>0</v>
      </c>
      <c r="R4" s="62" t="b">
        <v>1</v>
      </c>
      <c r="S4" s="85">
        <v>0.0</v>
      </c>
      <c r="T4" s="85">
        <v>0.0</v>
      </c>
      <c r="U4" s="85">
        <v>0.0</v>
      </c>
      <c r="V4" s="85">
        <v>0.0</v>
      </c>
      <c r="W4" s="85">
        <v>0.0</v>
      </c>
      <c r="X4" s="85">
        <v>0.0</v>
      </c>
      <c r="Y4" s="85">
        <v>0.0</v>
      </c>
      <c r="Z4" s="85">
        <v>0.0</v>
      </c>
      <c r="AA4" s="85">
        <v>0.0</v>
      </c>
      <c r="AB4" s="85">
        <v>0.0</v>
      </c>
      <c r="AC4" s="85">
        <v>2.0</v>
      </c>
      <c r="AD4" s="85">
        <v>2.0</v>
      </c>
      <c r="AE4" s="62" t="b">
        <v>0</v>
      </c>
      <c r="AF4" s="62" t="b">
        <v>0</v>
      </c>
      <c r="AG4" s="85">
        <v>2.0</v>
      </c>
      <c r="AH4" s="86">
        <v>1.0</v>
      </c>
      <c r="AI4" s="62" t="b">
        <v>1</v>
      </c>
      <c r="AJ4" s="87" t="s">
        <v>353</v>
      </c>
      <c r="AK4" s="80">
        <f t="shared" si="1"/>
        <v>10</v>
      </c>
      <c r="AL4" s="80">
        <f t="shared" si="2"/>
        <v>10</v>
      </c>
    </row>
    <row r="5">
      <c r="A5" s="84" t="s">
        <v>354</v>
      </c>
      <c r="B5" s="85">
        <v>22.0</v>
      </c>
      <c r="C5" s="85">
        <v>9996.0</v>
      </c>
      <c r="D5" s="85">
        <v>0.0</v>
      </c>
      <c r="E5" s="85">
        <v>0.0</v>
      </c>
      <c r="F5" s="85">
        <v>0.0</v>
      </c>
      <c r="G5" s="85">
        <v>0.0</v>
      </c>
      <c r="H5" s="85">
        <v>0.0</v>
      </c>
      <c r="I5" s="85">
        <v>0.0</v>
      </c>
      <c r="J5" s="85">
        <v>0.0</v>
      </c>
      <c r="K5" s="85">
        <v>0.0</v>
      </c>
      <c r="L5" s="85">
        <v>0.0</v>
      </c>
      <c r="M5" s="85">
        <v>0.0</v>
      </c>
      <c r="N5" s="85">
        <v>0.0</v>
      </c>
      <c r="O5" s="85">
        <v>0.0</v>
      </c>
      <c r="P5" s="62" t="b">
        <v>0</v>
      </c>
      <c r="Q5" s="62" t="b">
        <v>0</v>
      </c>
      <c r="R5" s="62" t="b">
        <v>0</v>
      </c>
      <c r="S5" s="85">
        <v>0.0</v>
      </c>
      <c r="T5" s="85">
        <v>0.0</v>
      </c>
      <c r="U5" s="85">
        <v>0.0</v>
      </c>
      <c r="V5" s="85">
        <v>0.0</v>
      </c>
      <c r="W5" s="85">
        <v>0.0</v>
      </c>
      <c r="X5" s="85">
        <v>0.0</v>
      </c>
      <c r="Y5" s="85">
        <v>0.0</v>
      </c>
      <c r="Z5" s="85">
        <v>0.0</v>
      </c>
      <c r="AA5" s="85">
        <v>0.0</v>
      </c>
      <c r="AB5" s="85">
        <v>0.0</v>
      </c>
      <c r="AC5" s="85">
        <v>0.0</v>
      </c>
      <c r="AD5" s="85">
        <v>0.0</v>
      </c>
      <c r="AE5" s="62" t="b">
        <v>0</v>
      </c>
      <c r="AF5" s="62" t="b">
        <v>0</v>
      </c>
      <c r="AG5" s="85">
        <v>1.0</v>
      </c>
      <c r="AH5" s="86">
        <v>1.0</v>
      </c>
      <c r="AI5" s="62" t="b">
        <v>1</v>
      </c>
      <c r="AJ5" s="87" t="s">
        <v>355</v>
      </c>
      <c r="AK5" s="80">
        <f t="shared" si="1"/>
        <v>0</v>
      </c>
      <c r="AL5" s="80">
        <f t="shared" si="2"/>
        <v>0</v>
      </c>
    </row>
    <row r="6">
      <c r="A6" s="84" t="s">
        <v>356</v>
      </c>
      <c r="B6" s="84"/>
      <c r="C6" s="85">
        <v>9996.0</v>
      </c>
      <c r="D6" s="85">
        <v>0.0</v>
      </c>
      <c r="E6" s="85">
        <v>0.0</v>
      </c>
      <c r="F6" s="85">
        <v>0.0</v>
      </c>
      <c r="G6" s="85">
        <v>0.0</v>
      </c>
      <c r="H6" s="85">
        <v>0.0</v>
      </c>
      <c r="I6" s="85">
        <v>0.0</v>
      </c>
      <c r="J6" s="85">
        <v>0.0</v>
      </c>
      <c r="K6" s="85">
        <v>0.0</v>
      </c>
      <c r="L6" s="85">
        <v>0.0</v>
      </c>
      <c r="M6" s="85">
        <v>0.0</v>
      </c>
      <c r="N6" s="85">
        <v>0.0</v>
      </c>
      <c r="O6" s="85">
        <v>0.0</v>
      </c>
      <c r="P6" s="62" t="b">
        <v>0</v>
      </c>
      <c r="Q6" s="62" t="b">
        <v>0</v>
      </c>
      <c r="R6" s="62" t="b">
        <v>0</v>
      </c>
      <c r="S6" s="85">
        <v>0.0</v>
      </c>
      <c r="T6" s="85">
        <v>0.0</v>
      </c>
      <c r="U6" s="85">
        <v>0.0</v>
      </c>
      <c r="V6" s="85">
        <v>0.0</v>
      </c>
      <c r="W6" s="85">
        <v>0.0</v>
      </c>
      <c r="X6" s="85">
        <v>0.0</v>
      </c>
      <c r="Y6" s="85">
        <v>0.0</v>
      </c>
      <c r="Z6" s="85">
        <v>0.0</v>
      </c>
      <c r="AA6" s="85">
        <v>0.0</v>
      </c>
      <c r="AB6" s="85">
        <v>0.0</v>
      </c>
      <c r="AC6" s="85">
        <v>0.0</v>
      </c>
      <c r="AD6" s="85">
        <v>0.0</v>
      </c>
      <c r="AE6" s="62" t="b">
        <v>0</v>
      </c>
      <c r="AF6" s="62" t="b">
        <v>0</v>
      </c>
      <c r="AG6" s="85">
        <v>1.0</v>
      </c>
      <c r="AH6" s="86">
        <v>1.0</v>
      </c>
      <c r="AI6" s="62" t="b">
        <v>1</v>
      </c>
      <c r="AJ6" s="84" t="s">
        <v>357</v>
      </c>
      <c r="AK6" s="80">
        <f t="shared" si="1"/>
        <v>0</v>
      </c>
      <c r="AL6" s="80">
        <f t="shared" si="2"/>
        <v>0</v>
      </c>
    </row>
    <row r="7">
      <c r="A7" s="84" t="s">
        <v>150</v>
      </c>
      <c r="B7" s="85">
        <v>3.0</v>
      </c>
      <c r="C7" s="85">
        <v>9992.0</v>
      </c>
      <c r="D7" s="85">
        <v>1.0</v>
      </c>
      <c r="E7" s="85">
        <v>0.0</v>
      </c>
      <c r="F7" s="85">
        <v>0.0</v>
      </c>
      <c r="G7" s="85">
        <v>0.0</v>
      </c>
      <c r="H7" s="85">
        <v>0.0</v>
      </c>
      <c r="I7" s="85">
        <v>0.0</v>
      </c>
      <c r="J7" s="85">
        <v>0.0</v>
      </c>
      <c r="K7" s="85">
        <v>0.0</v>
      </c>
      <c r="L7" s="85">
        <v>0.0</v>
      </c>
      <c r="M7" s="85">
        <v>0.0</v>
      </c>
      <c r="N7" s="85">
        <v>0.0</v>
      </c>
      <c r="O7" s="85">
        <v>0.0</v>
      </c>
      <c r="P7" s="62" t="b">
        <v>1</v>
      </c>
      <c r="Q7" s="62" t="b">
        <v>1</v>
      </c>
      <c r="R7" s="62" t="b">
        <v>1</v>
      </c>
      <c r="S7" s="85">
        <v>2.0</v>
      </c>
      <c r="T7" s="85">
        <v>2.0</v>
      </c>
      <c r="U7" s="85">
        <v>0.0</v>
      </c>
      <c r="V7" s="85">
        <v>0.0</v>
      </c>
      <c r="W7" s="85">
        <v>1.0</v>
      </c>
      <c r="X7" s="85">
        <v>1.0</v>
      </c>
      <c r="Y7" s="85">
        <v>2.0</v>
      </c>
      <c r="Z7" s="85">
        <v>2.0</v>
      </c>
      <c r="AA7" s="85">
        <v>0.0</v>
      </c>
      <c r="AB7" s="85">
        <v>0.0</v>
      </c>
      <c r="AC7" s="85">
        <v>0.0</v>
      </c>
      <c r="AD7" s="85">
        <v>0.0</v>
      </c>
      <c r="AE7" s="62" t="b">
        <v>1</v>
      </c>
      <c r="AF7" s="62" t="b">
        <v>1</v>
      </c>
      <c r="AG7" s="85">
        <v>4.0</v>
      </c>
      <c r="AH7" s="86">
        <v>0.0</v>
      </c>
      <c r="AI7" s="62" t="b">
        <v>0</v>
      </c>
      <c r="AJ7" s="87" t="s">
        <v>358</v>
      </c>
      <c r="AK7" s="80">
        <f t="shared" si="1"/>
        <v>47</v>
      </c>
      <c r="AL7" s="80">
        <f t="shared" si="2"/>
        <v>25</v>
      </c>
    </row>
    <row r="8">
      <c r="A8" s="84" t="s">
        <v>102</v>
      </c>
      <c r="B8" s="85">
        <v>7.0</v>
      </c>
      <c r="C8" s="85">
        <v>9992.0</v>
      </c>
      <c r="D8" s="85">
        <v>1.0</v>
      </c>
      <c r="E8" s="85">
        <v>1.0</v>
      </c>
      <c r="F8" s="85">
        <v>0.0</v>
      </c>
      <c r="G8" s="85">
        <v>0.0</v>
      </c>
      <c r="H8" s="85">
        <v>0.0</v>
      </c>
      <c r="I8" s="85">
        <v>0.0</v>
      </c>
      <c r="J8" s="85">
        <v>0.0</v>
      </c>
      <c r="K8" s="85">
        <v>0.0</v>
      </c>
      <c r="L8" s="85">
        <v>0.0</v>
      </c>
      <c r="M8" s="85">
        <v>0.0</v>
      </c>
      <c r="N8" s="85">
        <v>0.0</v>
      </c>
      <c r="O8" s="85">
        <v>0.0</v>
      </c>
      <c r="P8" s="62" t="b">
        <v>1</v>
      </c>
      <c r="Q8" s="62" t="b">
        <v>0</v>
      </c>
      <c r="R8" s="62" t="b">
        <v>1</v>
      </c>
      <c r="S8" s="85">
        <v>3.0</v>
      </c>
      <c r="T8" s="85">
        <v>3.0</v>
      </c>
      <c r="U8" s="85">
        <v>0.0</v>
      </c>
      <c r="V8" s="85">
        <v>0.0</v>
      </c>
      <c r="W8" s="85">
        <v>0.0</v>
      </c>
      <c r="X8" s="85">
        <v>0.0</v>
      </c>
      <c r="Y8" s="85">
        <v>2.0</v>
      </c>
      <c r="Z8" s="85">
        <v>2.0</v>
      </c>
      <c r="AA8" s="85">
        <v>0.0</v>
      </c>
      <c r="AB8" s="85">
        <v>0.0</v>
      </c>
      <c r="AC8" s="85">
        <v>0.0</v>
      </c>
      <c r="AD8" s="85">
        <v>0.0</v>
      </c>
      <c r="AE8" s="62" t="b">
        <v>1</v>
      </c>
      <c r="AF8" s="62" t="b">
        <v>0</v>
      </c>
      <c r="AG8" s="85">
        <v>4.0</v>
      </c>
      <c r="AH8" s="86">
        <v>1.0</v>
      </c>
      <c r="AI8" s="62" t="b">
        <v>0</v>
      </c>
      <c r="AJ8" s="84"/>
      <c r="AK8" s="80">
        <f t="shared" si="1"/>
        <v>48</v>
      </c>
      <c r="AL8" s="80">
        <f t="shared" si="2"/>
        <v>34</v>
      </c>
    </row>
    <row r="9">
      <c r="A9" s="84" t="s">
        <v>150</v>
      </c>
      <c r="B9" s="85">
        <v>14.0</v>
      </c>
      <c r="C9" s="85">
        <v>9992.0</v>
      </c>
      <c r="D9" s="85">
        <v>1.0</v>
      </c>
      <c r="E9" s="85">
        <v>1.0</v>
      </c>
      <c r="F9" s="85">
        <v>0.0</v>
      </c>
      <c r="G9" s="85">
        <v>0.0</v>
      </c>
      <c r="H9" s="85">
        <v>0.0</v>
      </c>
      <c r="I9" s="85">
        <v>0.0</v>
      </c>
      <c r="J9" s="85">
        <v>0.0</v>
      </c>
      <c r="K9" s="85">
        <v>0.0</v>
      </c>
      <c r="L9" s="85">
        <v>0.0</v>
      </c>
      <c r="M9" s="85">
        <v>0.0</v>
      </c>
      <c r="N9" s="85">
        <v>0.0</v>
      </c>
      <c r="O9" s="85">
        <v>0.0</v>
      </c>
      <c r="P9" s="62" t="b">
        <v>0</v>
      </c>
      <c r="Q9" s="62" t="b">
        <v>0</v>
      </c>
      <c r="R9" s="62" t="b">
        <v>1</v>
      </c>
      <c r="S9" s="85">
        <v>2.0</v>
      </c>
      <c r="T9" s="85">
        <v>1.0</v>
      </c>
      <c r="U9" s="85">
        <v>1.0</v>
      </c>
      <c r="V9" s="85">
        <v>1.0</v>
      </c>
      <c r="W9" s="85">
        <v>1.0</v>
      </c>
      <c r="X9" s="85">
        <v>1.0</v>
      </c>
      <c r="Y9" s="85">
        <v>0.0</v>
      </c>
      <c r="Z9" s="85">
        <v>0.0</v>
      </c>
      <c r="AA9" s="85">
        <v>0.0</v>
      </c>
      <c r="AB9" s="85">
        <v>0.0</v>
      </c>
      <c r="AC9" s="85">
        <v>0.0</v>
      </c>
      <c r="AD9" s="85">
        <v>0.0</v>
      </c>
      <c r="AE9" s="62" t="b">
        <v>0</v>
      </c>
      <c r="AF9" s="62" t="b">
        <v>0</v>
      </c>
      <c r="AG9" s="85">
        <v>2.0</v>
      </c>
      <c r="AH9" s="86">
        <v>1.0</v>
      </c>
      <c r="AI9" s="62" t="b">
        <v>0</v>
      </c>
      <c r="AJ9" s="84" t="s">
        <v>359</v>
      </c>
      <c r="AK9" s="80">
        <f t="shared" si="1"/>
        <v>19</v>
      </c>
      <c r="AL9" s="80">
        <f t="shared" si="2"/>
        <v>19</v>
      </c>
    </row>
    <row r="10">
      <c r="A10" s="84" t="s">
        <v>102</v>
      </c>
      <c r="B10" s="85">
        <v>20.0</v>
      </c>
      <c r="C10" s="85">
        <v>9992.0</v>
      </c>
      <c r="D10" s="85">
        <v>1.0</v>
      </c>
      <c r="E10" s="85">
        <v>1.0</v>
      </c>
      <c r="F10" s="85">
        <v>0.0</v>
      </c>
      <c r="G10" s="85">
        <v>0.0</v>
      </c>
      <c r="H10" s="85">
        <v>0.0</v>
      </c>
      <c r="I10" s="85">
        <v>0.0</v>
      </c>
      <c r="J10" s="85">
        <v>0.0</v>
      </c>
      <c r="K10" s="85">
        <v>0.0</v>
      </c>
      <c r="L10" s="85">
        <v>0.0</v>
      </c>
      <c r="M10" s="85">
        <v>0.0</v>
      </c>
      <c r="N10" s="85">
        <v>0.0</v>
      </c>
      <c r="O10" s="85">
        <v>0.0</v>
      </c>
      <c r="P10" s="62" t="b">
        <v>0</v>
      </c>
      <c r="Q10" s="62" t="b">
        <v>1</v>
      </c>
      <c r="R10" s="62" t="b">
        <v>1</v>
      </c>
      <c r="S10" s="85">
        <v>2.0</v>
      </c>
      <c r="T10" s="85">
        <v>2.0</v>
      </c>
      <c r="U10" s="85">
        <v>1.0</v>
      </c>
      <c r="V10" s="85">
        <v>1.0</v>
      </c>
      <c r="W10" s="85">
        <v>0.0</v>
      </c>
      <c r="X10" s="85">
        <v>0.0</v>
      </c>
      <c r="Y10" s="85">
        <v>0.0</v>
      </c>
      <c r="Z10" s="85">
        <v>0.0</v>
      </c>
      <c r="AA10" s="85">
        <v>0.0</v>
      </c>
      <c r="AB10" s="85">
        <v>0.0</v>
      </c>
      <c r="AC10" s="85">
        <v>2.0</v>
      </c>
      <c r="AD10" s="85">
        <v>2.0</v>
      </c>
      <c r="AE10" s="62" t="b">
        <v>0</v>
      </c>
      <c r="AF10" s="62" t="b">
        <v>1</v>
      </c>
      <c r="AG10" s="85">
        <v>3.0</v>
      </c>
      <c r="AH10" s="86">
        <v>1.0</v>
      </c>
      <c r="AI10" s="62" t="b">
        <v>0</v>
      </c>
      <c r="AJ10" s="84"/>
      <c r="AK10" s="80">
        <f t="shared" si="1"/>
        <v>26</v>
      </c>
      <c r="AL10" s="80">
        <f t="shared" si="2"/>
        <v>26</v>
      </c>
    </row>
    <row r="11">
      <c r="A11" s="84" t="s">
        <v>150</v>
      </c>
      <c r="B11" s="85">
        <v>27.0</v>
      </c>
      <c r="C11" s="85">
        <v>9992.0</v>
      </c>
      <c r="D11" s="85">
        <v>1.0</v>
      </c>
      <c r="E11" s="85">
        <v>1.0</v>
      </c>
      <c r="F11" s="85">
        <v>0.0</v>
      </c>
      <c r="G11" s="85">
        <v>0.0</v>
      </c>
      <c r="H11" s="85">
        <v>0.0</v>
      </c>
      <c r="I11" s="85">
        <v>0.0</v>
      </c>
      <c r="J11" s="85">
        <v>0.0</v>
      </c>
      <c r="K11" s="85">
        <v>0.0</v>
      </c>
      <c r="L11" s="85">
        <v>0.0</v>
      </c>
      <c r="M11" s="85">
        <v>0.0</v>
      </c>
      <c r="N11" s="85">
        <v>0.0</v>
      </c>
      <c r="O11" s="85">
        <v>0.0</v>
      </c>
      <c r="P11" s="62" t="b">
        <v>1</v>
      </c>
      <c r="Q11" s="62" t="b">
        <v>1</v>
      </c>
      <c r="R11" s="62" t="b">
        <v>1</v>
      </c>
      <c r="S11" s="85">
        <v>3.0</v>
      </c>
      <c r="T11" s="85">
        <v>3.0</v>
      </c>
      <c r="U11" s="85">
        <v>2.0</v>
      </c>
      <c r="V11" s="85">
        <v>2.0</v>
      </c>
      <c r="W11" s="85">
        <v>0.0</v>
      </c>
      <c r="X11" s="85">
        <v>0.0</v>
      </c>
      <c r="Y11" s="85">
        <v>0.0</v>
      </c>
      <c r="Z11" s="85">
        <v>0.0</v>
      </c>
      <c r="AA11" s="85">
        <v>1.0</v>
      </c>
      <c r="AB11" s="85">
        <v>1.0</v>
      </c>
      <c r="AC11" s="85">
        <v>0.0</v>
      </c>
      <c r="AD11" s="85">
        <v>0.0</v>
      </c>
      <c r="AE11" s="62" t="b">
        <v>1</v>
      </c>
      <c r="AF11" s="62" t="b">
        <v>1</v>
      </c>
      <c r="AG11" s="85">
        <v>4.0</v>
      </c>
      <c r="AH11" s="86">
        <v>2.0</v>
      </c>
      <c r="AI11" s="62" t="b">
        <v>0</v>
      </c>
      <c r="AJ11" s="87" t="s">
        <v>360</v>
      </c>
      <c r="AK11" s="80">
        <f t="shared" si="1"/>
        <v>55</v>
      </c>
      <c r="AL11" s="80">
        <f t="shared" si="2"/>
        <v>33</v>
      </c>
    </row>
    <row r="12">
      <c r="A12" s="84" t="s">
        <v>102</v>
      </c>
      <c r="B12" s="85">
        <v>5.0</v>
      </c>
      <c r="C12" s="85">
        <v>8280.0</v>
      </c>
      <c r="D12" s="85">
        <v>0.0</v>
      </c>
      <c r="E12" s="85">
        <v>0.0</v>
      </c>
      <c r="F12" s="85">
        <v>0.0</v>
      </c>
      <c r="G12" s="85">
        <v>0.0</v>
      </c>
      <c r="H12" s="85">
        <v>0.0</v>
      </c>
      <c r="I12" s="85">
        <v>0.0</v>
      </c>
      <c r="J12" s="85">
        <v>0.0</v>
      </c>
      <c r="K12" s="85">
        <v>0.0</v>
      </c>
      <c r="L12" s="85">
        <v>1.0</v>
      </c>
      <c r="M12" s="85">
        <v>1.0</v>
      </c>
      <c r="N12" s="85">
        <v>0.0</v>
      </c>
      <c r="O12" s="85">
        <v>0.0</v>
      </c>
      <c r="P12" s="62" t="b">
        <v>0</v>
      </c>
      <c r="Q12" s="62" t="b">
        <v>0</v>
      </c>
      <c r="R12" s="62" t="b">
        <v>1</v>
      </c>
      <c r="S12" s="85">
        <v>0.0</v>
      </c>
      <c r="T12" s="85">
        <v>0.0</v>
      </c>
      <c r="U12" s="85">
        <v>3.0</v>
      </c>
      <c r="V12" s="85">
        <v>3.0</v>
      </c>
      <c r="W12" s="85">
        <v>0.0</v>
      </c>
      <c r="X12" s="85">
        <v>0.0</v>
      </c>
      <c r="Y12" s="85">
        <v>0.0</v>
      </c>
      <c r="Z12" s="85">
        <v>0.0</v>
      </c>
      <c r="AA12" s="85">
        <v>0.0</v>
      </c>
      <c r="AB12" s="85">
        <v>0.0</v>
      </c>
      <c r="AC12" s="85">
        <v>0.0</v>
      </c>
      <c r="AD12" s="85">
        <v>0.0</v>
      </c>
      <c r="AE12" s="62" t="b">
        <v>0</v>
      </c>
      <c r="AF12" s="62" t="b">
        <v>0</v>
      </c>
      <c r="AG12" s="85">
        <v>2.0</v>
      </c>
      <c r="AH12" s="86">
        <v>1.0</v>
      </c>
      <c r="AI12" s="62" t="b">
        <v>0</v>
      </c>
      <c r="AJ12" s="87" t="s">
        <v>361</v>
      </c>
      <c r="AK12" s="80">
        <f t="shared" si="1"/>
        <v>16</v>
      </c>
      <c r="AL12" s="80">
        <f t="shared" si="2"/>
        <v>16</v>
      </c>
    </row>
    <row r="13">
      <c r="A13" s="84" t="s">
        <v>362</v>
      </c>
      <c r="B13" s="85">
        <v>13.0</v>
      </c>
      <c r="C13" s="85">
        <v>8280.0</v>
      </c>
      <c r="D13" s="85">
        <v>0.0</v>
      </c>
      <c r="E13" s="85">
        <v>0.0</v>
      </c>
      <c r="F13" s="85">
        <v>0.0</v>
      </c>
      <c r="G13" s="85">
        <v>0.0</v>
      </c>
      <c r="H13" s="85">
        <v>0.0</v>
      </c>
      <c r="I13" s="85">
        <v>0.0</v>
      </c>
      <c r="J13" s="85">
        <v>1.0</v>
      </c>
      <c r="K13" s="85">
        <v>0.0</v>
      </c>
      <c r="L13" s="85">
        <v>0.0</v>
      </c>
      <c r="M13" s="85">
        <v>0.0</v>
      </c>
      <c r="N13" s="85">
        <v>0.0</v>
      </c>
      <c r="O13" s="85">
        <v>0.0</v>
      </c>
      <c r="P13" s="62" t="b">
        <v>0</v>
      </c>
      <c r="Q13" s="62" t="b">
        <v>0</v>
      </c>
      <c r="R13" s="62" t="b">
        <v>1</v>
      </c>
      <c r="S13" s="85">
        <v>0.0</v>
      </c>
      <c r="T13" s="85">
        <v>0.0</v>
      </c>
      <c r="U13" s="85">
        <v>4.0</v>
      </c>
      <c r="V13" s="85">
        <v>4.0</v>
      </c>
      <c r="W13" s="85">
        <v>0.0</v>
      </c>
      <c r="X13" s="85">
        <v>0.0</v>
      </c>
      <c r="Y13" s="85">
        <v>0.0</v>
      </c>
      <c r="Z13" s="85">
        <v>0.0</v>
      </c>
      <c r="AA13" s="85">
        <v>0.0</v>
      </c>
      <c r="AB13" s="85">
        <v>0.0</v>
      </c>
      <c r="AC13" s="85">
        <v>0.0</v>
      </c>
      <c r="AD13" s="85">
        <v>0.0</v>
      </c>
      <c r="AE13" s="62" t="b">
        <v>0</v>
      </c>
      <c r="AF13" s="62" t="b">
        <v>0</v>
      </c>
      <c r="AG13" s="85">
        <v>3.0</v>
      </c>
      <c r="AH13" s="86">
        <v>1.0</v>
      </c>
      <c r="AI13" s="62" t="b">
        <v>0</v>
      </c>
      <c r="AJ13" s="84"/>
      <c r="AK13" s="80">
        <f t="shared" si="1"/>
        <v>15</v>
      </c>
      <c r="AL13" s="80">
        <f t="shared" si="2"/>
        <v>15</v>
      </c>
    </row>
    <row r="14">
      <c r="A14" s="84" t="s">
        <v>150</v>
      </c>
      <c r="B14" s="85">
        <v>17.0</v>
      </c>
      <c r="C14" s="85">
        <v>8280.0</v>
      </c>
      <c r="D14" s="85">
        <v>0.0</v>
      </c>
      <c r="E14" s="85">
        <v>0.0</v>
      </c>
      <c r="F14" s="85">
        <v>0.0</v>
      </c>
      <c r="G14" s="85">
        <v>0.0</v>
      </c>
      <c r="H14" s="85">
        <v>0.0</v>
      </c>
      <c r="I14" s="85">
        <v>0.0</v>
      </c>
      <c r="J14" s="85">
        <v>0.0</v>
      </c>
      <c r="K14" s="85">
        <v>0.0</v>
      </c>
      <c r="L14" s="85">
        <v>1.0</v>
      </c>
      <c r="M14" s="85">
        <v>1.0</v>
      </c>
      <c r="N14" s="85">
        <v>0.0</v>
      </c>
      <c r="O14" s="85">
        <v>0.0</v>
      </c>
      <c r="P14" s="62" t="b">
        <v>0</v>
      </c>
      <c r="Q14" s="62" t="b">
        <v>0</v>
      </c>
      <c r="R14" s="62" t="b">
        <v>1</v>
      </c>
      <c r="S14" s="85">
        <v>0.0</v>
      </c>
      <c r="T14" s="85">
        <v>0.0</v>
      </c>
      <c r="U14" s="85">
        <v>2.0</v>
      </c>
      <c r="V14" s="85">
        <v>2.0</v>
      </c>
      <c r="W14" s="85">
        <v>0.0</v>
      </c>
      <c r="X14" s="85">
        <v>0.0</v>
      </c>
      <c r="Y14" s="85">
        <v>0.0</v>
      </c>
      <c r="Z14" s="85">
        <v>0.0</v>
      </c>
      <c r="AA14" s="85">
        <v>0.0</v>
      </c>
      <c r="AB14" s="85">
        <v>0.0</v>
      </c>
      <c r="AC14" s="85">
        <v>0.0</v>
      </c>
      <c r="AD14" s="85">
        <v>0.0</v>
      </c>
      <c r="AE14" s="62" t="b">
        <v>0</v>
      </c>
      <c r="AF14" s="62" t="b">
        <v>0</v>
      </c>
      <c r="AG14" s="85">
        <v>2.0</v>
      </c>
      <c r="AH14" s="86">
        <v>2.0</v>
      </c>
      <c r="AI14" s="62" t="b">
        <v>0</v>
      </c>
      <c r="AJ14" s="87" t="s">
        <v>363</v>
      </c>
      <c r="AK14" s="80">
        <f t="shared" si="1"/>
        <v>13</v>
      </c>
      <c r="AL14" s="80">
        <f t="shared" si="2"/>
        <v>13</v>
      </c>
    </row>
    <row r="15">
      <c r="A15" s="84" t="s">
        <v>102</v>
      </c>
      <c r="B15" s="85">
        <v>23.0</v>
      </c>
      <c r="C15" s="85">
        <v>8280.0</v>
      </c>
      <c r="D15" s="85">
        <v>0.0</v>
      </c>
      <c r="E15" s="85">
        <v>0.0</v>
      </c>
      <c r="F15" s="85">
        <v>0.0</v>
      </c>
      <c r="G15" s="85">
        <v>0.0</v>
      </c>
      <c r="H15" s="85">
        <v>0.0</v>
      </c>
      <c r="I15" s="85">
        <v>0.0</v>
      </c>
      <c r="J15" s="85">
        <v>0.0</v>
      </c>
      <c r="K15" s="85">
        <v>0.0</v>
      </c>
      <c r="L15" s="85">
        <v>1.0</v>
      </c>
      <c r="M15" s="85">
        <v>1.0</v>
      </c>
      <c r="N15" s="85">
        <v>0.0</v>
      </c>
      <c r="O15" s="85">
        <v>0.0</v>
      </c>
      <c r="P15" s="62" t="b">
        <v>0</v>
      </c>
      <c r="Q15" s="62" t="b">
        <v>0</v>
      </c>
      <c r="R15" s="62" t="b">
        <v>1</v>
      </c>
      <c r="S15" s="85">
        <v>0.0</v>
      </c>
      <c r="T15" s="85">
        <v>0.0</v>
      </c>
      <c r="U15" s="85">
        <v>0.0</v>
      </c>
      <c r="V15" s="85">
        <v>0.0</v>
      </c>
      <c r="W15" s="85">
        <v>3.0</v>
      </c>
      <c r="X15" s="85">
        <v>3.0</v>
      </c>
      <c r="Y15" s="85">
        <v>0.0</v>
      </c>
      <c r="Z15" s="85">
        <v>0.0</v>
      </c>
      <c r="AA15" s="85">
        <v>0.0</v>
      </c>
      <c r="AB15" s="85">
        <v>0.0</v>
      </c>
      <c r="AC15" s="85">
        <v>1.0</v>
      </c>
      <c r="AD15" s="85">
        <v>1.0</v>
      </c>
      <c r="AE15" s="62" t="b">
        <v>0</v>
      </c>
      <c r="AF15" s="62" t="b">
        <v>0</v>
      </c>
      <c r="AG15" s="85">
        <v>2.0</v>
      </c>
      <c r="AH15" s="86">
        <v>1.0</v>
      </c>
      <c r="AI15" s="62" t="b">
        <v>0</v>
      </c>
      <c r="AJ15" s="84"/>
      <c r="AK15" s="80">
        <f t="shared" si="1"/>
        <v>15</v>
      </c>
      <c r="AL15" s="80">
        <f t="shared" si="2"/>
        <v>15</v>
      </c>
    </row>
    <row r="16">
      <c r="A16" s="84" t="s">
        <v>364</v>
      </c>
      <c r="B16" s="85">
        <v>31.0</v>
      </c>
      <c r="C16" s="85">
        <v>8280.0</v>
      </c>
      <c r="D16" s="85">
        <v>0.0</v>
      </c>
      <c r="E16" s="85">
        <v>0.0</v>
      </c>
      <c r="F16" s="85">
        <v>0.0</v>
      </c>
      <c r="G16" s="85">
        <v>0.0</v>
      </c>
      <c r="H16" s="85">
        <v>0.0</v>
      </c>
      <c r="I16" s="85">
        <v>0.0</v>
      </c>
      <c r="J16" s="85">
        <v>0.0</v>
      </c>
      <c r="K16" s="85">
        <v>0.0</v>
      </c>
      <c r="L16" s="85">
        <v>1.0</v>
      </c>
      <c r="M16" s="85">
        <v>1.0</v>
      </c>
      <c r="N16" s="85">
        <v>0.0</v>
      </c>
      <c r="O16" s="85">
        <v>0.0</v>
      </c>
      <c r="P16" s="62" t="b">
        <v>0</v>
      </c>
      <c r="Q16" s="62" t="b">
        <v>0</v>
      </c>
      <c r="R16" s="62" t="b">
        <v>1</v>
      </c>
      <c r="S16" s="85">
        <v>0.0</v>
      </c>
      <c r="T16" s="85">
        <v>0.0</v>
      </c>
      <c r="U16" s="85">
        <v>4.0</v>
      </c>
      <c r="V16" s="85">
        <v>3.0</v>
      </c>
      <c r="W16" s="85">
        <v>0.0</v>
      </c>
      <c r="X16" s="85">
        <v>0.0</v>
      </c>
      <c r="Y16" s="85">
        <v>0.0</v>
      </c>
      <c r="Z16" s="85">
        <v>0.0</v>
      </c>
      <c r="AA16" s="85">
        <v>0.0</v>
      </c>
      <c r="AB16" s="85">
        <v>0.0</v>
      </c>
      <c r="AC16" s="85">
        <v>0.0</v>
      </c>
      <c r="AD16" s="85">
        <v>0.0</v>
      </c>
      <c r="AE16" s="62" t="b">
        <v>0</v>
      </c>
      <c r="AF16" s="62" t="b">
        <v>0</v>
      </c>
      <c r="AG16" s="85">
        <v>4.0</v>
      </c>
      <c r="AH16" s="86">
        <v>2.0</v>
      </c>
      <c r="AI16" s="62" t="b">
        <v>0</v>
      </c>
      <c r="AJ16" s="84" t="s">
        <v>106</v>
      </c>
      <c r="AK16" s="80">
        <f t="shared" si="1"/>
        <v>16</v>
      </c>
      <c r="AL16" s="80">
        <f t="shared" si="2"/>
        <v>16</v>
      </c>
    </row>
    <row r="17">
      <c r="A17" s="84" t="s">
        <v>365</v>
      </c>
      <c r="B17" s="85">
        <v>4.0</v>
      </c>
      <c r="C17" s="85">
        <v>8243.0</v>
      </c>
      <c r="D17" s="85">
        <v>0.0</v>
      </c>
      <c r="E17" s="85">
        <v>0.0</v>
      </c>
      <c r="F17" s="85">
        <v>1.0</v>
      </c>
      <c r="G17" s="85">
        <v>1.0</v>
      </c>
      <c r="H17" s="85">
        <v>0.0</v>
      </c>
      <c r="I17" s="85">
        <v>0.0</v>
      </c>
      <c r="J17" s="85">
        <v>0.0</v>
      </c>
      <c r="K17" s="85">
        <v>0.0</v>
      </c>
      <c r="L17" s="85">
        <v>0.0</v>
      </c>
      <c r="M17" s="85">
        <v>0.0</v>
      </c>
      <c r="N17" s="85">
        <v>0.0</v>
      </c>
      <c r="O17" s="85">
        <v>0.0</v>
      </c>
      <c r="P17" s="62" t="b">
        <v>0</v>
      </c>
      <c r="Q17" s="62" t="b">
        <v>0</v>
      </c>
      <c r="R17" s="62" t="b">
        <v>1</v>
      </c>
      <c r="S17" s="85">
        <v>0.0</v>
      </c>
      <c r="T17" s="85">
        <v>0.0</v>
      </c>
      <c r="U17" s="85">
        <v>0.0</v>
      </c>
      <c r="V17" s="85">
        <v>0.0</v>
      </c>
      <c r="W17" s="85">
        <v>1.0</v>
      </c>
      <c r="X17" s="85">
        <v>1.0</v>
      </c>
      <c r="Y17" s="85">
        <v>0.0</v>
      </c>
      <c r="Z17" s="85">
        <v>0.0</v>
      </c>
      <c r="AA17" s="85">
        <v>1.0</v>
      </c>
      <c r="AB17" s="85">
        <v>1.0</v>
      </c>
      <c r="AC17" s="85">
        <v>0.0</v>
      </c>
      <c r="AD17" s="85">
        <v>0.0</v>
      </c>
      <c r="AE17" s="62" t="b">
        <v>0</v>
      </c>
      <c r="AF17" s="62" t="b">
        <v>0</v>
      </c>
      <c r="AG17" s="85">
        <v>4.0</v>
      </c>
      <c r="AH17" s="86">
        <v>0.0</v>
      </c>
      <c r="AI17" s="62" t="b">
        <v>0</v>
      </c>
      <c r="AJ17" s="87" t="s">
        <v>366</v>
      </c>
      <c r="AK17" s="80">
        <f t="shared" si="1"/>
        <v>12</v>
      </c>
      <c r="AL17" s="80">
        <f t="shared" si="2"/>
        <v>12</v>
      </c>
    </row>
    <row r="18">
      <c r="A18" s="84" t="s">
        <v>351</v>
      </c>
      <c r="B18" s="85">
        <v>10.0</v>
      </c>
      <c r="C18" s="85">
        <v>8243.0</v>
      </c>
      <c r="D18" s="85">
        <v>0.0</v>
      </c>
      <c r="E18" s="85">
        <v>0.0</v>
      </c>
      <c r="F18" s="85">
        <v>1.0</v>
      </c>
      <c r="G18" s="85">
        <v>1.0</v>
      </c>
      <c r="H18" s="85">
        <v>0.0</v>
      </c>
      <c r="I18" s="85">
        <v>0.0</v>
      </c>
      <c r="J18" s="85">
        <v>0.0</v>
      </c>
      <c r="K18" s="85">
        <v>0.0</v>
      </c>
      <c r="L18" s="85">
        <v>0.0</v>
      </c>
      <c r="M18" s="85">
        <v>0.0</v>
      </c>
      <c r="N18" s="85">
        <v>0.0</v>
      </c>
      <c r="O18" s="85">
        <v>0.0</v>
      </c>
      <c r="P18" s="62" t="b">
        <v>0</v>
      </c>
      <c r="Q18" s="62" t="b">
        <v>0</v>
      </c>
      <c r="R18" s="62" t="b">
        <v>0</v>
      </c>
      <c r="S18" s="85">
        <v>0.0</v>
      </c>
      <c r="T18" s="85">
        <v>0.0</v>
      </c>
      <c r="U18" s="85">
        <v>0.0</v>
      </c>
      <c r="V18" s="85">
        <v>0.0</v>
      </c>
      <c r="W18" s="85">
        <v>0.0</v>
      </c>
      <c r="X18" s="85">
        <v>0.0</v>
      </c>
      <c r="Y18" s="85">
        <v>0.0</v>
      </c>
      <c r="Z18" s="85">
        <v>0.0</v>
      </c>
      <c r="AA18" s="85">
        <v>0.0</v>
      </c>
      <c r="AB18" s="85">
        <v>0.0</v>
      </c>
      <c r="AC18" s="85">
        <v>0.0</v>
      </c>
      <c r="AD18" s="85">
        <v>0.0</v>
      </c>
      <c r="AE18" s="62" t="b">
        <v>0</v>
      </c>
      <c r="AF18" s="62" t="b">
        <v>0</v>
      </c>
      <c r="AG18" s="85">
        <v>1.0</v>
      </c>
      <c r="AH18" s="86">
        <v>1.0</v>
      </c>
      <c r="AI18" s="62" t="b">
        <v>1</v>
      </c>
      <c r="AJ18" s="87" t="s">
        <v>367</v>
      </c>
      <c r="AK18" s="80">
        <f t="shared" si="1"/>
        <v>4</v>
      </c>
      <c r="AL18" s="80">
        <f t="shared" si="2"/>
        <v>4</v>
      </c>
    </row>
    <row r="19">
      <c r="A19" s="84" t="s">
        <v>351</v>
      </c>
      <c r="B19" s="85">
        <v>14.0</v>
      </c>
      <c r="C19" s="88">
        <v>8243.0</v>
      </c>
      <c r="D19" s="85">
        <v>0.0</v>
      </c>
      <c r="E19" s="85">
        <v>0.0</v>
      </c>
      <c r="F19" s="85">
        <v>0.0</v>
      </c>
      <c r="G19" s="85">
        <v>0.0</v>
      </c>
      <c r="H19" s="85">
        <v>0.0</v>
      </c>
      <c r="I19" s="85">
        <v>0.0</v>
      </c>
      <c r="J19" s="85">
        <v>0.0</v>
      </c>
      <c r="K19" s="85">
        <v>0.0</v>
      </c>
      <c r="L19" s="85">
        <v>0.0</v>
      </c>
      <c r="M19" s="85">
        <v>0.0</v>
      </c>
      <c r="N19" s="85">
        <v>0.0</v>
      </c>
      <c r="O19" s="85">
        <v>0.0</v>
      </c>
      <c r="P19" s="62" t="b">
        <v>1</v>
      </c>
      <c r="Q19" s="62" t="b">
        <v>0</v>
      </c>
      <c r="R19" s="62" t="b">
        <v>0</v>
      </c>
      <c r="S19" s="85">
        <v>0.0</v>
      </c>
      <c r="T19" s="85">
        <v>0.0</v>
      </c>
      <c r="U19" s="85">
        <v>0.0</v>
      </c>
      <c r="V19" s="85">
        <v>0.0</v>
      </c>
      <c r="W19" s="85">
        <v>0.0</v>
      </c>
      <c r="X19" s="85">
        <v>0.0</v>
      </c>
      <c r="Y19" s="85">
        <v>0.0</v>
      </c>
      <c r="Z19" s="85">
        <v>0.0</v>
      </c>
      <c r="AA19" s="85">
        <v>0.0</v>
      </c>
      <c r="AB19" s="85">
        <v>0.0</v>
      </c>
      <c r="AC19" s="85">
        <v>0.0</v>
      </c>
      <c r="AD19" s="85">
        <v>0.0</v>
      </c>
      <c r="AE19" s="62" t="b">
        <v>1</v>
      </c>
      <c r="AF19" s="62" t="b">
        <v>0</v>
      </c>
      <c r="AG19" s="85">
        <v>1.0</v>
      </c>
      <c r="AH19" s="86">
        <v>1.0</v>
      </c>
      <c r="AI19" s="62" t="b">
        <v>1</v>
      </c>
      <c r="AJ19" s="84" t="s">
        <v>368</v>
      </c>
      <c r="AK19" s="80">
        <f t="shared" si="1"/>
        <v>14</v>
      </c>
      <c r="AL19" s="80">
        <f t="shared" si="2"/>
        <v>0</v>
      </c>
    </row>
    <row r="20">
      <c r="A20" s="84" t="s">
        <v>102</v>
      </c>
      <c r="B20" s="85">
        <v>22.0</v>
      </c>
      <c r="C20" s="85">
        <v>8243.0</v>
      </c>
      <c r="D20" s="85">
        <v>0.0</v>
      </c>
      <c r="E20" s="85">
        <v>0.0</v>
      </c>
      <c r="F20" s="85">
        <v>1.0</v>
      </c>
      <c r="G20" s="85">
        <v>1.0</v>
      </c>
      <c r="H20" s="85">
        <v>0.0</v>
      </c>
      <c r="I20" s="85">
        <v>0.0</v>
      </c>
      <c r="J20" s="85">
        <v>0.0</v>
      </c>
      <c r="K20" s="85">
        <v>0.0</v>
      </c>
      <c r="L20" s="85">
        <v>0.0</v>
      </c>
      <c r="M20" s="85">
        <v>0.0</v>
      </c>
      <c r="N20" s="85">
        <v>0.0</v>
      </c>
      <c r="O20" s="85">
        <v>0.0</v>
      </c>
      <c r="P20" s="62" t="b">
        <v>0</v>
      </c>
      <c r="Q20" s="62" t="b">
        <v>0</v>
      </c>
      <c r="R20" s="62" t="b">
        <v>1</v>
      </c>
      <c r="S20" s="85">
        <v>0.0</v>
      </c>
      <c r="T20" s="85">
        <v>0.0</v>
      </c>
      <c r="U20" s="85">
        <v>0.0</v>
      </c>
      <c r="V20" s="85">
        <v>0.0</v>
      </c>
      <c r="W20" s="85">
        <v>0.0</v>
      </c>
      <c r="X20" s="85">
        <v>0.0</v>
      </c>
      <c r="Y20" s="85">
        <v>0.0</v>
      </c>
      <c r="Z20" s="85">
        <v>0.0</v>
      </c>
      <c r="AA20" s="85">
        <v>0.0</v>
      </c>
      <c r="AB20" s="85">
        <v>0.0</v>
      </c>
      <c r="AC20" s="85">
        <v>0.0</v>
      </c>
      <c r="AD20" s="85">
        <v>0.0</v>
      </c>
      <c r="AE20" s="62" t="b">
        <v>0</v>
      </c>
      <c r="AF20" s="62" t="b">
        <v>0</v>
      </c>
      <c r="AG20" s="85">
        <v>1.0</v>
      </c>
      <c r="AH20" s="86">
        <v>1.0</v>
      </c>
      <c r="AI20" s="62" t="b">
        <v>0</v>
      </c>
      <c r="AJ20" s="87" t="s">
        <v>369</v>
      </c>
      <c r="AK20" s="80">
        <f t="shared" si="1"/>
        <v>7</v>
      </c>
      <c r="AL20" s="80">
        <f t="shared" si="2"/>
        <v>7</v>
      </c>
    </row>
    <row r="21">
      <c r="A21" s="84" t="s">
        <v>364</v>
      </c>
      <c r="B21" s="85">
        <v>29.0</v>
      </c>
      <c r="C21" s="85">
        <v>8243.0</v>
      </c>
      <c r="D21" s="85">
        <v>1.0</v>
      </c>
      <c r="E21" s="85">
        <v>1.0</v>
      </c>
      <c r="F21" s="85">
        <v>0.0</v>
      </c>
      <c r="G21" s="85">
        <v>0.0</v>
      </c>
      <c r="H21" s="85">
        <v>0.0</v>
      </c>
      <c r="I21" s="85">
        <v>0.0</v>
      </c>
      <c r="J21" s="85">
        <v>0.0</v>
      </c>
      <c r="K21" s="85">
        <v>0.0</v>
      </c>
      <c r="L21" s="85">
        <v>0.0</v>
      </c>
      <c r="M21" s="85">
        <v>0.0</v>
      </c>
      <c r="N21" s="85">
        <v>0.0</v>
      </c>
      <c r="O21" s="85">
        <v>0.0</v>
      </c>
      <c r="P21" s="62" t="b">
        <v>1</v>
      </c>
      <c r="Q21" s="62" t="b">
        <v>0</v>
      </c>
      <c r="R21" s="62" t="b">
        <v>0</v>
      </c>
      <c r="S21" s="85">
        <v>1.0</v>
      </c>
      <c r="T21" s="85">
        <v>0.0</v>
      </c>
      <c r="U21" s="85">
        <v>0.0</v>
      </c>
      <c r="V21" s="85">
        <v>0.0</v>
      </c>
      <c r="W21" s="85">
        <v>0.0</v>
      </c>
      <c r="X21" s="85">
        <v>0.0</v>
      </c>
      <c r="Y21" s="85">
        <v>0.0</v>
      </c>
      <c r="Z21" s="85">
        <v>0.0</v>
      </c>
      <c r="AA21" s="85">
        <v>1.0</v>
      </c>
      <c r="AB21" s="85">
        <v>1.0</v>
      </c>
      <c r="AC21" s="85">
        <v>0.0</v>
      </c>
      <c r="AD21" s="85">
        <v>0.0</v>
      </c>
      <c r="AE21" s="62" t="b">
        <v>1</v>
      </c>
      <c r="AF21" s="62" t="b">
        <v>0</v>
      </c>
      <c r="AG21" s="85">
        <v>1.0</v>
      </c>
      <c r="AH21" s="86">
        <v>0.0</v>
      </c>
      <c r="AI21" s="62" t="b">
        <v>0</v>
      </c>
      <c r="AJ21" s="87" t="s">
        <v>370</v>
      </c>
      <c r="AK21" s="80">
        <f t="shared" si="1"/>
        <v>23</v>
      </c>
      <c r="AL21" s="80">
        <f t="shared" si="2"/>
        <v>9</v>
      </c>
    </row>
    <row r="22">
      <c r="A22" s="84" t="s">
        <v>371</v>
      </c>
      <c r="B22" s="85">
        <v>35.0</v>
      </c>
      <c r="C22" s="85">
        <v>8243.0</v>
      </c>
      <c r="D22" s="85">
        <v>0.0</v>
      </c>
      <c r="E22" s="85">
        <v>0.0</v>
      </c>
      <c r="F22" s="85">
        <v>0.0</v>
      </c>
      <c r="G22" s="85">
        <v>0.0</v>
      </c>
      <c r="H22" s="85">
        <v>0.0</v>
      </c>
      <c r="I22" s="85">
        <v>0.0</v>
      </c>
      <c r="J22" s="85">
        <v>0.0</v>
      </c>
      <c r="K22" s="85">
        <v>0.0</v>
      </c>
      <c r="L22" s="85">
        <v>1.0</v>
      </c>
      <c r="M22" s="85">
        <v>1.0</v>
      </c>
      <c r="N22" s="85">
        <v>0.0</v>
      </c>
      <c r="O22" s="85">
        <v>0.0</v>
      </c>
      <c r="P22" s="62" t="b">
        <v>0</v>
      </c>
      <c r="Q22" s="62" t="b">
        <v>0</v>
      </c>
      <c r="R22" s="62" t="b">
        <v>0</v>
      </c>
      <c r="S22" s="85">
        <v>0.0</v>
      </c>
      <c r="T22" s="85">
        <v>0.0</v>
      </c>
      <c r="U22" s="85">
        <v>3.0</v>
      </c>
      <c r="V22" s="85">
        <v>1.0</v>
      </c>
      <c r="W22" s="85">
        <v>0.0</v>
      </c>
      <c r="X22" s="85">
        <v>0.0</v>
      </c>
      <c r="Y22" s="85">
        <v>0.0</v>
      </c>
      <c r="Z22" s="85">
        <v>0.0</v>
      </c>
      <c r="AA22" s="85">
        <v>0.0</v>
      </c>
      <c r="AB22" s="85">
        <v>0.0</v>
      </c>
      <c r="AC22" s="85">
        <v>0.0</v>
      </c>
      <c r="AD22" s="85">
        <v>0.0</v>
      </c>
      <c r="AE22" s="62" t="b">
        <v>0</v>
      </c>
      <c r="AF22" s="62" t="b">
        <v>0</v>
      </c>
      <c r="AG22" s="85">
        <v>0.0</v>
      </c>
      <c r="AH22" s="86">
        <v>0.0</v>
      </c>
      <c r="AI22" s="62" t="b">
        <v>0</v>
      </c>
      <c r="AJ22" s="84"/>
      <c r="AK22" s="80">
        <f t="shared" si="1"/>
        <v>7</v>
      </c>
      <c r="AL22" s="80">
        <f t="shared" si="2"/>
        <v>7</v>
      </c>
    </row>
    <row r="23">
      <c r="A23" s="84" t="s">
        <v>372</v>
      </c>
      <c r="B23" s="85">
        <v>1.0</v>
      </c>
      <c r="C23" s="85">
        <v>8222.0</v>
      </c>
      <c r="D23" s="85">
        <v>1.0</v>
      </c>
      <c r="E23" s="85">
        <v>0.0</v>
      </c>
      <c r="F23" s="85">
        <v>0.0</v>
      </c>
      <c r="G23" s="85">
        <v>0.0</v>
      </c>
      <c r="H23" s="85">
        <v>0.0</v>
      </c>
      <c r="I23" s="85">
        <v>0.0</v>
      </c>
      <c r="J23" s="85">
        <v>0.0</v>
      </c>
      <c r="K23" s="85">
        <v>0.0</v>
      </c>
      <c r="L23" s="85">
        <v>0.0</v>
      </c>
      <c r="M23" s="85">
        <v>0.0</v>
      </c>
      <c r="N23" s="85">
        <v>0.0</v>
      </c>
      <c r="O23" s="85">
        <v>0.0</v>
      </c>
      <c r="P23" s="62" t="b">
        <v>0</v>
      </c>
      <c r="Q23" s="62" t="b">
        <v>0</v>
      </c>
      <c r="R23" s="62" t="b">
        <v>0</v>
      </c>
      <c r="S23" s="85">
        <v>0.0</v>
      </c>
      <c r="T23" s="85">
        <v>0.0</v>
      </c>
      <c r="U23" s="85">
        <v>0.0</v>
      </c>
      <c r="V23" s="85">
        <v>0.0</v>
      </c>
      <c r="W23" s="85">
        <v>0.0</v>
      </c>
      <c r="X23" s="85">
        <v>0.0</v>
      </c>
      <c r="Y23" s="85">
        <v>0.0</v>
      </c>
      <c r="Z23" s="85">
        <v>0.0</v>
      </c>
      <c r="AA23" s="85">
        <v>0.0</v>
      </c>
      <c r="AB23" s="85">
        <v>0.0</v>
      </c>
      <c r="AC23" s="85">
        <v>0.0</v>
      </c>
      <c r="AD23" s="85">
        <v>0.0</v>
      </c>
      <c r="AE23" s="62" t="b">
        <v>0</v>
      </c>
      <c r="AF23" s="62" t="b">
        <v>0</v>
      </c>
      <c r="AG23" s="85">
        <v>0.0</v>
      </c>
      <c r="AH23" s="86">
        <v>0.0</v>
      </c>
      <c r="AI23" s="62" t="b">
        <v>0</v>
      </c>
      <c r="AJ23" s="84"/>
      <c r="AK23" s="80">
        <f t="shared" si="1"/>
        <v>0</v>
      </c>
      <c r="AL23" s="80">
        <f t="shared" si="2"/>
        <v>0</v>
      </c>
    </row>
    <row r="24">
      <c r="A24" s="84" t="s">
        <v>362</v>
      </c>
      <c r="B24" s="85">
        <v>9.0</v>
      </c>
      <c r="C24" s="85">
        <v>8222.0</v>
      </c>
      <c r="D24" s="85">
        <v>1.0</v>
      </c>
      <c r="E24" s="85">
        <v>1.0</v>
      </c>
      <c r="F24" s="85">
        <v>0.0</v>
      </c>
      <c r="G24" s="85">
        <v>0.0</v>
      </c>
      <c r="H24" s="85">
        <v>0.0</v>
      </c>
      <c r="I24" s="85">
        <v>0.0</v>
      </c>
      <c r="J24" s="85">
        <v>0.0</v>
      </c>
      <c r="K24" s="85">
        <v>0.0</v>
      </c>
      <c r="L24" s="85">
        <v>0.0</v>
      </c>
      <c r="M24" s="85">
        <v>0.0</v>
      </c>
      <c r="N24" s="85">
        <v>0.0</v>
      </c>
      <c r="O24" s="85">
        <v>0.0</v>
      </c>
      <c r="P24" s="62" t="b">
        <v>0</v>
      </c>
      <c r="Q24" s="62" t="b">
        <v>0</v>
      </c>
      <c r="R24" s="62" t="b">
        <v>0</v>
      </c>
      <c r="S24" s="85">
        <v>0.0</v>
      </c>
      <c r="T24" s="85">
        <v>0.0</v>
      </c>
      <c r="U24" s="85">
        <v>0.0</v>
      </c>
      <c r="V24" s="85">
        <v>0.0</v>
      </c>
      <c r="W24" s="85">
        <v>1.0</v>
      </c>
      <c r="X24" s="85">
        <v>0.0</v>
      </c>
      <c r="Y24" s="85">
        <v>0.0</v>
      </c>
      <c r="Z24" s="85">
        <v>0.0</v>
      </c>
      <c r="AA24" s="85">
        <v>0.0</v>
      </c>
      <c r="AB24" s="85">
        <v>0.0</v>
      </c>
      <c r="AC24" s="85">
        <v>0.0</v>
      </c>
      <c r="AD24" s="85">
        <v>0.0</v>
      </c>
      <c r="AE24" s="62" t="b">
        <v>0</v>
      </c>
      <c r="AF24" s="62" t="b">
        <v>0</v>
      </c>
      <c r="AG24" s="85">
        <v>1.0</v>
      </c>
      <c r="AH24" s="86">
        <v>1.0</v>
      </c>
      <c r="AI24" s="62" t="b">
        <v>0</v>
      </c>
      <c r="AJ24" s="84"/>
      <c r="AK24" s="80">
        <f t="shared" si="1"/>
        <v>6</v>
      </c>
      <c r="AL24" s="80">
        <f t="shared" si="2"/>
        <v>6</v>
      </c>
    </row>
    <row r="25">
      <c r="A25" s="84" t="s">
        <v>373</v>
      </c>
      <c r="B25" s="85">
        <v>15.0</v>
      </c>
      <c r="C25" s="85">
        <v>8222.0</v>
      </c>
      <c r="D25" s="85">
        <v>0.0</v>
      </c>
      <c r="E25" s="85">
        <v>0.0</v>
      </c>
      <c r="F25" s="85">
        <v>0.0</v>
      </c>
      <c r="G25" s="85">
        <v>0.0</v>
      </c>
      <c r="H25" s="85">
        <v>0.0</v>
      </c>
      <c r="I25" s="85">
        <v>0.0</v>
      </c>
      <c r="J25" s="85">
        <v>0.0</v>
      </c>
      <c r="K25" s="85">
        <v>0.0</v>
      </c>
      <c r="L25" s="85">
        <v>0.0</v>
      </c>
      <c r="M25" s="85">
        <v>0.0</v>
      </c>
      <c r="N25" s="85">
        <v>0.0</v>
      </c>
      <c r="O25" s="85">
        <v>0.0</v>
      </c>
      <c r="P25" s="62" t="b">
        <v>0</v>
      </c>
      <c r="Q25" s="62" t="b">
        <v>0</v>
      </c>
      <c r="R25" s="62" t="b">
        <v>0</v>
      </c>
      <c r="S25" s="85">
        <v>0.0</v>
      </c>
      <c r="T25" s="85">
        <v>0.0</v>
      </c>
      <c r="U25" s="85">
        <v>0.0</v>
      </c>
      <c r="V25" s="85">
        <v>0.0</v>
      </c>
      <c r="W25" s="85">
        <v>1.0</v>
      </c>
      <c r="X25" s="85">
        <v>1.0</v>
      </c>
      <c r="Y25" s="85">
        <v>0.0</v>
      </c>
      <c r="Z25" s="85">
        <v>0.0</v>
      </c>
      <c r="AA25" s="85">
        <v>0.0</v>
      </c>
      <c r="AB25" s="85">
        <v>0.0</v>
      </c>
      <c r="AC25" s="85">
        <v>0.0</v>
      </c>
      <c r="AD25" s="85">
        <v>0.0</v>
      </c>
      <c r="AE25" s="62" t="b">
        <v>0</v>
      </c>
      <c r="AF25" s="62" t="b">
        <v>0</v>
      </c>
      <c r="AG25" s="85">
        <v>0.0</v>
      </c>
      <c r="AH25" s="86">
        <v>0.0</v>
      </c>
      <c r="AI25" s="62" t="b">
        <v>0</v>
      </c>
      <c r="AJ25" s="84"/>
      <c r="AK25" s="80">
        <f t="shared" si="1"/>
        <v>2</v>
      </c>
      <c r="AL25" s="80">
        <f t="shared" si="2"/>
        <v>2</v>
      </c>
    </row>
    <row r="26">
      <c r="A26" s="84" t="s">
        <v>150</v>
      </c>
      <c r="B26" s="85">
        <v>21.0</v>
      </c>
      <c r="C26" s="85">
        <v>8222.0</v>
      </c>
      <c r="D26" s="85">
        <v>1.0</v>
      </c>
      <c r="E26" s="85">
        <v>1.0</v>
      </c>
      <c r="F26" s="85">
        <v>0.0</v>
      </c>
      <c r="G26" s="85">
        <v>0.0</v>
      </c>
      <c r="H26" s="85">
        <v>0.0</v>
      </c>
      <c r="I26" s="85">
        <v>0.0</v>
      </c>
      <c r="J26" s="85">
        <v>0.0</v>
      </c>
      <c r="K26" s="85">
        <v>0.0</v>
      </c>
      <c r="L26" s="85">
        <v>0.0</v>
      </c>
      <c r="M26" s="85">
        <v>0.0</v>
      </c>
      <c r="N26" s="85">
        <v>0.0</v>
      </c>
      <c r="O26" s="85">
        <v>0.0</v>
      </c>
      <c r="P26" s="62" t="b">
        <v>0</v>
      </c>
      <c r="Q26" s="62" t="b">
        <v>0</v>
      </c>
      <c r="R26" s="62" t="b">
        <v>0</v>
      </c>
      <c r="S26" s="85">
        <v>0.0</v>
      </c>
      <c r="T26" s="85">
        <v>0.0</v>
      </c>
      <c r="U26" s="85">
        <v>0.0</v>
      </c>
      <c r="V26" s="85">
        <v>0.0</v>
      </c>
      <c r="W26" s="85">
        <v>0.0</v>
      </c>
      <c r="X26" s="85">
        <v>0.0</v>
      </c>
      <c r="Y26" s="85">
        <v>0.0</v>
      </c>
      <c r="Z26" s="85">
        <v>0.0</v>
      </c>
      <c r="AA26" s="85">
        <v>0.0</v>
      </c>
      <c r="AB26" s="85">
        <v>0.0</v>
      </c>
      <c r="AC26" s="85">
        <v>0.0</v>
      </c>
      <c r="AD26" s="85">
        <v>0.0</v>
      </c>
      <c r="AE26" s="62" t="b">
        <v>0</v>
      </c>
      <c r="AF26" s="62" t="b">
        <v>0</v>
      </c>
      <c r="AG26" s="85">
        <v>1.0</v>
      </c>
      <c r="AH26" s="85">
        <v>2.0</v>
      </c>
      <c r="AI26" s="62" t="b">
        <v>1</v>
      </c>
      <c r="AJ26" s="87" t="s">
        <v>374</v>
      </c>
      <c r="AK26" s="80">
        <f t="shared" si="1"/>
        <v>6</v>
      </c>
      <c r="AL26" s="80">
        <f t="shared" si="2"/>
        <v>6</v>
      </c>
    </row>
    <row r="27">
      <c r="A27" s="84" t="s">
        <v>375</v>
      </c>
      <c r="B27" s="85">
        <v>29.0</v>
      </c>
      <c r="C27" s="85">
        <v>8222.0</v>
      </c>
      <c r="D27" s="85">
        <v>1.0</v>
      </c>
      <c r="E27" s="85">
        <v>1.0</v>
      </c>
      <c r="F27" s="85">
        <v>0.0</v>
      </c>
      <c r="G27" s="85">
        <v>0.0</v>
      </c>
      <c r="H27" s="85">
        <v>0.0</v>
      </c>
      <c r="I27" s="85">
        <v>0.0</v>
      </c>
      <c r="J27" s="85">
        <v>0.0</v>
      </c>
      <c r="K27" s="85">
        <v>0.0</v>
      </c>
      <c r="L27" s="85">
        <v>0.0</v>
      </c>
      <c r="M27" s="85">
        <v>0.0</v>
      </c>
      <c r="N27" s="85">
        <v>0.0</v>
      </c>
      <c r="O27" s="85">
        <v>0.0</v>
      </c>
      <c r="P27" s="62" t="b">
        <v>0</v>
      </c>
      <c r="Q27" s="62" t="b">
        <v>0</v>
      </c>
      <c r="R27" s="62" t="b">
        <v>0</v>
      </c>
      <c r="S27" s="85">
        <v>0.0</v>
      </c>
      <c r="T27" s="85">
        <v>0.0</v>
      </c>
      <c r="U27" s="85">
        <v>0.0</v>
      </c>
      <c r="V27" s="85">
        <v>0.0</v>
      </c>
      <c r="W27" s="85">
        <v>0.0</v>
      </c>
      <c r="X27" s="85">
        <v>0.0</v>
      </c>
      <c r="Y27" s="85">
        <v>0.0</v>
      </c>
      <c r="Z27" s="85">
        <v>0.0</v>
      </c>
      <c r="AA27" s="85">
        <v>0.0</v>
      </c>
      <c r="AB27" s="85">
        <v>0.0</v>
      </c>
      <c r="AC27" s="85">
        <v>0.0</v>
      </c>
      <c r="AD27" s="85">
        <v>0.0</v>
      </c>
      <c r="AE27" s="62" t="b">
        <v>0</v>
      </c>
      <c r="AF27" s="62" t="b">
        <v>0</v>
      </c>
      <c r="AG27" s="85">
        <v>1.0</v>
      </c>
      <c r="AH27" s="86">
        <v>2.0</v>
      </c>
      <c r="AI27" s="62" t="b">
        <v>0</v>
      </c>
      <c r="AJ27" s="87" t="s">
        <v>376</v>
      </c>
      <c r="AK27" s="80">
        <f t="shared" si="1"/>
        <v>6</v>
      </c>
      <c r="AL27" s="80">
        <f t="shared" si="2"/>
        <v>6</v>
      </c>
    </row>
    <row r="28">
      <c r="A28" s="89" t="s">
        <v>372</v>
      </c>
      <c r="B28" s="85">
        <v>2.0</v>
      </c>
      <c r="C28" s="85">
        <v>8145.0</v>
      </c>
      <c r="D28" s="85">
        <v>0.0</v>
      </c>
      <c r="E28" s="85">
        <v>0.0</v>
      </c>
      <c r="F28" s="85">
        <v>0.0</v>
      </c>
      <c r="G28" s="85">
        <v>0.0</v>
      </c>
      <c r="H28" s="85">
        <v>0.0</v>
      </c>
      <c r="I28" s="85">
        <v>0.0</v>
      </c>
      <c r="J28" s="85">
        <v>1.0</v>
      </c>
      <c r="K28" s="85">
        <v>0.0</v>
      </c>
      <c r="L28" s="85">
        <v>0.0</v>
      </c>
      <c r="M28" s="85">
        <v>0.0</v>
      </c>
      <c r="N28" s="85">
        <v>0.0</v>
      </c>
      <c r="O28" s="85">
        <v>0.0</v>
      </c>
      <c r="P28" s="62" t="b">
        <v>0</v>
      </c>
      <c r="Q28" s="62" t="b">
        <v>0</v>
      </c>
      <c r="R28" s="62" t="b">
        <v>0</v>
      </c>
      <c r="S28" s="85">
        <v>0.0</v>
      </c>
      <c r="T28" s="85">
        <v>0.0</v>
      </c>
      <c r="U28" s="85">
        <v>0.0</v>
      </c>
      <c r="V28" s="85">
        <v>0.0</v>
      </c>
      <c r="W28" s="85">
        <v>0.0</v>
      </c>
      <c r="X28" s="85">
        <v>0.0</v>
      </c>
      <c r="Y28" s="85">
        <v>0.0</v>
      </c>
      <c r="Z28" s="85">
        <v>0.0</v>
      </c>
      <c r="AA28" s="85">
        <v>1.0</v>
      </c>
      <c r="AB28" s="85">
        <v>1.0</v>
      </c>
      <c r="AC28" s="85">
        <v>1.0</v>
      </c>
      <c r="AD28" s="85">
        <v>1.0</v>
      </c>
      <c r="AE28" s="62" t="b">
        <v>0</v>
      </c>
      <c r="AF28" s="62" t="b">
        <v>0</v>
      </c>
      <c r="AG28" s="85">
        <v>2.0</v>
      </c>
      <c r="AH28" s="86">
        <v>2.0</v>
      </c>
      <c r="AI28" s="62" t="b">
        <v>0</v>
      </c>
      <c r="AJ28" s="84"/>
      <c r="AK28" s="80">
        <f t="shared" si="1"/>
        <v>5</v>
      </c>
      <c r="AL28" s="80">
        <f t="shared" si="2"/>
        <v>5</v>
      </c>
    </row>
    <row r="29">
      <c r="A29" s="84" t="s">
        <v>377</v>
      </c>
      <c r="B29" s="85">
        <v>7.0</v>
      </c>
      <c r="C29" s="85">
        <v>8145.0</v>
      </c>
      <c r="D29" s="85">
        <v>0.0</v>
      </c>
      <c r="E29" s="85">
        <v>0.0</v>
      </c>
      <c r="F29" s="85">
        <v>0.0</v>
      </c>
      <c r="G29" s="85">
        <v>0.0</v>
      </c>
      <c r="H29" s="85">
        <v>0.0</v>
      </c>
      <c r="I29" s="85">
        <v>0.0</v>
      </c>
      <c r="J29" s="85">
        <v>0.0</v>
      </c>
      <c r="K29" s="85">
        <v>0.0</v>
      </c>
      <c r="L29" s="85">
        <v>0.0</v>
      </c>
      <c r="M29" s="85">
        <v>0.0</v>
      </c>
      <c r="N29" s="85">
        <v>1.0</v>
      </c>
      <c r="O29" s="85">
        <v>1.0</v>
      </c>
      <c r="P29" s="62" t="b">
        <v>0</v>
      </c>
      <c r="Q29" s="62" t="b">
        <v>0</v>
      </c>
      <c r="R29" s="62" t="b">
        <v>0</v>
      </c>
      <c r="S29" s="85">
        <v>0.0</v>
      </c>
      <c r="T29" s="85">
        <v>0.0</v>
      </c>
      <c r="U29" s="85">
        <v>0.0</v>
      </c>
      <c r="V29" s="85">
        <v>0.0</v>
      </c>
      <c r="W29" s="85">
        <v>0.0</v>
      </c>
      <c r="X29" s="85">
        <v>0.0</v>
      </c>
      <c r="Y29" s="85">
        <v>0.0</v>
      </c>
      <c r="Z29" s="85">
        <v>0.0</v>
      </c>
      <c r="AA29" s="85">
        <v>0.0</v>
      </c>
      <c r="AB29" s="85">
        <v>0.0</v>
      </c>
      <c r="AC29" s="85">
        <v>0.0</v>
      </c>
      <c r="AD29" s="85">
        <v>0.0</v>
      </c>
      <c r="AE29" s="62" t="b">
        <v>0</v>
      </c>
      <c r="AF29" s="62" t="b">
        <v>0</v>
      </c>
      <c r="AG29" s="85">
        <v>1.0</v>
      </c>
      <c r="AH29" s="85">
        <v>1.0</v>
      </c>
      <c r="AI29" s="62" t="b">
        <v>0</v>
      </c>
      <c r="AJ29" s="87" t="s">
        <v>378</v>
      </c>
      <c r="AK29" s="80">
        <f t="shared" si="1"/>
        <v>3</v>
      </c>
      <c r="AL29" s="80">
        <f t="shared" si="2"/>
        <v>3</v>
      </c>
    </row>
    <row r="30">
      <c r="A30" s="84" t="s">
        <v>379</v>
      </c>
      <c r="B30" s="85">
        <v>16.0</v>
      </c>
      <c r="C30" s="85">
        <v>8145.0</v>
      </c>
      <c r="D30" s="85">
        <v>0.0</v>
      </c>
      <c r="E30" s="85">
        <v>0.0</v>
      </c>
      <c r="F30" s="85">
        <v>0.0</v>
      </c>
      <c r="G30" s="85">
        <v>0.0</v>
      </c>
      <c r="H30" s="85">
        <v>0.0</v>
      </c>
      <c r="I30" s="85">
        <v>0.0</v>
      </c>
      <c r="J30" s="85">
        <v>0.0</v>
      </c>
      <c r="K30" s="85">
        <v>0.0</v>
      </c>
      <c r="L30" s="85">
        <v>0.0</v>
      </c>
      <c r="M30" s="85">
        <v>0.0</v>
      </c>
      <c r="N30" s="85">
        <v>1.0</v>
      </c>
      <c r="O30" s="85">
        <v>1.0</v>
      </c>
      <c r="P30" s="62" t="b">
        <v>0</v>
      </c>
      <c r="Q30" s="62" t="b">
        <v>0</v>
      </c>
      <c r="R30" s="62" t="b">
        <v>0</v>
      </c>
      <c r="S30" s="85">
        <v>0.0</v>
      </c>
      <c r="T30" s="85">
        <v>0.0</v>
      </c>
      <c r="U30" s="85">
        <v>0.0</v>
      </c>
      <c r="V30" s="85">
        <v>0.0</v>
      </c>
      <c r="W30" s="85">
        <v>0.0</v>
      </c>
      <c r="X30" s="85">
        <v>0.0</v>
      </c>
      <c r="Y30" s="85">
        <v>0.0</v>
      </c>
      <c r="Z30" s="85">
        <v>0.0</v>
      </c>
      <c r="AA30" s="85">
        <v>1.0</v>
      </c>
      <c r="AB30" s="85">
        <v>1.0</v>
      </c>
      <c r="AC30" s="85">
        <v>2.0</v>
      </c>
      <c r="AD30" s="85">
        <v>2.0</v>
      </c>
      <c r="AE30" s="62" t="b">
        <v>0</v>
      </c>
      <c r="AF30" s="62" t="b">
        <v>0</v>
      </c>
      <c r="AG30" s="85">
        <v>2.0</v>
      </c>
      <c r="AH30" s="86">
        <v>1.0</v>
      </c>
      <c r="AI30" s="62" t="b">
        <v>0</v>
      </c>
      <c r="AJ30" s="84"/>
      <c r="AK30" s="80">
        <f t="shared" si="1"/>
        <v>10</v>
      </c>
      <c r="AL30" s="80">
        <f t="shared" si="2"/>
        <v>10</v>
      </c>
    </row>
    <row r="31">
      <c r="A31" s="84" t="s">
        <v>150</v>
      </c>
      <c r="B31" s="85">
        <v>24.0</v>
      </c>
      <c r="C31" s="85">
        <v>8145.0</v>
      </c>
      <c r="D31" s="85">
        <v>0.0</v>
      </c>
      <c r="E31" s="85">
        <v>0.0</v>
      </c>
      <c r="F31" s="85">
        <v>0.0</v>
      </c>
      <c r="G31" s="85">
        <v>0.0</v>
      </c>
      <c r="H31" s="85">
        <v>0.0</v>
      </c>
      <c r="I31" s="85">
        <v>0.0</v>
      </c>
      <c r="J31" s="85">
        <v>0.0</v>
      </c>
      <c r="K31" s="85">
        <v>0.0</v>
      </c>
      <c r="L31" s="85">
        <v>0.0</v>
      </c>
      <c r="M31" s="85">
        <v>0.0</v>
      </c>
      <c r="N31" s="85">
        <v>1.0</v>
      </c>
      <c r="O31" s="85">
        <v>0.0</v>
      </c>
      <c r="P31" s="62" t="b">
        <v>0</v>
      </c>
      <c r="Q31" s="62" t="b">
        <v>0</v>
      </c>
      <c r="R31" s="62" t="b">
        <v>0</v>
      </c>
      <c r="S31" s="85">
        <v>0.0</v>
      </c>
      <c r="T31" s="85">
        <v>0.0</v>
      </c>
      <c r="U31" s="85">
        <v>0.0</v>
      </c>
      <c r="V31" s="85">
        <v>0.0</v>
      </c>
      <c r="W31" s="85">
        <v>0.0</v>
      </c>
      <c r="X31" s="85">
        <v>0.0</v>
      </c>
      <c r="Y31" s="85">
        <v>0.0</v>
      </c>
      <c r="Z31" s="85">
        <v>0.0</v>
      </c>
      <c r="AA31" s="85">
        <v>0.0</v>
      </c>
      <c r="AB31" s="85">
        <v>0.0</v>
      </c>
      <c r="AC31" s="85">
        <v>3.0</v>
      </c>
      <c r="AD31" s="85">
        <v>2.0</v>
      </c>
      <c r="AE31" s="62" t="b">
        <v>0</v>
      </c>
      <c r="AF31" s="62" t="b">
        <v>0</v>
      </c>
      <c r="AG31" s="85">
        <v>0.0</v>
      </c>
      <c r="AH31" s="85">
        <v>3.0</v>
      </c>
      <c r="AI31" s="62" t="b">
        <v>0</v>
      </c>
      <c r="AJ31" s="87" t="s">
        <v>380</v>
      </c>
      <c r="AK31" s="80">
        <f t="shared" si="1"/>
        <v>4</v>
      </c>
      <c r="AL31" s="80">
        <f t="shared" si="2"/>
        <v>4</v>
      </c>
    </row>
    <row r="32">
      <c r="A32" s="84" t="s">
        <v>377</v>
      </c>
      <c r="B32" s="85">
        <v>11.0</v>
      </c>
      <c r="C32" s="85">
        <v>7769.0</v>
      </c>
      <c r="D32" s="85">
        <v>1.0</v>
      </c>
      <c r="E32" s="85">
        <v>0.0</v>
      </c>
      <c r="F32" s="85">
        <v>0.0</v>
      </c>
      <c r="G32" s="85">
        <v>0.0</v>
      </c>
      <c r="H32" s="85">
        <v>0.0</v>
      </c>
      <c r="I32" s="85">
        <v>0.0</v>
      </c>
      <c r="J32" s="85">
        <v>0.0</v>
      </c>
      <c r="K32" s="85">
        <v>0.0</v>
      </c>
      <c r="L32" s="85">
        <v>1.0</v>
      </c>
      <c r="M32" s="85">
        <v>1.0</v>
      </c>
      <c r="N32" s="85">
        <v>0.0</v>
      </c>
      <c r="O32" s="85">
        <v>0.0</v>
      </c>
      <c r="P32" s="62" t="b">
        <v>0</v>
      </c>
      <c r="Q32" s="62" t="b">
        <v>0</v>
      </c>
      <c r="R32" s="62" t="b">
        <v>1</v>
      </c>
      <c r="S32" s="85">
        <v>3.0</v>
      </c>
      <c r="T32" s="85">
        <v>3.0</v>
      </c>
      <c r="U32" s="85">
        <v>0.0</v>
      </c>
      <c r="V32" s="85">
        <v>0.0</v>
      </c>
      <c r="W32" s="85">
        <v>0.0</v>
      </c>
      <c r="X32" s="85">
        <v>0.0</v>
      </c>
      <c r="Y32" s="85">
        <v>1.0</v>
      </c>
      <c r="Z32" s="85">
        <v>1.0</v>
      </c>
      <c r="AA32" s="85">
        <v>1.0</v>
      </c>
      <c r="AB32" s="85">
        <v>1.0</v>
      </c>
      <c r="AC32" s="85">
        <v>0.0</v>
      </c>
      <c r="AD32" s="85">
        <v>0.0</v>
      </c>
      <c r="AE32" s="62" t="b">
        <v>0</v>
      </c>
      <c r="AF32" s="62" t="b">
        <v>0</v>
      </c>
      <c r="AG32" s="85">
        <v>4.0</v>
      </c>
      <c r="AH32" s="86">
        <v>3.0</v>
      </c>
      <c r="AI32" s="62" t="b">
        <v>0</v>
      </c>
      <c r="AJ32" s="84" t="s">
        <v>381</v>
      </c>
      <c r="AK32" s="80">
        <f t="shared" si="1"/>
        <v>30</v>
      </c>
      <c r="AL32" s="80">
        <f t="shared" si="2"/>
        <v>30</v>
      </c>
    </row>
    <row r="33">
      <c r="A33" s="84" t="s">
        <v>351</v>
      </c>
      <c r="B33" s="85">
        <v>15.0</v>
      </c>
      <c r="C33" s="85">
        <v>7769.0</v>
      </c>
      <c r="D33" s="85">
        <v>1.0</v>
      </c>
      <c r="E33" s="85">
        <v>1.0</v>
      </c>
      <c r="F33" s="85">
        <v>0.0</v>
      </c>
      <c r="G33" s="85">
        <v>0.0</v>
      </c>
      <c r="H33" s="85">
        <v>0.0</v>
      </c>
      <c r="I33" s="85">
        <v>0.0</v>
      </c>
      <c r="J33" s="85">
        <v>0.0</v>
      </c>
      <c r="K33" s="85">
        <v>0.0</v>
      </c>
      <c r="L33" s="85">
        <v>0.0</v>
      </c>
      <c r="M33" s="85">
        <v>0.0</v>
      </c>
      <c r="N33" s="85">
        <v>0.0</v>
      </c>
      <c r="O33" s="85">
        <v>0.0</v>
      </c>
      <c r="P33" s="62" t="b">
        <v>0</v>
      </c>
      <c r="Q33" s="62" t="b">
        <v>0</v>
      </c>
      <c r="R33" s="62" t="b">
        <v>1</v>
      </c>
      <c r="S33" s="85">
        <v>3.0</v>
      </c>
      <c r="T33" s="85">
        <v>3.0</v>
      </c>
      <c r="U33" s="85">
        <v>0.0</v>
      </c>
      <c r="V33" s="85">
        <v>0.0</v>
      </c>
      <c r="W33" s="85">
        <v>0.0</v>
      </c>
      <c r="X33" s="85">
        <v>0.0</v>
      </c>
      <c r="Y33" s="85">
        <v>1.0</v>
      </c>
      <c r="Z33" s="85">
        <v>1.0</v>
      </c>
      <c r="AA33" s="85">
        <v>0.0</v>
      </c>
      <c r="AB33" s="85">
        <v>0.0</v>
      </c>
      <c r="AC33" s="85">
        <v>0.0</v>
      </c>
      <c r="AD33" s="85">
        <v>0.0</v>
      </c>
      <c r="AE33" s="62" t="b">
        <v>0</v>
      </c>
      <c r="AF33" s="62" t="b">
        <v>0</v>
      </c>
      <c r="AG33" s="85">
        <v>4.0</v>
      </c>
      <c r="AH33" s="86">
        <v>1.0</v>
      </c>
      <c r="AI33" s="62" t="b">
        <v>0</v>
      </c>
      <c r="AJ33" s="87" t="s">
        <v>382</v>
      </c>
      <c r="AK33" s="80">
        <f t="shared" si="1"/>
        <v>29</v>
      </c>
      <c r="AL33" s="80">
        <f t="shared" si="2"/>
        <v>29</v>
      </c>
    </row>
    <row r="34">
      <c r="A34" s="84" t="s">
        <v>351</v>
      </c>
      <c r="B34" s="85">
        <v>20.0</v>
      </c>
      <c r="C34" s="85">
        <v>7769.0</v>
      </c>
      <c r="D34" s="85">
        <v>1.0</v>
      </c>
      <c r="E34" s="85">
        <v>1.0</v>
      </c>
      <c r="F34" s="85">
        <v>0.0</v>
      </c>
      <c r="G34" s="85">
        <v>0.0</v>
      </c>
      <c r="H34" s="85">
        <v>0.0</v>
      </c>
      <c r="I34" s="85">
        <v>0.0</v>
      </c>
      <c r="J34" s="85">
        <v>0.0</v>
      </c>
      <c r="K34" s="85">
        <v>0.0</v>
      </c>
      <c r="L34" s="85">
        <v>0.0</v>
      </c>
      <c r="M34" s="85">
        <v>0.0</v>
      </c>
      <c r="N34" s="85">
        <v>0.0</v>
      </c>
      <c r="O34" s="85">
        <v>0.0</v>
      </c>
      <c r="P34" s="62" t="b">
        <v>0</v>
      </c>
      <c r="Q34" s="62" t="b">
        <v>0</v>
      </c>
      <c r="R34" s="62" t="b">
        <v>1</v>
      </c>
      <c r="S34" s="85">
        <v>3.0</v>
      </c>
      <c r="T34" s="85">
        <v>2.0</v>
      </c>
      <c r="U34" s="85">
        <v>1.0</v>
      </c>
      <c r="V34" s="85">
        <v>1.0</v>
      </c>
      <c r="W34" s="85">
        <v>1.0</v>
      </c>
      <c r="X34" s="85">
        <v>1.0</v>
      </c>
      <c r="Y34" s="85">
        <v>0.0</v>
      </c>
      <c r="Z34" s="85">
        <v>0.0</v>
      </c>
      <c r="AA34" s="85">
        <v>0.0</v>
      </c>
      <c r="AB34" s="85">
        <v>0.0</v>
      </c>
      <c r="AC34" s="85">
        <v>0.0</v>
      </c>
      <c r="AD34" s="85">
        <v>0.0</v>
      </c>
      <c r="AE34" s="62" t="b">
        <v>0</v>
      </c>
      <c r="AF34" s="62" t="b">
        <v>0</v>
      </c>
      <c r="AG34" s="85">
        <v>3.0</v>
      </c>
      <c r="AH34" s="85">
        <v>1.0</v>
      </c>
      <c r="AI34" s="62" t="b">
        <v>0</v>
      </c>
      <c r="AJ34" s="87" t="s">
        <v>383</v>
      </c>
      <c r="AK34" s="80">
        <f t="shared" si="1"/>
        <v>24</v>
      </c>
      <c r="AL34" s="80">
        <f t="shared" si="2"/>
        <v>24</v>
      </c>
    </row>
    <row r="35">
      <c r="A35" s="84" t="s">
        <v>375</v>
      </c>
      <c r="B35" s="85">
        <v>28.0</v>
      </c>
      <c r="C35" s="85">
        <v>7769.0</v>
      </c>
      <c r="D35" s="85">
        <v>1.0</v>
      </c>
      <c r="E35" s="85">
        <v>1.0</v>
      </c>
      <c r="F35" s="85">
        <v>0.0</v>
      </c>
      <c r="G35" s="85">
        <v>0.0</v>
      </c>
      <c r="H35" s="85">
        <v>0.0</v>
      </c>
      <c r="I35" s="85">
        <v>0.0</v>
      </c>
      <c r="J35" s="85">
        <v>0.0</v>
      </c>
      <c r="K35" s="85">
        <v>0.0</v>
      </c>
      <c r="L35" s="85">
        <v>0.0</v>
      </c>
      <c r="M35" s="85">
        <v>0.0</v>
      </c>
      <c r="N35" s="85">
        <v>0.0</v>
      </c>
      <c r="O35" s="85">
        <v>0.0</v>
      </c>
      <c r="P35" s="62" t="b">
        <v>0</v>
      </c>
      <c r="Q35" s="62" t="b">
        <v>0</v>
      </c>
      <c r="R35" s="62" t="b">
        <v>0</v>
      </c>
      <c r="S35" s="85">
        <v>2.0</v>
      </c>
      <c r="T35" s="85">
        <v>1.0</v>
      </c>
      <c r="U35" s="85">
        <v>0.0</v>
      </c>
      <c r="V35" s="85">
        <v>0.0</v>
      </c>
      <c r="W35" s="85">
        <v>0.0</v>
      </c>
      <c r="X35" s="85">
        <v>0.0</v>
      </c>
      <c r="Y35" s="85">
        <v>1.0</v>
      </c>
      <c r="Z35" s="85">
        <v>1.0</v>
      </c>
      <c r="AA35" s="85">
        <v>0.0</v>
      </c>
      <c r="AB35" s="85">
        <v>0.0</v>
      </c>
      <c r="AC35" s="85">
        <v>0.0</v>
      </c>
      <c r="AD35" s="85">
        <v>0.0</v>
      </c>
      <c r="AE35" s="62" t="b">
        <v>0</v>
      </c>
      <c r="AF35" s="62" t="b">
        <v>0</v>
      </c>
      <c r="AG35" s="85">
        <v>2.0</v>
      </c>
      <c r="AH35" s="86">
        <v>2.0</v>
      </c>
      <c r="AI35" s="62" t="b">
        <v>0</v>
      </c>
      <c r="AJ35" s="87" t="s">
        <v>384</v>
      </c>
      <c r="AK35" s="80">
        <f t="shared" si="1"/>
        <v>16</v>
      </c>
      <c r="AL35" s="80">
        <f t="shared" si="2"/>
        <v>16</v>
      </c>
    </row>
    <row r="36">
      <c r="A36" s="84" t="s">
        <v>364</v>
      </c>
      <c r="B36" s="85">
        <v>4.0</v>
      </c>
      <c r="C36" s="85">
        <v>7491.0</v>
      </c>
      <c r="D36" s="85">
        <v>0.0</v>
      </c>
      <c r="E36" s="85">
        <v>0.0</v>
      </c>
      <c r="F36" s="85">
        <v>0.0</v>
      </c>
      <c r="G36" s="85">
        <v>0.0</v>
      </c>
      <c r="H36" s="85">
        <v>0.0</v>
      </c>
      <c r="I36" s="85">
        <v>0.0</v>
      </c>
      <c r="J36" s="85">
        <v>0.0</v>
      </c>
      <c r="K36" s="85">
        <v>0.0</v>
      </c>
      <c r="L36" s="85">
        <v>1.0</v>
      </c>
      <c r="M36" s="85">
        <v>1.0</v>
      </c>
      <c r="N36" s="85">
        <v>0.0</v>
      </c>
      <c r="O36" s="85">
        <v>0.0</v>
      </c>
      <c r="P36" s="62" t="b">
        <v>1</v>
      </c>
      <c r="Q36" s="62" t="b">
        <v>1</v>
      </c>
      <c r="R36" s="62" t="b">
        <v>0</v>
      </c>
      <c r="S36" s="85">
        <v>1.0</v>
      </c>
      <c r="T36" s="85">
        <v>0.0</v>
      </c>
      <c r="U36" s="85">
        <v>1.0</v>
      </c>
      <c r="V36" s="85">
        <v>1.0</v>
      </c>
      <c r="W36" s="85">
        <v>0.0</v>
      </c>
      <c r="X36" s="85">
        <v>0.0</v>
      </c>
      <c r="Y36" s="85">
        <v>1.0</v>
      </c>
      <c r="Z36" s="85">
        <v>1.0</v>
      </c>
      <c r="AA36" s="85">
        <v>0.0</v>
      </c>
      <c r="AB36" s="85">
        <v>0.0</v>
      </c>
      <c r="AC36" s="85">
        <v>0.0</v>
      </c>
      <c r="AD36" s="85">
        <v>0.0</v>
      </c>
      <c r="AE36" s="62" t="b">
        <v>1</v>
      </c>
      <c r="AF36" s="62" t="b">
        <v>1</v>
      </c>
      <c r="AG36" s="85">
        <v>3.0</v>
      </c>
      <c r="AH36" s="86">
        <v>2.0</v>
      </c>
      <c r="AI36" s="62" t="b">
        <v>0</v>
      </c>
      <c r="AJ36" s="87" t="s">
        <v>385</v>
      </c>
      <c r="AK36" s="80">
        <f t="shared" si="1"/>
        <v>34</v>
      </c>
      <c r="AL36" s="80">
        <f t="shared" si="2"/>
        <v>12</v>
      </c>
    </row>
    <row r="37">
      <c r="A37" s="84" t="s">
        <v>365</v>
      </c>
      <c r="B37" s="85">
        <v>8.0</v>
      </c>
      <c r="C37" s="85">
        <v>7491.0</v>
      </c>
      <c r="D37" s="85">
        <v>0.0</v>
      </c>
      <c r="E37" s="85">
        <v>0.0</v>
      </c>
      <c r="F37" s="85">
        <v>0.0</v>
      </c>
      <c r="G37" s="85">
        <v>0.0</v>
      </c>
      <c r="H37" s="85">
        <v>0.0</v>
      </c>
      <c r="I37" s="85">
        <v>0.0</v>
      </c>
      <c r="J37" s="85">
        <v>1.0</v>
      </c>
      <c r="K37" s="85">
        <v>1.0</v>
      </c>
      <c r="L37" s="85">
        <v>0.0</v>
      </c>
      <c r="M37" s="85">
        <v>0.0</v>
      </c>
      <c r="N37" s="85">
        <v>0.0</v>
      </c>
      <c r="O37" s="85">
        <v>0.0</v>
      </c>
      <c r="P37" s="62" t="b">
        <v>0</v>
      </c>
      <c r="Q37" s="62" t="b">
        <v>0</v>
      </c>
      <c r="R37" s="62" t="b">
        <v>1</v>
      </c>
      <c r="S37" s="85">
        <v>1.0</v>
      </c>
      <c r="T37" s="85">
        <v>1.0</v>
      </c>
      <c r="U37" s="85">
        <v>0.0</v>
      </c>
      <c r="V37" s="85">
        <v>0.0</v>
      </c>
      <c r="W37" s="85">
        <v>1.0</v>
      </c>
      <c r="X37" s="85">
        <v>1.0</v>
      </c>
      <c r="Y37" s="85">
        <v>0.0</v>
      </c>
      <c r="Z37" s="85">
        <v>0.0</v>
      </c>
      <c r="AA37" s="85">
        <v>0.0</v>
      </c>
      <c r="AB37" s="85">
        <v>0.0</v>
      </c>
      <c r="AC37" s="85">
        <v>0.0</v>
      </c>
      <c r="AD37" s="85">
        <v>0.0</v>
      </c>
      <c r="AE37" s="62" t="b">
        <v>0</v>
      </c>
      <c r="AF37" s="62" t="b">
        <v>0</v>
      </c>
      <c r="AG37" s="85">
        <v>0.0</v>
      </c>
      <c r="AH37" s="86">
        <v>0.0</v>
      </c>
      <c r="AI37" s="62" t="b">
        <v>1</v>
      </c>
      <c r="AJ37" s="84"/>
      <c r="AK37" s="80">
        <f t="shared" si="1"/>
        <v>16</v>
      </c>
      <c r="AL37" s="80">
        <f t="shared" si="2"/>
        <v>16</v>
      </c>
    </row>
    <row r="38">
      <c r="A38" s="84" t="s">
        <v>351</v>
      </c>
      <c r="B38" s="85">
        <v>19.0</v>
      </c>
      <c r="C38" s="85">
        <v>7491.0</v>
      </c>
      <c r="D38" s="85">
        <v>0.0</v>
      </c>
      <c r="E38" s="85">
        <v>0.0</v>
      </c>
      <c r="F38" s="85">
        <v>0.0</v>
      </c>
      <c r="G38" s="85">
        <v>0.0</v>
      </c>
      <c r="H38" s="85">
        <v>0.0</v>
      </c>
      <c r="I38" s="85">
        <v>0.0</v>
      </c>
      <c r="J38" s="85">
        <v>1.0</v>
      </c>
      <c r="K38" s="85">
        <v>1.0</v>
      </c>
      <c r="L38" s="85">
        <v>0.0</v>
      </c>
      <c r="M38" s="85">
        <v>0.0</v>
      </c>
      <c r="N38" s="85">
        <v>0.0</v>
      </c>
      <c r="O38" s="85">
        <v>0.0</v>
      </c>
      <c r="P38" s="62" t="b">
        <v>0</v>
      </c>
      <c r="Q38" s="62" t="b">
        <v>0</v>
      </c>
      <c r="R38" s="62" t="b">
        <v>1</v>
      </c>
      <c r="S38" s="85">
        <v>0.0</v>
      </c>
      <c r="T38" s="85">
        <v>0.0</v>
      </c>
      <c r="U38" s="85">
        <v>0.0</v>
      </c>
      <c r="V38" s="85">
        <v>0.0</v>
      </c>
      <c r="W38" s="85">
        <v>2.0</v>
      </c>
      <c r="X38" s="85">
        <v>2.0</v>
      </c>
      <c r="Y38" s="85">
        <v>0.0</v>
      </c>
      <c r="Z38" s="85">
        <v>0.0</v>
      </c>
      <c r="AA38" s="85">
        <v>0.0</v>
      </c>
      <c r="AB38" s="85">
        <v>0.0</v>
      </c>
      <c r="AC38" s="85">
        <v>0.0</v>
      </c>
      <c r="AD38" s="85">
        <v>0.0</v>
      </c>
      <c r="AE38" s="62" t="b">
        <v>0</v>
      </c>
      <c r="AF38" s="62" t="b">
        <v>0</v>
      </c>
      <c r="AG38" s="85">
        <v>2.0</v>
      </c>
      <c r="AH38" s="85">
        <v>1.0</v>
      </c>
      <c r="AI38" s="62" t="b">
        <v>1</v>
      </c>
      <c r="AJ38" s="87" t="s">
        <v>386</v>
      </c>
      <c r="AK38" s="80">
        <f t="shared" si="1"/>
        <v>13</v>
      </c>
      <c r="AL38" s="80">
        <f t="shared" si="2"/>
        <v>13</v>
      </c>
    </row>
    <row r="39">
      <c r="A39" s="84" t="s">
        <v>365</v>
      </c>
      <c r="B39" s="85">
        <v>24.0</v>
      </c>
      <c r="C39" s="85">
        <v>7491.0</v>
      </c>
      <c r="D39" s="85">
        <v>0.0</v>
      </c>
      <c r="E39" s="85">
        <v>0.0</v>
      </c>
      <c r="F39" s="85">
        <v>0.0</v>
      </c>
      <c r="G39" s="85">
        <v>0.0</v>
      </c>
      <c r="H39" s="85">
        <v>0.0</v>
      </c>
      <c r="I39" s="85">
        <v>0.0</v>
      </c>
      <c r="J39" s="85">
        <v>1.0</v>
      </c>
      <c r="K39" s="85">
        <v>1.0</v>
      </c>
      <c r="L39" s="85">
        <v>0.0</v>
      </c>
      <c r="M39" s="85">
        <v>0.0</v>
      </c>
      <c r="N39" s="85">
        <v>0.0</v>
      </c>
      <c r="O39" s="85">
        <v>0.0</v>
      </c>
      <c r="P39" s="62" t="b">
        <v>0</v>
      </c>
      <c r="Q39" s="62" t="b">
        <v>0</v>
      </c>
      <c r="R39" s="62" t="b">
        <v>1</v>
      </c>
      <c r="S39" s="85">
        <v>1.0</v>
      </c>
      <c r="T39" s="85">
        <v>1.0</v>
      </c>
      <c r="U39" s="85">
        <v>0.0</v>
      </c>
      <c r="V39" s="85">
        <v>0.0</v>
      </c>
      <c r="W39" s="85">
        <v>0.0</v>
      </c>
      <c r="X39" s="85">
        <v>0.0</v>
      </c>
      <c r="Y39" s="85">
        <v>0.0</v>
      </c>
      <c r="Z39" s="85">
        <v>0.0</v>
      </c>
      <c r="AA39" s="85">
        <v>0.0</v>
      </c>
      <c r="AB39" s="85">
        <v>0.0</v>
      </c>
      <c r="AC39" s="85">
        <v>0.0</v>
      </c>
      <c r="AD39" s="85">
        <v>0.0</v>
      </c>
      <c r="AE39" s="62" t="b">
        <v>0</v>
      </c>
      <c r="AF39" s="62" t="b">
        <v>0</v>
      </c>
      <c r="AG39" s="85">
        <v>0.0</v>
      </c>
      <c r="AH39" s="86">
        <v>0.0</v>
      </c>
      <c r="AI39" s="62" t="b">
        <v>0</v>
      </c>
      <c r="AJ39" s="84"/>
      <c r="AK39" s="80">
        <f t="shared" si="1"/>
        <v>14</v>
      </c>
      <c r="AL39" s="80">
        <f t="shared" si="2"/>
        <v>14</v>
      </c>
    </row>
    <row r="40">
      <c r="A40" s="84" t="s">
        <v>377</v>
      </c>
      <c r="B40" s="85">
        <v>32.0</v>
      </c>
      <c r="C40" s="85">
        <v>7491.0</v>
      </c>
      <c r="D40" s="85">
        <v>0.0</v>
      </c>
      <c r="E40" s="85">
        <v>0.0</v>
      </c>
      <c r="F40" s="85">
        <v>0.0</v>
      </c>
      <c r="G40" s="85">
        <v>0.0</v>
      </c>
      <c r="H40" s="85">
        <v>0.0</v>
      </c>
      <c r="I40" s="85">
        <v>0.0</v>
      </c>
      <c r="J40" s="85">
        <v>0.0</v>
      </c>
      <c r="K40" s="85">
        <v>0.0</v>
      </c>
      <c r="L40" s="85">
        <v>0.0</v>
      </c>
      <c r="M40" s="85">
        <v>0.0</v>
      </c>
      <c r="N40" s="85">
        <v>1.0</v>
      </c>
      <c r="O40" s="85">
        <v>1.0</v>
      </c>
      <c r="P40" s="62" t="b">
        <v>0</v>
      </c>
      <c r="Q40" s="62" t="b">
        <v>0</v>
      </c>
      <c r="R40" s="62" t="b">
        <v>1</v>
      </c>
      <c r="S40" s="85">
        <v>2.0</v>
      </c>
      <c r="T40" s="85">
        <v>1.0</v>
      </c>
      <c r="U40" s="85">
        <v>0.0</v>
      </c>
      <c r="V40" s="85">
        <v>0.0</v>
      </c>
      <c r="W40" s="85">
        <v>0.0</v>
      </c>
      <c r="X40" s="85">
        <v>0.0</v>
      </c>
      <c r="Y40" s="85">
        <v>2.0</v>
      </c>
      <c r="Z40" s="85">
        <v>2.0</v>
      </c>
      <c r="AA40" s="85">
        <v>0.0</v>
      </c>
      <c r="AB40" s="85">
        <v>0.0</v>
      </c>
      <c r="AC40" s="85">
        <v>0.0</v>
      </c>
      <c r="AD40" s="85">
        <v>0.0</v>
      </c>
      <c r="AE40" s="62" t="b">
        <v>0</v>
      </c>
      <c r="AF40" s="62" t="b">
        <v>0</v>
      </c>
      <c r="AG40" s="85">
        <v>2.0</v>
      </c>
      <c r="AH40" s="86">
        <v>1.0</v>
      </c>
      <c r="AI40" s="62" t="b">
        <v>0</v>
      </c>
      <c r="AJ40" s="84" t="s">
        <v>387</v>
      </c>
      <c r="AK40" s="80">
        <f t="shared" si="1"/>
        <v>21</v>
      </c>
      <c r="AL40" s="80">
        <f t="shared" si="2"/>
        <v>21</v>
      </c>
    </row>
    <row r="41">
      <c r="A41" s="84" t="s">
        <v>388</v>
      </c>
      <c r="B41" s="85">
        <v>24.0</v>
      </c>
      <c r="C41" s="88">
        <v>7225.0</v>
      </c>
      <c r="D41" s="85">
        <v>0.0</v>
      </c>
      <c r="E41" s="85">
        <v>0.0</v>
      </c>
      <c r="F41" s="85">
        <v>0.0</v>
      </c>
      <c r="G41" s="85">
        <v>0.0</v>
      </c>
      <c r="H41" s="85">
        <v>2.0</v>
      </c>
      <c r="I41" s="85">
        <v>2.0</v>
      </c>
      <c r="J41" s="85">
        <v>0.0</v>
      </c>
      <c r="K41" s="85">
        <v>0.0</v>
      </c>
      <c r="L41" s="85">
        <v>1.0</v>
      </c>
      <c r="M41" s="85">
        <v>1.0</v>
      </c>
      <c r="N41" s="85">
        <v>0.0</v>
      </c>
      <c r="O41" s="85">
        <v>0.0</v>
      </c>
      <c r="P41" s="62" t="b">
        <v>0</v>
      </c>
      <c r="Q41" s="62" t="b">
        <v>0</v>
      </c>
      <c r="R41" s="62" t="b">
        <v>1</v>
      </c>
      <c r="S41" s="85">
        <v>0.0</v>
      </c>
      <c r="T41" s="85">
        <v>0.0</v>
      </c>
      <c r="U41" s="85">
        <v>0.0</v>
      </c>
      <c r="V41" s="85">
        <v>0.0</v>
      </c>
      <c r="W41" s="85">
        <v>1.0</v>
      </c>
      <c r="X41" s="85">
        <v>1.0</v>
      </c>
      <c r="Y41" s="85">
        <v>0.0</v>
      </c>
      <c r="Z41" s="85">
        <v>0.0</v>
      </c>
      <c r="AA41" s="85">
        <v>0.0</v>
      </c>
      <c r="AB41" s="85">
        <v>0.0</v>
      </c>
      <c r="AC41" s="85">
        <v>0.0</v>
      </c>
      <c r="AD41" s="85">
        <v>0.0</v>
      </c>
      <c r="AE41" s="62" t="b">
        <v>0</v>
      </c>
      <c r="AF41" s="62" t="b">
        <v>0</v>
      </c>
      <c r="AG41" s="85">
        <v>3.0</v>
      </c>
      <c r="AH41" s="85">
        <v>3.0</v>
      </c>
      <c r="AI41" s="62" t="b">
        <v>0</v>
      </c>
      <c r="AJ41" s="84"/>
      <c r="AK41" s="80">
        <f t="shared" si="1"/>
        <v>15</v>
      </c>
      <c r="AL41" s="80">
        <f t="shared" si="2"/>
        <v>15</v>
      </c>
    </row>
    <row r="42">
      <c r="A42" s="84" t="s">
        <v>365</v>
      </c>
      <c r="B42" s="85">
        <v>6.0</v>
      </c>
      <c r="C42" s="85">
        <v>7225.0</v>
      </c>
      <c r="D42" s="85">
        <v>0.0</v>
      </c>
      <c r="E42" s="85">
        <v>0.0</v>
      </c>
      <c r="F42" s="85">
        <v>0.0</v>
      </c>
      <c r="G42" s="85">
        <v>0.0</v>
      </c>
      <c r="H42" s="85">
        <v>0.0</v>
      </c>
      <c r="I42" s="85">
        <v>0.0</v>
      </c>
      <c r="J42" s="85">
        <v>1.0</v>
      </c>
      <c r="K42" s="85">
        <v>0.0</v>
      </c>
      <c r="L42" s="85">
        <v>0.0</v>
      </c>
      <c r="M42" s="85">
        <v>0.0</v>
      </c>
      <c r="N42" s="85">
        <v>0.0</v>
      </c>
      <c r="O42" s="85">
        <v>0.0</v>
      </c>
      <c r="P42" s="62" t="b">
        <v>0</v>
      </c>
      <c r="Q42" s="62" t="b">
        <v>0</v>
      </c>
      <c r="R42" s="62" t="b">
        <v>1</v>
      </c>
      <c r="S42" s="85">
        <v>0.0</v>
      </c>
      <c r="T42" s="85">
        <v>0.0</v>
      </c>
      <c r="U42" s="85">
        <v>0.0</v>
      </c>
      <c r="V42" s="85">
        <v>0.0</v>
      </c>
      <c r="W42" s="85">
        <v>0.0</v>
      </c>
      <c r="X42" s="85">
        <v>0.0</v>
      </c>
      <c r="Y42" s="85">
        <v>0.0</v>
      </c>
      <c r="Z42" s="85">
        <v>0.0</v>
      </c>
      <c r="AA42" s="85">
        <v>0.0</v>
      </c>
      <c r="AB42" s="85">
        <v>0.0</v>
      </c>
      <c r="AC42" s="85">
        <v>0.0</v>
      </c>
      <c r="AD42" s="85">
        <v>0.0</v>
      </c>
      <c r="AE42" s="62" t="b">
        <v>0</v>
      </c>
      <c r="AF42" s="62" t="b">
        <v>0</v>
      </c>
      <c r="AG42" s="85">
        <v>1.0</v>
      </c>
      <c r="AH42" s="86">
        <v>1.0</v>
      </c>
      <c r="AI42" s="62" t="b">
        <v>1</v>
      </c>
      <c r="AJ42" s="84"/>
      <c r="AK42" s="80">
        <f t="shared" si="1"/>
        <v>3</v>
      </c>
      <c r="AL42" s="80">
        <f t="shared" si="2"/>
        <v>3</v>
      </c>
    </row>
    <row r="43">
      <c r="A43" s="84" t="s">
        <v>377</v>
      </c>
      <c r="B43" s="85">
        <v>10.0</v>
      </c>
      <c r="C43" s="85">
        <v>7225.0</v>
      </c>
      <c r="D43" s="85">
        <v>0.0</v>
      </c>
      <c r="E43" s="85">
        <v>0.0</v>
      </c>
      <c r="F43" s="85">
        <v>0.0</v>
      </c>
      <c r="G43" s="85">
        <v>0.0</v>
      </c>
      <c r="H43" s="85">
        <v>0.0</v>
      </c>
      <c r="I43" s="85">
        <v>0.0</v>
      </c>
      <c r="J43" s="85">
        <v>1.0</v>
      </c>
      <c r="K43" s="85">
        <v>0.0</v>
      </c>
      <c r="L43" s="85">
        <v>0.0</v>
      </c>
      <c r="M43" s="85">
        <v>0.0</v>
      </c>
      <c r="N43" s="85">
        <v>0.0</v>
      </c>
      <c r="O43" s="85">
        <v>0.0</v>
      </c>
      <c r="P43" s="62" t="b">
        <v>0</v>
      </c>
      <c r="Q43" s="62" t="b">
        <v>0</v>
      </c>
      <c r="R43" s="62" t="b">
        <v>0</v>
      </c>
      <c r="S43" s="85">
        <v>0.0</v>
      </c>
      <c r="T43" s="85">
        <v>0.0</v>
      </c>
      <c r="U43" s="85">
        <v>1.0</v>
      </c>
      <c r="V43" s="85">
        <v>1.0</v>
      </c>
      <c r="W43" s="85">
        <v>0.0</v>
      </c>
      <c r="X43" s="85">
        <v>0.0</v>
      </c>
      <c r="Y43" s="85">
        <v>0.0</v>
      </c>
      <c r="Z43" s="85">
        <v>0.0</v>
      </c>
      <c r="AA43" s="85">
        <v>1.0</v>
      </c>
      <c r="AB43" s="85">
        <v>1.0</v>
      </c>
      <c r="AC43" s="85">
        <v>0.0</v>
      </c>
      <c r="AD43" s="85">
        <v>0.0</v>
      </c>
      <c r="AE43" s="62" t="b">
        <v>0</v>
      </c>
      <c r="AF43" s="62" t="b">
        <v>0</v>
      </c>
      <c r="AG43" s="85">
        <v>0.0</v>
      </c>
      <c r="AH43" s="86">
        <v>1.0</v>
      </c>
      <c r="AI43" s="62" t="b">
        <v>0</v>
      </c>
      <c r="AJ43" s="87" t="s">
        <v>389</v>
      </c>
      <c r="AK43" s="80">
        <f t="shared" si="1"/>
        <v>6</v>
      </c>
      <c r="AL43" s="80">
        <f t="shared" si="2"/>
        <v>6</v>
      </c>
    </row>
    <row r="44">
      <c r="A44" s="84" t="s">
        <v>364</v>
      </c>
      <c r="B44" s="85">
        <v>14.0</v>
      </c>
      <c r="C44" s="85">
        <v>7225.0</v>
      </c>
      <c r="D44" s="85">
        <v>0.0</v>
      </c>
      <c r="E44" s="85">
        <v>0.0</v>
      </c>
      <c r="F44" s="85">
        <v>0.0</v>
      </c>
      <c r="G44" s="85">
        <v>0.0</v>
      </c>
      <c r="H44" s="85">
        <v>0.0</v>
      </c>
      <c r="I44" s="85">
        <v>0.0</v>
      </c>
      <c r="J44" s="85">
        <v>1.0</v>
      </c>
      <c r="K44" s="85">
        <v>0.0</v>
      </c>
      <c r="L44" s="85">
        <v>0.0</v>
      </c>
      <c r="M44" s="85">
        <v>0.0</v>
      </c>
      <c r="N44" s="85">
        <v>0.0</v>
      </c>
      <c r="O44" s="85">
        <v>0.0</v>
      </c>
      <c r="P44" s="62" t="b">
        <v>0</v>
      </c>
      <c r="Q44" s="62" t="b">
        <v>0</v>
      </c>
      <c r="R44" s="62" t="b">
        <v>0</v>
      </c>
      <c r="S44" s="85">
        <v>1.0</v>
      </c>
      <c r="T44" s="85">
        <v>0.0</v>
      </c>
      <c r="U44" s="85">
        <v>1.0</v>
      </c>
      <c r="V44" s="85">
        <v>0.0</v>
      </c>
      <c r="W44" s="85">
        <v>0.0</v>
      </c>
      <c r="X44" s="85">
        <v>0.0</v>
      </c>
      <c r="Y44" s="85">
        <v>0.0</v>
      </c>
      <c r="Z44" s="85">
        <v>0.0</v>
      </c>
      <c r="AA44" s="85">
        <v>1.0</v>
      </c>
      <c r="AB44" s="85">
        <v>1.0</v>
      </c>
      <c r="AC44" s="85">
        <v>0.0</v>
      </c>
      <c r="AD44" s="85">
        <v>0.0</v>
      </c>
      <c r="AE44" s="62" t="b">
        <v>0</v>
      </c>
      <c r="AF44" s="62" t="b">
        <v>0</v>
      </c>
      <c r="AG44" s="85">
        <v>1.0</v>
      </c>
      <c r="AH44" s="85">
        <v>1.0</v>
      </c>
      <c r="AI44" s="62" t="b">
        <v>0</v>
      </c>
      <c r="AJ44" s="84" t="s">
        <v>390</v>
      </c>
      <c r="AK44" s="80">
        <f t="shared" si="1"/>
        <v>3</v>
      </c>
      <c r="AL44" s="80">
        <f t="shared" si="2"/>
        <v>3</v>
      </c>
    </row>
    <row r="45">
      <c r="A45" s="84" t="s">
        <v>391</v>
      </c>
      <c r="B45" s="85">
        <v>28.0</v>
      </c>
      <c r="C45" s="85">
        <v>7225.0</v>
      </c>
      <c r="D45" s="85">
        <v>0.0</v>
      </c>
      <c r="E45" s="85">
        <v>0.0</v>
      </c>
      <c r="F45" s="85">
        <v>0.0</v>
      </c>
      <c r="G45" s="85">
        <v>0.0</v>
      </c>
      <c r="H45" s="85">
        <v>0.0</v>
      </c>
      <c r="I45" s="85">
        <v>0.0</v>
      </c>
      <c r="J45" s="85">
        <v>0.0</v>
      </c>
      <c r="K45" s="85">
        <v>0.0</v>
      </c>
      <c r="L45" s="85">
        <v>0.0</v>
      </c>
      <c r="M45" s="85">
        <v>0.0</v>
      </c>
      <c r="N45" s="85">
        <v>0.0</v>
      </c>
      <c r="O45" s="85">
        <v>0.0</v>
      </c>
      <c r="P45" s="62" t="b">
        <v>0</v>
      </c>
      <c r="Q45" s="62" t="b">
        <v>0</v>
      </c>
      <c r="R45" s="62" t="b">
        <v>1</v>
      </c>
      <c r="S45" s="85">
        <v>0.0</v>
      </c>
      <c r="T45" s="85">
        <v>0.0</v>
      </c>
      <c r="U45" s="85">
        <v>0.0</v>
      </c>
      <c r="V45" s="85">
        <v>0.0</v>
      </c>
      <c r="W45" s="85">
        <v>0.0</v>
      </c>
      <c r="X45" s="85">
        <v>0.0</v>
      </c>
      <c r="Y45" s="85">
        <v>0.0</v>
      </c>
      <c r="Z45" s="85">
        <v>0.0</v>
      </c>
      <c r="AA45" s="85">
        <v>0.0</v>
      </c>
      <c r="AB45" s="85">
        <v>0.0</v>
      </c>
      <c r="AC45" s="85">
        <v>0.0</v>
      </c>
      <c r="AD45" s="85">
        <v>0.0</v>
      </c>
      <c r="AE45" s="62" t="b">
        <v>0</v>
      </c>
      <c r="AF45" s="62" t="b">
        <v>0</v>
      </c>
      <c r="AG45" s="85">
        <v>0.0</v>
      </c>
      <c r="AH45" s="86">
        <v>4.0</v>
      </c>
      <c r="AI45" s="62" t="b">
        <v>0</v>
      </c>
      <c r="AJ45" s="84"/>
      <c r="AK45" s="80">
        <f t="shared" si="1"/>
        <v>3</v>
      </c>
      <c r="AL45" s="80">
        <f t="shared" si="2"/>
        <v>3</v>
      </c>
    </row>
    <row r="46">
      <c r="A46" s="84" t="s">
        <v>391</v>
      </c>
      <c r="B46" s="85">
        <v>33.0</v>
      </c>
      <c r="C46" s="85">
        <v>7225.0</v>
      </c>
      <c r="D46" s="85">
        <v>0.0</v>
      </c>
      <c r="E46" s="85">
        <v>0.0</v>
      </c>
      <c r="F46" s="85">
        <v>0.0</v>
      </c>
      <c r="G46" s="85">
        <v>0.0</v>
      </c>
      <c r="H46" s="85">
        <v>0.0</v>
      </c>
      <c r="I46" s="85">
        <v>0.0</v>
      </c>
      <c r="J46" s="85">
        <v>0.0</v>
      </c>
      <c r="K46" s="85">
        <v>0.0</v>
      </c>
      <c r="L46" s="85">
        <v>0.0</v>
      </c>
      <c r="M46" s="85">
        <v>0.0</v>
      </c>
      <c r="N46" s="85">
        <v>0.0</v>
      </c>
      <c r="O46" s="85">
        <v>0.0</v>
      </c>
      <c r="P46" s="62" t="b">
        <v>0</v>
      </c>
      <c r="Q46" s="62" t="b">
        <v>0</v>
      </c>
      <c r="R46" s="62" t="b">
        <v>1</v>
      </c>
      <c r="S46" s="85">
        <v>0.0</v>
      </c>
      <c r="T46" s="85">
        <v>0.0</v>
      </c>
      <c r="U46" s="85">
        <v>0.0</v>
      </c>
      <c r="V46" s="85">
        <v>0.0</v>
      </c>
      <c r="W46" s="85">
        <v>1.0</v>
      </c>
      <c r="X46" s="85">
        <v>1.0</v>
      </c>
      <c r="Y46" s="85">
        <v>0.0</v>
      </c>
      <c r="Z46" s="85">
        <v>0.0</v>
      </c>
      <c r="AA46" s="85">
        <v>0.0</v>
      </c>
      <c r="AB46" s="85">
        <v>0.0</v>
      </c>
      <c r="AC46" s="85">
        <v>0.0</v>
      </c>
      <c r="AD46" s="85">
        <v>0.0</v>
      </c>
      <c r="AE46" s="62" t="b">
        <v>0</v>
      </c>
      <c r="AF46" s="62" t="b">
        <v>0</v>
      </c>
      <c r="AG46" s="85">
        <v>3.0</v>
      </c>
      <c r="AH46" s="85">
        <v>0.0</v>
      </c>
      <c r="AI46" s="62" t="b">
        <v>0</v>
      </c>
      <c r="AJ46" s="84"/>
      <c r="AK46" s="80">
        <f t="shared" si="1"/>
        <v>5</v>
      </c>
      <c r="AL46" s="80">
        <f t="shared" si="2"/>
        <v>5</v>
      </c>
    </row>
    <row r="47">
      <c r="A47" s="84" t="s">
        <v>365</v>
      </c>
      <c r="B47" s="85">
        <v>2.0</v>
      </c>
      <c r="C47" s="85">
        <v>7211.0</v>
      </c>
      <c r="D47" s="85">
        <v>1.0</v>
      </c>
      <c r="E47" s="85">
        <v>1.0</v>
      </c>
      <c r="F47" s="85">
        <v>0.0</v>
      </c>
      <c r="G47" s="85">
        <v>0.0</v>
      </c>
      <c r="H47" s="85">
        <v>0.0</v>
      </c>
      <c r="I47" s="85">
        <v>0.0</v>
      </c>
      <c r="J47" s="85">
        <v>2.0</v>
      </c>
      <c r="K47" s="85">
        <v>0.0</v>
      </c>
      <c r="L47" s="85">
        <v>0.0</v>
      </c>
      <c r="M47" s="85">
        <v>0.0</v>
      </c>
      <c r="N47" s="85">
        <v>0.0</v>
      </c>
      <c r="O47" s="85">
        <v>0.0</v>
      </c>
      <c r="P47" s="62" t="b">
        <v>0</v>
      </c>
      <c r="Q47" s="62" t="b">
        <v>0</v>
      </c>
      <c r="R47" s="62" t="b">
        <v>1</v>
      </c>
      <c r="S47" s="85">
        <v>2.0</v>
      </c>
      <c r="T47" s="85">
        <v>2.0</v>
      </c>
      <c r="U47" s="85">
        <v>1.0</v>
      </c>
      <c r="V47" s="85">
        <v>1.0</v>
      </c>
      <c r="W47" s="85">
        <v>0.0</v>
      </c>
      <c r="X47" s="85">
        <v>0.0</v>
      </c>
      <c r="Y47" s="85">
        <v>1.0</v>
      </c>
      <c r="Z47" s="85">
        <v>1.0</v>
      </c>
      <c r="AA47" s="85">
        <v>0.0</v>
      </c>
      <c r="AB47" s="85">
        <v>0.0</v>
      </c>
      <c r="AC47" s="85">
        <v>0.0</v>
      </c>
      <c r="AD47" s="85">
        <v>0.0</v>
      </c>
      <c r="AE47" s="62" t="b">
        <v>0</v>
      </c>
      <c r="AF47" s="62" t="b">
        <v>0</v>
      </c>
      <c r="AG47" s="85">
        <v>3.0</v>
      </c>
      <c r="AH47" s="86">
        <v>0.0</v>
      </c>
      <c r="AI47" s="62" t="b">
        <v>0</v>
      </c>
      <c r="AJ47" s="87" t="s">
        <v>392</v>
      </c>
      <c r="AK47" s="80">
        <f t="shared" si="1"/>
        <v>27</v>
      </c>
      <c r="AL47" s="80">
        <f t="shared" si="2"/>
        <v>27</v>
      </c>
    </row>
    <row r="48">
      <c r="A48" s="84" t="s">
        <v>372</v>
      </c>
      <c r="B48" s="85">
        <v>7.0</v>
      </c>
      <c r="C48" s="85">
        <v>7211.0</v>
      </c>
      <c r="D48" s="85">
        <v>0.0</v>
      </c>
      <c r="E48" s="85">
        <v>0.0</v>
      </c>
      <c r="F48" s="85">
        <v>0.0</v>
      </c>
      <c r="G48" s="85">
        <v>0.0</v>
      </c>
      <c r="H48" s="85">
        <v>0.0</v>
      </c>
      <c r="I48" s="85">
        <v>0.0</v>
      </c>
      <c r="J48" s="85">
        <v>1.0</v>
      </c>
      <c r="K48" s="85">
        <v>1.0</v>
      </c>
      <c r="L48" s="85">
        <v>0.0</v>
      </c>
      <c r="M48" s="85">
        <v>0.0</v>
      </c>
      <c r="N48" s="85">
        <v>0.0</v>
      </c>
      <c r="O48" s="85">
        <v>0.0</v>
      </c>
      <c r="P48" s="62" t="b">
        <v>0</v>
      </c>
      <c r="Q48" s="62" t="b">
        <v>0</v>
      </c>
      <c r="R48" s="62" t="b">
        <v>0</v>
      </c>
      <c r="S48" s="85">
        <v>2.0</v>
      </c>
      <c r="T48" s="85">
        <v>2.0</v>
      </c>
      <c r="U48" s="85">
        <v>2.0</v>
      </c>
      <c r="V48" s="85">
        <v>2.0</v>
      </c>
      <c r="W48" s="85">
        <v>0.0</v>
      </c>
      <c r="X48" s="85">
        <v>0.0</v>
      </c>
      <c r="Y48" s="85">
        <v>1.0</v>
      </c>
      <c r="Z48" s="85">
        <v>1.0</v>
      </c>
      <c r="AA48" s="85">
        <v>0.0</v>
      </c>
      <c r="AB48" s="85">
        <v>0.0</v>
      </c>
      <c r="AC48" s="85">
        <v>0.0</v>
      </c>
      <c r="AD48" s="85">
        <v>0.0</v>
      </c>
      <c r="AE48" s="62" t="b">
        <v>0</v>
      </c>
      <c r="AF48" s="62" t="b">
        <v>0</v>
      </c>
      <c r="AG48" s="85">
        <v>3.0</v>
      </c>
      <c r="AH48" s="86">
        <v>2.0</v>
      </c>
      <c r="AI48" s="62" t="b">
        <v>0</v>
      </c>
      <c r="AJ48" s="84"/>
      <c r="AK48" s="80">
        <f t="shared" si="1"/>
        <v>27</v>
      </c>
      <c r="AL48" s="80">
        <f t="shared" si="2"/>
        <v>27</v>
      </c>
    </row>
    <row r="49">
      <c r="A49" s="84" t="s">
        <v>379</v>
      </c>
      <c r="B49" s="85">
        <v>15.0</v>
      </c>
      <c r="C49" s="85">
        <v>7211.0</v>
      </c>
      <c r="D49" s="85">
        <v>0.0</v>
      </c>
      <c r="E49" s="85">
        <v>0.0</v>
      </c>
      <c r="F49" s="85">
        <v>1.0</v>
      </c>
      <c r="G49" s="85">
        <v>1.0</v>
      </c>
      <c r="H49" s="85">
        <v>0.0</v>
      </c>
      <c r="I49" s="85">
        <v>0.0</v>
      </c>
      <c r="J49" s="85">
        <v>0.0</v>
      </c>
      <c r="K49" s="85">
        <v>0.0</v>
      </c>
      <c r="L49" s="85">
        <v>0.0</v>
      </c>
      <c r="M49" s="85">
        <v>0.0</v>
      </c>
      <c r="N49" s="85">
        <v>0.0</v>
      </c>
      <c r="O49" s="85">
        <v>0.0</v>
      </c>
      <c r="P49" s="62" t="b">
        <v>0</v>
      </c>
      <c r="Q49" s="62" t="b">
        <v>0</v>
      </c>
      <c r="R49" s="62" t="b">
        <v>1</v>
      </c>
      <c r="S49" s="85">
        <v>0.0</v>
      </c>
      <c r="T49" s="85">
        <v>0.0</v>
      </c>
      <c r="U49" s="85">
        <v>5.0</v>
      </c>
      <c r="V49" s="85">
        <v>4.0</v>
      </c>
      <c r="W49" s="85">
        <v>0.0</v>
      </c>
      <c r="X49" s="85">
        <v>0.0</v>
      </c>
      <c r="Y49" s="85">
        <v>0.0</v>
      </c>
      <c r="Z49" s="85">
        <v>0.0</v>
      </c>
      <c r="AA49" s="85">
        <v>0.0</v>
      </c>
      <c r="AB49" s="85">
        <v>0.0</v>
      </c>
      <c r="AC49" s="85">
        <v>0.0</v>
      </c>
      <c r="AD49" s="85">
        <v>0.0</v>
      </c>
      <c r="AE49" s="62" t="b">
        <v>0</v>
      </c>
      <c r="AF49" s="62" t="b">
        <v>0</v>
      </c>
      <c r="AG49" s="85">
        <v>4.0</v>
      </c>
      <c r="AH49" s="86">
        <v>2.0</v>
      </c>
      <c r="AI49" s="62" t="b">
        <v>0</v>
      </c>
      <c r="AJ49" s="84"/>
      <c r="AK49" s="80">
        <f t="shared" si="1"/>
        <v>19</v>
      </c>
      <c r="AL49" s="80">
        <f t="shared" si="2"/>
        <v>19</v>
      </c>
    </row>
    <row r="50">
      <c r="A50" s="84" t="s">
        <v>393</v>
      </c>
      <c r="B50" s="85">
        <v>25.0</v>
      </c>
      <c r="C50" s="85">
        <v>7211.0</v>
      </c>
      <c r="D50" s="85">
        <v>0.0</v>
      </c>
      <c r="E50" s="85">
        <v>0.0</v>
      </c>
      <c r="F50" s="85">
        <v>0.0</v>
      </c>
      <c r="G50" s="85">
        <v>0.0</v>
      </c>
      <c r="H50" s="85">
        <v>0.0</v>
      </c>
      <c r="I50" s="85">
        <v>0.0</v>
      </c>
      <c r="J50" s="85">
        <v>1.0</v>
      </c>
      <c r="K50" s="85">
        <v>1.0</v>
      </c>
      <c r="L50" s="85">
        <v>0.0</v>
      </c>
      <c r="M50" s="85">
        <v>0.0</v>
      </c>
      <c r="N50" s="85">
        <v>0.0</v>
      </c>
      <c r="O50" s="85">
        <v>0.0</v>
      </c>
      <c r="P50" s="62" t="b">
        <v>0</v>
      </c>
      <c r="Q50" s="62" t="b">
        <v>0</v>
      </c>
      <c r="R50" s="62" t="b">
        <v>1</v>
      </c>
      <c r="S50" s="85">
        <v>3.0</v>
      </c>
      <c r="T50" s="85">
        <v>3.0</v>
      </c>
      <c r="U50" s="85">
        <v>2.0</v>
      </c>
      <c r="V50" s="85">
        <v>2.0</v>
      </c>
      <c r="W50" s="85">
        <v>0.0</v>
      </c>
      <c r="X50" s="85">
        <v>0.0</v>
      </c>
      <c r="Y50" s="85">
        <v>0.0</v>
      </c>
      <c r="Z50" s="85">
        <v>0.0</v>
      </c>
      <c r="AA50" s="85">
        <v>0.0</v>
      </c>
      <c r="AB50" s="85">
        <v>0.0</v>
      </c>
      <c r="AC50" s="85">
        <v>0.0</v>
      </c>
      <c r="AD50" s="85">
        <v>0.0</v>
      </c>
      <c r="AE50" s="62" t="b">
        <v>0</v>
      </c>
      <c r="AF50" s="62" t="b">
        <v>0</v>
      </c>
      <c r="AG50" s="85">
        <v>4.0</v>
      </c>
      <c r="AH50" s="86">
        <v>1.0</v>
      </c>
      <c r="AI50" s="62" t="b">
        <v>0</v>
      </c>
      <c r="AJ50" s="84"/>
      <c r="AK50" s="80">
        <f t="shared" si="1"/>
        <v>30</v>
      </c>
      <c r="AL50" s="80">
        <f t="shared" si="2"/>
        <v>30</v>
      </c>
    </row>
    <row r="51">
      <c r="A51" s="84" t="s">
        <v>394</v>
      </c>
      <c r="B51" s="85">
        <v>2.0</v>
      </c>
      <c r="C51" s="85">
        <v>7056.0</v>
      </c>
      <c r="D51" s="85">
        <v>1.0</v>
      </c>
      <c r="E51" s="85">
        <v>0.0</v>
      </c>
      <c r="F51" s="85">
        <v>0.0</v>
      </c>
      <c r="G51" s="85">
        <v>0.0</v>
      </c>
      <c r="H51" s="85">
        <v>0.0</v>
      </c>
      <c r="I51" s="85">
        <v>0.0</v>
      </c>
      <c r="J51" s="85">
        <v>0.0</v>
      </c>
      <c r="K51" s="85">
        <v>0.0</v>
      </c>
      <c r="L51" s="85">
        <v>0.0</v>
      </c>
      <c r="M51" s="85">
        <v>0.0</v>
      </c>
      <c r="N51" s="85">
        <v>0.0</v>
      </c>
      <c r="O51" s="85">
        <v>0.0</v>
      </c>
      <c r="P51" s="62" t="b">
        <v>1</v>
      </c>
      <c r="Q51" s="62" t="b">
        <v>1</v>
      </c>
      <c r="R51" s="62" t="b">
        <v>1</v>
      </c>
      <c r="S51" s="85">
        <v>3.0</v>
      </c>
      <c r="T51" s="85">
        <v>2.0</v>
      </c>
      <c r="U51" s="85">
        <v>0.0</v>
      </c>
      <c r="V51" s="85">
        <v>0.0</v>
      </c>
      <c r="W51" s="85">
        <v>0.0</v>
      </c>
      <c r="X51" s="85">
        <v>0.0</v>
      </c>
      <c r="Y51" s="85">
        <v>0.0</v>
      </c>
      <c r="Z51" s="85">
        <v>0.0</v>
      </c>
      <c r="AA51" s="85">
        <v>0.0</v>
      </c>
      <c r="AB51" s="85">
        <v>0.0</v>
      </c>
      <c r="AC51" s="85">
        <v>0.0</v>
      </c>
      <c r="AD51" s="85">
        <v>0.0</v>
      </c>
      <c r="AE51" s="62" t="b">
        <v>1</v>
      </c>
      <c r="AF51" s="62" t="b">
        <v>1</v>
      </c>
      <c r="AG51" s="85">
        <v>3.0</v>
      </c>
      <c r="AH51" s="86">
        <v>1.0</v>
      </c>
      <c r="AI51" s="62" t="b">
        <v>0</v>
      </c>
      <c r="AJ51" s="87" t="s">
        <v>395</v>
      </c>
      <c r="AK51" s="80">
        <f t="shared" si="1"/>
        <v>35</v>
      </c>
      <c r="AL51" s="80">
        <f t="shared" si="2"/>
        <v>13</v>
      </c>
    </row>
    <row r="52">
      <c r="A52" s="84" t="s">
        <v>102</v>
      </c>
      <c r="B52" s="85">
        <v>10.0</v>
      </c>
      <c r="C52" s="85">
        <v>7056.0</v>
      </c>
      <c r="D52" s="85">
        <v>1.0</v>
      </c>
      <c r="E52" s="85">
        <v>1.0</v>
      </c>
      <c r="F52" s="85">
        <v>0.0</v>
      </c>
      <c r="G52" s="85">
        <v>0.0</v>
      </c>
      <c r="H52" s="85">
        <v>0.0</v>
      </c>
      <c r="I52" s="85">
        <v>0.0</v>
      </c>
      <c r="J52" s="85">
        <v>0.0</v>
      </c>
      <c r="K52" s="85">
        <v>0.0</v>
      </c>
      <c r="L52" s="85">
        <v>0.0</v>
      </c>
      <c r="M52" s="85">
        <v>0.0</v>
      </c>
      <c r="N52" s="85">
        <v>0.0</v>
      </c>
      <c r="O52" s="85">
        <v>0.0</v>
      </c>
      <c r="P52" s="62" t="b">
        <v>0</v>
      </c>
      <c r="Q52" s="62" t="b">
        <v>1</v>
      </c>
      <c r="R52" s="62" t="b">
        <v>1</v>
      </c>
      <c r="S52" s="85">
        <v>2.0</v>
      </c>
      <c r="T52" s="85">
        <v>2.0</v>
      </c>
      <c r="U52" s="85">
        <v>0.0</v>
      </c>
      <c r="V52" s="85">
        <v>0.0</v>
      </c>
      <c r="W52" s="85">
        <v>0.0</v>
      </c>
      <c r="X52" s="85">
        <v>0.0</v>
      </c>
      <c r="Y52" s="85">
        <v>2.0</v>
      </c>
      <c r="Z52" s="85">
        <v>2.0</v>
      </c>
      <c r="AA52" s="85">
        <v>0.0</v>
      </c>
      <c r="AB52" s="85">
        <v>0.0</v>
      </c>
      <c r="AC52" s="85">
        <v>0.0</v>
      </c>
      <c r="AD52" s="85">
        <v>0.0</v>
      </c>
      <c r="AE52" s="62" t="b">
        <v>0</v>
      </c>
      <c r="AF52" s="62" t="b">
        <v>1</v>
      </c>
      <c r="AG52" s="85">
        <v>3.0</v>
      </c>
      <c r="AH52" s="85">
        <v>1.0</v>
      </c>
      <c r="AI52" s="62" t="b">
        <v>0</v>
      </c>
      <c r="AJ52" s="84"/>
      <c r="AK52" s="80">
        <f t="shared" si="1"/>
        <v>29</v>
      </c>
      <c r="AL52" s="80">
        <f t="shared" si="2"/>
        <v>29</v>
      </c>
    </row>
    <row r="53">
      <c r="A53" s="84" t="s">
        <v>351</v>
      </c>
      <c r="B53" s="85">
        <v>17.0</v>
      </c>
      <c r="C53" s="85">
        <v>7056.0</v>
      </c>
      <c r="D53" s="85">
        <v>1.0</v>
      </c>
      <c r="E53" s="85">
        <v>1.0</v>
      </c>
      <c r="F53" s="85">
        <v>0.0</v>
      </c>
      <c r="G53" s="85">
        <v>0.0</v>
      </c>
      <c r="H53" s="85">
        <v>0.0</v>
      </c>
      <c r="I53" s="85">
        <v>0.0</v>
      </c>
      <c r="J53" s="85">
        <v>0.0</v>
      </c>
      <c r="K53" s="85">
        <v>0.0</v>
      </c>
      <c r="L53" s="85">
        <v>0.0</v>
      </c>
      <c r="M53" s="85">
        <v>0.0</v>
      </c>
      <c r="N53" s="85">
        <v>0.0</v>
      </c>
      <c r="O53" s="85">
        <v>0.0</v>
      </c>
      <c r="P53" s="62" t="b">
        <v>1</v>
      </c>
      <c r="Q53" s="62" t="b">
        <v>1</v>
      </c>
      <c r="R53" s="62" t="b">
        <v>1</v>
      </c>
      <c r="S53" s="85">
        <v>0.0</v>
      </c>
      <c r="T53" s="85">
        <v>0.0</v>
      </c>
      <c r="U53" s="85">
        <v>0.0</v>
      </c>
      <c r="V53" s="85">
        <v>0.0</v>
      </c>
      <c r="W53" s="85">
        <v>0.0</v>
      </c>
      <c r="X53" s="85">
        <v>0.0</v>
      </c>
      <c r="Y53" s="85">
        <v>0.0</v>
      </c>
      <c r="Z53" s="85">
        <v>0.0</v>
      </c>
      <c r="AA53" s="85">
        <v>0.0</v>
      </c>
      <c r="AB53" s="85">
        <v>0.0</v>
      </c>
      <c r="AC53" s="85">
        <v>0.0</v>
      </c>
      <c r="AD53" s="85">
        <v>0.0</v>
      </c>
      <c r="AE53" s="62" t="b">
        <v>1</v>
      </c>
      <c r="AF53" s="62" t="b">
        <v>1</v>
      </c>
      <c r="AG53" s="85">
        <v>2.0</v>
      </c>
      <c r="AH53" s="86">
        <v>0.0</v>
      </c>
      <c r="AI53" s="62" t="b">
        <v>0</v>
      </c>
      <c r="AJ53" s="87" t="s">
        <v>396</v>
      </c>
      <c r="AK53" s="80">
        <f t="shared" si="1"/>
        <v>31</v>
      </c>
      <c r="AL53" s="80">
        <f t="shared" si="2"/>
        <v>9</v>
      </c>
    </row>
    <row r="54">
      <c r="A54" s="84" t="s">
        <v>365</v>
      </c>
      <c r="B54" s="85">
        <v>21.0</v>
      </c>
      <c r="C54" s="85">
        <v>7056.0</v>
      </c>
      <c r="D54" s="85">
        <v>0.0</v>
      </c>
      <c r="E54" s="85">
        <v>0.0</v>
      </c>
      <c r="F54" s="85">
        <v>0.0</v>
      </c>
      <c r="G54" s="85">
        <v>0.0</v>
      </c>
      <c r="H54" s="85">
        <v>1.0</v>
      </c>
      <c r="I54" s="85">
        <v>1.0</v>
      </c>
      <c r="J54" s="85">
        <v>0.0</v>
      </c>
      <c r="K54" s="85">
        <v>0.0</v>
      </c>
      <c r="L54" s="85">
        <v>0.0</v>
      </c>
      <c r="M54" s="85">
        <v>0.0</v>
      </c>
      <c r="N54" s="85">
        <v>0.0</v>
      </c>
      <c r="O54" s="85">
        <v>0.0</v>
      </c>
      <c r="P54" s="62" t="b">
        <v>1</v>
      </c>
      <c r="Q54" s="62" t="b">
        <v>1</v>
      </c>
      <c r="R54" s="62" t="b">
        <v>1</v>
      </c>
      <c r="S54" s="85">
        <v>0.0</v>
      </c>
      <c r="T54" s="85">
        <v>0.0</v>
      </c>
      <c r="U54" s="85">
        <v>1.0</v>
      </c>
      <c r="V54" s="85">
        <v>1.0</v>
      </c>
      <c r="W54" s="85">
        <v>0.0</v>
      </c>
      <c r="X54" s="85">
        <v>0.0</v>
      </c>
      <c r="Y54" s="85">
        <v>0.0</v>
      </c>
      <c r="Z54" s="85">
        <v>0.0</v>
      </c>
      <c r="AA54" s="85">
        <v>0.0</v>
      </c>
      <c r="AB54" s="85">
        <v>0.0</v>
      </c>
      <c r="AC54" s="85">
        <v>1.0</v>
      </c>
      <c r="AD54" s="85">
        <v>1.0</v>
      </c>
      <c r="AE54" s="62" t="b">
        <v>1</v>
      </c>
      <c r="AF54" s="62" t="b">
        <v>1</v>
      </c>
      <c r="AG54" s="85">
        <v>2.0</v>
      </c>
      <c r="AH54" s="86">
        <v>1.0</v>
      </c>
      <c r="AI54" s="62" t="b">
        <v>0</v>
      </c>
      <c r="AJ54" s="84"/>
      <c r="AK54" s="80">
        <f t="shared" si="1"/>
        <v>33</v>
      </c>
      <c r="AL54" s="80">
        <f t="shared" si="2"/>
        <v>11</v>
      </c>
    </row>
    <row r="55">
      <c r="A55" s="84" t="s">
        <v>150</v>
      </c>
      <c r="B55" s="85">
        <v>31.0</v>
      </c>
      <c r="C55" s="85">
        <v>7056.0</v>
      </c>
      <c r="D55" s="85">
        <v>1.0</v>
      </c>
      <c r="E55" s="85">
        <v>0.0</v>
      </c>
      <c r="F55" s="85">
        <v>0.0</v>
      </c>
      <c r="G55" s="85">
        <v>0.0</v>
      </c>
      <c r="H55" s="85">
        <v>0.0</v>
      </c>
      <c r="I55" s="85">
        <v>0.0</v>
      </c>
      <c r="J55" s="85">
        <v>0.0</v>
      </c>
      <c r="K55" s="85">
        <v>0.0</v>
      </c>
      <c r="L55" s="85">
        <v>0.0</v>
      </c>
      <c r="M55" s="85">
        <v>0.0</v>
      </c>
      <c r="N55" s="85">
        <v>0.0</v>
      </c>
      <c r="O55" s="85">
        <v>0.0</v>
      </c>
      <c r="P55" s="62" t="b">
        <v>0</v>
      </c>
      <c r="Q55" s="62" t="b">
        <v>0</v>
      </c>
      <c r="R55" s="62" t="b">
        <v>0</v>
      </c>
      <c r="S55" s="85">
        <v>2.0</v>
      </c>
      <c r="T55" s="85">
        <v>2.0</v>
      </c>
      <c r="U55" s="85">
        <v>0.0</v>
      </c>
      <c r="V55" s="85">
        <v>0.0</v>
      </c>
      <c r="W55" s="85">
        <v>0.0</v>
      </c>
      <c r="X55" s="85">
        <v>0.0</v>
      </c>
      <c r="Y55" s="85">
        <v>0.0</v>
      </c>
      <c r="Z55" s="85">
        <v>0.0</v>
      </c>
      <c r="AA55" s="85">
        <v>0.0</v>
      </c>
      <c r="AB55" s="85">
        <v>0.0</v>
      </c>
      <c r="AC55" s="85">
        <v>0.0</v>
      </c>
      <c r="AD55" s="85">
        <v>0.0</v>
      </c>
      <c r="AE55" s="62" t="b">
        <v>0</v>
      </c>
      <c r="AF55" s="62" t="b">
        <v>0</v>
      </c>
      <c r="AG55" s="85">
        <v>0.0</v>
      </c>
      <c r="AH55" s="86">
        <v>1.0</v>
      </c>
      <c r="AI55" s="62" t="b">
        <v>0</v>
      </c>
      <c r="AJ55" s="87" t="s">
        <v>397</v>
      </c>
      <c r="AK55" s="80">
        <f t="shared" si="1"/>
        <v>10</v>
      </c>
      <c r="AL55" s="80">
        <f t="shared" si="2"/>
        <v>10</v>
      </c>
    </row>
    <row r="56">
      <c r="A56" s="84" t="s">
        <v>364</v>
      </c>
      <c r="B56" s="85">
        <v>2.0</v>
      </c>
      <c r="C56" s="85">
        <v>6861.0</v>
      </c>
      <c r="D56" s="85">
        <v>0.0</v>
      </c>
      <c r="E56" s="85">
        <v>0.0</v>
      </c>
      <c r="F56" s="85">
        <v>0.0</v>
      </c>
      <c r="G56" s="85">
        <v>0.0</v>
      </c>
      <c r="H56" s="85">
        <v>0.0</v>
      </c>
      <c r="I56" s="85">
        <v>0.0</v>
      </c>
      <c r="J56" s="85">
        <v>0.0</v>
      </c>
      <c r="K56" s="85">
        <v>0.0</v>
      </c>
      <c r="L56" s="85">
        <v>1.0</v>
      </c>
      <c r="M56" s="85">
        <v>0.0</v>
      </c>
      <c r="N56" s="85">
        <v>0.0</v>
      </c>
      <c r="O56" s="85">
        <v>0.0</v>
      </c>
      <c r="P56" s="62" t="b">
        <v>0</v>
      </c>
      <c r="Q56" s="62" t="b">
        <v>1</v>
      </c>
      <c r="R56" s="62" t="b">
        <v>1</v>
      </c>
      <c r="S56" s="85">
        <v>0.0</v>
      </c>
      <c r="T56" s="85">
        <v>0.0</v>
      </c>
      <c r="U56" s="85">
        <v>0.0</v>
      </c>
      <c r="V56" s="85">
        <v>0.0</v>
      </c>
      <c r="W56" s="85">
        <v>0.0</v>
      </c>
      <c r="X56" s="85">
        <v>0.0</v>
      </c>
      <c r="Y56" s="85">
        <v>1.0</v>
      </c>
      <c r="Z56" s="85">
        <v>0.0</v>
      </c>
      <c r="AA56" s="85">
        <v>3.0</v>
      </c>
      <c r="AB56" s="85">
        <v>2.0</v>
      </c>
      <c r="AC56" s="85">
        <v>2.0</v>
      </c>
      <c r="AD56" s="85">
        <v>2.0</v>
      </c>
      <c r="AE56" s="62" t="b">
        <v>0</v>
      </c>
      <c r="AF56" s="62" t="b">
        <v>1</v>
      </c>
      <c r="AG56" s="85">
        <v>2.0</v>
      </c>
      <c r="AH56" s="86">
        <v>0.0</v>
      </c>
      <c r="AI56" s="62" t="b">
        <v>0</v>
      </c>
      <c r="AJ56" s="87" t="s">
        <v>398</v>
      </c>
      <c r="AK56" s="80">
        <f t="shared" si="1"/>
        <v>13</v>
      </c>
      <c r="AL56" s="80">
        <f t="shared" si="2"/>
        <v>13</v>
      </c>
    </row>
    <row r="57">
      <c r="A57" s="84" t="s">
        <v>372</v>
      </c>
      <c r="B57" s="85">
        <v>9.0</v>
      </c>
      <c r="C57" s="85">
        <v>6861.0</v>
      </c>
      <c r="D57" s="85">
        <v>0.0</v>
      </c>
      <c r="E57" s="85">
        <v>0.0</v>
      </c>
      <c r="F57" s="85">
        <v>0.0</v>
      </c>
      <c r="G57" s="85">
        <v>0.0</v>
      </c>
      <c r="H57" s="85">
        <v>0.0</v>
      </c>
      <c r="I57" s="85">
        <v>0.0</v>
      </c>
      <c r="J57" s="85">
        <v>1.0</v>
      </c>
      <c r="K57" s="85">
        <v>0.0</v>
      </c>
      <c r="L57" s="85">
        <v>0.0</v>
      </c>
      <c r="M57" s="85">
        <v>0.0</v>
      </c>
      <c r="N57" s="85">
        <v>0.0</v>
      </c>
      <c r="O57" s="85">
        <v>0.0</v>
      </c>
      <c r="P57" s="62" t="b">
        <v>0</v>
      </c>
      <c r="Q57" s="62" t="b">
        <v>0</v>
      </c>
      <c r="R57" s="62" t="b">
        <v>0</v>
      </c>
      <c r="S57" s="85">
        <v>0.0</v>
      </c>
      <c r="T57" s="85">
        <v>0.0</v>
      </c>
      <c r="U57" s="85">
        <v>0.0</v>
      </c>
      <c r="V57" s="85">
        <v>0.0</v>
      </c>
      <c r="W57" s="85">
        <v>0.0</v>
      </c>
      <c r="X57" s="85">
        <v>0.0</v>
      </c>
      <c r="Y57" s="85">
        <v>1.0</v>
      </c>
      <c r="Z57" s="85">
        <v>1.0</v>
      </c>
      <c r="AA57" s="85">
        <v>1.0</v>
      </c>
      <c r="AB57" s="85">
        <v>0.0</v>
      </c>
      <c r="AC57" s="85">
        <v>3.0</v>
      </c>
      <c r="AD57" s="85">
        <v>3.0</v>
      </c>
      <c r="AE57" s="62" t="b">
        <v>0</v>
      </c>
      <c r="AF57" s="62" t="b">
        <v>0</v>
      </c>
      <c r="AG57" s="85">
        <v>2.0</v>
      </c>
      <c r="AH57" s="86">
        <v>2.0</v>
      </c>
      <c r="AI57" s="62" t="b">
        <v>0</v>
      </c>
      <c r="AJ57" s="84"/>
      <c r="AK57" s="80">
        <f t="shared" si="1"/>
        <v>11</v>
      </c>
      <c r="AL57" s="80">
        <f t="shared" si="2"/>
        <v>11</v>
      </c>
    </row>
    <row r="58">
      <c r="A58" s="84" t="s">
        <v>377</v>
      </c>
      <c r="B58" s="85">
        <v>27.0</v>
      </c>
      <c r="C58" s="85">
        <v>6861.0</v>
      </c>
      <c r="D58" s="85">
        <v>0.0</v>
      </c>
      <c r="E58" s="85">
        <v>0.0</v>
      </c>
      <c r="F58" s="85">
        <v>0.0</v>
      </c>
      <c r="G58" s="85">
        <v>0.0</v>
      </c>
      <c r="H58" s="85">
        <v>0.0</v>
      </c>
      <c r="I58" s="85">
        <v>0.0</v>
      </c>
      <c r="J58" s="85">
        <v>1.0</v>
      </c>
      <c r="K58" s="85">
        <v>0.0</v>
      </c>
      <c r="L58" s="85">
        <v>0.0</v>
      </c>
      <c r="M58" s="85">
        <v>0.0</v>
      </c>
      <c r="N58" s="85">
        <v>0.0</v>
      </c>
      <c r="O58" s="85">
        <v>0.0</v>
      </c>
      <c r="P58" s="62" t="b">
        <v>0</v>
      </c>
      <c r="Q58" s="62" t="b">
        <v>0</v>
      </c>
      <c r="R58" s="62" t="b">
        <v>1</v>
      </c>
      <c r="S58" s="85">
        <v>0.0</v>
      </c>
      <c r="T58" s="85">
        <v>0.0</v>
      </c>
      <c r="U58" s="85">
        <v>0.0</v>
      </c>
      <c r="V58" s="85">
        <v>0.0</v>
      </c>
      <c r="W58" s="85">
        <v>0.0</v>
      </c>
      <c r="X58" s="85">
        <v>0.0</v>
      </c>
      <c r="Y58" s="85">
        <v>0.0</v>
      </c>
      <c r="Z58" s="85">
        <v>0.0</v>
      </c>
      <c r="AA58" s="85">
        <v>0.0</v>
      </c>
      <c r="AB58" s="85">
        <v>0.0</v>
      </c>
      <c r="AC58" s="85">
        <v>7.0</v>
      </c>
      <c r="AD58" s="85">
        <v>7.0</v>
      </c>
      <c r="AE58" s="62" t="b">
        <v>0</v>
      </c>
      <c r="AF58" s="62" t="b">
        <v>0</v>
      </c>
      <c r="AG58" s="85">
        <v>3.0</v>
      </c>
      <c r="AH58" s="86">
        <v>1.0</v>
      </c>
      <c r="AI58" s="62" t="b">
        <v>0</v>
      </c>
      <c r="AJ58" s="87" t="s">
        <v>399</v>
      </c>
      <c r="AK58" s="80">
        <f t="shared" si="1"/>
        <v>17</v>
      </c>
      <c r="AL58" s="80">
        <f t="shared" si="2"/>
        <v>17</v>
      </c>
    </row>
    <row r="59">
      <c r="A59" s="84"/>
      <c r="B59" s="85">
        <v>33.0</v>
      </c>
      <c r="C59" s="85">
        <v>6861.0</v>
      </c>
      <c r="D59" s="85">
        <v>0.0</v>
      </c>
      <c r="E59" s="85">
        <v>0.0</v>
      </c>
      <c r="F59" s="85">
        <v>0.0</v>
      </c>
      <c r="G59" s="85">
        <v>0.0</v>
      </c>
      <c r="H59" s="85">
        <v>0.0</v>
      </c>
      <c r="I59" s="85">
        <v>0.0</v>
      </c>
      <c r="J59" s="85">
        <v>0.0</v>
      </c>
      <c r="K59" s="85">
        <v>0.0</v>
      </c>
      <c r="L59" s="85">
        <v>0.0</v>
      </c>
      <c r="M59" s="85">
        <v>0.0</v>
      </c>
      <c r="N59" s="85">
        <v>0.0</v>
      </c>
      <c r="O59" s="85">
        <v>0.0</v>
      </c>
      <c r="P59" s="62" t="b">
        <v>0</v>
      </c>
      <c r="Q59" s="62" t="b">
        <v>0</v>
      </c>
      <c r="R59" s="62" t="b">
        <v>0</v>
      </c>
      <c r="S59" s="85">
        <v>0.0</v>
      </c>
      <c r="T59" s="85">
        <v>0.0</v>
      </c>
      <c r="U59" s="85">
        <v>0.0</v>
      </c>
      <c r="V59" s="85">
        <v>0.0</v>
      </c>
      <c r="W59" s="85">
        <v>0.0</v>
      </c>
      <c r="X59" s="85">
        <v>0.0</v>
      </c>
      <c r="Y59" s="85">
        <v>1.0</v>
      </c>
      <c r="Z59" s="85">
        <v>1.0</v>
      </c>
      <c r="AA59" s="85">
        <v>0.0</v>
      </c>
      <c r="AB59" s="85">
        <v>0.0</v>
      </c>
      <c r="AC59" s="85">
        <v>6.0</v>
      </c>
      <c r="AD59" s="85">
        <v>5.0</v>
      </c>
      <c r="AE59" s="62" t="b">
        <v>0</v>
      </c>
      <c r="AF59" s="62" t="b">
        <v>0</v>
      </c>
      <c r="AG59" s="85">
        <v>2.0</v>
      </c>
      <c r="AH59" s="86">
        <v>3.0</v>
      </c>
      <c r="AI59" s="62" t="b">
        <v>0</v>
      </c>
      <c r="AJ59" s="84" t="s">
        <v>400</v>
      </c>
      <c r="AK59" s="80">
        <f t="shared" si="1"/>
        <v>15</v>
      </c>
      <c r="AL59" s="80">
        <f t="shared" si="2"/>
        <v>15</v>
      </c>
    </row>
    <row r="60">
      <c r="A60" s="84" t="s">
        <v>365</v>
      </c>
      <c r="B60" s="85">
        <v>19.0</v>
      </c>
      <c r="C60" s="88">
        <v>6861.0</v>
      </c>
      <c r="D60" s="85">
        <v>0.0</v>
      </c>
      <c r="E60" s="85">
        <v>0.0</v>
      </c>
      <c r="F60" s="85">
        <v>0.0</v>
      </c>
      <c r="G60" s="85">
        <v>0.0</v>
      </c>
      <c r="H60" s="85">
        <v>0.0</v>
      </c>
      <c r="I60" s="85">
        <v>0.0</v>
      </c>
      <c r="J60" s="85">
        <v>1.0</v>
      </c>
      <c r="K60" s="85">
        <v>0.0</v>
      </c>
      <c r="L60" s="85">
        <v>0.0</v>
      </c>
      <c r="M60" s="85">
        <v>0.0</v>
      </c>
      <c r="N60" s="85">
        <v>0.0</v>
      </c>
      <c r="O60" s="85">
        <v>0.0</v>
      </c>
      <c r="P60" s="62" t="b">
        <v>0</v>
      </c>
      <c r="Q60" s="62" t="b">
        <v>0</v>
      </c>
      <c r="R60" s="62" t="b">
        <v>1</v>
      </c>
      <c r="S60" s="85">
        <v>0.0</v>
      </c>
      <c r="T60" s="85">
        <v>0.0</v>
      </c>
      <c r="U60" s="85">
        <v>0.0</v>
      </c>
      <c r="V60" s="85">
        <v>0.0</v>
      </c>
      <c r="W60" s="85">
        <v>0.0</v>
      </c>
      <c r="X60" s="85">
        <v>0.0</v>
      </c>
      <c r="Y60" s="85">
        <v>3.0</v>
      </c>
      <c r="Z60" s="85">
        <v>1.0</v>
      </c>
      <c r="AA60" s="85">
        <v>0.0</v>
      </c>
      <c r="AB60" s="85">
        <v>0.0</v>
      </c>
      <c r="AC60" s="85">
        <v>1.0</v>
      </c>
      <c r="AD60" s="85">
        <v>1.0</v>
      </c>
      <c r="AE60" s="62" t="b">
        <v>0</v>
      </c>
      <c r="AF60" s="62" t="b">
        <v>0</v>
      </c>
      <c r="AG60" s="85">
        <v>0.0</v>
      </c>
      <c r="AH60" s="85">
        <v>0.0</v>
      </c>
      <c r="AI60" s="62" t="b">
        <v>0</v>
      </c>
      <c r="AJ60" s="84"/>
      <c r="AK60" s="80">
        <f t="shared" si="1"/>
        <v>10</v>
      </c>
      <c r="AL60" s="80">
        <f t="shared" si="2"/>
        <v>10</v>
      </c>
    </row>
    <row r="61">
      <c r="A61" s="84" t="s">
        <v>364</v>
      </c>
      <c r="B61" s="85">
        <v>1.0</v>
      </c>
      <c r="C61" s="85">
        <v>5907.0</v>
      </c>
      <c r="D61" s="85">
        <v>0.0</v>
      </c>
      <c r="E61" s="85">
        <v>0.0</v>
      </c>
      <c r="F61" s="85">
        <v>0.0</v>
      </c>
      <c r="G61" s="85">
        <v>0.0</v>
      </c>
      <c r="H61" s="85">
        <v>0.0</v>
      </c>
      <c r="I61" s="85">
        <v>0.0</v>
      </c>
      <c r="J61" s="85">
        <v>1.0</v>
      </c>
      <c r="K61" s="85">
        <v>1.0</v>
      </c>
      <c r="L61" s="85">
        <v>0.0</v>
      </c>
      <c r="M61" s="85">
        <v>0.0</v>
      </c>
      <c r="N61" s="85">
        <v>0.0</v>
      </c>
      <c r="O61" s="85">
        <v>0.0</v>
      </c>
      <c r="P61" s="62" t="b">
        <v>0</v>
      </c>
      <c r="Q61" s="62" t="b">
        <v>0</v>
      </c>
      <c r="R61" s="62" t="b">
        <v>0</v>
      </c>
      <c r="S61" s="85">
        <v>2.0</v>
      </c>
      <c r="T61" s="85">
        <v>2.0</v>
      </c>
      <c r="U61" s="85">
        <v>1.0</v>
      </c>
      <c r="V61" s="85">
        <v>0.0</v>
      </c>
      <c r="W61" s="85">
        <v>0.0</v>
      </c>
      <c r="X61" s="85">
        <v>0.0</v>
      </c>
      <c r="Y61" s="85">
        <v>0.0</v>
      </c>
      <c r="Z61" s="85">
        <v>0.0</v>
      </c>
      <c r="AA61" s="85">
        <v>0.0</v>
      </c>
      <c r="AB61" s="85">
        <v>0.0</v>
      </c>
      <c r="AC61" s="85">
        <v>0.0</v>
      </c>
      <c r="AD61" s="85">
        <v>0.0</v>
      </c>
      <c r="AE61" s="62" t="b">
        <v>0</v>
      </c>
      <c r="AF61" s="62" t="b">
        <v>0</v>
      </c>
      <c r="AG61" s="85">
        <v>4.0</v>
      </c>
      <c r="AH61" s="86">
        <v>0.0</v>
      </c>
      <c r="AI61" s="62" t="b">
        <v>0</v>
      </c>
      <c r="AJ61" s="84"/>
      <c r="AK61" s="80">
        <f t="shared" si="1"/>
        <v>16</v>
      </c>
      <c r="AL61" s="80">
        <f t="shared" si="2"/>
        <v>16</v>
      </c>
    </row>
    <row r="62">
      <c r="A62" s="84" t="s">
        <v>393</v>
      </c>
      <c r="B62" s="85">
        <v>8.0</v>
      </c>
      <c r="C62" s="85">
        <v>5907.0</v>
      </c>
      <c r="D62" s="85">
        <v>0.0</v>
      </c>
      <c r="E62" s="85">
        <v>0.0</v>
      </c>
      <c r="F62" s="85">
        <v>0.0</v>
      </c>
      <c r="G62" s="85">
        <v>0.0</v>
      </c>
      <c r="H62" s="85">
        <v>0.0</v>
      </c>
      <c r="I62" s="85">
        <v>0.0</v>
      </c>
      <c r="J62" s="85">
        <v>1.0</v>
      </c>
      <c r="K62" s="85">
        <v>1.0</v>
      </c>
      <c r="L62" s="85">
        <v>0.0</v>
      </c>
      <c r="M62" s="85">
        <v>0.0</v>
      </c>
      <c r="N62" s="85">
        <v>0.0</v>
      </c>
      <c r="O62" s="85">
        <v>0.0</v>
      </c>
      <c r="P62" s="62" t="b">
        <v>1</v>
      </c>
      <c r="Q62" s="62" t="b">
        <v>1</v>
      </c>
      <c r="R62" s="62" t="b">
        <v>1</v>
      </c>
      <c r="S62" s="85">
        <v>4.0</v>
      </c>
      <c r="T62" s="85">
        <v>4.0</v>
      </c>
      <c r="U62" s="85">
        <v>0.0</v>
      </c>
      <c r="V62" s="85">
        <v>0.0</v>
      </c>
      <c r="W62" s="85">
        <v>2.0</v>
      </c>
      <c r="X62" s="85">
        <v>2.0</v>
      </c>
      <c r="Y62" s="85">
        <v>0.0</v>
      </c>
      <c r="Z62" s="85">
        <v>0.0</v>
      </c>
      <c r="AA62" s="85">
        <v>0.0</v>
      </c>
      <c r="AB62" s="85">
        <v>0.0</v>
      </c>
      <c r="AC62" s="85">
        <v>0.0</v>
      </c>
      <c r="AD62" s="85">
        <v>0.0</v>
      </c>
      <c r="AE62" s="62" t="b">
        <v>1</v>
      </c>
      <c r="AF62" s="62" t="b">
        <v>1</v>
      </c>
      <c r="AG62" s="85">
        <v>5.0</v>
      </c>
      <c r="AH62" s="86">
        <v>1.0</v>
      </c>
      <c r="AI62" s="62" t="b">
        <v>0</v>
      </c>
      <c r="AJ62" s="84"/>
      <c r="AK62" s="80">
        <f t="shared" si="1"/>
        <v>55</v>
      </c>
      <c r="AL62" s="80">
        <f t="shared" si="2"/>
        <v>33</v>
      </c>
    </row>
    <row r="63">
      <c r="A63" s="84" t="s">
        <v>375</v>
      </c>
      <c r="B63" s="85">
        <v>27.0</v>
      </c>
      <c r="C63" s="85">
        <v>5907.0</v>
      </c>
      <c r="D63" s="85">
        <v>0.0</v>
      </c>
      <c r="E63" s="85">
        <v>0.0</v>
      </c>
      <c r="F63" s="85">
        <v>0.0</v>
      </c>
      <c r="G63" s="85">
        <v>0.0</v>
      </c>
      <c r="H63" s="85">
        <v>0.0</v>
      </c>
      <c r="I63" s="85">
        <v>0.0</v>
      </c>
      <c r="J63" s="85">
        <v>0.0</v>
      </c>
      <c r="K63" s="85">
        <v>0.0</v>
      </c>
      <c r="L63" s="85">
        <v>0.0</v>
      </c>
      <c r="M63" s="85">
        <v>0.0</v>
      </c>
      <c r="N63" s="85">
        <v>0.0</v>
      </c>
      <c r="O63" s="85">
        <v>0.0</v>
      </c>
      <c r="P63" s="62" t="b">
        <v>1</v>
      </c>
      <c r="Q63" s="62" t="b">
        <v>1</v>
      </c>
      <c r="R63" s="62" t="b">
        <v>0</v>
      </c>
      <c r="S63" s="85">
        <v>4.0</v>
      </c>
      <c r="T63" s="85">
        <v>4.0</v>
      </c>
      <c r="U63" s="85">
        <v>1.0</v>
      </c>
      <c r="V63" s="85">
        <v>1.0</v>
      </c>
      <c r="W63" s="85">
        <v>0.0</v>
      </c>
      <c r="X63" s="85">
        <v>0.0</v>
      </c>
      <c r="Y63" s="85">
        <v>0.0</v>
      </c>
      <c r="Z63" s="85">
        <v>0.0</v>
      </c>
      <c r="AA63" s="85">
        <v>0.0</v>
      </c>
      <c r="AB63" s="85">
        <v>0.0</v>
      </c>
      <c r="AC63" s="85">
        <v>0.0</v>
      </c>
      <c r="AD63" s="85">
        <v>0.0</v>
      </c>
      <c r="AE63" s="62" t="b">
        <v>1</v>
      </c>
      <c r="AF63" s="62" t="b">
        <v>1</v>
      </c>
      <c r="AG63" s="85">
        <v>4.0</v>
      </c>
      <c r="AH63" s="86">
        <v>3.0</v>
      </c>
      <c r="AI63" s="62" t="b">
        <v>0</v>
      </c>
      <c r="AJ63" s="87" t="s">
        <v>401</v>
      </c>
      <c r="AK63" s="80">
        <f t="shared" si="1"/>
        <v>45</v>
      </c>
      <c r="AL63" s="80">
        <f t="shared" si="2"/>
        <v>23</v>
      </c>
    </row>
    <row r="64">
      <c r="A64" s="84" t="s">
        <v>351</v>
      </c>
      <c r="B64" s="85">
        <v>1.0</v>
      </c>
      <c r="C64" s="85">
        <v>5577.0</v>
      </c>
      <c r="D64" s="85">
        <v>0.0</v>
      </c>
      <c r="E64" s="85">
        <v>0.0</v>
      </c>
      <c r="F64" s="85">
        <v>0.0</v>
      </c>
      <c r="G64" s="85">
        <v>0.0</v>
      </c>
      <c r="H64" s="85">
        <v>0.0</v>
      </c>
      <c r="I64" s="85">
        <v>0.0</v>
      </c>
      <c r="J64" s="85">
        <v>0.0</v>
      </c>
      <c r="K64" s="85">
        <v>0.0</v>
      </c>
      <c r="L64" s="85">
        <v>0.0</v>
      </c>
      <c r="M64" s="85">
        <v>0.0</v>
      </c>
      <c r="N64" s="85">
        <v>0.0</v>
      </c>
      <c r="O64" s="85">
        <v>0.0</v>
      </c>
      <c r="P64" s="62" t="b">
        <v>0</v>
      </c>
      <c r="Q64" s="62" t="b">
        <v>0</v>
      </c>
      <c r="R64" s="62" t="b">
        <v>0</v>
      </c>
      <c r="S64" s="85">
        <v>0.0</v>
      </c>
      <c r="T64" s="85">
        <v>0.0</v>
      </c>
      <c r="U64" s="85">
        <v>0.0</v>
      </c>
      <c r="V64" s="85">
        <v>0.0</v>
      </c>
      <c r="W64" s="85">
        <v>0.0</v>
      </c>
      <c r="X64" s="85">
        <v>0.0</v>
      </c>
      <c r="Y64" s="85">
        <v>0.0</v>
      </c>
      <c r="Z64" s="85">
        <v>0.0</v>
      </c>
      <c r="AA64" s="85">
        <v>0.0</v>
      </c>
      <c r="AB64" s="85">
        <v>0.0</v>
      </c>
      <c r="AC64" s="85">
        <v>0.0</v>
      </c>
      <c r="AD64" s="85">
        <v>0.0</v>
      </c>
      <c r="AE64" s="62" t="b">
        <v>0</v>
      </c>
      <c r="AF64" s="62" t="b">
        <v>0</v>
      </c>
      <c r="AG64" s="85">
        <v>1.0</v>
      </c>
      <c r="AH64" s="86">
        <v>1.0</v>
      </c>
      <c r="AI64" s="62" t="b">
        <v>1</v>
      </c>
      <c r="AJ64" s="87" t="s">
        <v>402</v>
      </c>
      <c r="AK64" s="80">
        <f t="shared" si="1"/>
        <v>0</v>
      </c>
      <c r="AL64" s="80">
        <f t="shared" si="2"/>
        <v>0</v>
      </c>
    </row>
    <row r="65">
      <c r="A65" s="84" t="s">
        <v>391</v>
      </c>
      <c r="B65" s="85">
        <v>7.0</v>
      </c>
      <c r="C65" s="85">
        <v>5577.0</v>
      </c>
      <c r="D65" s="85">
        <v>0.0</v>
      </c>
      <c r="E65" s="85">
        <v>0.0</v>
      </c>
      <c r="F65" s="85">
        <v>0.0</v>
      </c>
      <c r="G65" s="85">
        <v>0.0</v>
      </c>
      <c r="H65" s="85">
        <v>0.0</v>
      </c>
      <c r="I65" s="85">
        <v>0.0</v>
      </c>
      <c r="J65" s="85">
        <v>0.0</v>
      </c>
      <c r="K65" s="85">
        <v>0.0</v>
      </c>
      <c r="L65" s="85">
        <v>0.0</v>
      </c>
      <c r="M65" s="85">
        <v>0.0</v>
      </c>
      <c r="N65" s="85">
        <v>0.0</v>
      </c>
      <c r="O65" s="85">
        <v>0.0</v>
      </c>
      <c r="P65" s="62" t="b">
        <v>0</v>
      </c>
      <c r="Q65" s="62" t="b">
        <v>0</v>
      </c>
      <c r="R65" s="62" t="b">
        <v>0</v>
      </c>
      <c r="S65" s="85">
        <v>0.0</v>
      </c>
      <c r="T65" s="85">
        <v>0.0</v>
      </c>
      <c r="U65" s="85">
        <v>0.0</v>
      </c>
      <c r="V65" s="85">
        <v>0.0</v>
      </c>
      <c r="W65" s="85">
        <v>0.0</v>
      </c>
      <c r="X65" s="85">
        <v>0.0</v>
      </c>
      <c r="Y65" s="85">
        <v>0.0</v>
      </c>
      <c r="Z65" s="85">
        <v>0.0</v>
      </c>
      <c r="AA65" s="85">
        <v>0.0</v>
      </c>
      <c r="AB65" s="85">
        <v>0.0</v>
      </c>
      <c r="AC65" s="85">
        <v>1.0</v>
      </c>
      <c r="AD65" s="85">
        <v>1.0</v>
      </c>
      <c r="AE65" s="62" t="b">
        <v>0</v>
      </c>
      <c r="AF65" s="62" t="b">
        <v>0</v>
      </c>
      <c r="AG65" s="85">
        <v>0.0</v>
      </c>
      <c r="AH65" s="85">
        <v>3.0</v>
      </c>
      <c r="AI65" s="62" t="b">
        <v>0</v>
      </c>
      <c r="AJ65" s="84"/>
      <c r="AK65" s="80">
        <f t="shared" si="1"/>
        <v>2</v>
      </c>
      <c r="AL65" s="80">
        <f t="shared" si="2"/>
        <v>2</v>
      </c>
    </row>
    <row r="66">
      <c r="A66" s="84" t="s">
        <v>372</v>
      </c>
      <c r="B66" s="85">
        <v>17.0</v>
      </c>
      <c r="C66" s="85">
        <v>5577.0</v>
      </c>
      <c r="D66" s="85">
        <v>0.0</v>
      </c>
      <c r="E66" s="85">
        <v>0.0</v>
      </c>
      <c r="F66" s="85">
        <v>0.0</v>
      </c>
      <c r="G66" s="85">
        <v>0.0</v>
      </c>
      <c r="H66" s="85">
        <v>0.0</v>
      </c>
      <c r="I66" s="85">
        <v>0.0</v>
      </c>
      <c r="J66" s="85">
        <v>0.0</v>
      </c>
      <c r="K66" s="85">
        <v>0.0</v>
      </c>
      <c r="L66" s="85">
        <v>0.0</v>
      </c>
      <c r="M66" s="85">
        <v>0.0</v>
      </c>
      <c r="N66" s="85">
        <v>0.0</v>
      </c>
      <c r="O66" s="85">
        <v>0.0</v>
      </c>
      <c r="P66" s="62" t="b">
        <v>0</v>
      </c>
      <c r="Q66" s="62" t="b">
        <v>0</v>
      </c>
      <c r="R66" s="62" t="b">
        <v>0</v>
      </c>
      <c r="S66" s="85">
        <v>0.0</v>
      </c>
      <c r="T66" s="85">
        <v>0.0</v>
      </c>
      <c r="U66" s="85">
        <v>0.0</v>
      </c>
      <c r="V66" s="85">
        <v>0.0</v>
      </c>
      <c r="W66" s="85">
        <v>0.0</v>
      </c>
      <c r="X66" s="85">
        <v>0.0</v>
      </c>
      <c r="Y66" s="85">
        <v>0.0</v>
      </c>
      <c r="Z66" s="85">
        <v>0.0</v>
      </c>
      <c r="AA66" s="85">
        <v>0.0</v>
      </c>
      <c r="AB66" s="85">
        <v>0.0</v>
      </c>
      <c r="AC66" s="85">
        <v>2.0</v>
      </c>
      <c r="AD66" s="85">
        <v>2.0</v>
      </c>
      <c r="AE66" s="62" t="b">
        <v>0</v>
      </c>
      <c r="AF66" s="62" t="b">
        <v>0</v>
      </c>
      <c r="AG66" s="85">
        <v>2.0</v>
      </c>
      <c r="AH66" s="86">
        <v>3.0</v>
      </c>
      <c r="AI66" s="62" t="b">
        <v>0</v>
      </c>
      <c r="AJ66" s="84"/>
      <c r="AK66" s="80">
        <f t="shared" si="1"/>
        <v>4</v>
      </c>
      <c r="AL66" s="80">
        <f t="shared" si="2"/>
        <v>4</v>
      </c>
    </row>
    <row r="67">
      <c r="A67" s="84" t="s">
        <v>150</v>
      </c>
      <c r="B67" s="85">
        <v>22.0</v>
      </c>
      <c r="C67" s="85">
        <v>5577.0</v>
      </c>
      <c r="D67" s="85">
        <v>0.0</v>
      </c>
      <c r="E67" s="85">
        <v>0.0</v>
      </c>
      <c r="F67" s="85">
        <v>0.0</v>
      </c>
      <c r="G67" s="85">
        <v>0.0</v>
      </c>
      <c r="H67" s="85">
        <v>0.0</v>
      </c>
      <c r="I67" s="85">
        <v>0.0</v>
      </c>
      <c r="J67" s="85">
        <v>0.0</v>
      </c>
      <c r="K67" s="85">
        <v>0.0</v>
      </c>
      <c r="L67" s="85">
        <v>0.0</v>
      </c>
      <c r="M67" s="85">
        <v>0.0</v>
      </c>
      <c r="N67" s="85">
        <v>1.0</v>
      </c>
      <c r="O67" s="85">
        <v>1.0</v>
      </c>
      <c r="P67" s="62" t="b">
        <v>0</v>
      </c>
      <c r="Q67" s="62" t="b">
        <v>0</v>
      </c>
      <c r="R67" s="62" t="b">
        <v>1</v>
      </c>
      <c r="S67" s="85">
        <v>0.0</v>
      </c>
      <c r="T67" s="85">
        <v>0.0</v>
      </c>
      <c r="U67" s="85">
        <v>0.0</v>
      </c>
      <c r="V67" s="85">
        <v>0.0</v>
      </c>
      <c r="W67" s="85">
        <v>0.0</v>
      </c>
      <c r="X67" s="85">
        <v>0.0</v>
      </c>
      <c r="Y67" s="85">
        <v>0.0</v>
      </c>
      <c r="Z67" s="85">
        <v>0.0</v>
      </c>
      <c r="AA67" s="85">
        <v>0.0</v>
      </c>
      <c r="AB67" s="85">
        <v>0.0</v>
      </c>
      <c r="AC67" s="85">
        <v>3.0</v>
      </c>
      <c r="AD67" s="85">
        <v>3.0</v>
      </c>
      <c r="AE67" s="62" t="b">
        <v>0</v>
      </c>
      <c r="AF67" s="62" t="b">
        <v>0</v>
      </c>
      <c r="AG67" s="85">
        <v>0.0</v>
      </c>
      <c r="AH67" s="86">
        <v>3.0</v>
      </c>
      <c r="AI67" s="62" t="b">
        <v>0</v>
      </c>
      <c r="AJ67" s="87" t="s">
        <v>403</v>
      </c>
      <c r="AK67" s="80">
        <f t="shared" si="1"/>
        <v>12</v>
      </c>
      <c r="AL67" s="80">
        <f t="shared" si="2"/>
        <v>12</v>
      </c>
    </row>
    <row r="68">
      <c r="A68" s="84" t="s">
        <v>377</v>
      </c>
      <c r="B68" s="85">
        <v>28.0</v>
      </c>
      <c r="C68" s="85">
        <v>5577.0</v>
      </c>
      <c r="D68" s="85">
        <v>0.0</v>
      </c>
      <c r="E68" s="85">
        <v>0.0</v>
      </c>
      <c r="F68" s="85">
        <v>0.0</v>
      </c>
      <c r="G68" s="85">
        <v>0.0</v>
      </c>
      <c r="H68" s="85">
        <v>0.0</v>
      </c>
      <c r="I68" s="85">
        <v>0.0</v>
      </c>
      <c r="J68" s="85">
        <v>0.0</v>
      </c>
      <c r="K68" s="85">
        <v>0.0</v>
      </c>
      <c r="L68" s="85">
        <v>0.0</v>
      </c>
      <c r="M68" s="85">
        <v>0.0</v>
      </c>
      <c r="N68" s="85">
        <v>1.0</v>
      </c>
      <c r="O68" s="85">
        <v>1.0</v>
      </c>
      <c r="P68" s="62" t="b">
        <v>0</v>
      </c>
      <c r="Q68" s="62" t="b">
        <v>0</v>
      </c>
      <c r="R68" s="62" t="b">
        <v>1</v>
      </c>
      <c r="S68" s="85">
        <v>0.0</v>
      </c>
      <c r="T68" s="85">
        <v>0.0</v>
      </c>
      <c r="U68" s="85">
        <v>0.0</v>
      </c>
      <c r="V68" s="85">
        <v>0.0</v>
      </c>
      <c r="W68" s="85">
        <v>0.0</v>
      </c>
      <c r="X68" s="85">
        <v>0.0</v>
      </c>
      <c r="Y68" s="85">
        <v>0.0</v>
      </c>
      <c r="Z68" s="85">
        <v>0.0</v>
      </c>
      <c r="AA68" s="85">
        <v>0.0</v>
      </c>
      <c r="AB68" s="85">
        <v>0.0</v>
      </c>
      <c r="AC68" s="85">
        <v>0.0</v>
      </c>
      <c r="AD68" s="85">
        <v>0.0</v>
      </c>
      <c r="AE68" s="62" t="b">
        <v>0</v>
      </c>
      <c r="AF68" s="62" t="b">
        <v>0</v>
      </c>
      <c r="AG68" s="85">
        <v>1.0</v>
      </c>
      <c r="AH68" s="86">
        <v>1.0</v>
      </c>
      <c r="AI68" s="62" t="b">
        <v>1</v>
      </c>
      <c r="AJ68" s="87" t="s">
        <v>404</v>
      </c>
      <c r="AK68" s="80">
        <f t="shared" si="1"/>
        <v>6</v>
      </c>
      <c r="AL68" s="80">
        <f t="shared" si="2"/>
        <v>6</v>
      </c>
    </row>
    <row r="69">
      <c r="A69" s="84" t="s">
        <v>388</v>
      </c>
      <c r="B69" s="85">
        <v>23.0</v>
      </c>
      <c r="C69" s="85">
        <v>5107.0</v>
      </c>
      <c r="D69" s="85">
        <v>0.0</v>
      </c>
      <c r="E69" s="85">
        <v>0.0</v>
      </c>
      <c r="F69" s="85">
        <v>0.0</v>
      </c>
      <c r="G69" s="85">
        <v>0.0</v>
      </c>
      <c r="H69" s="85">
        <v>0.0</v>
      </c>
      <c r="I69" s="85">
        <v>0.0</v>
      </c>
      <c r="J69" s="85">
        <v>0.0</v>
      </c>
      <c r="K69" s="85">
        <v>0.0</v>
      </c>
      <c r="L69" s="85">
        <v>0.0</v>
      </c>
      <c r="M69" s="85">
        <v>0.0</v>
      </c>
      <c r="N69" s="85">
        <v>0.0</v>
      </c>
      <c r="O69" s="85">
        <v>0.0</v>
      </c>
      <c r="P69" s="62" t="b">
        <v>0</v>
      </c>
      <c r="Q69" s="62" t="b">
        <v>0</v>
      </c>
      <c r="R69" s="62" t="b">
        <v>1</v>
      </c>
      <c r="S69" s="85">
        <v>4.0</v>
      </c>
      <c r="T69" s="85">
        <v>4.0</v>
      </c>
      <c r="U69" s="85">
        <v>0.0</v>
      </c>
      <c r="V69" s="85">
        <v>0.0</v>
      </c>
      <c r="W69" s="85">
        <v>0.0</v>
      </c>
      <c r="X69" s="85">
        <v>0.0</v>
      </c>
      <c r="Y69" s="85">
        <v>1.0</v>
      </c>
      <c r="Z69" s="85">
        <v>1.0</v>
      </c>
      <c r="AA69" s="85">
        <v>0.0</v>
      </c>
      <c r="AB69" s="85">
        <v>0.0</v>
      </c>
      <c r="AC69" s="85">
        <v>0.0</v>
      </c>
      <c r="AD69" s="85">
        <v>0.0</v>
      </c>
      <c r="AE69" s="62" t="b">
        <v>0</v>
      </c>
      <c r="AF69" s="62" t="b">
        <v>0</v>
      </c>
      <c r="AG69" s="85">
        <v>5.0</v>
      </c>
      <c r="AH69" s="86">
        <v>2.0</v>
      </c>
      <c r="AI69" s="62" t="b">
        <v>1</v>
      </c>
      <c r="AJ69" s="84"/>
      <c r="AK69" s="80">
        <f t="shared" si="1"/>
        <v>28</v>
      </c>
      <c r="AL69" s="80">
        <f t="shared" si="2"/>
        <v>28</v>
      </c>
    </row>
    <row r="70">
      <c r="A70" s="84" t="s">
        <v>351</v>
      </c>
      <c r="B70" s="85">
        <v>21.0</v>
      </c>
      <c r="C70" s="85">
        <v>4856.0</v>
      </c>
      <c r="D70" s="85">
        <v>0.0</v>
      </c>
      <c r="E70" s="85">
        <v>0.0</v>
      </c>
      <c r="F70" s="85">
        <v>0.0</v>
      </c>
      <c r="G70" s="85">
        <v>0.0</v>
      </c>
      <c r="H70" s="85">
        <v>0.0</v>
      </c>
      <c r="I70" s="85">
        <v>0.0</v>
      </c>
      <c r="J70" s="85">
        <v>0.0</v>
      </c>
      <c r="K70" s="85">
        <v>0.0</v>
      </c>
      <c r="L70" s="85">
        <v>0.0</v>
      </c>
      <c r="M70" s="85">
        <v>0.0</v>
      </c>
      <c r="N70" s="85">
        <v>0.0</v>
      </c>
      <c r="O70" s="85">
        <v>0.0</v>
      </c>
      <c r="P70" s="62" t="b">
        <v>0</v>
      </c>
      <c r="Q70" s="62" t="b">
        <v>0</v>
      </c>
      <c r="R70" s="62" t="b">
        <v>0</v>
      </c>
      <c r="S70" s="85">
        <v>0.0</v>
      </c>
      <c r="T70" s="85">
        <v>0.0</v>
      </c>
      <c r="U70" s="85">
        <v>0.0</v>
      </c>
      <c r="V70" s="85">
        <v>0.0</v>
      </c>
      <c r="W70" s="85">
        <v>0.0</v>
      </c>
      <c r="X70" s="85">
        <v>0.0</v>
      </c>
      <c r="Y70" s="85">
        <v>0.0</v>
      </c>
      <c r="Z70" s="85">
        <v>0.0</v>
      </c>
      <c r="AA70" s="85">
        <v>0.0</v>
      </c>
      <c r="AB70" s="85">
        <v>0.0</v>
      </c>
      <c r="AC70" s="85">
        <v>1.0</v>
      </c>
      <c r="AD70" s="85">
        <v>1.0</v>
      </c>
      <c r="AE70" s="62" t="b">
        <v>0</v>
      </c>
      <c r="AF70" s="62" t="b">
        <v>0</v>
      </c>
      <c r="AG70" s="85">
        <v>0.0</v>
      </c>
      <c r="AH70" s="86">
        <v>1.0</v>
      </c>
      <c r="AI70" s="62" t="b">
        <v>0</v>
      </c>
      <c r="AJ70" s="87" t="s">
        <v>405</v>
      </c>
      <c r="AK70" s="80">
        <f t="shared" si="1"/>
        <v>2</v>
      </c>
      <c r="AL70" s="80">
        <f t="shared" si="2"/>
        <v>2</v>
      </c>
    </row>
    <row r="71">
      <c r="A71" s="84" t="s">
        <v>365</v>
      </c>
      <c r="B71" s="85">
        <v>5.0</v>
      </c>
      <c r="C71" s="85">
        <v>4854.0</v>
      </c>
      <c r="D71" s="85">
        <v>0.0</v>
      </c>
      <c r="E71" s="85">
        <v>0.0</v>
      </c>
      <c r="F71" s="85">
        <v>0.0</v>
      </c>
      <c r="G71" s="85">
        <v>0.0</v>
      </c>
      <c r="H71" s="85">
        <v>0.0</v>
      </c>
      <c r="I71" s="85">
        <v>0.0</v>
      </c>
      <c r="J71" s="85">
        <v>0.0</v>
      </c>
      <c r="K71" s="85">
        <v>0.0</v>
      </c>
      <c r="L71" s="85">
        <v>0.0</v>
      </c>
      <c r="M71" s="85">
        <v>0.0</v>
      </c>
      <c r="N71" s="85">
        <v>0.0</v>
      </c>
      <c r="O71" s="85">
        <v>0.0</v>
      </c>
      <c r="P71" s="62" t="b">
        <v>0</v>
      </c>
      <c r="Q71" s="62" t="b">
        <v>0</v>
      </c>
      <c r="R71" s="62" t="b">
        <v>0</v>
      </c>
      <c r="S71" s="85">
        <v>0.0</v>
      </c>
      <c r="T71" s="85">
        <v>0.0</v>
      </c>
      <c r="U71" s="85">
        <v>0.0</v>
      </c>
      <c r="V71" s="85">
        <v>0.0</v>
      </c>
      <c r="W71" s="85">
        <v>2.0</v>
      </c>
      <c r="X71" s="85">
        <v>2.0</v>
      </c>
      <c r="Y71" s="85">
        <v>0.0</v>
      </c>
      <c r="Z71" s="85">
        <v>0.0</v>
      </c>
      <c r="AA71" s="85">
        <v>0.0</v>
      </c>
      <c r="AB71" s="85">
        <v>0.0</v>
      </c>
      <c r="AC71" s="85">
        <v>0.0</v>
      </c>
      <c r="AD71" s="85">
        <v>0.0</v>
      </c>
      <c r="AE71" s="62" t="b">
        <v>0</v>
      </c>
      <c r="AF71" s="62" t="b">
        <v>0</v>
      </c>
      <c r="AG71" s="85">
        <v>0.0</v>
      </c>
      <c r="AH71" s="86">
        <v>0.0</v>
      </c>
      <c r="AI71" s="62" t="b">
        <v>0</v>
      </c>
      <c r="AJ71" s="87" t="s">
        <v>406</v>
      </c>
      <c r="AK71" s="80">
        <f t="shared" si="1"/>
        <v>4</v>
      </c>
      <c r="AL71" s="80">
        <f t="shared" si="2"/>
        <v>4</v>
      </c>
    </row>
    <row r="72">
      <c r="A72" s="84" t="s">
        <v>102</v>
      </c>
      <c r="B72" s="85">
        <v>9.0</v>
      </c>
      <c r="C72" s="85">
        <v>4854.0</v>
      </c>
      <c r="D72" s="85">
        <v>0.0</v>
      </c>
      <c r="E72" s="85">
        <v>0.0</v>
      </c>
      <c r="F72" s="85">
        <v>0.0</v>
      </c>
      <c r="G72" s="85">
        <v>0.0</v>
      </c>
      <c r="H72" s="85">
        <v>0.0</v>
      </c>
      <c r="I72" s="85">
        <v>0.0</v>
      </c>
      <c r="J72" s="85">
        <v>0.0</v>
      </c>
      <c r="K72" s="85">
        <v>0.0</v>
      </c>
      <c r="L72" s="85">
        <v>0.0</v>
      </c>
      <c r="M72" s="85">
        <v>0.0</v>
      </c>
      <c r="N72" s="85">
        <v>0.0</v>
      </c>
      <c r="O72" s="85">
        <v>0.0</v>
      </c>
      <c r="P72" s="62" t="b">
        <v>0</v>
      </c>
      <c r="Q72" s="62" t="b">
        <v>0</v>
      </c>
      <c r="R72" s="62" t="b">
        <v>0</v>
      </c>
      <c r="S72" s="85">
        <v>0.0</v>
      </c>
      <c r="T72" s="85">
        <v>0.0</v>
      </c>
      <c r="U72" s="85">
        <v>0.0</v>
      </c>
      <c r="V72" s="85">
        <v>0.0</v>
      </c>
      <c r="W72" s="85">
        <v>0.0</v>
      </c>
      <c r="X72" s="85">
        <v>0.0</v>
      </c>
      <c r="Y72" s="85">
        <v>0.0</v>
      </c>
      <c r="Z72" s="85">
        <v>0.0</v>
      </c>
      <c r="AA72" s="85">
        <v>0.0</v>
      </c>
      <c r="AB72" s="85">
        <v>0.0</v>
      </c>
      <c r="AC72" s="85">
        <v>0.0</v>
      </c>
      <c r="AD72" s="85">
        <v>0.0</v>
      </c>
      <c r="AE72" s="62" t="b">
        <v>0</v>
      </c>
      <c r="AF72" s="62" t="b">
        <v>0</v>
      </c>
      <c r="AG72" s="85">
        <v>1.0</v>
      </c>
      <c r="AH72" s="86">
        <v>1.0</v>
      </c>
      <c r="AI72" s="62" t="b">
        <v>0</v>
      </c>
      <c r="AJ72" s="87" t="s">
        <v>407</v>
      </c>
      <c r="AK72" s="80">
        <f t="shared" si="1"/>
        <v>0</v>
      </c>
      <c r="AL72" s="80">
        <f t="shared" si="2"/>
        <v>0</v>
      </c>
    </row>
    <row r="73">
      <c r="A73" s="84" t="s">
        <v>379</v>
      </c>
      <c r="B73" s="85">
        <v>14.0</v>
      </c>
      <c r="C73" s="85">
        <v>4854.0</v>
      </c>
      <c r="D73" s="85">
        <v>0.0</v>
      </c>
      <c r="E73" s="85">
        <v>0.0</v>
      </c>
      <c r="F73" s="85">
        <v>0.0</v>
      </c>
      <c r="G73" s="85">
        <v>0.0</v>
      </c>
      <c r="H73" s="85">
        <v>0.0</v>
      </c>
      <c r="I73" s="85">
        <v>0.0</v>
      </c>
      <c r="J73" s="85">
        <v>0.0</v>
      </c>
      <c r="K73" s="85">
        <v>0.0</v>
      </c>
      <c r="L73" s="85">
        <v>0.0</v>
      </c>
      <c r="M73" s="85">
        <v>0.0</v>
      </c>
      <c r="N73" s="85">
        <v>0.0</v>
      </c>
      <c r="O73" s="85">
        <v>0.0</v>
      </c>
      <c r="P73" s="62" t="b">
        <v>0</v>
      </c>
      <c r="Q73" s="62" t="b">
        <v>0</v>
      </c>
      <c r="R73" s="62" t="b">
        <v>0</v>
      </c>
      <c r="S73" s="85">
        <v>0.0</v>
      </c>
      <c r="T73" s="85">
        <v>0.0</v>
      </c>
      <c r="U73" s="85">
        <v>0.0</v>
      </c>
      <c r="V73" s="85">
        <v>0.0</v>
      </c>
      <c r="W73" s="85">
        <v>0.0</v>
      </c>
      <c r="X73" s="85">
        <v>0.0</v>
      </c>
      <c r="Y73" s="85">
        <v>0.0</v>
      </c>
      <c r="Z73" s="85">
        <v>0.0</v>
      </c>
      <c r="AA73" s="85">
        <v>0.0</v>
      </c>
      <c r="AB73" s="85">
        <v>0.0</v>
      </c>
      <c r="AC73" s="85">
        <v>1.0</v>
      </c>
      <c r="AD73" s="85">
        <v>1.0</v>
      </c>
      <c r="AE73" s="62" t="b">
        <v>0</v>
      </c>
      <c r="AF73" s="62" t="b">
        <v>0</v>
      </c>
      <c r="AG73" s="85">
        <v>1.0</v>
      </c>
      <c r="AH73" s="86">
        <v>1.0</v>
      </c>
      <c r="AI73" s="62" t="b">
        <v>0</v>
      </c>
      <c r="AJ73" s="84"/>
      <c r="AK73" s="80">
        <f t="shared" si="1"/>
        <v>2</v>
      </c>
      <c r="AL73" s="80">
        <f t="shared" si="2"/>
        <v>2</v>
      </c>
    </row>
    <row r="74">
      <c r="A74" s="84" t="s">
        <v>364</v>
      </c>
      <c r="B74" s="85">
        <v>20.0</v>
      </c>
      <c r="C74" s="85">
        <v>4854.0</v>
      </c>
      <c r="D74" s="85">
        <v>0.0</v>
      </c>
      <c r="E74" s="85">
        <v>0.0</v>
      </c>
      <c r="F74" s="85">
        <v>0.0</v>
      </c>
      <c r="G74" s="85">
        <v>0.0</v>
      </c>
      <c r="H74" s="85">
        <v>0.0</v>
      </c>
      <c r="I74" s="85">
        <v>0.0</v>
      </c>
      <c r="J74" s="85">
        <v>0.0</v>
      </c>
      <c r="K74" s="85">
        <v>0.0</v>
      </c>
      <c r="L74" s="85">
        <v>0.0</v>
      </c>
      <c r="M74" s="85">
        <v>0.0</v>
      </c>
      <c r="N74" s="85">
        <v>0.0</v>
      </c>
      <c r="O74" s="85">
        <v>0.0</v>
      </c>
      <c r="P74" s="62" t="b">
        <v>0</v>
      </c>
      <c r="Q74" s="62" t="b">
        <v>0</v>
      </c>
      <c r="R74" s="62" t="b">
        <v>0</v>
      </c>
      <c r="S74" s="85">
        <v>0.0</v>
      </c>
      <c r="T74" s="85">
        <v>0.0</v>
      </c>
      <c r="U74" s="85">
        <v>0.0</v>
      </c>
      <c r="V74" s="85">
        <v>0.0</v>
      </c>
      <c r="W74" s="85">
        <v>0.0</v>
      </c>
      <c r="X74" s="85">
        <v>0.0</v>
      </c>
      <c r="Y74" s="85">
        <v>0.0</v>
      </c>
      <c r="Z74" s="85">
        <v>0.0</v>
      </c>
      <c r="AA74" s="85">
        <v>0.0</v>
      </c>
      <c r="AB74" s="85">
        <v>0.0</v>
      </c>
      <c r="AC74" s="85">
        <v>2.0</v>
      </c>
      <c r="AD74" s="85">
        <v>2.0</v>
      </c>
      <c r="AE74" s="62" t="b">
        <v>0</v>
      </c>
      <c r="AF74" s="62" t="b">
        <v>0</v>
      </c>
      <c r="AG74" s="85">
        <v>1.0</v>
      </c>
      <c r="AH74" s="86">
        <v>1.0</v>
      </c>
      <c r="AI74" s="62" t="b">
        <v>0</v>
      </c>
      <c r="AJ74" s="84" t="s">
        <v>408</v>
      </c>
      <c r="AK74" s="80">
        <f t="shared" si="1"/>
        <v>4</v>
      </c>
      <c r="AL74" s="80">
        <f t="shared" si="2"/>
        <v>4</v>
      </c>
    </row>
    <row r="75">
      <c r="A75" s="84" t="s">
        <v>391</v>
      </c>
      <c r="B75" s="85">
        <v>34.0</v>
      </c>
      <c r="C75" s="85">
        <v>4854.0</v>
      </c>
      <c r="D75" s="85">
        <v>0.0</v>
      </c>
      <c r="E75" s="85">
        <v>0.0</v>
      </c>
      <c r="F75" s="85">
        <v>0.0</v>
      </c>
      <c r="G75" s="85">
        <v>0.0</v>
      </c>
      <c r="H75" s="85">
        <v>0.0</v>
      </c>
      <c r="I75" s="85">
        <v>0.0</v>
      </c>
      <c r="J75" s="85">
        <v>0.0</v>
      </c>
      <c r="K75" s="85">
        <v>0.0</v>
      </c>
      <c r="L75" s="85">
        <v>0.0</v>
      </c>
      <c r="M75" s="85">
        <v>0.0</v>
      </c>
      <c r="N75" s="85">
        <v>0.0</v>
      </c>
      <c r="O75" s="85">
        <v>0.0</v>
      </c>
      <c r="P75" s="62" t="b">
        <v>0</v>
      </c>
      <c r="Q75" s="62" t="b">
        <v>0</v>
      </c>
      <c r="R75" s="62" t="b">
        <v>0</v>
      </c>
      <c r="S75" s="85">
        <v>0.0</v>
      </c>
      <c r="T75" s="85">
        <v>0.0</v>
      </c>
      <c r="U75" s="85">
        <v>0.0</v>
      </c>
      <c r="V75" s="85">
        <v>0.0</v>
      </c>
      <c r="W75" s="85">
        <v>0.0</v>
      </c>
      <c r="X75" s="85">
        <v>0.0</v>
      </c>
      <c r="Y75" s="85">
        <v>1.0</v>
      </c>
      <c r="Z75" s="85">
        <v>1.0</v>
      </c>
      <c r="AA75" s="85">
        <v>0.0</v>
      </c>
      <c r="AB75" s="85">
        <v>0.0</v>
      </c>
      <c r="AC75" s="85">
        <v>0.0</v>
      </c>
      <c r="AD75" s="85">
        <v>0.0</v>
      </c>
      <c r="AE75" s="62" t="b">
        <v>0</v>
      </c>
      <c r="AF75" s="62" t="b">
        <v>0</v>
      </c>
      <c r="AG75" s="85">
        <v>2.0</v>
      </c>
      <c r="AH75" s="86">
        <v>0.0</v>
      </c>
      <c r="AI75" s="62" t="b">
        <v>0</v>
      </c>
      <c r="AJ75" s="87" t="s">
        <v>409</v>
      </c>
      <c r="AK75" s="80">
        <f t="shared" si="1"/>
        <v>5</v>
      </c>
      <c r="AL75" s="80">
        <f t="shared" si="2"/>
        <v>5</v>
      </c>
    </row>
    <row r="76">
      <c r="A76" s="84" t="s">
        <v>150</v>
      </c>
      <c r="B76" s="85">
        <v>6.0</v>
      </c>
      <c r="C76" s="85">
        <v>4810.0</v>
      </c>
      <c r="D76" s="85">
        <v>0.0</v>
      </c>
      <c r="E76" s="85">
        <v>0.0</v>
      </c>
      <c r="F76" s="85">
        <v>0.0</v>
      </c>
      <c r="G76" s="85">
        <v>0.0</v>
      </c>
      <c r="H76" s="85">
        <v>0.0</v>
      </c>
      <c r="I76" s="85">
        <v>0.0</v>
      </c>
      <c r="J76" s="85">
        <v>0.0</v>
      </c>
      <c r="K76" s="85">
        <v>0.0</v>
      </c>
      <c r="L76" s="85">
        <v>1.0</v>
      </c>
      <c r="M76" s="85">
        <v>1.0</v>
      </c>
      <c r="N76" s="85">
        <v>0.0</v>
      </c>
      <c r="O76" s="85">
        <v>0.0</v>
      </c>
      <c r="P76" s="62" t="b">
        <v>0</v>
      </c>
      <c r="Q76" s="62" t="b">
        <v>0</v>
      </c>
      <c r="R76" s="62" t="b">
        <v>1</v>
      </c>
      <c r="S76" s="85">
        <v>0.0</v>
      </c>
      <c r="T76" s="85">
        <v>0.0</v>
      </c>
      <c r="U76" s="85">
        <v>0.0</v>
      </c>
      <c r="V76" s="85">
        <v>0.0</v>
      </c>
      <c r="W76" s="85">
        <v>0.0</v>
      </c>
      <c r="X76" s="85">
        <v>0.0</v>
      </c>
      <c r="Y76" s="85">
        <v>0.0</v>
      </c>
      <c r="Z76" s="85">
        <v>0.0</v>
      </c>
      <c r="AA76" s="85">
        <v>3.0</v>
      </c>
      <c r="AB76" s="85">
        <v>2.0</v>
      </c>
      <c r="AC76" s="85">
        <v>1.0</v>
      </c>
      <c r="AD76" s="85">
        <v>1.0</v>
      </c>
      <c r="AE76" s="62" t="b">
        <v>0</v>
      </c>
      <c r="AF76" s="62" t="b">
        <v>0</v>
      </c>
      <c r="AG76" s="85">
        <v>2.0</v>
      </c>
      <c r="AH76" s="86">
        <v>0.0</v>
      </c>
      <c r="AI76" s="62" t="b">
        <v>0</v>
      </c>
      <c r="AJ76" s="87" t="s">
        <v>410</v>
      </c>
      <c r="AK76" s="80">
        <f t="shared" si="1"/>
        <v>15</v>
      </c>
      <c r="AL76" s="80">
        <f t="shared" si="2"/>
        <v>15</v>
      </c>
    </row>
    <row r="77">
      <c r="A77" s="84" t="s">
        <v>351</v>
      </c>
      <c r="B77" s="85">
        <v>13.0</v>
      </c>
      <c r="C77" s="85">
        <v>4810.0</v>
      </c>
      <c r="D77" s="85">
        <v>0.0</v>
      </c>
      <c r="E77" s="85">
        <v>0.0</v>
      </c>
      <c r="F77" s="85">
        <v>0.0</v>
      </c>
      <c r="G77" s="85">
        <v>0.0</v>
      </c>
      <c r="H77" s="85">
        <v>0.0</v>
      </c>
      <c r="I77" s="85">
        <v>0.0</v>
      </c>
      <c r="J77" s="85">
        <v>0.0</v>
      </c>
      <c r="K77" s="85">
        <v>0.0</v>
      </c>
      <c r="L77" s="85">
        <v>1.0</v>
      </c>
      <c r="M77" s="85">
        <v>0.0</v>
      </c>
      <c r="N77" s="85">
        <v>1.0</v>
      </c>
      <c r="O77" s="85">
        <v>1.0</v>
      </c>
      <c r="P77" s="62" t="b">
        <v>0</v>
      </c>
      <c r="Q77" s="62" t="b">
        <v>0</v>
      </c>
      <c r="R77" s="62" t="b">
        <v>1</v>
      </c>
      <c r="S77" s="85">
        <v>0.0</v>
      </c>
      <c r="T77" s="85">
        <v>0.0</v>
      </c>
      <c r="U77" s="85">
        <v>0.0</v>
      </c>
      <c r="V77" s="85">
        <v>0.0</v>
      </c>
      <c r="W77" s="85">
        <v>0.0</v>
      </c>
      <c r="X77" s="85">
        <v>0.0</v>
      </c>
      <c r="Y77" s="85">
        <v>0.0</v>
      </c>
      <c r="Z77" s="85">
        <v>0.0</v>
      </c>
      <c r="AA77" s="85">
        <v>4.0</v>
      </c>
      <c r="AB77" s="85">
        <v>3.0</v>
      </c>
      <c r="AC77" s="85">
        <v>3.0</v>
      </c>
      <c r="AD77" s="85">
        <v>3.0</v>
      </c>
      <c r="AE77" s="62" t="b">
        <v>0</v>
      </c>
      <c r="AF77" s="62" t="b">
        <v>0</v>
      </c>
      <c r="AG77" s="85">
        <v>3.0</v>
      </c>
      <c r="AH77" s="86">
        <v>1.0</v>
      </c>
      <c r="AI77" s="62" t="b">
        <v>0</v>
      </c>
      <c r="AJ77" s="87" t="s">
        <v>411</v>
      </c>
      <c r="AK77" s="80">
        <f t="shared" si="1"/>
        <v>21</v>
      </c>
      <c r="AL77" s="80">
        <f t="shared" si="2"/>
        <v>21</v>
      </c>
    </row>
    <row r="78">
      <c r="A78" s="84" t="s">
        <v>364</v>
      </c>
      <c r="B78" s="85">
        <v>18.0</v>
      </c>
      <c r="C78" s="85">
        <v>4810.0</v>
      </c>
      <c r="D78" s="85">
        <v>0.0</v>
      </c>
      <c r="E78" s="85">
        <v>0.0</v>
      </c>
      <c r="F78" s="85">
        <v>0.0</v>
      </c>
      <c r="G78" s="85">
        <v>0.0</v>
      </c>
      <c r="H78" s="85">
        <v>0.0</v>
      </c>
      <c r="I78" s="85">
        <v>0.0</v>
      </c>
      <c r="J78" s="85">
        <v>0.0</v>
      </c>
      <c r="K78" s="85">
        <v>0.0</v>
      </c>
      <c r="L78" s="85">
        <v>1.0</v>
      </c>
      <c r="M78" s="85">
        <v>1.0</v>
      </c>
      <c r="N78" s="85">
        <v>0.0</v>
      </c>
      <c r="O78" s="85">
        <v>0.0</v>
      </c>
      <c r="P78" s="62" t="b">
        <v>0</v>
      </c>
      <c r="Q78" s="62" t="b">
        <v>0</v>
      </c>
      <c r="R78" s="62" t="b">
        <v>1</v>
      </c>
      <c r="S78" s="85">
        <v>0.0</v>
      </c>
      <c r="T78" s="85">
        <v>0.0</v>
      </c>
      <c r="U78" s="85">
        <v>0.0</v>
      </c>
      <c r="V78" s="85">
        <v>0.0</v>
      </c>
      <c r="W78" s="85">
        <v>0.0</v>
      </c>
      <c r="X78" s="85">
        <v>0.0</v>
      </c>
      <c r="Y78" s="85">
        <v>0.0</v>
      </c>
      <c r="Z78" s="85">
        <v>0.0</v>
      </c>
      <c r="AA78" s="85">
        <v>1.0</v>
      </c>
      <c r="AB78" s="85">
        <v>1.0</v>
      </c>
      <c r="AC78" s="85">
        <v>4.0</v>
      </c>
      <c r="AD78" s="85">
        <v>4.0</v>
      </c>
      <c r="AE78" s="62" t="b">
        <v>0</v>
      </c>
      <c r="AF78" s="62" t="b">
        <v>0</v>
      </c>
      <c r="AG78" s="85">
        <v>3.0</v>
      </c>
      <c r="AH78" s="86">
        <v>2.0</v>
      </c>
      <c r="AI78" s="62" t="b">
        <v>0</v>
      </c>
      <c r="AJ78" s="84" t="s">
        <v>412</v>
      </c>
      <c r="AK78" s="80">
        <f t="shared" si="1"/>
        <v>18</v>
      </c>
      <c r="AL78" s="80">
        <f t="shared" si="2"/>
        <v>18</v>
      </c>
    </row>
    <row r="79">
      <c r="A79" s="84" t="s">
        <v>365</v>
      </c>
      <c r="B79" s="85">
        <v>23.0</v>
      </c>
      <c r="C79" s="85">
        <v>4810.0</v>
      </c>
      <c r="D79" s="85">
        <v>0.0</v>
      </c>
      <c r="E79" s="85">
        <v>0.0</v>
      </c>
      <c r="F79" s="85">
        <v>0.0</v>
      </c>
      <c r="G79" s="85">
        <v>0.0</v>
      </c>
      <c r="H79" s="85">
        <v>0.0</v>
      </c>
      <c r="I79" s="85">
        <v>0.0</v>
      </c>
      <c r="J79" s="85">
        <v>0.0</v>
      </c>
      <c r="K79" s="85">
        <v>0.0</v>
      </c>
      <c r="L79" s="85">
        <v>0.0</v>
      </c>
      <c r="M79" s="85">
        <v>0.0</v>
      </c>
      <c r="N79" s="85">
        <v>0.0</v>
      </c>
      <c r="O79" s="85">
        <v>0.0</v>
      </c>
      <c r="P79" s="62" t="b">
        <v>0</v>
      </c>
      <c r="Q79" s="62" t="b">
        <v>0</v>
      </c>
      <c r="R79" s="62" t="b">
        <v>1</v>
      </c>
      <c r="S79" s="85">
        <v>0.0</v>
      </c>
      <c r="T79" s="85">
        <v>0.0</v>
      </c>
      <c r="U79" s="85">
        <v>0.0</v>
      </c>
      <c r="V79" s="85">
        <v>0.0</v>
      </c>
      <c r="W79" s="85">
        <v>0.0</v>
      </c>
      <c r="X79" s="85">
        <v>0.0</v>
      </c>
      <c r="Y79" s="85">
        <v>0.0</v>
      </c>
      <c r="Z79" s="85">
        <v>0.0</v>
      </c>
      <c r="AA79" s="85">
        <v>3.0</v>
      </c>
      <c r="AB79" s="85">
        <v>3.0</v>
      </c>
      <c r="AC79" s="85">
        <v>1.0</v>
      </c>
      <c r="AD79" s="85">
        <v>1.0</v>
      </c>
      <c r="AE79" s="62" t="b">
        <v>0</v>
      </c>
      <c r="AF79" s="62" t="b">
        <v>0</v>
      </c>
      <c r="AG79" s="85">
        <v>3.0</v>
      </c>
      <c r="AH79" s="86">
        <v>1.0</v>
      </c>
      <c r="AI79" s="62" t="b">
        <v>0</v>
      </c>
      <c r="AJ79" s="84"/>
      <c r="AK79" s="80">
        <f t="shared" si="1"/>
        <v>14</v>
      </c>
      <c r="AL79" s="80">
        <f t="shared" si="2"/>
        <v>14</v>
      </c>
    </row>
    <row r="80">
      <c r="A80" s="84" t="s">
        <v>413</v>
      </c>
      <c r="B80" s="85">
        <v>23.0</v>
      </c>
      <c r="C80" s="85">
        <v>4810.0</v>
      </c>
      <c r="D80" s="85">
        <v>0.0</v>
      </c>
      <c r="E80" s="85">
        <v>0.0</v>
      </c>
      <c r="F80" s="85">
        <v>0.0</v>
      </c>
      <c r="G80" s="85">
        <v>0.0</v>
      </c>
      <c r="H80" s="85">
        <v>0.0</v>
      </c>
      <c r="I80" s="85">
        <v>0.0</v>
      </c>
      <c r="J80" s="85">
        <v>0.0</v>
      </c>
      <c r="K80" s="85">
        <v>0.0</v>
      </c>
      <c r="L80" s="85">
        <v>0.0</v>
      </c>
      <c r="M80" s="85">
        <v>0.0</v>
      </c>
      <c r="N80" s="85">
        <v>0.0</v>
      </c>
      <c r="O80" s="85">
        <v>0.0</v>
      </c>
      <c r="P80" s="62" t="b">
        <v>0</v>
      </c>
      <c r="Q80" s="62" t="b">
        <v>0</v>
      </c>
      <c r="R80" s="62" t="b">
        <v>0</v>
      </c>
      <c r="S80" s="85">
        <v>0.0</v>
      </c>
      <c r="T80" s="85">
        <v>0.0</v>
      </c>
      <c r="U80" s="85">
        <v>0.0</v>
      </c>
      <c r="V80" s="85">
        <v>0.0</v>
      </c>
      <c r="W80" s="85">
        <v>0.0</v>
      </c>
      <c r="X80" s="85">
        <v>0.0</v>
      </c>
      <c r="Y80" s="85">
        <v>1.0</v>
      </c>
      <c r="Z80" s="85">
        <v>1.0</v>
      </c>
      <c r="AA80" s="85">
        <v>0.0</v>
      </c>
      <c r="AB80" s="85">
        <v>0.0</v>
      </c>
      <c r="AC80" s="85">
        <v>5.0</v>
      </c>
      <c r="AD80" s="85">
        <v>3.0</v>
      </c>
      <c r="AE80" s="62" t="b">
        <v>0</v>
      </c>
      <c r="AF80" s="62" t="b">
        <v>0</v>
      </c>
      <c r="AG80" s="85">
        <v>3.0</v>
      </c>
      <c r="AH80" s="86">
        <v>3.0</v>
      </c>
      <c r="AI80" s="62" t="b">
        <v>0</v>
      </c>
      <c r="AJ80" s="87" t="s">
        <v>414</v>
      </c>
      <c r="AK80" s="80">
        <f t="shared" si="1"/>
        <v>11</v>
      </c>
      <c r="AL80" s="80">
        <f t="shared" si="2"/>
        <v>11</v>
      </c>
    </row>
    <row r="81">
      <c r="A81" s="84" t="s">
        <v>356</v>
      </c>
      <c r="B81" s="85">
        <v>34.0</v>
      </c>
      <c r="C81" s="85">
        <v>4810.0</v>
      </c>
      <c r="D81" s="85">
        <v>0.0</v>
      </c>
      <c r="E81" s="85">
        <v>0.0</v>
      </c>
      <c r="F81" s="85">
        <v>0.0</v>
      </c>
      <c r="G81" s="85">
        <v>0.0</v>
      </c>
      <c r="H81" s="85">
        <v>0.0</v>
      </c>
      <c r="I81" s="85">
        <v>0.0</v>
      </c>
      <c r="J81" s="85">
        <v>0.0</v>
      </c>
      <c r="K81" s="85">
        <v>0.0</v>
      </c>
      <c r="L81" s="85">
        <v>1.0</v>
      </c>
      <c r="M81" s="85">
        <v>1.0</v>
      </c>
      <c r="N81" s="85">
        <v>0.0</v>
      </c>
      <c r="O81" s="85">
        <v>0.0</v>
      </c>
      <c r="P81" s="62" t="b">
        <v>0</v>
      </c>
      <c r="Q81" s="62" t="b">
        <v>0</v>
      </c>
      <c r="R81" s="62" t="b">
        <v>0</v>
      </c>
      <c r="S81" s="85">
        <v>1.0</v>
      </c>
      <c r="T81" s="85">
        <v>1.0</v>
      </c>
      <c r="U81" s="85">
        <v>0.0</v>
      </c>
      <c r="V81" s="85">
        <v>0.0</v>
      </c>
      <c r="W81" s="85">
        <v>0.0</v>
      </c>
      <c r="X81" s="85">
        <v>0.0</v>
      </c>
      <c r="Y81" s="85">
        <v>1.0</v>
      </c>
      <c r="Z81" s="85">
        <v>0.0</v>
      </c>
      <c r="AA81" s="85">
        <v>0.0</v>
      </c>
      <c r="AB81" s="85">
        <v>0.0</v>
      </c>
      <c r="AC81" s="85">
        <v>2.0</v>
      </c>
      <c r="AD81" s="85">
        <v>2.0</v>
      </c>
      <c r="AE81" s="62" t="b">
        <v>0</v>
      </c>
      <c r="AF81" s="62" t="b">
        <v>0</v>
      </c>
      <c r="AG81" s="85">
        <v>2.0</v>
      </c>
      <c r="AH81" s="86">
        <v>0.0</v>
      </c>
      <c r="AI81" s="62" t="b">
        <v>0</v>
      </c>
      <c r="AJ81" s="84" t="s">
        <v>415</v>
      </c>
      <c r="AK81" s="80">
        <f t="shared" si="1"/>
        <v>13</v>
      </c>
      <c r="AL81" s="80">
        <f t="shared" si="2"/>
        <v>13</v>
      </c>
    </row>
    <row r="82">
      <c r="A82" s="84" t="s">
        <v>150</v>
      </c>
      <c r="B82" s="85">
        <v>34.0</v>
      </c>
      <c r="C82" s="85">
        <v>4810.0</v>
      </c>
      <c r="D82" s="85">
        <v>0.0</v>
      </c>
      <c r="E82" s="85">
        <v>0.0</v>
      </c>
      <c r="F82" s="85">
        <v>0.0</v>
      </c>
      <c r="G82" s="85">
        <v>0.0</v>
      </c>
      <c r="H82" s="85">
        <v>0.0</v>
      </c>
      <c r="I82" s="85">
        <v>0.0</v>
      </c>
      <c r="J82" s="85">
        <v>0.0</v>
      </c>
      <c r="K82" s="85">
        <v>0.0</v>
      </c>
      <c r="L82" s="85">
        <v>1.0</v>
      </c>
      <c r="M82" s="85">
        <v>1.0</v>
      </c>
      <c r="N82" s="85">
        <v>0.0</v>
      </c>
      <c r="O82" s="85">
        <v>0.0</v>
      </c>
      <c r="P82" s="62" t="b">
        <v>0</v>
      </c>
      <c r="Q82" s="62" t="b">
        <v>0</v>
      </c>
      <c r="R82" s="62" t="b">
        <v>1</v>
      </c>
      <c r="S82" s="85">
        <v>0.0</v>
      </c>
      <c r="T82" s="85">
        <v>0.0</v>
      </c>
      <c r="U82" s="85">
        <v>0.0</v>
      </c>
      <c r="V82" s="85">
        <v>0.0</v>
      </c>
      <c r="W82" s="85">
        <v>0.0</v>
      </c>
      <c r="X82" s="85">
        <v>0.0</v>
      </c>
      <c r="Y82" s="85">
        <v>0.0</v>
      </c>
      <c r="Z82" s="85">
        <v>0.0</v>
      </c>
      <c r="AA82" s="85">
        <v>2.0</v>
      </c>
      <c r="AB82" s="85">
        <v>1.0</v>
      </c>
      <c r="AC82" s="85">
        <v>2.0</v>
      </c>
      <c r="AD82" s="85">
        <v>2.0</v>
      </c>
      <c r="AE82" s="62" t="b">
        <v>0</v>
      </c>
      <c r="AF82" s="62" t="b">
        <v>0</v>
      </c>
      <c r="AG82" s="85">
        <v>2.0</v>
      </c>
      <c r="AH82" s="86">
        <v>2.0</v>
      </c>
      <c r="AI82" s="62" t="b">
        <v>0</v>
      </c>
      <c r="AJ82" s="87" t="s">
        <v>416</v>
      </c>
      <c r="AK82" s="80">
        <f t="shared" si="1"/>
        <v>14</v>
      </c>
      <c r="AL82" s="80">
        <f t="shared" si="2"/>
        <v>14</v>
      </c>
    </row>
    <row r="83">
      <c r="A83" s="84" t="s">
        <v>364</v>
      </c>
      <c r="B83" s="85">
        <v>3.0</v>
      </c>
      <c r="C83" s="85">
        <v>4779.0</v>
      </c>
      <c r="D83" s="85">
        <v>1.0</v>
      </c>
      <c r="E83" s="85">
        <v>1.0</v>
      </c>
      <c r="F83" s="85">
        <v>0.0</v>
      </c>
      <c r="G83" s="85">
        <v>0.0</v>
      </c>
      <c r="H83" s="85">
        <v>0.0</v>
      </c>
      <c r="I83" s="85">
        <v>0.0</v>
      </c>
      <c r="J83" s="85">
        <v>0.0</v>
      </c>
      <c r="K83" s="85">
        <v>0.0</v>
      </c>
      <c r="L83" s="85">
        <v>0.0</v>
      </c>
      <c r="M83" s="85">
        <v>0.0</v>
      </c>
      <c r="N83" s="85">
        <v>0.0</v>
      </c>
      <c r="O83" s="85">
        <v>0.0</v>
      </c>
      <c r="P83" s="62" t="b">
        <v>0</v>
      </c>
      <c r="Q83" s="62" t="b">
        <v>1</v>
      </c>
      <c r="R83" s="62" t="b">
        <v>0</v>
      </c>
      <c r="S83" s="85">
        <v>3.0</v>
      </c>
      <c r="T83" s="85">
        <v>2.0</v>
      </c>
      <c r="U83" s="85">
        <v>1.0</v>
      </c>
      <c r="V83" s="85">
        <v>1.0</v>
      </c>
      <c r="W83" s="85">
        <v>0.0</v>
      </c>
      <c r="X83" s="85">
        <v>0.0</v>
      </c>
      <c r="Y83" s="85">
        <v>1.0</v>
      </c>
      <c r="Z83" s="85">
        <v>1.0</v>
      </c>
      <c r="AA83" s="85">
        <v>0.0</v>
      </c>
      <c r="AB83" s="85">
        <v>0.0</v>
      </c>
      <c r="AC83" s="85">
        <v>0.0</v>
      </c>
      <c r="AD83" s="85">
        <v>0.0</v>
      </c>
      <c r="AE83" s="62" t="b">
        <v>0</v>
      </c>
      <c r="AF83" s="62" t="b">
        <v>1</v>
      </c>
      <c r="AG83" s="85">
        <v>3.0</v>
      </c>
      <c r="AH83" s="86">
        <v>3.0</v>
      </c>
      <c r="AI83" s="62" t="b">
        <v>0</v>
      </c>
      <c r="AJ83" s="84"/>
      <c r="AK83" s="80">
        <f t="shared" si="1"/>
        <v>24</v>
      </c>
      <c r="AL83" s="80">
        <f t="shared" si="2"/>
        <v>24</v>
      </c>
    </row>
    <row r="84">
      <c r="A84" s="84" t="s">
        <v>102</v>
      </c>
      <c r="B84" s="85">
        <v>8.0</v>
      </c>
      <c r="C84" s="85">
        <v>4779.0</v>
      </c>
      <c r="D84" s="85">
        <v>1.0</v>
      </c>
      <c r="E84" s="85">
        <v>0.0</v>
      </c>
      <c r="F84" s="85">
        <v>0.0</v>
      </c>
      <c r="G84" s="85">
        <v>0.0</v>
      </c>
      <c r="H84" s="85">
        <v>1.0</v>
      </c>
      <c r="I84" s="85">
        <v>1.0</v>
      </c>
      <c r="J84" s="85">
        <v>0.0</v>
      </c>
      <c r="K84" s="85">
        <v>0.0</v>
      </c>
      <c r="L84" s="85">
        <v>0.0</v>
      </c>
      <c r="M84" s="85">
        <v>0.0</v>
      </c>
      <c r="N84" s="85">
        <v>0.0</v>
      </c>
      <c r="O84" s="85">
        <v>0.0</v>
      </c>
      <c r="P84" s="62" t="b">
        <v>0</v>
      </c>
      <c r="Q84" s="62" t="b">
        <v>0</v>
      </c>
      <c r="R84" s="62" t="b">
        <v>1</v>
      </c>
      <c r="S84" s="85">
        <v>2.0</v>
      </c>
      <c r="T84" s="85">
        <v>2.0</v>
      </c>
      <c r="U84" s="85">
        <v>2.0</v>
      </c>
      <c r="V84" s="85">
        <v>2.0</v>
      </c>
      <c r="W84" s="85">
        <v>2.0</v>
      </c>
      <c r="X84" s="85">
        <v>2.0</v>
      </c>
      <c r="Y84" s="85">
        <v>0.0</v>
      </c>
      <c r="Z84" s="85">
        <v>0.0</v>
      </c>
      <c r="AA84" s="85">
        <v>0.0</v>
      </c>
      <c r="AB84" s="85">
        <v>0.0</v>
      </c>
      <c r="AC84" s="85">
        <v>0.0</v>
      </c>
      <c r="AD84" s="85">
        <v>0.0</v>
      </c>
      <c r="AE84" s="62" t="b">
        <v>0</v>
      </c>
      <c r="AF84" s="62" t="b">
        <v>0</v>
      </c>
      <c r="AG84" s="85">
        <v>3.0</v>
      </c>
      <c r="AH84" s="86">
        <v>1.0</v>
      </c>
      <c r="AI84" s="62" t="b">
        <v>0</v>
      </c>
      <c r="AJ84" s="84" t="s">
        <v>417</v>
      </c>
      <c r="AK84" s="80">
        <f t="shared" si="1"/>
        <v>26</v>
      </c>
      <c r="AL84" s="80">
        <f t="shared" si="2"/>
        <v>26</v>
      </c>
    </row>
    <row r="85">
      <c r="A85" s="84" t="s">
        <v>364</v>
      </c>
      <c r="B85" s="85">
        <v>13.0</v>
      </c>
      <c r="C85" s="85">
        <v>4779.0</v>
      </c>
      <c r="D85" s="85">
        <v>0.0</v>
      </c>
      <c r="E85" s="85">
        <v>0.0</v>
      </c>
      <c r="F85" s="85">
        <v>0.0</v>
      </c>
      <c r="G85" s="85">
        <v>0.0</v>
      </c>
      <c r="H85" s="85">
        <v>0.0</v>
      </c>
      <c r="I85" s="85">
        <v>0.0</v>
      </c>
      <c r="J85" s="85">
        <v>1.0</v>
      </c>
      <c r="K85" s="85">
        <v>1.0</v>
      </c>
      <c r="L85" s="85">
        <v>0.0</v>
      </c>
      <c r="M85" s="85">
        <v>0.0</v>
      </c>
      <c r="N85" s="85">
        <v>0.0</v>
      </c>
      <c r="O85" s="85">
        <v>0.0</v>
      </c>
      <c r="P85" s="62" t="b">
        <v>0</v>
      </c>
      <c r="Q85" s="62" t="b">
        <v>1</v>
      </c>
      <c r="R85" s="62" t="b">
        <v>0</v>
      </c>
      <c r="S85" s="85">
        <v>3.0</v>
      </c>
      <c r="T85" s="85">
        <v>2.0</v>
      </c>
      <c r="U85" s="85">
        <v>0.0</v>
      </c>
      <c r="V85" s="85">
        <v>0.0</v>
      </c>
      <c r="W85" s="85">
        <v>0.0</v>
      </c>
      <c r="X85" s="85">
        <v>0.0</v>
      </c>
      <c r="Y85" s="85">
        <v>0.0</v>
      </c>
      <c r="Z85" s="85">
        <v>0.0</v>
      </c>
      <c r="AA85" s="85">
        <v>0.0</v>
      </c>
      <c r="AB85" s="85">
        <v>0.0</v>
      </c>
      <c r="AC85" s="85">
        <v>0.0</v>
      </c>
      <c r="AD85" s="85">
        <v>0.0</v>
      </c>
      <c r="AE85" s="62" t="b">
        <v>0</v>
      </c>
      <c r="AF85" s="62" t="b">
        <v>1</v>
      </c>
      <c r="AG85" s="85">
        <v>2.0</v>
      </c>
      <c r="AH85" s="86">
        <v>3.0</v>
      </c>
      <c r="AI85" s="62" t="b">
        <v>0</v>
      </c>
      <c r="AJ85" s="84" t="s">
        <v>418</v>
      </c>
      <c r="AK85" s="80">
        <f t="shared" si="1"/>
        <v>16</v>
      </c>
      <c r="AL85" s="80">
        <f t="shared" si="2"/>
        <v>16</v>
      </c>
    </row>
    <row r="86">
      <c r="A86" s="84" t="s">
        <v>150</v>
      </c>
      <c r="B86" s="85">
        <v>20.0</v>
      </c>
      <c r="C86" s="85">
        <v>4779.0</v>
      </c>
      <c r="D86" s="85">
        <v>1.0</v>
      </c>
      <c r="E86" s="85">
        <v>0.0</v>
      </c>
      <c r="F86" s="85">
        <v>0.0</v>
      </c>
      <c r="G86" s="85">
        <v>0.0</v>
      </c>
      <c r="H86" s="85">
        <v>1.0</v>
      </c>
      <c r="I86" s="85">
        <v>1.0</v>
      </c>
      <c r="J86" s="85">
        <v>1.0</v>
      </c>
      <c r="K86" s="85">
        <v>0.0</v>
      </c>
      <c r="L86" s="85">
        <v>0.0</v>
      </c>
      <c r="M86" s="85">
        <v>0.0</v>
      </c>
      <c r="N86" s="85">
        <v>0.0</v>
      </c>
      <c r="O86" s="85">
        <v>0.0</v>
      </c>
      <c r="P86" s="62" t="b">
        <v>0</v>
      </c>
      <c r="Q86" s="62" t="b">
        <v>0</v>
      </c>
      <c r="R86" s="62" t="b">
        <v>1</v>
      </c>
      <c r="S86" s="85">
        <v>1.0</v>
      </c>
      <c r="T86" s="85">
        <v>1.0</v>
      </c>
      <c r="U86" s="85">
        <v>1.0</v>
      </c>
      <c r="V86" s="85">
        <v>1.0</v>
      </c>
      <c r="W86" s="85">
        <v>1.0</v>
      </c>
      <c r="X86" s="85">
        <v>1.0</v>
      </c>
      <c r="Y86" s="85">
        <v>0.0</v>
      </c>
      <c r="Z86" s="85">
        <v>0.0</v>
      </c>
      <c r="AA86" s="85">
        <v>0.0</v>
      </c>
      <c r="AB86" s="85">
        <v>0.0</v>
      </c>
      <c r="AC86" s="85">
        <v>0.0</v>
      </c>
      <c r="AD86" s="85">
        <v>0.0</v>
      </c>
      <c r="AE86" s="62" t="b">
        <v>0</v>
      </c>
      <c r="AF86" s="62" t="b">
        <v>0</v>
      </c>
      <c r="AG86" s="85">
        <v>2.0</v>
      </c>
      <c r="AH86" s="86">
        <v>2.0</v>
      </c>
      <c r="AI86" s="62" t="b">
        <v>1</v>
      </c>
      <c r="AJ86" s="87" t="s">
        <v>419</v>
      </c>
      <c r="AK86" s="80">
        <f t="shared" si="1"/>
        <v>16</v>
      </c>
      <c r="AL86" s="80">
        <f t="shared" si="2"/>
        <v>16</v>
      </c>
    </row>
    <row r="87">
      <c r="A87" s="84" t="s">
        <v>364</v>
      </c>
      <c r="B87" s="85">
        <v>28.0</v>
      </c>
      <c r="C87" s="85">
        <v>4779.0</v>
      </c>
      <c r="D87" s="85">
        <v>1.0</v>
      </c>
      <c r="E87" s="85">
        <v>0.0</v>
      </c>
      <c r="F87" s="85">
        <v>0.0</v>
      </c>
      <c r="G87" s="85">
        <v>0.0</v>
      </c>
      <c r="H87" s="85">
        <v>0.0</v>
      </c>
      <c r="I87" s="85">
        <v>0.0</v>
      </c>
      <c r="J87" s="85">
        <v>0.0</v>
      </c>
      <c r="K87" s="85">
        <v>0.0</v>
      </c>
      <c r="L87" s="85">
        <v>0.0</v>
      </c>
      <c r="M87" s="85">
        <v>0.0</v>
      </c>
      <c r="N87" s="85">
        <v>0.0</v>
      </c>
      <c r="O87" s="85">
        <v>0.0</v>
      </c>
      <c r="P87" s="62" t="b">
        <v>0</v>
      </c>
      <c r="Q87" s="62" t="b">
        <v>0</v>
      </c>
      <c r="R87" s="62" t="b">
        <v>0</v>
      </c>
      <c r="S87" s="85">
        <v>1.0</v>
      </c>
      <c r="T87" s="85">
        <v>1.0</v>
      </c>
      <c r="U87" s="85">
        <v>2.0</v>
      </c>
      <c r="V87" s="85">
        <v>2.0</v>
      </c>
      <c r="W87" s="85">
        <v>0.0</v>
      </c>
      <c r="X87" s="85">
        <v>0.0</v>
      </c>
      <c r="Y87" s="85">
        <v>2.0</v>
      </c>
      <c r="Z87" s="85">
        <v>1.0</v>
      </c>
      <c r="AA87" s="85">
        <v>0.0</v>
      </c>
      <c r="AB87" s="85">
        <v>0.0</v>
      </c>
      <c r="AC87" s="85">
        <v>0.0</v>
      </c>
      <c r="AD87" s="85">
        <v>0.0</v>
      </c>
      <c r="AE87" s="62" t="b">
        <v>0</v>
      </c>
      <c r="AF87" s="62" t="b">
        <v>0</v>
      </c>
      <c r="AG87" s="85">
        <v>4.0</v>
      </c>
      <c r="AH87" s="86">
        <v>1.0</v>
      </c>
      <c r="AI87" s="62" t="b">
        <v>0</v>
      </c>
      <c r="AJ87" s="84" t="s">
        <v>106</v>
      </c>
      <c r="AK87" s="80">
        <f t="shared" si="1"/>
        <v>16</v>
      </c>
      <c r="AL87" s="80">
        <f t="shared" si="2"/>
        <v>16</v>
      </c>
    </row>
    <row r="88">
      <c r="A88" s="84" t="s">
        <v>420</v>
      </c>
      <c r="B88" s="85">
        <v>35.0</v>
      </c>
      <c r="C88" s="85">
        <v>4779.0</v>
      </c>
      <c r="D88" s="85">
        <v>1.0</v>
      </c>
      <c r="E88" s="85">
        <v>1.0</v>
      </c>
      <c r="F88" s="85">
        <v>0.0</v>
      </c>
      <c r="G88" s="85">
        <v>0.0</v>
      </c>
      <c r="H88" s="85">
        <v>0.0</v>
      </c>
      <c r="I88" s="85">
        <v>0.0</v>
      </c>
      <c r="J88" s="85">
        <v>0.0</v>
      </c>
      <c r="K88" s="85">
        <v>0.0</v>
      </c>
      <c r="L88" s="85">
        <v>0.0</v>
      </c>
      <c r="M88" s="85">
        <v>0.0</v>
      </c>
      <c r="N88" s="85">
        <v>0.0</v>
      </c>
      <c r="O88" s="85">
        <v>0.0</v>
      </c>
      <c r="P88" s="62" t="b">
        <v>0</v>
      </c>
      <c r="Q88" s="62" t="b">
        <v>0</v>
      </c>
      <c r="R88" s="62" t="b">
        <v>0</v>
      </c>
      <c r="S88" s="85">
        <v>5.0</v>
      </c>
      <c r="T88" s="85">
        <v>3.0</v>
      </c>
      <c r="U88" s="85">
        <v>1.0</v>
      </c>
      <c r="V88" s="85">
        <v>0.0</v>
      </c>
      <c r="W88" s="85">
        <v>0.0</v>
      </c>
      <c r="X88" s="85">
        <v>0.0</v>
      </c>
      <c r="Y88" s="85">
        <v>0.0</v>
      </c>
      <c r="Z88" s="85">
        <v>0.0</v>
      </c>
      <c r="AA88" s="85">
        <v>0.0</v>
      </c>
      <c r="AB88" s="85">
        <v>0.0</v>
      </c>
      <c r="AC88" s="85">
        <v>0.0</v>
      </c>
      <c r="AD88" s="85">
        <v>0.0</v>
      </c>
      <c r="AE88" s="62" t="b">
        <v>0</v>
      </c>
      <c r="AF88" s="62" t="b">
        <v>0</v>
      </c>
      <c r="AG88" s="85">
        <v>2.0</v>
      </c>
      <c r="AH88" s="86">
        <v>2.0</v>
      </c>
      <c r="AI88" s="62" t="b">
        <v>0</v>
      </c>
      <c r="AJ88" s="84" t="s">
        <v>421</v>
      </c>
      <c r="AK88" s="80">
        <f t="shared" si="1"/>
        <v>21</v>
      </c>
      <c r="AL88" s="80">
        <f t="shared" si="2"/>
        <v>21</v>
      </c>
    </row>
    <row r="89">
      <c r="A89" s="84" t="s">
        <v>391</v>
      </c>
      <c r="B89" s="85">
        <v>3.0</v>
      </c>
      <c r="C89" s="85">
        <v>3668.0</v>
      </c>
      <c r="D89" s="85">
        <v>1.0</v>
      </c>
      <c r="E89" s="85">
        <v>1.0</v>
      </c>
      <c r="F89" s="85">
        <v>0.0</v>
      </c>
      <c r="G89" s="85">
        <v>0.0</v>
      </c>
      <c r="H89" s="85">
        <v>0.0</v>
      </c>
      <c r="I89" s="85">
        <v>0.0</v>
      </c>
      <c r="J89" s="85">
        <v>1.0</v>
      </c>
      <c r="K89" s="85">
        <v>0.0</v>
      </c>
      <c r="L89" s="85">
        <v>0.0</v>
      </c>
      <c r="M89" s="85">
        <v>0.0</v>
      </c>
      <c r="N89" s="85">
        <v>0.0</v>
      </c>
      <c r="O89" s="85">
        <v>0.0</v>
      </c>
      <c r="P89" s="62" t="b">
        <v>0</v>
      </c>
      <c r="Q89" s="62" t="b">
        <v>0</v>
      </c>
      <c r="R89" s="62" t="b">
        <v>0</v>
      </c>
      <c r="S89" s="85">
        <v>3.0</v>
      </c>
      <c r="T89" s="85">
        <v>3.0</v>
      </c>
      <c r="U89" s="85">
        <v>1.0</v>
      </c>
      <c r="V89" s="85">
        <v>1.0</v>
      </c>
      <c r="W89" s="85">
        <v>1.0</v>
      </c>
      <c r="X89" s="85">
        <v>1.0</v>
      </c>
      <c r="Y89" s="85">
        <v>0.0</v>
      </c>
      <c r="Z89" s="85">
        <v>0.0</v>
      </c>
      <c r="AA89" s="85">
        <v>0.0</v>
      </c>
      <c r="AB89" s="85">
        <v>0.0</v>
      </c>
      <c r="AC89" s="85">
        <v>1.0</v>
      </c>
      <c r="AD89" s="85">
        <v>1.0</v>
      </c>
      <c r="AE89" s="62" t="b">
        <v>0</v>
      </c>
      <c r="AF89" s="62" t="b">
        <v>0</v>
      </c>
      <c r="AG89" s="85">
        <v>4.0</v>
      </c>
      <c r="AH89" s="86">
        <v>0.0</v>
      </c>
      <c r="AI89" s="62" t="b">
        <v>0</v>
      </c>
      <c r="AJ89" s="84"/>
      <c r="AK89" s="80">
        <f t="shared" si="1"/>
        <v>28</v>
      </c>
      <c r="AL89" s="80">
        <f t="shared" si="2"/>
        <v>28</v>
      </c>
    </row>
    <row r="90">
      <c r="A90" s="84" t="s">
        <v>365</v>
      </c>
      <c r="B90" s="85">
        <v>10.0</v>
      </c>
      <c r="C90" s="85">
        <v>3668.0</v>
      </c>
      <c r="D90" s="85">
        <v>0.0</v>
      </c>
      <c r="E90" s="85">
        <v>0.0</v>
      </c>
      <c r="F90" s="85">
        <v>0.0</v>
      </c>
      <c r="G90" s="85">
        <v>0.0</v>
      </c>
      <c r="H90" s="85">
        <v>0.0</v>
      </c>
      <c r="I90" s="85">
        <v>0.0</v>
      </c>
      <c r="J90" s="85">
        <v>0.0</v>
      </c>
      <c r="K90" s="85">
        <v>0.0</v>
      </c>
      <c r="L90" s="85">
        <v>0.0</v>
      </c>
      <c r="M90" s="85">
        <v>0.0</v>
      </c>
      <c r="N90" s="85">
        <v>1.0</v>
      </c>
      <c r="O90" s="85">
        <v>1.0</v>
      </c>
      <c r="P90" s="62" t="b">
        <v>1</v>
      </c>
      <c r="Q90" s="62" t="b">
        <v>1</v>
      </c>
      <c r="R90" s="62" t="b">
        <v>1</v>
      </c>
      <c r="S90" s="85">
        <v>3.0</v>
      </c>
      <c r="T90" s="85">
        <v>3.0</v>
      </c>
      <c r="U90" s="85">
        <v>0.0</v>
      </c>
      <c r="V90" s="85">
        <v>0.0</v>
      </c>
      <c r="W90" s="85">
        <v>0.0</v>
      </c>
      <c r="X90" s="85">
        <v>0.0</v>
      </c>
      <c r="Y90" s="85">
        <v>2.0</v>
      </c>
      <c r="Z90" s="85">
        <v>2.0</v>
      </c>
      <c r="AA90" s="85">
        <v>1.0</v>
      </c>
      <c r="AB90" s="85">
        <v>1.0</v>
      </c>
      <c r="AC90" s="85">
        <v>0.0</v>
      </c>
      <c r="AD90" s="85">
        <v>0.0</v>
      </c>
      <c r="AE90" s="62" t="b">
        <v>1</v>
      </c>
      <c r="AF90" s="62" t="b">
        <v>1</v>
      </c>
      <c r="AG90" s="85">
        <v>4.0</v>
      </c>
      <c r="AH90" s="86">
        <v>0.0</v>
      </c>
      <c r="AI90" s="62" t="b">
        <v>0</v>
      </c>
      <c r="AJ90" s="84"/>
      <c r="AK90" s="80">
        <f t="shared" si="1"/>
        <v>56</v>
      </c>
      <c r="AL90" s="80">
        <f t="shared" si="2"/>
        <v>34</v>
      </c>
    </row>
    <row r="91">
      <c r="A91" s="84" t="s">
        <v>377</v>
      </c>
      <c r="B91" s="85">
        <v>15.0</v>
      </c>
      <c r="C91" s="85">
        <v>3668.0</v>
      </c>
      <c r="D91" s="85">
        <v>1.0</v>
      </c>
      <c r="E91" s="85">
        <v>1.0</v>
      </c>
      <c r="F91" s="85">
        <v>0.0</v>
      </c>
      <c r="G91" s="85">
        <v>0.0</v>
      </c>
      <c r="H91" s="85">
        <v>0.0</v>
      </c>
      <c r="I91" s="85">
        <v>0.0</v>
      </c>
      <c r="J91" s="85">
        <v>1.0</v>
      </c>
      <c r="K91" s="85">
        <v>0.0</v>
      </c>
      <c r="L91" s="85">
        <v>0.0</v>
      </c>
      <c r="M91" s="85">
        <v>0.0</v>
      </c>
      <c r="N91" s="85">
        <v>0.0</v>
      </c>
      <c r="O91" s="85">
        <v>0.0</v>
      </c>
      <c r="P91" s="62" t="b">
        <v>0</v>
      </c>
      <c r="Q91" s="62" t="b">
        <v>0</v>
      </c>
      <c r="R91" s="62" t="b">
        <v>1</v>
      </c>
      <c r="S91" s="85">
        <v>1.0</v>
      </c>
      <c r="T91" s="85">
        <v>1.0</v>
      </c>
      <c r="U91" s="85">
        <v>3.0</v>
      </c>
      <c r="V91" s="85">
        <v>2.0</v>
      </c>
      <c r="W91" s="85">
        <v>0.0</v>
      </c>
      <c r="X91" s="85">
        <v>0.0</v>
      </c>
      <c r="Y91" s="85">
        <v>0.0</v>
      </c>
      <c r="Z91" s="85">
        <v>0.0</v>
      </c>
      <c r="AA91" s="85">
        <v>2.0</v>
      </c>
      <c r="AB91" s="85">
        <v>2.0</v>
      </c>
      <c r="AC91" s="85">
        <v>0.0</v>
      </c>
      <c r="AD91" s="85">
        <v>0.0</v>
      </c>
      <c r="AE91" s="62" t="b">
        <v>0</v>
      </c>
      <c r="AF91" s="62" t="b">
        <v>0</v>
      </c>
      <c r="AG91" s="85">
        <v>4.0</v>
      </c>
      <c r="AH91" s="86">
        <v>1.0</v>
      </c>
      <c r="AI91" s="62" t="b">
        <v>0</v>
      </c>
      <c r="AJ91" s="84" t="s">
        <v>422</v>
      </c>
      <c r="AK91" s="80">
        <f t="shared" si="1"/>
        <v>26</v>
      </c>
      <c r="AL91" s="80">
        <f t="shared" si="2"/>
        <v>26</v>
      </c>
    </row>
    <row r="92">
      <c r="A92" s="84" t="s">
        <v>423</v>
      </c>
      <c r="B92" s="85">
        <v>23.0</v>
      </c>
      <c r="C92" s="85">
        <v>3668.0</v>
      </c>
      <c r="D92" s="85">
        <v>1.0</v>
      </c>
      <c r="E92" s="85">
        <v>1.0</v>
      </c>
      <c r="F92" s="85">
        <v>0.0</v>
      </c>
      <c r="G92" s="85">
        <v>0.0</v>
      </c>
      <c r="H92" s="85">
        <v>0.0</v>
      </c>
      <c r="I92" s="85">
        <v>0.0</v>
      </c>
      <c r="J92" s="85">
        <v>0.0</v>
      </c>
      <c r="K92" s="85">
        <v>0.0</v>
      </c>
      <c r="L92" s="85">
        <v>0.0</v>
      </c>
      <c r="M92" s="85">
        <v>0.0</v>
      </c>
      <c r="N92" s="85">
        <v>0.0</v>
      </c>
      <c r="O92" s="85">
        <v>0.0</v>
      </c>
      <c r="P92" s="62" t="b">
        <v>1</v>
      </c>
      <c r="Q92" s="62" t="b">
        <v>1</v>
      </c>
      <c r="R92" s="62" t="b">
        <v>1</v>
      </c>
      <c r="S92" s="85">
        <v>4.0</v>
      </c>
      <c r="T92" s="85">
        <v>4.0</v>
      </c>
      <c r="U92" s="85">
        <v>0.0</v>
      </c>
      <c r="V92" s="85">
        <v>0.0</v>
      </c>
      <c r="W92" s="85">
        <v>0.0</v>
      </c>
      <c r="X92" s="85">
        <v>0.0</v>
      </c>
      <c r="Y92" s="85">
        <v>3.0</v>
      </c>
      <c r="Z92" s="85">
        <v>3.0</v>
      </c>
      <c r="AA92" s="85">
        <v>1.0</v>
      </c>
      <c r="AB92" s="85">
        <v>1.0</v>
      </c>
      <c r="AC92" s="85">
        <v>0.0</v>
      </c>
      <c r="AD92" s="85">
        <v>0.0</v>
      </c>
      <c r="AE92" s="62" t="b">
        <v>1</v>
      </c>
      <c r="AF92" s="62" t="b">
        <v>1</v>
      </c>
      <c r="AG92" s="85">
        <v>3.0</v>
      </c>
      <c r="AH92" s="86">
        <v>1.0</v>
      </c>
      <c r="AI92" s="62" t="b">
        <v>0</v>
      </c>
      <c r="AJ92" s="84" t="s">
        <v>424</v>
      </c>
      <c r="AK92" s="80">
        <f t="shared" si="1"/>
        <v>69</v>
      </c>
      <c r="AL92" s="80">
        <f t="shared" si="2"/>
        <v>47</v>
      </c>
    </row>
    <row r="93">
      <c r="A93" s="84" t="s">
        <v>425</v>
      </c>
      <c r="B93" s="85">
        <v>32.0</v>
      </c>
      <c r="C93" s="85">
        <v>3668.0</v>
      </c>
      <c r="D93" s="85">
        <v>0.0</v>
      </c>
      <c r="E93" s="85">
        <v>0.0</v>
      </c>
      <c r="F93" s="85">
        <v>0.0</v>
      </c>
      <c r="G93" s="85">
        <v>0.0</v>
      </c>
      <c r="H93" s="85">
        <v>0.0</v>
      </c>
      <c r="I93" s="85">
        <v>0.0</v>
      </c>
      <c r="J93" s="85">
        <v>0.0</v>
      </c>
      <c r="K93" s="85">
        <v>0.0</v>
      </c>
      <c r="L93" s="85">
        <v>0.0</v>
      </c>
      <c r="M93" s="85">
        <v>0.0</v>
      </c>
      <c r="N93" s="85">
        <v>0.0</v>
      </c>
      <c r="O93" s="85">
        <v>0.0</v>
      </c>
      <c r="P93" s="62" t="b">
        <v>0</v>
      </c>
      <c r="Q93" s="62" t="b">
        <v>0</v>
      </c>
      <c r="R93" s="62" t="b">
        <v>0</v>
      </c>
      <c r="S93" s="85">
        <v>4.0</v>
      </c>
      <c r="T93" s="85">
        <v>4.0</v>
      </c>
      <c r="U93" s="85">
        <v>2.0</v>
      </c>
      <c r="V93" s="85">
        <v>2.0</v>
      </c>
      <c r="W93" s="85">
        <v>0.0</v>
      </c>
      <c r="X93" s="85">
        <v>0.0</v>
      </c>
      <c r="Y93" s="85">
        <v>1.0</v>
      </c>
      <c r="Z93" s="85">
        <v>1.0</v>
      </c>
      <c r="AA93" s="85">
        <v>0.0</v>
      </c>
      <c r="AB93" s="85">
        <v>0.0</v>
      </c>
      <c r="AC93" s="85">
        <v>0.0</v>
      </c>
      <c r="AD93" s="85">
        <v>0.0</v>
      </c>
      <c r="AE93" s="62" t="b">
        <v>0</v>
      </c>
      <c r="AF93" s="62" t="b">
        <v>0</v>
      </c>
      <c r="AG93" s="85">
        <v>4.0</v>
      </c>
      <c r="AH93" s="86">
        <v>3.0</v>
      </c>
      <c r="AI93" s="62" t="b">
        <v>0</v>
      </c>
      <c r="AJ93" s="87" t="s">
        <v>426</v>
      </c>
      <c r="AK93" s="80">
        <f t="shared" si="1"/>
        <v>31</v>
      </c>
      <c r="AL93" s="80">
        <f t="shared" si="2"/>
        <v>31</v>
      </c>
    </row>
    <row r="94">
      <c r="A94" s="84" t="s">
        <v>102</v>
      </c>
      <c r="B94" s="85">
        <v>3.0</v>
      </c>
      <c r="C94" s="85">
        <v>3656.0</v>
      </c>
      <c r="D94" s="85">
        <v>1.0</v>
      </c>
      <c r="E94" s="85">
        <v>0.0</v>
      </c>
      <c r="F94" s="85">
        <v>0.0</v>
      </c>
      <c r="G94" s="85">
        <v>0.0</v>
      </c>
      <c r="H94" s="85">
        <v>1.0</v>
      </c>
      <c r="I94" s="85">
        <v>1.0</v>
      </c>
      <c r="J94" s="85">
        <v>1.0</v>
      </c>
      <c r="K94" s="85">
        <v>1.0</v>
      </c>
      <c r="L94" s="85">
        <v>0.0</v>
      </c>
      <c r="M94" s="85">
        <v>0.0</v>
      </c>
      <c r="N94" s="85">
        <v>0.0</v>
      </c>
      <c r="O94" s="85">
        <v>0.0</v>
      </c>
      <c r="P94" s="62" t="b">
        <v>0</v>
      </c>
      <c r="Q94" s="62" t="b">
        <v>0</v>
      </c>
      <c r="R94" s="62" t="b">
        <v>1</v>
      </c>
      <c r="S94" s="85">
        <v>0.0</v>
      </c>
      <c r="T94" s="85">
        <v>0.0</v>
      </c>
      <c r="U94" s="85">
        <v>0.0</v>
      </c>
      <c r="V94" s="85">
        <v>0.0</v>
      </c>
      <c r="W94" s="85">
        <v>0.0</v>
      </c>
      <c r="X94" s="85">
        <v>0.0</v>
      </c>
      <c r="Y94" s="85">
        <v>0.0</v>
      </c>
      <c r="Z94" s="85">
        <v>0.0</v>
      </c>
      <c r="AA94" s="85">
        <v>0.0</v>
      </c>
      <c r="AB94" s="85">
        <v>0.0</v>
      </c>
      <c r="AC94" s="85">
        <v>2.0</v>
      </c>
      <c r="AD94" s="85">
        <v>2.0</v>
      </c>
      <c r="AE94" s="62" t="b">
        <v>0</v>
      </c>
      <c r="AF94" s="62" t="b">
        <v>0</v>
      </c>
      <c r="AG94" s="85">
        <v>2.0</v>
      </c>
      <c r="AH94" s="86">
        <v>1.0</v>
      </c>
      <c r="AI94" s="62" t="b">
        <v>0</v>
      </c>
      <c r="AJ94" s="87" t="s">
        <v>427</v>
      </c>
      <c r="AK94" s="80">
        <f t="shared" si="1"/>
        <v>16</v>
      </c>
      <c r="AL94" s="80">
        <f t="shared" si="2"/>
        <v>16</v>
      </c>
    </row>
    <row r="95">
      <c r="A95" s="84" t="s">
        <v>391</v>
      </c>
      <c r="B95" s="85">
        <v>8.0</v>
      </c>
      <c r="C95" s="85">
        <v>3656.0</v>
      </c>
      <c r="D95" s="85">
        <v>0.0</v>
      </c>
      <c r="E95" s="85">
        <v>0.0</v>
      </c>
      <c r="F95" s="85">
        <v>0.0</v>
      </c>
      <c r="G95" s="85">
        <v>0.0</v>
      </c>
      <c r="H95" s="85">
        <v>0.0</v>
      </c>
      <c r="I95" s="85">
        <v>0.0</v>
      </c>
      <c r="J95" s="85">
        <v>1.0</v>
      </c>
      <c r="K95" s="85">
        <v>0.0</v>
      </c>
      <c r="L95" s="85">
        <v>0.0</v>
      </c>
      <c r="M95" s="85">
        <v>0.0</v>
      </c>
      <c r="N95" s="85">
        <v>0.0</v>
      </c>
      <c r="O95" s="85">
        <v>0.0</v>
      </c>
      <c r="P95" s="62" t="b">
        <v>0</v>
      </c>
      <c r="Q95" s="62" t="b">
        <v>0</v>
      </c>
      <c r="R95" s="62" t="b">
        <v>1</v>
      </c>
      <c r="S95" s="85">
        <v>0.0</v>
      </c>
      <c r="T95" s="85">
        <v>0.0</v>
      </c>
      <c r="U95" s="85">
        <v>0.0</v>
      </c>
      <c r="V95" s="85">
        <v>0.0</v>
      </c>
      <c r="W95" s="85">
        <v>0.0</v>
      </c>
      <c r="X95" s="85">
        <v>0.0</v>
      </c>
      <c r="Y95" s="85">
        <v>2.0</v>
      </c>
      <c r="Z95" s="85">
        <v>2.0</v>
      </c>
      <c r="AA95" s="85">
        <v>0.0</v>
      </c>
      <c r="AB95" s="85">
        <v>0.0</v>
      </c>
      <c r="AC95" s="85">
        <v>3.0</v>
      </c>
      <c r="AD95" s="85">
        <v>3.0</v>
      </c>
      <c r="AE95" s="62" t="b">
        <v>0</v>
      </c>
      <c r="AF95" s="62" t="b">
        <v>0</v>
      </c>
      <c r="AG95" s="85">
        <v>4.0</v>
      </c>
      <c r="AH95" s="86">
        <v>0.0</v>
      </c>
      <c r="AI95" s="62" t="b">
        <v>0</v>
      </c>
      <c r="AJ95" s="84"/>
      <c r="AK95" s="80">
        <f t="shared" si="1"/>
        <v>19</v>
      </c>
      <c r="AL95" s="80">
        <f t="shared" si="2"/>
        <v>19</v>
      </c>
    </row>
    <row r="96">
      <c r="A96" s="84" t="s">
        <v>377</v>
      </c>
      <c r="B96" s="85">
        <v>17.0</v>
      </c>
      <c r="C96" s="85">
        <v>3656.0</v>
      </c>
      <c r="D96" s="85">
        <v>1.0</v>
      </c>
      <c r="E96" s="85">
        <v>1.0</v>
      </c>
      <c r="F96" s="85">
        <v>0.0</v>
      </c>
      <c r="G96" s="85">
        <v>0.0</v>
      </c>
      <c r="H96" s="85">
        <v>0.0</v>
      </c>
      <c r="I96" s="85">
        <v>0.0</v>
      </c>
      <c r="J96" s="85">
        <v>0.0</v>
      </c>
      <c r="K96" s="85">
        <v>0.0</v>
      </c>
      <c r="L96" s="85">
        <v>0.0</v>
      </c>
      <c r="M96" s="85">
        <v>0.0</v>
      </c>
      <c r="N96" s="85">
        <v>0.0</v>
      </c>
      <c r="O96" s="85">
        <v>0.0</v>
      </c>
      <c r="P96" s="62" t="b">
        <v>0</v>
      </c>
      <c r="Q96" s="62" t="b">
        <v>0</v>
      </c>
      <c r="R96" s="62" t="b">
        <v>1</v>
      </c>
      <c r="S96" s="85">
        <v>0.0</v>
      </c>
      <c r="T96" s="85">
        <v>0.0</v>
      </c>
      <c r="U96" s="85">
        <v>0.0</v>
      </c>
      <c r="V96" s="85">
        <v>0.0</v>
      </c>
      <c r="W96" s="85">
        <v>0.0</v>
      </c>
      <c r="X96" s="85">
        <v>0.0</v>
      </c>
      <c r="Y96" s="85">
        <v>4.0</v>
      </c>
      <c r="Z96" s="85">
        <v>3.0</v>
      </c>
      <c r="AA96" s="85">
        <v>1.0</v>
      </c>
      <c r="AB96" s="85">
        <v>1.0</v>
      </c>
      <c r="AC96" s="85">
        <v>1.0</v>
      </c>
      <c r="AD96" s="85">
        <v>1.0</v>
      </c>
      <c r="AE96" s="62" t="b">
        <v>0</v>
      </c>
      <c r="AF96" s="62" t="b">
        <v>0</v>
      </c>
      <c r="AG96" s="85">
        <v>3.0</v>
      </c>
      <c r="AH96" s="86">
        <v>0.0</v>
      </c>
      <c r="AI96" s="62" t="b">
        <v>0</v>
      </c>
      <c r="AJ96" s="84" t="s">
        <v>428</v>
      </c>
      <c r="AK96" s="80">
        <f t="shared" si="1"/>
        <v>29</v>
      </c>
      <c r="AL96" s="80">
        <f t="shared" si="2"/>
        <v>29</v>
      </c>
    </row>
    <row r="97">
      <c r="A97" s="84" t="s">
        <v>150</v>
      </c>
      <c r="B97" s="85">
        <v>25.0</v>
      </c>
      <c r="C97" s="85">
        <v>3656.0</v>
      </c>
      <c r="D97" s="85">
        <v>0.0</v>
      </c>
      <c r="E97" s="85">
        <v>0.0</v>
      </c>
      <c r="F97" s="85">
        <v>0.0</v>
      </c>
      <c r="G97" s="85">
        <v>0.0</v>
      </c>
      <c r="H97" s="85">
        <v>0.0</v>
      </c>
      <c r="I97" s="85">
        <v>0.0</v>
      </c>
      <c r="J97" s="85">
        <v>1.0</v>
      </c>
      <c r="K97" s="85">
        <v>1.0</v>
      </c>
      <c r="L97" s="85">
        <v>0.0</v>
      </c>
      <c r="M97" s="85">
        <v>0.0</v>
      </c>
      <c r="N97" s="85">
        <v>0.0</v>
      </c>
      <c r="O97" s="85">
        <v>0.0</v>
      </c>
      <c r="P97" s="62" t="b">
        <v>0</v>
      </c>
      <c r="Q97" s="62" t="b">
        <v>0</v>
      </c>
      <c r="R97" s="62" t="b">
        <v>1</v>
      </c>
      <c r="S97" s="85">
        <v>0.0</v>
      </c>
      <c r="T97" s="85">
        <v>0.0</v>
      </c>
      <c r="U97" s="85">
        <v>0.0</v>
      </c>
      <c r="V97" s="85">
        <v>0.0</v>
      </c>
      <c r="W97" s="85">
        <v>0.0</v>
      </c>
      <c r="X97" s="85">
        <v>0.0</v>
      </c>
      <c r="Y97" s="85">
        <v>2.0</v>
      </c>
      <c r="Z97" s="85">
        <v>2.0</v>
      </c>
      <c r="AA97" s="85">
        <v>2.0</v>
      </c>
      <c r="AB97" s="85">
        <v>2.0</v>
      </c>
      <c r="AC97" s="85">
        <v>0.0</v>
      </c>
      <c r="AD97" s="85">
        <v>0.0</v>
      </c>
      <c r="AE97" s="62" t="b">
        <v>0</v>
      </c>
      <c r="AF97" s="62" t="b">
        <v>0</v>
      </c>
      <c r="AG97" s="85">
        <v>4.0</v>
      </c>
      <c r="AH97" s="86">
        <v>0.0</v>
      </c>
      <c r="AI97" s="62" t="b">
        <v>0</v>
      </c>
      <c r="AJ97" s="87" t="s">
        <v>429</v>
      </c>
      <c r="AK97" s="80">
        <f t="shared" si="1"/>
        <v>25</v>
      </c>
      <c r="AL97" s="80">
        <f t="shared" si="2"/>
        <v>25</v>
      </c>
    </row>
    <row r="98">
      <c r="A98" s="84" t="s">
        <v>377</v>
      </c>
      <c r="B98" s="85">
        <v>29.0</v>
      </c>
      <c r="C98" s="85">
        <v>3656.0</v>
      </c>
      <c r="D98" s="85">
        <v>1.0</v>
      </c>
      <c r="E98" s="85">
        <v>1.0</v>
      </c>
      <c r="F98" s="85">
        <v>0.0</v>
      </c>
      <c r="G98" s="85">
        <v>0.0</v>
      </c>
      <c r="H98" s="85">
        <v>0.0</v>
      </c>
      <c r="I98" s="85">
        <v>0.0</v>
      </c>
      <c r="J98" s="85">
        <v>0.0</v>
      </c>
      <c r="K98" s="85">
        <v>0.0</v>
      </c>
      <c r="L98" s="85">
        <v>0.0</v>
      </c>
      <c r="M98" s="85">
        <v>0.0</v>
      </c>
      <c r="N98" s="85">
        <v>0.0</v>
      </c>
      <c r="O98" s="85">
        <v>0.0</v>
      </c>
      <c r="P98" s="62" t="b">
        <v>0</v>
      </c>
      <c r="Q98" s="62" t="b">
        <v>0</v>
      </c>
      <c r="R98" s="62" t="b">
        <v>0</v>
      </c>
      <c r="S98" s="85">
        <v>1.0</v>
      </c>
      <c r="T98" s="85">
        <v>1.0</v>
      </c>
      <c r="U98" s="85">
        <v>0.0</v>
      </c>
      <c r="V98" s="85">
        <v>0.0</v>
      </c>
      <c r="W98" s="85">
        <v>0.0</v>
      </c>
      <c r="X98" s="85">
        <v>0.0</v>
      </c>
      <c r="Y98" s="85">
        <v>3.0</v>
      </c>
      <c r="Z98" s="85">
        <v>2.0</v>
      </c>
      <c r="AA98" s="85">
        <v>2.0</v>
      </c>
      <c r="AB98" s="85">
        <v>0.0</v>
      </c>
      <c r="AC98" s="85">
        <v>0.0</v>
      </c>
      <c r="AD98" s="85">
        <v>0.0</v>
      </c>
      <c r="AE98" s="62" t="b">
        <v>0</v>
      </c>
      <c r="AF98" s="62" t="b">
        <v>0</v>
      </c>
      <c r="AG98" s="85">
        <v>2.0</v>
      </c>
      <c r="AH98" s="86">
        <v>1.0</v>
      </c>
      <c r="AI98" s="62" t="b">
        <v>0</v>
      </c>
      <c r="AJ98" s="87" t="s">
        <v>430</v>
      </c>
      <c r="AK98" s="80">
        <f t="shared" si="1"/>
        <v>21</v>
      </c>
      <c r="AL98" s="80">
        <f t="shared" si="2"/>
        <v>21</v>
      </c>
    </row>
    <row r="99">
      <c r="A99" s="84" t="s">
        <v>150</v>
      </c>
      <c r="B99" s="85">
        <v>33.0</v>
      </c>
      <c r="C99" s="85">
        <v>3656.0</v>
      </c>
      <c r="D99" s="85">
        <v>1.0</v>
      </c>
      <c r="E99" s="85">
        <v>1.0</v>
      </c>
      <c r="F99" s="85">
        <v>0.0</v>
      </c>
      <c r="G99" s="85">
        <v>0.0</v>
      </c>
      <c r="H99" s="85">
        <v>0.0</v>
      </c>
      <c r="I99" s="85">
        <v>0.0</v>
      </c>
      <c r="J99" s="85">
        <v>1.0</v>
      </c>
      <c r="K99" s="85">
        <v>1.0</v>
      </c>
      <c r="L99" s="85">
        <v>0.0</v>
      </c>
      <c r="M99" s="85">
        <v>0.0</v>
      </c>
      <c r="N99" s="85">
        <v>0.0</v>
      </c>
      <c r="O99" s="85">
        <v>0.0</v>
      </c>
      <c r="P99" s="62" t="b">
        <v>0</v>
      </c>
      <c r="Q99" s="62" t="b">
        <v>0</v>
      </c>
      <c r="R99" s="62" t="b">
        <v>1</v>
      </c>
      <c r="S99" s="85">
        <v>1.0</v>
      </c>
      <c r="T99" s="85">
        <v>1.0</v>
      </c>
      <c r="U99" s="85">
        <v>0.0</v>
      </c>
      <c r="V99" s="85">
        <v>0.0</v>
      </c>
      <c r="W99" s="85">
        <v>0.0</v>
      </c>
      <c r="X99" s="85">
        <v>0.0</v>
      </c>
      <c r="Y99" s="85">
        <v>0.0</v>
      </c>
      <c r="Z99" s="85">
        <v>0.0</v>
      </c>
      <c r="AA99" s="85">
        <v>2.0</v>
      </c>
      <c r="AB99" s="85">
        <v>2.0</v>
      </c>
      <c r="AC99" s="85">
        <v>1.0</v>
      </c>
      <c r="AD99" s="85">
        <v>1.0</v>
      </c>
      <c r="AE99" s="62" t="b">
        <v>0</v>
      </c>
      <c r="AF99" s="62" t="b">
        <v>0</v>
      </c>
      <c r="AG99" s="85">
        <v>3.0</v>
      </c>
      <c r="AH99" s="86">
        <v>0.0</v>
      </c>
      <c r="AI99" s="62" t="b">
        <v>0</v>
      </c>
      <c r="AJ99" s="84" t="s">
        <v>431</v>
      </c>
      <c r="AK99" s="80">
        <f t="shared" si="1"/>
        <v>28</v>
      </c>
      <c r="AL99" s="80">
        <f t="shared" si="2"/>
        <v>28</v>
      </c>
    </row>
    <row r="100">
      <c r="A100" s="84" t="s">
        <v>365</v>
      </c>
      <c r="B100" s="85">
        <v>3.0</v>
      </c>
      <c r="C100" s="85">
        <v>3641.0</v>
      </c>
      <c r="D100" s="85">
        <v>0.0</v>
      </c>
      <c r="E100" s="85">
        <v>0.0</v>
      </c>
      <c r="F100" s="85">
        <v>0.0</v>
      </c>
      <c r="G100" s="85">
        <v>0.0</v>
      </c>
      <c r="H100" s="85">
        <v>0.0</v>
      </c>
      <c r="I100" s="85">
        <v>0.0</v>
      </c>
      <c r="J100" s="85">
        <v>0.0</v>
      </c>
      <c r="K100" s="85">
        <v>0.0</v>
      </c>
      <c r="L100" s="85">
        <v>0.0</v>
      </c>
      <c r="M100" s="85">
        <v>0.0</v>
      </c>
      <c r="N100" s="85">
        <v>0.0</v>
      </c>
      <c r="O100" s="85">
        <v>0.0</v>
      </c>
      <c r="P100" s="62" t="b">
        <v>0</v>
      </c>
      <c r="Q100" s="62" t="b">
        <v>0</v>
      </c>
      <c r="R100" s="62" t="b">
        <v>0</v>
      </c>
      <c r="S100" s="85">
        <v>0.0</v>
      </c>
      <c r="T100" s="85">
        <v>0.0</v>
      </c>
      <c r="U100" s="85">
        <v>0.0</v>
      </c>
      <c r="V100" s="85">
        <v>0.0</v>
      </c>
      <c r="W100" s="85">
        <v>0.0</v>
      </c>
      <c r="X100" s="85">
        <v>0.0</v>
      </c>
      <c r="Y100" s="85">
        <v>0.0</v>
      </c>
      <c r="Z100" s="85">
        <v>0.0</v>
      </c>
      <c r="AA100" s="85">
        <v>0.0</v>
      </c>
      <c r="AB100" s="85">
        <v>0.0</v>
      </c>
      <c r="AC100" s="85">
        <v>0.0</v>
      </c>
      <c r="AD100" s="85">
        <v>0.0</v>
      </c>
      <c r="AE100" s="62" t="b">
        <v>0</v>
      </c>
      <c r="AF100" s="62" t="b">
        <v>0</v>
      </c>
      <c r="AG100" s="85">
        <v>1.0</v>
      </c>
      <c r="AH100" s="86">
        <v>1.0</v>
      </c>
      <c r="AI100" s="62" t="b">
        <v>1</v>
      </c>
      <c r="AJ100" s="87" t="s">
        <v>432</v>
      </c>
      <c r="AK100" s="80">
        <f t="shared" si="1"/>
        <v>0</v>
      </c>
      <c r="AL100" s="80">
        <f t="shared" si="2"/>
        <v>0</v>
      </c>
    </row>
    <row r="101">
      <c r="A101" s="84" t="s">
        <v>377</v>
      </c>
      <c r="B101" s="85">
        <v>9.0</v>
      </c>
      <c r="C101" s="85">
        <v>3641.0</v>
      </c>
      <c r="D101" s="85">
        <v>0.0</v>
      </c>
      <c r="E101" s="85">
        <v>0.0</v>
      </c>
      <c r="F101" s="85">
        <v>0.0</v>
      </c>
      <c r="G101" s="85">
        <v>0.0</v>
      </c>
      <c r="H101" s="85">
        <v>0.0</v>
      </c>
      <c r="I101" s="85">
        <v>0.0</v>
      </c>
      <c r="J101" s="85">
        <v>0.0</v>
      </c>
      <c r="K101" s="85">
        <v>0.0</v>
      </c>
      <c r="L101" s="85">
        <v>0.0</v>
      </c>
      <c r="M101" s="85">
        <v>0.0</v>
      </c>
      <c r="N101" s="85">
        <v>0.0</v>
      </c>
      <c r="O101" s="85">
        <v>0.0</v>
      </c>
      <c r="P101" s="62" t="b">
        <v>0</v>
      </c>
      <c r="Q101" s="62" t="b">
        <v>0</v>
      </c>
      <c r="R101" s="62" t="b">
        <v>0</v>
      </c>
      <c r="S101" s="85">
        <v>1.0</v>
      </c>
      <c r="T101" s="85">
        <v>1.0</v>
      </c>
      <c r="U101" s="85">
        <v>0.0</v>
      </c>
      <c r="V101" s="85">
        <v>0.0</v>
      </c>
      <c r="W101" s="85">
        <v>0.0</v>
      </c>
      <c r="X101" s="85">
        <v>0.0</v>
      </c>
      <c r="Y101" s="85">
        <v>1.0</v>
      </c>
      <c r="Z101" s="85">
        <v>0.0</v>
      </c>
      <c r="AA101" s="85">
        <v>0.0</v>
      </c>
      <c r="AB101" s="85">
        <v>0.0</v>
      </c>
      <c r="AC101" s="85">
        <v>0.0</v>
      </c>
      <c r="AD101" s="85">
        <v>0.0</v>
      </c>
      <c r="AE101" s="62" t="b">
        <v>0</v>
      </c>
      <c r="AF101" s="62" t="b">
        <v>0</v>
      </c>
      <c r="AG101" s="85">
        <v>0.0</v>
      </c>
      <c r="AH101" s="86">
        <v>0.0</v>
      </c>
      <c r="AI101" s="62" t="b">
        <v>0</v>
      </c>
      <c r="AJ101" s="87" t="s">
        <v>433</v>
      </c>
      <c r="AK101" s="80">
        <f t="shared" si="1"/>
        <v>5</v>
      </c>
      <c r="AL101" s="80">
        <f t="shared" si="2"/>
        <v>5</v>
      </c>
    </row>
    <row r="102">
      <c r="A102" s="84" t="s">
        <v>364</v>
      </c>
      <c r="B102" s="85">
        <v>16.0</v>
      </c>
      <c r="C102" s="85">
        <v>3641.0</v>
      </c>
      <c r="D102" s="85">
        <v>0.0</v>
      </c>
      <c r="E102" s="85">
        <v>0.0</v>
      </c>
      <c r="F102" s="85">
        <v>1.0</v>
      </c>
      <c r="G102" s="85">
        <v>1.0</v>
      </c>
      <c r="H102" s="85">
        <v>0.0</v>
      </c>
      <c r="I102" s="85">
        <v>0.0</v>
      </c>
      <c r="J102" s="85">
        <v>0.0</v>
      </c>
      <c r="K102" s="85">
        <v>0.0</v>
      </c>
      <c r="L102" s="85">
        <v>0.0</v>
      </c>
      <c r="M102" s="85">
        <v>0.0</v>
      </c>
      <c r="N102" s="85">
        <v>0.0</v>
      </c>
      <c r="O102" s="85">
        <v>0.0</v>
      </c>
      <c r="P102" s="62" t="b">
        <v>0</v>
      </c>
      <c r="Q102" s="62" t="b">
        <v>0</v>
      </c>
      <c r="R102" s="62" t="b">
        <v>1</v>
      </c>
      <c r="S102" s="85">
        <v>0.0</v>
      </c>
      <c r="T102" s="85">
        <v>0.0</v>
      </c>
      <c r="U102" s="85">
        <v>0.0</v>
      </c>
      <c r="V102" s="85">
        <v>0.0</v>
      </c>
      <c r="W102" s="85">
        <v>0.0</v>
      </c>
      <c r="X102" s="85">
        <v>0.0</v>
      </c>
      <c r="Y102" s="85">
        <v>0.0</v>
      </c>
      <c r="Z102" s="85">
        <v>0.0</v>
      </c>
      <c r="AA102" s="85">
        <v>0.0</v>
      </c>
      <c r="AB102" s="85">
        <v>0.0</v>
      </c>
      <c r="AC102" s="85">
        <v>0.0</v>
      </c>
      <c r="AD102" s="85">
        <v>0.0</v>
      </c>
      <c r="AE102" s="62" t="b">
        <v>0</v>
      </c>
      <c r="AF102" s="62" t="b">
        <v>0</v>
      </c>
      <c r="AG102" s="85">
        <v>1.0</v>
      </c>
      <c r="AH102" s="86">
        <v>1.0</v>
      </c>
      <c r="AI102" s="62" t="b">
        <v>1</v>
      </c>
      <c r="AJ102" s="84" t="s">
        <v>434</v>
      </c>
      <c r="AK102" s="80">
        <f t="shared" si="1"/>
        <v>7</v>
      </c>
      <c r="AL102" s="80">
        <f t="shared" si="2"/>
        <v>7</v>
      </c>
    </row>
    <row r="103">
      <c r="A103" s="84" t="s">
        <v>364</v>
      </c>
      <c r="B103" s="85">
        <v>26.0</v>
      </c>
      <c r="C103" s="85">
        <v>3641.0</v>
      </c>
      <c r="D103" s="85">
        <v>0.0</v>
      </c>
      <c r="E103" s="85">
        <v>0.0</v>
      </c>
      <c r="F103" s="85">
        <v>1.0</v>
      </c>
      <c r="G103" s="85">
        <v>1.0</v>
      </c>
      <c r="H103" s="85">
        <v>0.0</v>
      </c>
      <c r="I103" s="85">
        <v>0.0</v>
      </c>
      <c r="J103" s="85">
        <v>0.0</v>
      </c>
      <c r="K103" s="85">
        <v>0.0</v>
      </c>
      <c r="L103" s="85">
        <v>0.0</v>
      </c>
      <c r="M103" s="85">
        <v>0.0</v>
      </c>
      <c r="N103" s="85">
        <v>0.0</v>
      </c>
      <c r="O103" s="85">
        <v>0.0</v>
      </c>
      <c r="P103" s="62" t="b">
        <v>1</v>
      </c>
      <c r="Q103" s="62" t="b">
        <v>0</v>
      </c>
      <c r="R103" s="62" t="b">
        <v>0</v>
      </c>
      <c r="S103" s="85">
        <v>1.0</v>
      </c>
      <c r="T103" s="85">
        <v>1.0</v>
      </c>
      <c r="U103" s="85">
        <v>0.0</v>
      </c>
      <c r="V103" s="85">
        <v>0.0</v>
      </c>
      <c r="W103" s="85">
        <v>2.0</v>
      </c>
      <c r="X103" s="85">
        <v>2.0</v>
      </c>
      <c r="Y103" s="85">
        <v>0.0</v>
      </c>
      <c r="Z103" s="85">
        <v>0.0</v>
      </c>
      <c r="AA103" s="85">
        <v>0.0</v>
      </c>
      <c r="AB103" s="85">
        <v>0.0</v>
      </c>
      <c r="AC103" s="85">
        <v>0.0</v>
      </c>
      <c r="AD103" s="85">
        <v>0.0</v>
      </c>
      <c r="AE103" s="62" t="b">
        <v>1</v>
      </c>
      <c r="AF103" s="62" t="b">
        <v>0</v>
      </c>
      <c r="AG103" s="85">
        <v>0.0</v>
      </c>
      <c r="AH103" s="86">
        <v>2.0</v>
      </c>
      <c r="AI103" s="62" t="b">
        <v>0</v>
      </c>
      <c r="AJ103" s="87" t="s">
        <v>435</v>
      </c>
      <c r="AK103" s="80">
        <f t="shared" si="1"/>
        <v>27</v>
      </c>
      <c r="AL103" s="80">
        <f t="shared" si="2"/>
        <v>13</v>
      </c>
    </row>
    <row r="104">
      <c r="A104" s="84" t="s">
        <v>391</v>
      </c>
      <c r="B104" s="85">
        <v>31.0</v>
      </c>
      <c r="C104" s="85">
        <v>3641.0</v>
      </c>
      <c r="D104" s="85">
        <v>1.0</v>
      </c>
      <c r="E104" s="85">
        <v>1.0</v>
      </c>
      <c r="F104" s="85">
        <v>0.0</v>
      </c>
      <c r="G104" s="85">
        <v>0.0</v>
      </c>
      <c r="H104" s="85">
        <v>0.0</v>
      </c>
      <c r="I104" s="85">
        <v>0.0</v>
      </c>
      <c r="J104" s="85">
        <v>0.0</v>
      </c>
      <c r="K104" s="85">
        <v>0.0</v>
      </c>
      <c r="L104" s="85">
        <v>0.0</v>
      </c>
      <c r="M104" s="85">
        <v>0.0</v>
      </c>
      <c r="N104" s="85">
        <v>0.0</v>
      </c>
      <c r="O104" s="85">
        <v>0.0</v>
      </c>
      <c r="P104" s="62" t="b">
        <v>1</v>
      </c>
      <c r="Q104" s="62" t="b">
        <v>0</v>
      </c>
      <c r="R104" s="62" t="b">
        <v>0</v>
      </c>
      <c r="S104" s="85">
        <v>1.0</v>
      </c>
      <c r="T104" s="85">
        <v>1.0</v>
      </c>
      <c r="U104" s="85">
        <v>3.0</v>
      </c>
      <c r="V104" s="85">
        <v>3.0</v>
      </c>
      <c r="W104" s="85">
        <v>0.0</v>
      </c>
      <c r="X104" s="85">
        <v>0.0</v>
      </c>
      <c r="Y104" s="85">
        <v>2.0</v>
      </c>
      <c r="Z104" s="85">
        <v>1.0</v>
      </c>
      <c r="AA104" s="85">
        <v>0.0</v>
      </c>
      <c r="AB104" s="85">
        <v>0.0</v>
      </c>
      <c r="AC104" s="85">
        <v>0.0</v>
      </c>
      <c r="AD104" s="85">
        <v>0.0</v>
      </c>
      <c r="AE104" s="62" t="b">
        <v>1</v>
      </c>
      <c r="AF104" s="62" t="b">
        <v>0</v>
      </c>
      <c r="AG104" s="85">
        <v>3.0</v>
      </c>
      <c r="AH104" s="86">
        <v>0.0</v>
      </c>
      <c r="AI104" s="62" t="b">
        <v>0</v>
      </c>
      <c r="AJ104" s="84"/>
      <c r="AK104" s="80">
        <f t="shared" si="1"/>
        <v>39</v>
      </c>
      <c r="AL104" s="80">
        <f t="shared" si="2"/>
        <v>25</v>
      </c>
    </row>
    <row r="105">
      <c r="A105" s="84" t="s">
        <v>391</v>
      </c>
      <c r="B105" s="85">
        <v>35.0</v>
      </c>
      <c r="C105" s="85">
        <v>3641.0</v>
      </c>
      <c r="D105" s="85">
        <v>1.0</v>
      </c>
      <c r="E105" s="85">
        <v>1.0</v>
      </c>
      <c r="F105" s="85">
        <v>0.0</v>
      </c>
      <c r="G105" s="85">
        <v>0.0</v>
      </c>
      <c r="H105" s="85">
        <v>0.0</v>
      </c>
      <c r="I105" s="85">
        <v>0.0</v>
      </c>
      <c r="J105" s="85">
        <v>0.0</v>
      </c>
      <c r="K105" s="85">
        <v>0.0</v>
      </c>
      <c r="L105" s="85">
        <v>0.0</v>
      </c>
      <c r="M105" s="85">
        <v>0.0</v>
      </c>
      <c r="N105" s="85">
        <v>0.0</v>
      </c>
      <c r="O105" s="85">
        <v>0.0</v>
      </c>
      <c r="P105" s="62" t="b">
        <v>0</v>
      </c>
      <c r="Q105" s="62" t="b">
        <v>1</v>
      </c>
      <c r="R105" s="62" t="b">
        <v>0</v>
      </c>
      <c r="S105" s="85">
        <v>1.0</v>
      </c>
      <c r="T105" s="85">
        <v>1.0</v>
      </c>
      <c r="U105" s="85">
        <v>0.0</v>
      </c>
      <c r="V105" s="85">
        <v>0.0</v>
      </c>
      <c r="W105" s="85">
        <v>2.0</v>
      </c>
      <c r="X105" s="85">
        <v>2.0</v>
      </c>
      <c r="Y105" s="85">
        <v>1.0</v>
      </c>
      <c r="Z105" s="85">
        <v>1.0</v>
      </c>
      <c r="AA105" s="85">
        <v>0.0</v>
      </c>
      <c r="AB105" s="85">
        <v>0.0</v>
      </c>
      <c r="AC105" s="85">
        <v>0.0</v>
      </c>
      <c r="AD105" s="85">
        <v>0.0</v>
      </c>
      <c r="AE105" s="62" t="b">
        <v>0</v>
      </c>
      <c r="AF105" s="62" t="b">
        <v>1</v>
      </c>
      <c r="AG105" s="85">
        <v>3.0</v>
      </c>
      <c r="AH105" s="86">
        <v>0.0</v>
      </c>
      <c r="AI105" s="62" t="b">
        <v>0</v>
      </c>
      <c r="AJ105" s="84"/>
      <c r="AK105" s="80">
        <f t="shared" si="1"/>
        <v>20</v>
      </c>
      <c r="AL105" s="80">
        <f t="shared" si="2"/>
        <v>20</v>
      </c>
    </row>
    <row r="106">
      <c r="A106" s="84" t="s">
        <v>150</v>
      </c>
      <c r="B106" s="85">
        <v>4.0</v>
      </c>
      <c r="C106" s="85">
        <v>3536.0</v>
      </c>
      <c r="D106" s="85">
        <v>1.0</v>
      </c>
      <c r="E106" s="85">
        <v>1.0</v>
      </c>
      <c r="F106" s="85">
        <v>0.0</v>
      </c>
      <c r="G106" s="85">
        <v>0.0</v>
      </c>
      <c r="H106" s="85">
        <v>0.0</v>
      </c>
      <c r="I106" s="85">
        <v>0.0</v>
      </c>
      <c r="J106" s="85">
        <v>0.0</v>
      </c>
      <c r="K106" s="85">
        <v>0.0</v>
      </c>
      <c r="L106" s="85">
        <v>0.0</v>
      </c>
      <c r="M106" s="85">
        <v>0.0</v>
      </c>
      <c r="N106" s="85">
        <v>0.0</v>
      </c>
      <c r="O106" s="85">
        <v>0.0</v>
      </c>
      <c r="P106" s="62" t="b">
        <v>0</v>
      </c>
      <c r="Q106" s="62" t="b">
        <v>0</v>
      </c>
      <c r="R106" s="62" t="b">
        <v>1</v>
      </c>
      <c r="S106" s="85">
        <v>2.0</v>
      </c>
      <c r="T106" s="85">
        <v>2.0</v>
      </c>
      <c r="U106" s="85">
        <v>3.0</v>
      </c>
      <c r="V106" s="85">
        <v>3.0</v>
      </c>
      <c r="W106" s="85">
        <v>0.0</v>
      </c>
      <c r="X106" s="85">
        <v>0.0</v>
      </c>
      <c r="Y106" s="85">
        <v>0.0</v>
      </c>
      <c r="Z106" s="85">
        <v>0.0</v>
      </c>
      <c r="AA106" s="85">
        <v>0.0</v>
      </c>
      <c r="AB106" s="85">
        <v>0.0</v>
      </c>
      <c r="AC106" s="85">
        <v>0.0</v>
      </c>
      <c r="AD106" s="85">
        <v>0.0</v>
      </c>
      <c r="AE106" s="62" t="b">
        <v>0</v>
      </c>
      <c r="AF106" s="62" t="b">
        <v>0</v>
      </c>
      <c r="AG106" s="85">
        <v>5.0</v>
      </c>
      <c r="AH106" s="86">
        <v>1.0</v>
      </c>
      <c r="AI106" s="62" t="b">
        <v>0</v>
      </c>
      <c r="AJ106" s="87" t="s">
        <v>436</v>
      </c>
      <c r="AK106" s="80">
        <f t="shared" si="1"/>
        <v>28</v>
      </c>
      <c r="AL106" s="80">
        <f t="shared" si="2"/>
        <v>28</v>
      </c>
    </row>
    <row r="107">
      <c r="A107" s="84" t="s">
        <v>371</v>
      </c>
      <c r="B107" s="85">
        <v>12.0</v>
      </c>
      <c r="C107" s="85">
        <v>3536.0</v>
      </c>
      <c r="D107" s="85">
        <v>1.0</v>
      </c>
      <c r="E107" s="85">
        <v>1.0</v>
      </c>
      <c r="F107" s="85">
        <v>0.0</v>
      </c>
      <c r="G107" s="85">
        <v>0.0</v>
      </c>
      <c r="H107" s="85">
        <v>0.0</v>
      </c>
      <c r="I107" s="85">
        <v>0.0</v>
      </c>
      <c r="J107" s="85">
        <v>1.0</v>
      </c>
      <c r="K107" s="85">
        <v>1.0</v>
      </c>
      <c r="L107" s="85">
        <v>0.0</v>
      </c>
      <c r="M107" s="85">
        <v>0.0</v>
      </c>
      <c r="N107" s="85">
        <v>0.0</v>
      </c>
      <c r="O107" s="85">
        <v>0.0</v>
      </c>
      <c r="P107" s="62" t="b">
        <v>0</v>
      </c>
      <c r="Q107" s="62" t="b">
        <v>0</v>
      </c>
      <c r="R107" s="62" t="b">
        <v>0</v>
      </c>
      <c r="S107" s="85">
        <v>1.0</v>
      </c>
      <c r="T107" s="85">
        <v>1.0</v>
      </c>
      <c r="U107" s="85">
        <v>0.0</v>
      </c>
      <c r="V107" s="85">
        <v>0.0</v>
      </c>
      <c r="W107" s="85">
        <v>0.0</v>
      </c>
      <c r="X107" s="85">
        <v>0.0</v>
      </c>
      <c r="Y107" s="85">
        <v>0.0</v>
      </c>
      <c r="Z107" s="85">
        <v>0.0</v>
      </c>
      <c r="AA107" s="85">
        <v>1.0</v>
      </c>
      <c r="AB107" s="85">
        <v>1.0</v>
      </c>
      <c r="AC107" s="85">
        <v>0.0</v>
      </c>
      <c r="AD107" s="85">
        <v>0.0</v>
      </c>
      <c r="AE107" s="62" t="b">
        <v>0</v>
      </c>
      <c r="AF107" s="62" t="b">
        <v>0</v>
      </c>
      <c r="AG107" s="85">
        <v>4.0</v>
      </c>
      <c r="AH107" s="86">
        <v>2.0</v>
      </c>
      <c r="AI107" s="62" t="b">
        <v>0</v>
      </c>
      <c r="AJ107" s="87" t="s">
        <v>437</v>
      </c>
      <c r="AK107" s="80">
        <f t="shared" si="1"/>
        <v>20</v>
      </c>
      <c r="AL107" s="80">
        <f t="shared" si="2"/>
        <v>20</v>
      </c>
    </row>
    <row r="108">
      <c r="A108" s="84" t="s">
        <v>150</v>
      </c>
      <c r="B108" s="85">
        <v>16.0</v>
      </c>
      <c r="C108" s="85">
        <v>3536.0</v>
      </c>
      <c r="D108" s="85">
        <v>1.0</v>
      </c>
      <c r="E108" s="85">
        <v>1.0</v>
      </c>
      <c r="F108" s="85">
        <v>0.0</v>
      </c>
      <c r="G108" s="85">
        <v>0.0</v>
      </c>
      <c r="H108" s="85">
        <v>0.0</v>
      </c>
      <c r="I108" s="85">
        <v>0.0</v>
      </c>
      <c r="J108" s="85">
        <v>1.0</v>
      </c>
      <c r="K108" s="85">
        <v>0.0</v>
      </c>
      <c r="L108" s="85">
        <v>0.0</v>
      </c>
      <c r="M108" s="85">
        <v>0.0</v>
      </c>
      <c r="N108" s="85">
        <v>0.0</v>
      </c>
      <c r="O108" s="85">
        <v>0.0</v>
      </c>
      <c r="P108" s="62" t="b">
        <v>0</v>
      </c>
      <c r="Q108" s="62" t="b">
        <v>0</v>
      </c>
      <c r="R108" s="62" t="b">
        <v>1</v>
      </c>
      <c r="S108" s="85">
        <v>0.0</v>
      </c>
      <c r="T108" s="85">
        <v>0.0</v>
      </c>
      <c r="U108" s="85">
        <v>0.0</v>
      </c>
      <c r="V108" s="85">
        <v>0.0</v>
      </c>
      <c r="W108" s="85">
        <v>2.0</v>
      </c>
      <c r="X108" s="85">
        <v>2.0</v>
      </c>
      <c r="Y108" s="85">
        <v>0.0</v>
      </c>
      <c r="Z108" s="85">
        <v>0.0</v>
      </c>
      <c r="AA108" s="85">
        <v>0.0</v>
      </c>
      <c r="AB108" s="85">
        <v>0.0</v>
      </c>
      <c r="AC108" s="85">
        <v>0.0</v>
      </c>
      <c r="AD108" s="85">
        <v>0.0</v>
      </c>
      <c r="AE108" s="62" t="b">
        <v>0</v>
      </c>
      <c r="AF108" s="62" t="b">
        <v>0</v>
      </c>
      <c r="AG108" s="85">
        <v>2.0</v>
      </c>
      <c r="AH108" s="86">
        <v>3.0</v>
      </c>
      <c r="AI108" s="62" t="b">
        <v>0</v>
      </c>
      <c r="AJ108" s="87" t="s">
        <v>438</v>
      </c>
      <c r="AK108" s="80">
        <f t="shared" si="1"/>
        <v>13</v>
      </c>
      <c r="AL108" s="80">
        <f t="shared" si="2"/>
        <v>13</v>
      </c>
    </row>
    <row r="109">
      <c r="A109" s="84" t="s">
        <v>354</v>
      </c>
      <c r="B109" s="85">
        <v>21.0</v>
      </c>
      <c r="C109" s="85">
        <v>3536.0</v>
      </c>
      <c r="D109" s="85">
        <v>1.0</v>
      </c>
      <c r="E109" s="85">
        <v>1.0</v>
      </c>
      <c r="F109" s="85">
        <v>0.0</v>
      </c>
      <c r="G109" s="85">
        <v>0.0</v>
      </c>
      <c r="H109" s="85">
        <v>0.0</v>
      </c>
      <c r="I109" s="85">
        <v>0.0</v>
      </c>
      <c r="J109" s="85">
        <v>0.0</v>
      </c>
      <c r="K109" s="85">
        <v>0.0</v>
      </c>
      <c r="L109" s="85">
        <v>0.0</v>
      </c>
      <c r="M109" s="85">
        <v>0.0</v>
      </c>
      <c r="N109" s="85">
        <v>0.0</v>
      </c>
      <c r="O109" s="85">
        <v>0.0</v>
      </c>
      <c r="P109" s="62" t="b">
        <v>0</v>
      </c>
      <c r="Q109" s="62" t="b">
        <v>0</v>
      </c>
      <c r="R109" s="62" t="b">
        <v>1</v>
      </c>
      <c r="S109" s="85">
        <v>3.0</v>
      </c>
      <c r="T109" s="85">
        <v>3.0</v>
      </c>
      <c r="U109" s="85">
        <v>0.0</v>
      </c>
      <c r="V109" s="85">
        <v>0.0</v>
      </c>
      <c r="W109" s="85">
        <v>0.0</v>
      </c>
      <c r="X109" s="85">
        <v>0.0</v>
      </c>
      <c r="Y109" s="85">
        <v>2.0</v>
      </c>
      <c r="Z109" s="85">
        <v>2.0</v>
      </c>
      <c r="AA109" s="85">
        <v>0.0</v>
      </c>
      <c r="AB109" s="85">
        <v>0.0</v>
      </c>
      <c r="AC109" s="85">
        <v>0.0</v>
      </c>
      <c r="AD109" s="85">
        <v>0.0</v>
      </c>
      <c r="AE109" s="62" t="b">
        <v>0</v>
      </c>
      <c r="AF109" s="62" t="b">
        <v>0</v>
      </c>
      <c r="AG109" s="85">
        <v>5.0</v>
      </c>
      <c r="AH109" s="86">
        <v>0.0</v>
      </c>
      <c r="AI109" s="62" t="b">
        <v>0</v>
      </c>
      <c r="AJ109" s="84"/>
      <c r="AK109" s="80">
        <f t="shared" si="1"/>
        <v>34</v>
      </c>
      <c r="AL109" s="80">
        <f t="shared" si="2"/>
        <v>34</v>
      </c>
    </row>
    <row r="110">
      <c r="A110" s="84" t="s">
        <v>150</v>
      </c>
      <c r="B110" s="85">
        <v>28.0</v>
      </c>
      <c r="C110" s="85">
        <v>3536.0</v>
      </c>
      <c r="D110" s="85">
        <v>0.0</v>
      </c>
      <c r="E110" s="85">
        <v>0.0</v>
      </c>
      <c r="F110" s="85">
        <v>0.0</v>
      </c>
      <c r="G110" s="85">
        <v>0.0</v>
      </c>
      <c r="H110" s="85">
        <v>0.0</v>
      </c>
      <c r="I110" s="85">
        <v>0.0</v>
      </c>
      <c r="J110" s="85">
        <v>1.0</v>
      </c>
      <c r="K110" s="85">
        <v>1.0</v>
      </c>
      <c r="L110" s="85">
        <v>0.0</v>
      </c>
      <c r="M110" s="85">
        <v>0.0</v>
      </c>
      <c r="N110" s="85">
        <v>0.0</v>
      </c>
      <c r="O110" s="85">
        <v>0.0</v>
      </c>
      <c r="P110" s="62" t="b">
        <v>1</v>
      </c>
      <c r="Q110" s="62" t="b">
        <v>1</v>
      </c>
      <c r="R110" s="62" t="b">
        <v>0</v>
      </c>
      <c r="S110" s="85">
        <v>4.0</v>
      </c>
      <c r="T110" s="85">
        <v>4.0</v>
      </c>
      <c r="U110" s="85">
        <v>0.0</v>
      </c>
      <c r="V110" s="85">
        <v>0.0</v>
      </c>
      <c r="W110" s="85">
        <v>0.0</v>
      </c>
      <c r="X110" s="85">
        <v>0.0</v>
      </c>
      <c r="Y110" s="85">
        <v>1.0</v>
      </c>
      <c r="Z110" s="85">
        <v>1.0</v>
      </c>
      <c r="AA110" s="85">
        <v>1.0</v>
      </c>
      <c r="AB110" s="85">
        <v>1.0</v>
      </c>
      <c r="AC110" s="85">
        <v>0.0</v>
      </c>
      <c r="AD110" s="85">
        <v>0.0</v>
      </c>
      <c r="AE110" s="62" t="b">
        <v>1</v>
      </c>
      <c r="AF110" s="62" t="b">
        <v>1</v>
      </c>
      <c r="AG110" s="85">
        <v>4.0</v>
      </c>
      <c r="AH110" s="86">
        <v>2.0</v>
      </c>
      <c r="AI110" s="62" t="b">
        <v>0</v>
      </c>
      <c r="AJ110" s="84"/>
      <c r="AK110" s="80">
        <f t="shared" si="1"/>
        <v>56</v>
      </c>
      <c r="AL110" s="80">
        <f t="shared" si="2"/>
        <v>34</v>
      </c>
    </row>
    <row r="111">
      <c r="A111" s="84" t="s">
        <v>393</v>
      </c>
      <c r="B111" s="85">
        <v>33.0</v>
      </c>
      <c r="C111" s="85">
        <v>3536.0</v>
      </c>
      <c r="D111" s="85">
        <v>0.0</v>
      </c>
      <c r="E111" s="85">
        <v>0.0</v>
      </c>
      <c r="F111" s="85">
        <v>0.0</v>
      </c>
      <c r="G111" s="85">
        <v>0.0</v>
      </c>
      <c r="H111" s="85">
        <v>0.0</v>
      </c>
      <c r="I111" s="85">
        <v>0.0</v>
      </c>
      <c r="J111" s="85">
        <v>0.0</v>
      </c>
      <c r="K111" s="85">
        <v>0.0</v>
      </c>
      <c r="L111" s="85">
        <v>0.0</v>
      </c>
      <c r="M111" s="85">
        <v>0.0</v>
      </c>
      <c r="N111" s="85">
        <v>0.0</v>
      </c>
      <c r="O111" s="85">
        <v>0.0</v>
      </c>
      <c r="P111" s="62" t="b">
        <v>0</v>
      </c>
      <c r="Q111" s="62" t="b">
        <v>0</v>
      </c>
      <c r="R111" s="62" t="b">
        <v>0</v>
      </c>
      <c r="S111" s="85">
        <v>0.0</v>
      </c>
      <c r="T111" s="85">
        <v>0.0</v>
      </c>
      <c r="U111" s="85">
        <v>0.0</v>
      </c>
      <c r="V111" s="85">
        <v>0.0</v>
      </c>
      <c r="W111" s="85">
        <v>0.0</v>
      </c>
      <c r="X111" s="85">
        <v>0.0</v>
      </c>
      <c r="Y111" s="85">
        <v>1.0</v>
      </c>
      <c r="Z111" s="85">
        <v>1.0</v>
      </c>
      <c r="AA111" s="85">
        <v>0.0</v>
      </c>
      <c r="AB111" s="85">
        <v>0.0</v>
      </c>
      <c r="AC111" s="85">
        <v>0.0</v>
      </c>
      <c r="AD111" s="85">
        <v>0.0</v>
      </c>
      <c r="AE111" s="62" t="b">
        <v>0</v>
      </c>
      <c r="AF111" s="62" t="b">
        <v>0</v>
      </c>
      <c r="AG111" s="85">
        <v>4.0</v>
      </c>
      <c r="AH111" s="86">
        <v>1.0</v>
      </c>
      <c r="AI111" s="62" t="b">
        <v>0</v>
      </c>
      <c r="AJ111" s="87" t="s">
        <v>439</v>
      </c>
      <c r="AK111" s="80">
        <f t="shared" si="1"/>
        <v>5</v>
      </c>
      <c r="AL111" s="80">
        <f t="shared" si="2"/>
        <v>5</v>
      </c>
    </row>
    <row r="112">
      <c r="A112" s="84" t="s">
        <v>377</v>
      </c>
      <c r="B112" s="85">
        <v>6.0</v>
      </c>
      <c r="C112" s="85">
        <v>3534.0</v>
      </c>
      <c r="D112" s="85">
        <v>0.0</v>
      </c>
      <c r="E112" s="85">
        <v>0.0</v>
      </c>
      <c r="F112" s="85">
        <v>0.0</v>
      </c>
      <c r="G112" s="85">
        <v>0.0</v>
      </c>
      <c r="H112" s="85">
        <v>0.0</v>
      </c>
      <c r="I112" s="85">
        <v>0.0</v>
      </c>
      <c r="J112" s="85">
        <v>1.0</v>
      </c>
      <c r="K112" s="85">
        <v>1.0</v>
      </c>
      <c r="L112" s="85">
        <v>0.0</v>
      </c>
      <c r="M112" s="85">
        <v>0.0</v>
      </c>
      <c r="N112" s="85">
        <v>0.0</v>
      </c>
      <c r="O112" s="85">
        <v>0.0</v>
      </c>
      <c r="P112" s="62" t="b">
        <v>1</v>
      </c>
      <c r="Q112" s="62" t="b">
        <v>1</v>
      </c>
      <c r="R112" s="62" t="b">
        <v>1</v>
      </c>
      <c r="S112" s="85">
        <v>0.0</v>
      </c>
      <c r="T112" s="85">
        <v>0.0</v>
      </c>
      <c r="U112" s="85">
        <v>0.0</v>
      </c>
      <c r="V112" s="85">
        <v>0.0</v>
      </c>
      <c r="W112" s="85">
        <v>0.0</v>
      </c>
      <c r="X112" s="85">
        <v>0.0</v>
      </c>
      <c r="Y112" s="85">
        <v>1.0</v>
      </c>
      <c r="Z112" s="85">
        <v>0.0</v>
      </c>
      <c r="AA112" s="85">
        <v>0.0</v>
      </c>
      <c r="AB112" s="85">
        <v>0.0</v>
      </c>
      <c r="AC112" s="85">
        <v>2.0</v>
      </c>
      <c r="AD112" s="85">
        <v>2.0</v>
      </c>
      <c r="AE112" s="62" t="b">
        <v>1</v>
      </c>
      <c r="AF112" s="62" t="b">
        <v>1</v>
      </c>
      <c r="AG112" s="85">
        <v>2.0</v>
      </c>
      <c r="AH112" s="86">
        <v>0.0</v>
      </c>
      <c r="AI112" s="62" t="b">
        <v>0</v>
      </c>
      <c r="AJ112" s="84" t="s">
        <v>440</v>
      </c>
      <c r="AK112" s="80">
        <f t="shared" si="1"/>
        <v>35</v>
      </c>
      <c r="AL112" s="80">
        <f t="shared" si="2"/>
        <v>13</v>
      </c>
    </row>
    <row r="113">
      <c r="A113" s="84" t="s">
        <v>371</v>
      </c>
      <c r="B113" s="85">
        <v>11.0</v>
      </c>
      <c r="C113" s="85">
        <v>3534.0</v>
      </c>
      <c r="D113" s="85">
        <v>0.0</v>
      </c>
      <c r="E113" s="85">
        <v>0.0</v>
      </c>
      <c r="F113" s="85">
        <v>0.0</v>
      </c>
      <c r="G113" s="85">
        <v>0.0</v>
      </c>
      <c r="H113" s="85">
        <v>0.0</v>
      </c>
      <c r="I113" s="85">
        <v>0.0</v>
      </c>
      <c r="J113" s="85">
        <v>0.0</v>
      </c>
      <c r="K113" s="85">
        <v>0.0</v>
      </c>
      <c r="L113" s="85">
        <v>0.0</v>
      </c>
      <c r="M113" s="85">
        <v>0.0</v>
      </c>
      <c r="N113" s="85">
        <v>0.0</v>
      </c>
      <c r="O113" s="85">
        <v>0.0</v>
      </c>
      <c r="P113" s="62" t="b">
        <v>0</v>
      </c>
      <c r="Q113" s="62" t="b">
        <v>1</v>
      </c>
      <c r="R113" s="62" t="b">
        <v>0</v>
      </c>
      <c r="S113" s="85">
        <v>0.0</v>
      </c>
      <c r="T113" s="85">
        <v>0.0</v>
      </c>
      <c r="U113" s="85">
        <v>0.0</v>
      </c>
      <c r="V113" s="85">
        <v>0.0</v>
      </c>
      <c r="W113" s="85">
        <v>0.0</v>
      </c>
      <c r="X113" s="85">
        <v>0.0</v>
      </c>
      <c r="Y113" s="85">
        <v>0.0</v>
      </c>
      <c r="Z113" s="85">
        <v>0.0</v>
      </c>
      <c r="AA113" s="85">
        <v>0.0</v>
      </c>
      <c r="AB113" s="85">
        <v>0.0</v>
      </c>
      <c r="AC113" s="85">
        <v>1.0</v>
      </c>
      <c r="AD113" s="85">
        <v>1.0</v>
      </c>
      <c r="AE113" s="62" t="b">
        <v>0</v>
      </c>
      <c r="AF113" s="62" t="b">
        <v>1</v>
      </c>
      <c r="AG113" s="85">
        <v>0.0</v>
      </c>
      <c r="AH113" s="86">
        <v>1.0</v>
      </c>
      <c r="AI113" s="62" t="b">
        <v>0</v>
      </c>
      <c r="AJ113" s="87" t="s">
        <v>441</v>
      </c>
      <c r="AK113" s="80">
        <f t="shared" si="1"/>
        <v>2</v>
      </c>
      <c r="AL113" s="80">
        <f t="shared" si="2"/>
        <v>2</v>
      </c>
    </row>
    <row r="114">
      <c r="A114" s="84" t="s">
        <v>364</v>
      </c>
      <c r="B114" s="85">
        <v>17.0</v>
      </c>
      <c r="C114" s="85">
        <v>3534.0</v>
      </c>
      <c r="D114" s="85">
        <v>1.0</v>
      </c>
      <c r="E114" s="85">
        <v>1.0</v>
      </c>
      <c r="F114" s="85">
        <v>0.0</v>
      </c>
      <c r="G114" s="85">
        <v>0.0</v>
      </c>
      <c r="H114" s="85">
        <v>0.0</v>
      </c>
      <c r="I114" s="85">
        <v>0.0</v>
      </c>
      <c r="J114" s="85">
        <v>0.0</v>
      </c>
      <c r="K114" s="85">
        <v>0.0</v>
      </c>
      <c r="L114" s="85">
        <v>0.0</v>
      </c>
      <c r="M114" s="85">
        <v>0.0</v>
      </c>
      <c r="N114" s="85">
        <v>1.0</v>
      </c>
      <c r="O114" s="85">
        <v>0.0</v>
      </c>
      <c r="P114" s="62" t="b">
        <v>0</v>
      </c>
      <c r="Q114" s="62" t="b">
        <v>0</v>
      </c>
      <c r="R114" s="62" t="b">
        <v>0</v>
      </c>
      <c r="S114" s="85">
        <v>0.0</v>
      </c>
      <c r="T114" s="85">
        <v>0.0</v>
      </c>
      <c r="U114" s="85">
        <v>0.0</v>
      </c>
      <c r="V114" s="85">
        <v>0.0</v>
      </c>
      <c r="W114" s="85">
        <v>0.0</v>
      </c>
      <c r="X114" s="85">
        <v>0.0</v>
      </c>
      <c r="Y114" s="85">
        <v>0.0</v>
      </c>
      <c r="Z114" s="85">
        <v>0.0</v>
      </c>
      <c r="AA114" s="85">
        <v>0.0</v>
      </c>
      <c r="AB114" s="85">
        <v>0.0</v>
      </c>
      <c r="AC114" s="85">
        <v>4.0</v>
      </c>
      <c r="AD114" s="85">
        <v>2.0</v>
      </c>
      <c r="AE114" s="62" t="b">
        <v>0</v>
      </c>
      <c r="AF114" s="62" t="b">
        <v>0</v>
      </c>
      <c r="AG114" s="85">
        <v>0.0</v>
      </c>
      <c r="AH114" s="86">
        <v>1.0</v>
      </c>
      <c r="AI114" s="62" t="b">
        <v>0</v>
      </c>
      <c r="AJ114" s="87" t="s">
        <v>442</v>
      </c>
      <c r="AK114" s="80">
        <f t="shared" si="1"/>
        <v>10</v>
      </c>
      <c r="AL114" s="80">
        <f t="shared" si="2"/>
        <v>10</v>
      </c>
    </row>
    <row r="115">
      <c r="A115" s="84" t="s">
        <v>102</v>
      </c>
      <c r="B115" s="85">
        <v>21.0</v>
      </c>
      <c r="C115" s="85">
        <v>3534.0</v>
      </c>
      <c r="D115" s="85">
        <v>0.0</v>
      </c>
      <c r="E115" s="85">
        <v>0.0</v>
      </c>
      <c r="F115" s="85">
        <v>0.0</v>
      </c>
      <c r="G115" s="85">
        <v>0.0</v>
      </c>
      <c r="H115" s="85">
        <v>0.0</v>
      </c>
      <c r="I115" s="85">
        <v>0.0</v>
      </c>
      <c r="J115" s="85">
        <v>1.0</v>
      </c>
      <c r="K115" s="85">
        <v>1.0</v>
      </c>
      <c r="L115" s="85">
        <v>0.0</v>
      </c>
      <c r="M115" s="85">
        <v>0.0</v>
      </c>
      <c r="N115" s="85">
        <v>0.0</v>
      </c>
      <c r="O115" s="85">
        <v>0.0</v>
      </c>
      <c r="P115" s="62" t="b">
        <v>0</v>
      </c>
      <c r="Q115" s="62" t="b">
        <v>1</v>
      </c>
      <c r="R115" s="62" t="b">
        <v>1</v>
      </c>
      <c r="S115" s="85">
        <v>0.0</v>
      </c>
      <c r="T115" s="85">
        <v>0.0</v>
      </c>
      <c r="U115" s="85">
        <v>0.0</v>
      </c>
      <c r="V115" s="85">
        <v>0.0</v>
      </c>
      <c r="W115" s="85">
        <v>0.0</v>
      </c>
      <c r="X115" s="85">
        <v>0.0</v>
      </c>
      <c r="Y115" s="85">
        <v>0.0</v>
      </c>
      <c r="Z115" s="85">
        <v>0.0</v>
      </c>
      <c r="AA115" s="85">
        <v>0.0</v>
      </c>
      <c r="AB115" s="85">
        <v>0.0</v>
      </c>
      <c r="AC115" s="85">
        <v>4.0</v>
      </c>
      <c r="AD115" s="85">
        <v>4.0</v>
      </c>
      <c r="AE115" s="62" t="b">
        <v>0</v>
      </c>
      <c r="AF115" s="62" t="b">
        <v>1</v>
      </c>
      <c r="AG115" s="85">
        <v>3.0</v>
      </c>
      <c r="AH115" s="86">
        <v>1.0</v>
      </c>
      <c r="AI115" s="62" t="b">
        <v>0</v>
      </c>
      <c r="AJ115" s="84"/>
      <c r="AK115" s="80">
        <f t="shared" si="1"/>
        <v>17</v>
      </c>
      <c r="AL115" s="80">
        <f t="shared" si="2"/>
        <v>17</v>
      </c>
    </row>
    <row r="116">
      <c r="A116" s="84" t="s">
        <v>393</v>
      </c>
      <c r="B116" s="85">
        <v>26.0</v>
      </c>
      <c r="C116" s="85">
        <v>3534.0</v>
      </c>
      <c r="D116" s="85">
        <v>0.0</v>
      </c>
      <c r="E116" s="85">
        <v>0.0</v>
      </c>
      <c r="F116" s="85">
        <v>0.0</v>
      </c>
      <c r="G116" s="85">
        <v>0.0</v>
      </c>
      <c r="H116" s="85">
        <v>0.0</v>
      </c>
      <c r="I116" s="85">
        <v>0.0</v>
      </c>
      <c r="J116" s="85">
        <v>1.0</v>
      </c>
      <c r="K116" s="85">
        <v>1.0</v>
      </c>
      <c r="L116" s="85">
        <v>0.0</v>
      </c>
      <c r="M116" s="85">
        <v>0.0</v>
      </c>
      <c r="N116" s="85">
        <v>1.0</v>
      </c>
      <c r="O116" s="85">
        <v>1.0</v>
      </c>
      <c r="P116" s="62" t="b">
        <v>0</v>
      </c>
      <c r="Q116" s="62" t="b">
        <v>0</v>
      </c>
      <c r="R116" s="62" t="b">
        <v>1</v>
      </c>
      <c r="S116" s="85">
        <v>0.0</v>
      </c>
      <c r="T116" s="85">
        <v>0.0</v>
      </c>
      <c r="U116" s="85">
        <v>0.0</v>
      </c>
      <c r="V116" s="85">
        <v>0.0</v>
      </c>
      <c r="W116" s="85">
        <v>0.0</v>
      </c>
      <c r="X116" s="85">
        <v>0.0</v>
      </c>
      <c r="Y116" s="85">
        <v>1.0</v>
      </c>
      <c r="Z116" s="85">
        <v>1.0</v>
      </c>
      <c r="AA116" s="85">
        <v>0.0</v>
      </c>
      <c r="AB116" s="85">
        <v>0.0</v>
      </c>
      <c r="AC116" s="85">
        <v>4.0</v>
      </c>
      <c r="AD116" s="85">
        <v>4.0</v>
      </c>
      <c r="AE116" s="62" t="b">
        <v>0</v>
      </c>
      <c r="AF116" s="62" t="b">
        <v>0</v>
      </c>
      <c r="AG116" s="85">
        <v>4.0</v>
      </c>
      <c r="AH116" s="86">
        <v>1.0</v>
      </c>
      <c r="AI116" s="62" t="b">
        <v>0</v>
      </c>
      <c r="AJ116" s="84"/>
      <c r="AK116" s="80">
        <f t="shared" si="1"/>
        <v>25</v>
      </c>
      <c r="AL116" s="80">
        <f t="shared" si="2"/>
        <v>25</v>
      </c>
    </row>
    <row r="117">
      <c r="A117" s="84" t="s">
        <v>375</v>
      </c>
      <c r="B117" s="85">
        <v>32.0</v>
      </c>
      <c r="C117" s="85">
        <v>3534.0</v>
      </c>
      <c r="D117" s="85">
        <v>0.0</v>
      </c>
      <c r="E117" s="85">
        <v>0.0</v>
      </c>
      <c r="F117" s="85">
        <v>0.0</v>
      </c>
      <c r="G117" s="85">
        <v>0.0</v>
      </c>
      <c r="H117" s="85">
        <v>0.0</v>
      </c>
      <c r="I117" s="85">
        <v>0.0</v>
      </c>
      <c r="J117" s="85">
        <v>0.0</v>
      </c>
      <c r="K117" s="85">
        <v>0.0</v>
      </c>
      <c r="L117" s="85">
        <v>0.0</v>
      </c>
      <c r="M117" s="85">
        <v>0.0</v>
      </c>
      <c r="N117" s="85">
        <v>0.0</v>
      </c>
      <c r="O117" s="85">
        <v>0.0</v>
      </c>
      <c r="P117" s="62" t="b">
        <v>0</v>
      </c>
      <c r="Q117" s="62" t="b">
        <v>0</v>
      </c>
      <c r="R117" s="62" t="b">
        <v>0</v>
      </c>
      <c r="S117" s="85">
        <v>1.0</v>
      </c>
      <c r="T117" s="85">
        <v>1.0</v>
      </c>
      <c r="U117" s="85">
        <v>1.0</v>
      </c>
      <c r="V117" s="85">
        <v>1.0</v>
      </c>
      <c r="W117" s="85">
        <v>0.0</v>
      </c>
      <c r="X117" s="85">
        <v>0.0</v>
      </c>
      <c r="Y117" s="85">
        <v>3.0</v>
      </c>
      <c r="Z117" s="85">
        <v>3.0</v>
      </c>
      <c r="AA117" s="85">
        <v>0.0</v>
      </c>
      <c r="AB117" s="85">
        <v>0.0</v>
      </c>
      <c r="AC117" s="85">
        <v>0.0</v>
      </c>
      <c r="AD117" s="85">
        <v>0.0</v>
      </c>
      <c r="AE117" s="62" t="b">
        <v>0</v>
      </c>
      <c r="AF117" s="62" t="b">
        <v>0</v>
      </c>
      <c r="AG117" s="85">
        <v>3.0</v>
      </c>
      <c r="AH117" s="86">
        <v>3.0</v>
      </c>
      <c r="AI117" s="62" t="b">
        <v>0</v>
      </c>
      <c r="AJ117" s="84" t="s">
        <v>443</v>
      </c>
      <c r="AK117" s="80">
        <f t="shared" si="1"/>
        <v>23</v>
      </c>
      <c r="AL117" s="80">
        <f t="shared" si="2"/>
        <v>23</v>
      </c>
    </row>
    <row r="118">
      <c r="A118" s="84" t="s">
        <v>150</v>
      </c>
      <c r="B118" s="85">
        <v>1.0</v>
      </c>
      <c r="C118" s="85">
        <v>3322.0</v>
      </c>
      <c r="D118" s="85">
        <v>0.0</v>
      </c>
      <c r="E118" s="85">
        <v>0.0</v>
      </c>
      <c r="F118" s="85">
        <v>1.0</v>
      </c>
      <c r="G118" s="85">
        <v>1.0</v>
      </c>
      <c r="H118" s="85">
        <v>0.0</v>
      </c>
      <c r="I118" s="85">
        <v>0.0</v>
      </c>
      <c r="J118" s="85">
        <v>0.0</v>
      </c>
      <c r="K118" s="85">
        <v>0.0</v>
      </c>
      <c r="L118" s="85">
        <v>0.0</v>
      </c>
      <c r="M118" s="85">
        <v>0.0</v>
      </c>
      <c r="N118" s="85">
        <v>0.0</v>
      </c>
      <c r="O118" s="85">
        <v>0.0</v>
      </c>
      <c r="P118" s="62" t="b">
        <v>1</v>
      </c>
      <c r="Q118" s="62" t="b">
        <v>1</v>
      </c>
      <c r="R118" s="62" t="b">
        <v>1</v>
      </c>
      <c r="S118" s="85">
        <v>0.0</v>
      </c>
      <c r="T118" s="85">
        <v>0.0</v>
      </c>
      <c r="U118" s="85">
        <v>2.0</v>
      </c>
      <c r="V118" s="85">
        <v>2.0</v>
      </c>
      <c r="W118" s="85">
        <v>0.0</v>
      </c>
      <c r="X118" s="85">
        <v>0.0</v>
      </c>
      <c r="Y118" s="85">
        <v>0.0</v>
      </c>
      <c r="Z118" s="85">
        <v>0.0</v>
      </c>
      <c r="AA118" s="85">
        <v>0.0</v>
      </c>
      <c r="AB118" s="85">
        <v>0.0</v>
      </c>
      <c r="AC118" s="85">
        <v>0.0</v>
      </c>
      <c r="AD118" s="85">
        <v>0.0</v>
      </c>
      <c r="AE118" s="62" t="b">
        <v>1</v>
      </c>
      <c r="AF118" s="62" t="b">
        <v>1</v>
      </c>
      <c r="AG118" s="85">
        <v>2.0</v>
      </c>
      <c r="AH118" s="86">
        <v>2.0</v>
      </c>
      <c r="AI118" s="62" t="b">
        <v>0</v>
      </c>
      <c r="AJ118" s="87" t="s">
        <v>444</v>
      </c>
      <c r="AK118" s="80">
        <f t="shared" si="1"/>
        <v>35</v>
      </c>
      <c r="AL118" s="80">
        <f t="shared" si="2"/>
        <v>13</v>
      </c>
    </row>
    <row r="119">
      <c r="A119" s="84" t="s">
        <v>102</v>
      </c>
      <c r="B119" s="85">
        <v>12.0</v>
      </c>
      <c r="C119" s="85">
        <v>3322.0</v>
      </c>
      <c r="D119" s="85">
        <v>0.0</v>
      </c>
      <c r="E119" s="85">
        <v>0.0</v>
      </c>
      <c r="F119" s="85">
        <v>1.0</v>
      </c>
      <c r="G119" s="85">
        <v>0.0</v>
      </c>
      <c r="H119" s="85">
        <v>1.0</v>
      </c>
      <c r="I119" s="85">
        <v>1.0</v>
      </c>
      <c r="J119" s="85">
        <v>0.0</v>
      </c>
      <c r="K119" s="85">
        <v>0.0</v>
      </c>
      <c r="L119" s="85">
        <v>0.0</v>
      </c>
      <c r="M119" s="85">
        <v>0.0</v>
      </c>
      <c r="N119" s="85">
        <v>0.0</v>
      </c>
      <c r="O119" s="85">
        <v>0.0</v>
      </c>
      <c r="P119" s="62" t="b">
        <v>0</v>
      </c>
      <c r="Q119" s="62" t="b">
        <v>1</v>
      </c>
      <c r="R119" s="62" t="b">
        <v>1</v>
      </c>
      <c r="S119" s="85">
        <v>0.0</v>
      </c>
      <c r="T119" s="85">
        <v>0.0</v>
      </c>
      <c r="U119" s="85">
        <v>1.0</v>
      </c>
      <c r="V119" s="85">
        <v>1.0</v>
      </c>
      <c r="W119" s="85">
        <v>0.0</v>
      </c>
      <c r="X119" s="85">
        <v>0.0</v>
      </c>
      <c r="Y119" s="85">
        <v>0.0</v>
      </c>
      <c r="Z119" s="85">
        <v>0.0</v>
      </c>
      <c r="AA119" s="85">
        <v>0.0</v>
      </c>
      <c r="AB119" s="85">
        <v>0.0</v>
      </c>
      <c r="AC119" s="85">
        <v>0.0</v>
      </c>
      <c r="AD119" s="85">
        <v>0.0</v>
      </c>
      <c r="AE119" s="62" t="b">
        <v>0</v>
      </c>
      <c r="AF119" s="62" t="b">
        <v>1</v>
      </c>
      <c r="AG119" s="85">
        <v>2.0</v>
      </c>
      <c r="AH119" s="86">
        <v>1.0</v>
      </c>
      <c r="AI119" s="62" t="b">
        <v>0</v>
      </c>
      <c r="AJ119" s="87" t="s">
        <v>445</v>
      </c>
      <c r="AK119" s="80">
        <f t="shared" si="1"/>
        <v>9</v>
      </c>
      <c r="AL119" s="80">
        <f t="shared" si="2"/>
        <v>9</v>
      </c>
    </row>
    <row r="120">
      <c r="A120" s="84" t="s">
        <v>372</v>
      </c>
      <c r="B120" s="85">
        <v>19.0</v>
      </c>
      <c r="C120" s="85">
        <v>3322.0</v>
      </c>
      <c r="D120" s="85">
        <v>0.0</v>
      </c>
      <c r="E120" s="85">
        <v>0.0</v>
      </c>
      <c r="F120" s="85">
        <v>1.0</v>
      </c>
      <c r="G120" s="85">
        <v>1.0</v>
      </c>
      <c r="H120" s="85">
        <v>0.0</v>
      </c>
      <c r="I120" s="85">
        <v>0.0</v>
      </c>
      <c r="J120" s="85">
        <v>0.0</v>
      </c>
      <c r="K120" s="85">
        <v>0.0</v>
      </c>
      <c r="L120" s="85">
        <v>0.0</v>
      </c>
      <c r="M120" s="85">
        <v>0.0</v>
      </c>
      <c r="N120" s="85">
        <v>0.0</v>
      </c>
      <c r="O120" s="85">
        <v>0.0</v>
      </c>
      <c r="P120" s="62" t="b">
        <v>0</v>
      </c>
      <c r="Q120" s="62" t="b">
        <v>0</v>
      </c>
      <c r="R120" s="62" t="b">
        <v>0</v>
      </c>
      <c r="S120" s="85">
        <v>0.0</v>
      </c>
      <c r="T120" s="85">
        <v>0.0</v>
      </c>
      <c r="U120" s="85">
        <v>0.0</v>
      </c>
      <c r="V120" s="85">
        <v>0.0</v>
      </c>
      <c r="W120" s="85">
        <v>0.0</v>
      </c>
      <c r="X120" s="85">
        <v>0.0</v>
      </c>
      <c r="Y120" s="85">
        <v>0.0</v>
      </c>
      <c r="Z120" s="85">
        <v>0.0</v>
      </c>
      <c r="AA120" s="85">
        <v>2.0</v>
      </c>
      <c r="AB120" s="85">
        <v>1.0</v>
      </c>
      <c r="AC120" s="85">
        <v>0.0</v>
      </c>
      <c r="AD120" s="85">
        <v>0.0</v>
      </c>
      <c r="AE120" s="62" t="b">
        <v>0</v>
      </c>
      <c r="AF120" s="62" t="b">
        <v>0</v>
      </c>
      <c r="AG120" s="85">
        <v>3.0</v>
      </c>
      <c r="AH120" s="86">
        <v>2.0</v>
      </c>
      <c r="AI120" s="62" t="b">
        <v>0</v>
      </c>
      <c r="AJ120" s="84"/>
      <c r="AK120" s="80">
        <f t="shared" si="1"/>
        <v>7</v>
      </c>
      <c r="AL120" s="80">
        <f t="shared" si="2"/>
        <v>7</v>
      </c>
    </row>
    <row r="121">
      <c r="A121" s="84" t="s">
        <v>423</v>
      </c>
      <c r="B121" s="85">
        <v>24.0</v>
      </c>
      <c r="C121" s="85">
        <v>3322.0</v>
      </c>
      <c r="D121" s="85">
        <v>0.0</v>
      </c>
      <c r="E121" s="85">
        <v>0.0</v>
      </c>
      <c r="F121" s="85">
        <v>0.0</v>
      </c>
      <c r="G121" s="85">
        <v>0.0</v>
      </c>
      <c r="H121" s="85">
        <v>0.0</v>
      </c>
      <c r="I121" s="85">
        <v>0.0</v>
      </c>
      <c r="J121" s="85">
        <v>0.0</v>
      </c>
      <c r="K121" s="85">
        <v>0.0</v>
      </c>
      <c r="L121" s="85">
        <v>0.0</v>
      </c>
      <c r="M121" s="85">
        <v>0.0</v>
      </c>
      <c r="N121" s="85">
        <v>0.0</v>
      </c>
      <c r="O121" s="85">
        <v>0.0</v>
      </c>
      <c r="P121" s="62" t="b">
        <v>1</v>
      </c>
      <c r="Q121" s="62" t="b">
        <v>1</v>
      </c>
      <c r="R121" s="62" t="b">
        <v>1</v>
      </c>
      <c r="S121" s="85">
        <v>0.0</v>
      </c>
      <c r="T121" s="85">
        <v>0.0</v>
      </c>
      <c r="U121" s="85">
        <v>1.0</v>
      </c>
      <c r="V121" s="85">
        <v>1.0</v>
      </c>
      <c r="W121" s="85">
        <v>0.0</v>
      </c>
      <c r="X121" s="85">
        <v>0.0</v>
      </c>
      <c r="Y121" s="85">
        <v>1.0</v>
      </c>
      <c r="Z121" s="85">
        <v>1.0</v>
      </c>
      <c r="AA121" s="85">
        <v>0.0</v>
      </c>
      <c r="AB121" s="85">
        <v>0.0</v>
      </c>
      <c r="AC121" s="85">
        <v>0.0</v>
      </c>
      <c r="AD121" s="85">
        <v>0.0</v>
      </c>
      <c r="AE121" s="62" t="b">
        <v>1</v>
      </c>
      <c r="AF121" s="62" t="b">
        <v>1</v>
      </c>
      <c r="AG121" s="85">
        <v>2.0</v>
      </c>
      <c r="AH121" s="85">
        <v>1.0</v>
      </c>
      <c r="AI121" s="62" t="b">
        <v>0</v>
      </c>
      <c r="AJ121" s="84" t="s">
        <v>446</v>
      </c>
      <c r="AK121" s="80">
        <f t="shared" si="1"/>
        <v>33</v>
      </c>
      <c r="AL121" s="80">
        <f t="shared" si="2"/>
        <v>11</v>
      </c>
    </row>
    <row r="122">
      <c r="A122" s="84" t="s">
        <v>377</v>
      </c>
      <c r="B122" s="85">
        <v>31.0</v>
      </c>
      <c r="C122" s="85">
        <v>3322.0</v>
      </c>
      <c r="D122" s="85">
        <v>0.0</v>
      </c>
      <c r="E122" s="85">
        <v>0.0</v>
      </c>
      <c r="F122" s="85">
        <v>1.0</v>
      </c>
      <c r="G122" s="85">
        <v>1.0</v>
      </c>
      <c r="H122" s="85">
        <v>0.0</v>
      </c>
      <c r="I122" s="85">
        <v>0.0</v>
      </c>
      <c r="J122" s="85">
        <v>0.0</v>
      </c>
      <c r="K122" s="85">
        <v>0.0</v>
      </c>
      <c r="L122" s="85">
        <v>0.0</v>
      </c>
      <c r="M122" s="85">
        <v>0.0</v>
      </c>
      <c r="N122" s="85">
        <v>0.0</v>
      </c>
      <c r="O122" s="85">
        <v>0.0</v>
      </c>
      <c r="P122" s="62" t="b">
        <v>0</v>
      </c>
      <c r="Q122" s="62" t="b">
        <v>0</v>
      </c>
      <c r="R122" s="62" t="b">
        <v>1</v>
      </c>
      <c r="S122" s="85">
        <v>0.0</v>
      </c>
      <c r="T122" s="85">
        <v>0.0</v>
      </c>
      <c r="U122" s="85">
        <v>1.0</v>
      </c>
      <c r="V122" s="85">
        <v>1.0</v>
      </c>
      <c r="W122" s="85">
        <v>0.0</v>
      </c>
      <c r="X122" s="85">
        <v>0.0</v>
      </c>
      <c r="Y122" s="85">
        <v>1.0</v>
      </c>
      <c r="Z122" s="85">
        <v>0.0</v>
      </c>
      <c r="AA122" s="85">
        <v>1.0</v>
      </c>
      <c r="AB122" s="85">
        <v>1.0</v>
      </c>
      <c r="AC122" s="85">
        <v>1.0</v>
      </c>
      <c r="AD122" s="85">
        <v>1.0</v>
      </c>
      <c r="AE122" s="62" t="b">
        <v>0</v>
      </c>
      <c r="AF122" s="62" t="b">
        <v>0</v>
      </c>
      <c r="AG122" s="85">
        <v>3.0</v>
      </c>
      <c r="AH122" s="86">
        <v>0.0</v>
      </c>
      <c r="AI122" s="62" t="b">
        <v>0</v>
      </c>
      <c r="AJ122" s="87" t="s">
        <v>447</v>
      </c>
      <c r="AK122" s="80">
        <f t="shared" si="1"/>
        <v>15</v>
      </c>
      <c r="AL122" s="80">
        <f t="shared" si="2"/>
        <v>15</v>
      </c>
    </row>
    <row r="123">
      <c r="A123" s="84" t="s">
        <v>423</v>
      </c>
      <c r="B123" s="85">
        <v>35.0</v>
      </c>
      <c r="C123" s="85">
        <v>3322.0</v>
      </c>
      <c r="D123" s="85">
        <v>0.0</v>
      </c>
      <c r="E123" s="85">
        <v>0.0</v>
      </c>
      <c r="F123" s="85">
        <v>1.0</v>
      </c>
      <c r="G123" s="85">
        <v>1.0</v>
      </c>
      <c r="H123" s="85">
        <v>0.0</v>
      </c>
      <c r="I123" s="85">
        <v>0.0</v>
      </c>
      <c r="J123" s="85">
        <v>0.0</v>
      </c>
      <c r="K123" s="85">
        <v>0.0</v>
      </c>
      <c r="L123" s="85">
        <v>0.0</v>
      </c>
      <c r="M123" s="85">
        <v>0.0</v>
      </c>
      <c r="N123" s="85">
        <v>0.0</v>
      </c>
      <c r="O123" s="85">
        <v>0.0</v>
      </c>
      <c r="P123" s="62" t="b">
        <v>1</v>
      </c>
      <c r="Q123" s="62" t="b">
        <v>1</v>
      </c>
      <c r="R123" s="62" t="b">
        <v>1</v>
      </c>
      <c r="S123" s="85">
        <v>0.0</v>
      </c>
      <c r="T123" s="85">
        <v>0.0</v>
      </c>
      <c r="U123" s="85">
        <v>1.0</v>
      </c>
      <c r="V123" s="85">
        <v>1.0</v>
      </c>
      <c r="W123" s="85">
        <v>0.0</v>
      </c>
      <c r="X123" s="85">
        <v>0.0</v>
      </c>
      <c r="Y123" s="85">
        <v>0.0</v>
      </c>
      <c r="Z123" s="85">
        <v>0.0</v>
      </c>
      <c r="AA123" s="85">
        <v>0.0</v>
      </c>
      <c r="AB123" s="85">
        <v>0.0</v>
      </c>
      <c r="AC123" s="85">
        <v>4.0</v>
      </c>
      <c r="AD123" s="85">
        <v>4.0</v>
      </c>
      <c r="AE123" s="62" t="b">
        <v>1</v>
      </c>
      <c r="AF123" s="62" t="b">
        <v>1</v>
      </c>
      <c r="AG123" s="85">
        <v>2.0</v>
      </c>
      <c r="AH123" s="86">
        <v>0.0</v>
      </c>
      <c r="AI123" s="62" t="b">
        <v>0</v>
      </c>
      <c r="AJ123" s="84" t="s">
        <v>448</v>
      </c>
      <c r="AK123" s="80">
        <f t="shared" si="1"/>
        <v>40</v>
      </c>
      <c r="AL123" s="80">
        <f t="shared" si="2"/>
        <v>18</v>
      </c>
    </row>
    <row r="124">
      <c r="A124" s="84" t="s">
        <v>391</v>
      </c>
      <c r="B124" s="85">
        <v>4.0</v>
      </c>
      <c r="C124" s="85">
        <v>3175.0</v>
      </c>
      <c r="D124" s="85">
        <v>1.0</v>
      </c>
      <c r="E124" s="85">
        <v>1.0</v>
      </c>
      <c r="F124" s="85">
        <v>0.0</v>
      </c>
      <c r="G124" s="85">
        <v>0.0</v>
      </c>
      <c r="H124" s="85">
        <v>0.0</v>
      </c>
      <c r="I124" s="85">
        <v>0.0</v>
      </c>
      <c r="J124" s="85">
        <v>0.0</v>
      </c>
      <c r="K124" s="85">
        <v>0.0</v>
      </c>
      <c r="L124" s="85">
        <v>0.0</v>
      </c>
      <c r="M124" s="85">
        <v>0.0</v>
      </c>
      <c r="N124" s="85">
        <v>0.0</v>
      </c>
      <c r="O124" s="85">
        <v>0.0</v>
      </c>
      <c r="P124" s="62" t="b">
        <v>0</v>
      </c>
      <c r="Q124" s="62" t="b">
        <v>0</v>
      </c>
      <c r="R124" s="62" t="b">
        <v>1</v>
      </c>
      <c r="S124" s="85">
        <v>0.0</v>
      </c>
      <c r="T124" s="85">
        <v>0.0</v>
      </c>
      <c r="U124" s="85">
        <v>0.0</v>
      </c>
      <c r="V124" s="85">
        <v>0.0</v>
      </c>
      <c r="W124" s="85">
        <v>0.0</v>
      </c>
      <c r="X124" s="85">
        <v>0.0</v>
      </c>
      <c r="Y124" s="85">
        <v>2.0</v>
      </c>
      <c r="Z124" s="85">
        <v>2.0</v>
      </c>
      <c r="AA124" s="85">
        <v>1.0</v>
      </c>
      <c r="AB124" s="85">
        <v>1.0</v>
      </c>
      <c r="AC124" s="85">
        <v>5.0</v>
      </c>
      <c r="AD124" s="85">
        <v>5.0</v>
      </c>
      <c r="AE124" s="62" t="b">
        <v>0</v>
      </c>
      <c r="AF124" s="62" t="b">
        <v>0</v>
      </c>
      <c r="AG124" s="85">
        <v>4.0</v>
      </c>
      <c r="AH124" s="86">
        <v>0.0</v>
      </c>
      <c r="AI124" s="62" t="b">
        <v>0</v>
      </c>
      <c r="AJ124" s="84"/>
      <c r="AK124" s="80">
        <f t="shared" si="1"/>
        <v>32</v>
      </c>
      <c r="AL124" s="80">
        <f t="shared" si="2"/>
        <v>32</v>
      </c>
    </row>
    <row r="125">
      <c r="A125" s="84" t="s">
        <v>377</v>
      </c>
      <c r="B125" s="85">
        <v>8.0</v>
      </c>
      <c r="C125" s="85">
        <v>3175.0</v>
      </c>
      <c r="D125" s="85">
        <v>1.0</v>
      </c>
      <c r="E125" s="85">
        <v>1.0</v>
      </c>
      <c r="F125" s="85">
        <v>0.0</v>
      </c>
      <c r="G125" s="85">
        <v>0.0</v>
      </c>
      <c r="H125" s="85">
        <v>0.0</v>
      </c>
      <c r="I125" s="85">
        <v>0.0</v>
      </c>
      <c r="J125" s="85">
        <v>1.0</v>
      </c>
      <c r="K125" s="85">
        <v>1.0</v>
      </c>
      <c r="L125" s="85">
        <v>0.0</v>
      </c>
      <c r="M125" s="85">
        <v>0.0</v>
      </c>
      <c r="N125" s="85">
        <v>0.0</v>
      </c>
      <c r="O125" s="85">
        <v>0.0</v>
      </c>
      <c r="P125" s="62" t="b">
        <v>0</v>
      </c>
      <c r="Q125" s="62" t="b">
        <v>0</v>
      </c>
      <c r="R125" s="62" t="b">
        <v>1</v>
      </c>
      <c r="S125" s="85">
        <v>0.0</v>
      </c>
      <c r="T125" s="85">
        <v>0.0</v>
      </c>
      <c r="U125" s="85">
        <v>0.0</v>
      </c>
      <c r="V125" s="85">
        <v>0.0</v>
      </c>
      <c r="W125" s="85">
        <v>0.0</v>
      </c>
      <c r="X125" s="85">
        <v>0.0</v>
      </c>
      <c r="Y125" s="85">
        <v>0.0</v>
      </c>
      <c r="Z125" s="85">
        <v>0.0</v>
      </c>
      <c r="AA125" s="85">
        <v>0.0</v>
      </c>
      <c r="AB125" s="85">
        <v>0.0</v>
      </c>
      <c r="AC125" s="85">
        <v>0.0</v>
      </c>
      <c r="AD125" s="85">
        <v>0.0</v>
      </c>
      <c r="AE125" s="62" t="b">
        <v>0</v>
      </c>
      <c r="AF125" s="62" t="b">
        <v>0</v>
      </c>
      <c r="AG125" s="85">
        <v>3.0</v>
      </c>
      <c r="AH125" s="85">
        <v>1.0</v>
      </c>
      <c r="AI125" s="62" t="b">
        <v>1</v>
      </c>
      <c r="AJ125" s="87" t="s">
        <v>449</v>
      </c>
      <c r="AK125" s="80">
        <f t="shared" si="1"/>
        <v>15</v>
      </c>
      <c r="AL125" s="80">
        <f t="shared" si="2"/>
        <v>15</v>
      </c>
    </row>
    <row r="126">
      <c r="A126" s="84" t="s">
        <v>364</v>
      </c>
      <c r="B126" s="85">
        <v>15.0</v>
      </c>
      <c r="C126" s="85">
        <v>3175.0</v>
      </c>
      <c r="D126" s="85">
        <v>1.0</v>
      </c>
      <c r="E126" s="85">
        <v>1.0</v>
      </c>
      <c r="F126" s="85">
        <v>0.0</v>
      </c>
      <c r="G126" s="85">
        <v>0.0</v>
      </c>
      <c r="H126" s="85">
        <v>0.0</v>
      </c>
      <c r="I126" s="85">
        <v>0.0</v>
      </c>
      <c r="J126" s="85">
        <v>2.0</v>
      </c>
      <c r="K126" s="85">
        <v>2.0</v>
      </c>
      <c r="L126" s="85">
        <v>1.0</v>
      </c>
      <c r="M126" s="85">
        <v>1.0</v>
      </c>
      <c r="N126" s="85">
        <v>4.0</v>
      </c>
      <c r="O126" s="85">
        <v>4.0</v>
      </c>
      <c r="P126" s="62" t="b">
        <v>1</v>
      </c>
      <c r="Q126" s="62" t="b">
        <v>1</v>
      </c>
      <c r="R126" s="62" t="b">
        <v>0</v>
      </c>
      <c r="S126" s="85">
        <v>0.0</v>
      </c>
      <c r="T126" s="85">
        <v>0.0</v>
      </c>
      <c r="U126" s="85">
        <v>0.0</v>
      </c>
      <c r="V126" s="85">
        <v>0.0</v>
      </c>
      <c r="W126" s="85">
        <v>0.0</v>
      </c>
      <c r="X126" s="85">
        <v>0.0</v>
      </c>
      <c r="Y126" s="85">
        <v>0.0</v>
      </c>
      <c r="Z126" s="85">
        <v>0.0</v>
      </c>
      <c r="AA126" s="85">
        <v>0.0</v>
      </c>
      <c r="AB126" s="85">
        <v>0.0</v>
      </c>
      <c r="AC126" s="85">
        <v>0.0</v>
      </c>
      <c r="AD126" s="85">
        <v>0.0</v>
      </c>
      <c r="AE126" s="62" t="b">
        <v>1</v>
      </c>
      <c r="AF126" s="62" t="b">
        <v>1</v>
      </c>
      <c r="AG126" s="85">
        <v>4.0</v>
      </c>
      <c r="AH126" s="86">
        <v>4.0</v>
      </c>
      <c r="AI126" s="62" t="b">
        <v>0</v>
      </c>
      <c r="AJ126" s="84"/>
      <c r="AK126" s="80">
        <f t="shared" si="1"/>
        <v>56</v>
      </c>
      <c r="AL126" s="80">
        <f t="shared" si="2"/>
        <v>34</v>
      </c>
    </row>
    <row r="127">
      <c r="A127" s="84" t="s">
        <v>423</v>
      </c>
      <c r="B127" s="85">
        <v>27.0</v>
      </c>
      <c r="C127" s="85">
        <v>3175.0</v>
      </c>
      <c r="D127" s="85">
        <v>1.0</v>
      </c>
      <c r="E127" s="85">
        <v>1.0</v>
      </c>
      <c r="F127" s="85">
        <v>0.0</v>
      </c>
      <c r="G127" s="85">
        <v>0.0</v>
      </c>
      <c r="H127" s="85">
        <v>0.0</v>
      </c>
      <c r="I127" s="85">
        <v>0.0</v>
      </c>
      <c r="J127" s="85">
        <v>0.0</v>
      </c>
      <c r="K127" s="85">
        <v>0.0</v>
      </c>
      <c r="L127" s="85">
        <v>0.0</v>
      </c>
      <c r="M127" s="85">
        <v>0.0</v>
      </c>
      <c r="N127" s="85">
        <v>0.0</v>
      </c>
      <c r="O127" s="85">
        <v>0.0</v>
      </c>
      <c r="P127" s="62" t="b">
        <v>0</v>
      </c>
      <c r="Q127" s="62" t="b">
        <v>0</v>
      </c>
      <c r="R127" s="62" t="b">
        <v>0</v>
      </c>
      <c r="S127" s="85">
        <v>0.0</v>
      </c>
      <c r="T127" s="85">
        <v>0.0</v>
      </c>
      <c r="U127" s="85">
        <v>0.0</v>
      </c>
      <c r="V127" s="85">
        <v>0.0</v>
      </c>
      <c r="W127" s="85">
        <v>0.0</v>
      </c>
      <c r="X127" s="85">
        <v>0.0</v>
      </c>
      <c r="Y127" s="85">
        <v>2.0</v>
      </c>
      <c r="Z127" s="85">
        <v>2.0</v>
      </c>
      <c r="AA127" s="85">
        <v>0.0</v>
      </c>
      <c r="AB127" s="85">
        <v>0.0</v>
      </c>
      <c r="AC127" s="85">
        <v>5.0</v>
      </c>
      <c r="AD127" s="85">
        <v>5.0</v>
      </c>
      <c r="AE127" s="62" t="b">
        <v>0</v>
      </c>
      <c r="AF127" s="62" t="b">
        <v>0</v>
      </c>
      <c r="AG127" s="85">
        <v>3.0</v>
      </c>
      <c r="AH127" s="86">
        <v>0.0</v>
      </c>
      <c r="AI127" s="62" t="b">
        <v>0</v>
      </c>
      <c r="AJ127" s="84" t="s">
        <v>450</v>
      </c>
      <c r="AK127" s="80">
        <f t="shared" si="1"/>
        <v>26</v>
      </c>
      <c r="AL127" s="80">
        <f t="shared" si="2"/>
        <v>26</v>
      </c>
    </row>
    <row r="128">
      <c r="A128" s="84" t="s">
        <v>377</v>
      </c>
      <c r="B128" s="85">
        <v>34.0</v>
      </c>
      <c r="C128" s="85">
        <v>3175.0</v>
      </c>
      <c r="D128" s="85">
        <v>1.0</v>
      </c>
      <c r="E128" s="85">
        <v>1.0</v>
      </c>
      <c r="F128" s="85">
        <v>0.0</v>
      </c>
      <c r="G128" s="85">
        <v>0.0</v>
      </c>
      <c r="H128" s="85">
        <v>0.0</v>
      </c>
      <c r="I128" s="85">
        <v>0.0</v>
      </c>
      <c r="J128" s="85">
        <v>1.0</v>
      </c>
      <c r="K128" s="85">
        <v>1.0</v>
      </c>
      <c r="L128" s="85">
        <v>0.0</v>
      </c>
      <c r="M128" s="85">
        <v>0.0</v>
      </c>
      <c r="N128" s="85">
        <v>0.0</v>
      </c>
      <c r="O128" s="85">
        <v>0.0</v>
      </c>
      <c r="P128" s="62" t="b">
        <v>0</v>
      </c>
      <c r="Q128" s="62" t="b">
        <v>0</v>
      </c>
      <c r="R128" s="62" t="b">
        <v>1</v>
      </c>
      <c r="S128" s="85">
        <v>0.0</v>
      </c>
      <c r="T128" s="85">
        <v>0.0</v>
      </c>
      <c r="U128" s="85">
        <v>0.0</v>
      </c>
      <c r="V128" s="85">
        <v>0.0</v>
      </c>
      <c r="W128" s="85">
        <v>0.0</v>
      </c>
      <c r="X128" s="85">
        <v>0.0</v>
      </c>
      <c r="Y128" s="85">
        <v>1.0</v>
      </c>
      <c r="Z128" s="85">
        <v>0.0</v>
      </c>
      <c r="AA128" s="85">
        <v>0.0</v>
      </c>
      <c r="AB128" s="85">
        <v>0.0</v>
      </c>
      <c r="AC128" s="85">
        <v>4.0</v>
      </c>
      <c r="AD128" s="85">
        <v>3.0</v>
      </c>
      <c r="AE128" s="62" t="b">
        <v>0</v>
      </c>
      <c r="AF128" s="62" t="b">
        <v>0</v>
      </c>
      <c r="AG128" s="85">
        <v>2.0</v>
      </c>
      <c r="AH128" s="86">
        <v>1.0</v>
      </c>
      <c r="AI128" s="62" t="b">
        <v>0</v>
      </c>
      <c r="AJ128" s="84" t="s">
        <v>451</v>
      </c>
      <c r="AK128" s="80">
        <f t="shared" si="1"/>
        <v>21</v>
      </c>
      <c r="AL128" s="80">
        <f t="shared" si="2"/>
        <v>21</v>
      </c>
    </row>
    <row r="129">
      <c r="A129" s="84" t="s">
        <v>365</v>
      </c>
      <c r="B129" s="85">
        <v>1.0</v>
      </c>
      <c r="C129" s="85">
        <v>2832.0</v>
      </c>
      <c r="D129" s="85">
        <v>0.0</v>
      </c>
      <c r="E129" s="85">
        <v>0.0</v>
      </c>
      <c r="F129" s="85">
        <v>0.0</v>
      </c>
      <c r="G129" s="85">
        <v>0.0</v>
      </c>
      <c r="H129" s="85">
        <v>0.0</v>
      </c>
      <c r="I129" s="85">
        <v>0.0</v>
      </c>
      <c r="J129" s="85">
        <v>1.0</v>
      </c>
      <c r="K129" s="85">
        <v>1.0</v>
      </c>
      <c r="L129" s="85">
        <v>0.0</v>
      </c>
      <c r="M129" s="85">
        <v>0.0</v>
      </c>
      <c r="N129" s="85">
        <v>0.0</v>
      </c>
      <c r="O129" s="85">
        <v>0.0</v>
      </c>
      <c r="P129" s="62" t="b">
        <v>0</v>
      </c>
      <c r="Q129" s="62" t="b">
        <v>0</v>
      </c>
      <c r="R129" s="62" t="b">
        <v>1</v>
      </c>
      <c r="S129" s="88">
        <v>0.0</v>
      </c>
      <c r="T129" s="88">
        <v>0.0</v>
      </c>
      <c r="U129" s="88">
        <v>4.0</v>
      </c>
      <c r="V129" s="88">
        <v>3.0</v>
      </c>
      <c r="W129" s="85">
        <v>0.0</v>
      </c>
      <c r="X129" s="85">
        <v>0.0</v>
      </c>
      <c r="Y129" s="85">
        <v>1.0</v>
      </c>
      <c r="Z129" s="85">
        <v>1.0</v>
      </c>
      <c r="AA129" s="85">
        <v>0.0</v>
      </c>
      <c r="AB129" s="85">
        <v>0.0</v>
      </c>
      <c r="AC129" s="85">
        <v>0.0</v>
      </c>
      <c r="AD129" s="85">
        <v>0.0</v>
      </c>
      <c r="AE129" s="62" t="b">
        <v>0</v>
      </c>
      <c r="AF129" s="62" t="b">
        <v>0</v>
      </c>
      <c r="AG129" s="85">
        <v>3.0</v>
      </c>
      <c r="AH129" s="86">
        <v>3.0</v>
      </c>
      <c r="AI129" s="62" t="b">
        <v>0</v>
      </c>
      <c r="AJ129" s="84"/>
      <c r="AK129" s="80">
        <f t="shared" si="1"/>
        <v>23</v>
      </c>
      <c r="AL129" s="80">
        <f t="shared" si="2"/>
        <v>23</v>
      </c>
    </row>
    <row r="130">
      <c r="A130" s="84" t="s">
        <v>371</v>
      </c>
      <c r="B130" s="85">
        <v>13.0</v>
      </c>
      <c r="C130" s="85">
        <v>2832.0</v>
      </c>
      <c r="D130" s="85">
        <v>0.0</v>
      </c>
      <c r="E130" s="85">
        <v>0.0</v>
      </c>
      <c r="F130" s="85">
        <v>0.0</v>
      </c>
      <c r="G130" s="85">
        <v>0.0</v>
      </c>
      <c r="H130" s="85">
        <v>0.0</v>
      </c>
      <c r="I130" s="85">
        <v>0.0</v>
      </c>
      <c r="J130" s="85">
        <v>0.0</v>
      </c>
      <c r="K130" s="85">
        <v>0.0</v>
      </c>
      <c r="L130" s="85">
        <v>0.0</v>
      </c>
      <c r="M130" s="85">
        <v>0.0</v>
      </c>
      <c r="N130" s="85">
        <v>0.0</v>
      </c>
      <c r="O130" s="85">
        <v>0.0</v>
      </c>
      <c r="P130" s="62" t="b">
        <v>1</v>
      </c>
      <c r="Q130" s="62" t="b">
        <v>0</v>
      </c>
      <c r="R130" s="62" t="b">
        <v>0</v>
      </c>
      <c r="S130" s="85">
        <v>5.0</v>
      </c>
      <c r="T130" s="85">
        <v>5.0</v>
      </c>
      <c r="U130" s="85">
        <v>0.0</v>
      </c>
      <c r="V130" s="85">
        <v>0.0</v>
      </c>
      <c r="W130" s="85">
        <v>0.0</v>
      </c>
      <c r="X130" s="85">
        <v>0.0</v>
      </c>
      <c r="Y130" s="85">
        <v>0.0</v>
      </c>
      <c r="Z130" s="85">
        <v>0.0</v>
      </c>
      <c r="AA130" s="85">
        <v>0.0</v>
      </c>
      <c r="AB130" s="85">
        <v>0.0</v>
      </c>
      <c r="AC130" s="85">
        <v>0.0</v>
      </c>
      <c r="AD130" s="85">
        <v>0.0</v>
      </c>
      <c r="AE130" s="62" t="b">
        <v>1</v>
      </c>
      <c r="AF130" s="62" t="b">
        <v>0</v>
      </c>
      <c r="AG130" s="85">
        <v>5.0</v>
      </c>
      <c r="AH130" s="86">
        <v>0.0</v>
      </c>
      <c r="AI130" s="62" t="b">
        <v>0</v>
      </c>
      <c r="AJ130" s="87" t="s">
        <v>452</v>
      </c>
      <c r="AK130" s="80">
        <f t="shared" si="1"/>
        <v>39</v>
      </c>
      <c r="AL130" s="80">
        <f t="shared" si="2"/>
        <v>25</v>
      </c>
    </row>
    <row r="131">
      <c r="A131" s="84" t="s">
        <v>351</v>
      </c>
      <c r="B131" s="85">
        <v>18.0</v>
      </c>
      <c r="C131" s="85">
        <v>2832.0</v>
      </c>
      <c r="D131" s="85">
        <v>0.0</v>
      </c>
      <c r="E131" s="85">
        <v>0.0</v>
      </c>
      <c r="F131" s="85">
        <v>0.0</v>
      </c>
      <c r="G131" s="85">
        <v>0.0</v>
      </c>
      <c r="H131" s="85">
        <v>0.0</v>
      </c>
      <c r="I131" s="85">
        <v>0.0</v>
      </c>
      <c r="J131" s="85">
        <v>1.0</v>
      </c>
      <c r="K131" s="85">
        <v>1.0</v>
      </c>
      <c r="L131" s="85">
        <v>0.0</v>
      </c>
      <c r="M131" s="85">
        <v>0.0</v>
      </c>
      <c r="N131" s="85">
        <v>0.0</v>
      </c>
      <c r="O131" s="85">
        <v>0.0</v>
      </c>
      <c r="P131" s="62" t="b">
        <v>0</v>
      </c>
      <c r="Q131" s="62" t="b">
        <v>0</v>
      </c>
      <c r="R131" s="62" t="b">
        <v>1</v>
      </c>
      <c r="S131" s="85">
        <v>5.0</v>
      </c>
      <c r="T131" s="85">
        <v>3.0</v>
      </c>
      <c r="U131" s="85">
        <v>0.0</v>
      </c>
      <c r="V131" s="85">
        <v>0.0</v>
      </c>
      <c r="W131" s="85">
        <v>1.0</v>
      </c>
      <c r="X131" s="85">
        <v>1.0</v>
      </c>
      <c r="Y131" s="85">
        <v>0.0</v>
      </c>
      <c r="Z131" s="85">
        <v>0.0</v>
      </c>
      <c r="AA131" s="85">
        <v>0.0</v>
      </c>
      <c r="AB131" s="85">
        <v>0.0</v>
      </c>
      <c r="AC131" s="85">
        <v>0.0</v>
      </c>
      <c r="AD131" s="85">
        <v>0.0</v>
      </c>
      <c r="AE131" s="62" t="b">
        <v>0</v>
      </c>
      <c r="AF131" s="62" t="b">
        <v>0</v>
      </c>
      <c r="AG131" s="85">
        <v>3.0</v>
      </c>
      <c r="AH131" s="86">
        <v>1.0</v>
      </c>
      <c r="AI131" s="62" t="b">
        <v>0</v>
      </c>
      <c r="AJ131" s="87" t="s">
        <v>453</v>
      </c>
      <c r="AK131" s="80">
        <f t="shared" si="1"/>
        <v>26</v>
      </c>
      <c r="AL131" s="80">
        <f t="shared" si="2"/>
        <v>26</v>
      </c>
    </row>
    <row r="132">
      <c r="A132" s="84" t="s">
        <v>365</v>
      </c>
      <c r="B132" s="85">
        <v>22.0</v>
      </c>
      <c r="C132" s="85">
        <v>2832.0</v>
      </c>
      <c r="D132" s="85">
        <v>0.0</v>
      </c>
      <c r="E132" s="85">
        <v>0.0</v>
      </c>
      <c r="F132" s="85">
        <v>0.0</v>
      </c>
      <c r="G132" s="85">
        <v>0.0</v>
      </c>
      <c r="H132" s="85">
        <v>0.0</v>
      </c>
      <c r="I132" s="85">
        <v>0.0</v>
      </c>
      <c r="J132" s="85">
        <v>1.0</v>
      </c>
      <c r="K132" s="85">
        <v>1.0</v>
      </c>
      <c r="L132" s="85">
        <v>0.0</v>
      </c>
      <c r="M132" s="85">
        <v>0.0</v>
      </c>
      <c r="N132" s="85">
        <v>0.0</v>
      </c>
      <c r="O132" s="85">
        <v>0.0</v>
      </c>
      <c r="P132" s="62" t="b">
        <v>0</v>
      </c>
      <c r="Q132" s="62" t="b">
        <v>0</v>
      </c>
      <c r="R132" s="62" t="b">
        <v>1</v>
      </c>
      <c r="S132" s="85">
        <v>2.0</v>
      </c>
      <c r="T132" s="85">
        <v>2.0</v>
      </c>
      <c r="U132" s="85">
        <v>2.0</v>
      </c>
      <c r="V132" s="85">
        <v>2.0</v>
      </c>
      <c r="W132" s="85">
        <v>1.0</v>
      </c>
      <c r="X132" s="85">
        <v>1.0</v>
      </c>
      <c r="Y132" s="85">
        <v>0.0</v>
      </c>
      <c r="Z132" s="85">
        <v>0.0</v>
      </c>
      <c r="AA132" s="85">
        <v>0.0</v>
      </c>
      <c r="AB132" s="85">
        <v>0.0</v>
      </c>
      <c r="AC132" s="85">
        <v>0.0</v>
      </c>
      <c r="AD132" s="85">
        <v>0.0</v>
      </c>
      <c r="AE132" s="62" t="b">
        <v>0</v>
      </c>
      <c r="AF132" s="62" t="b">
        <v>0</v>
      </c>
      <c r="AG132" s="85">
        <v>2.0</v>
      </c>
      <c r="AH132" s="86">
        <v>0.0</v>
      </c>
      <c r="AI132" s="62" t="b">
        <v>0</v>
      </c>
      <c r="AJ132" s="84"/>
      <c r="AK132" s="80">
        <f t="shared" si="1"/>
        <v>27</v>
      </c>
      <c r="AL132" s="80">
        <f t="shared" si="2"/>
        <v>27</v>
      </c>
    </row>
    <row r="133">
      <c r="A133" s="84" t="s">
        <v>365</v>
      </c>
      <c r="B133" s="85">
        <v>26.0</v>
      </c>
      <c r="C133" s="85">
        <v>2832.0</v>
      </c>
      <c r="D133" s="85">
        <v>0.0</v>
      </c>
      <c r="E133" s="85">
        <v>0.0</v>
      </c>
      <c r="F133" s="85">
        <v>0.0</v>
      </c>
      <c r="G133" s="85">
        <v>0.0</v>
      </c>
      <c r="H133" s="85">
        <v>0.0</v>
      </c>
      <c r="I133" s="85">
        <v>0.0</v>
      </c>
      <c r="J133" s="85">
        <v>0.0</v>
      </c>
      <c r="K133" s="85">
        <v>0.0</v>
      </c>
      <c r="L133" s="85">
        <v>1.0</v>
      </c>
      <c r="M133" s="85">
        <v>1.0</v>
      </c>
      <c r="N133" s="85">
        <v>0.0</v>
      </c>
      <c r="O133" s="85">
        <v>0.0</v>
      </c>
      <c r="P133" s="62" t="b">
        <v>0</v>
      </c>
      <c r="Q133" s="62" t="b">
        <v>0</v>
      </c>
      <c r="R133" s="62" t="b">
        <v>1</v>
      </c>
      <c r="S133" s="85">
        <v>4.0</v>
      </c>
      <c r="T133" s="85">
        <v>3.0</v>
      </c>
      <c r="U133" s="85">
        <v>0.0</v>
      </c>
      <c r="V133" s="85">
        <v>0.0</v>
      </c>
      <c r="W133" s="85">
        <v>1.0</v>
      </c>
      <c r="X133" s="85">
        <v>1.0</v>
      </c>
      <c r="Y133" s="85">
        <v>1.0</v>
      </c>
      <c r="Z133" s="85">
        <v>1.0</v>
      </c>
      <c r="AA133" s="85">
        <v>0.0</v>
      </c>
      <c r="AB133" s="85">
        <v>0.0</v>
      </c>
      <c r="AC133" s="85">
        <v>0.0</v>
      </c>
      <c r="AD133" s="85">
        <v>0.0</v>
      </c>
      <c r="AE133" s="62" t="b">
        <v>0</v>
      </c>
      <c r="AF133" s="62" t="b">
        <v>0</v>
      </c>
      <c r="AG133" s="85">
        <v>2.0</v>
      </c>
      <c r="AH133" s="86">
        <v>1.0</v>
      </c>
      <c r="AI133" s="62" t="b">
        <v>0</v>
      </c>
      <c r="AJ133" s="84"/>
      <c r="AK133" s="80">
        <f t="shared" si="1"/>
        <v>29</v>
      </c>
      <c r="AL133" s="80">
        <f t="shared" si="2"/>
        <v>29</v>
      </c>
    </row>
    <row r="134">
      <c r="A134" s="84" t="s">
        <v>377</v>
      </c>
      <c r="B134" s="85">
        <v>33.0</v>
      </c>
      <c r="C134" s="85">
        <v>2832.0</v>
      </c>
      <c r="D134" s="85">
        <v>0.0</v>
      </c>
      <c r="E134" s="85">
        <v>0.0</v>
      </c>
      <c r="F134" s="85">
        <v>0.0</v>
      </c>
      <c r="G134" s="85">
        <v>0.0</v>
      </c>
      <c r="H134" s="85">
        <v>0.0</v>
      </c>
      <c r="I134" s="85">
        <v>0.0</v>
      </c>
      <c r="J134" s="85">
        <v>1.0</v>
      </c>
      <c r="K134" s="85">
        <v>1.0</v>
      </c>
      <c r="L134" s="85">
        <v>0.0</v>
      </c>
      <c r="M134" s="85">
        <v>0.0</v>
      </c>
      <c r="N134" s="85">
        <v>0.0</v>
      </c>
      <c r="O134" s="85">
        <v>0.0</v>
      </c>
      <c r="P134" s="62" t="b">
        <v>0</v>
      </c>
      <c r="Q134" s="62" t="b">
        <v>0</v>
      </c>
      <c r="R134" s="62" t="b">
        <v>1</v>
      </c>
      <c r="S134" s="85">
        <v>5.0</v>
      </c>
      <c r="T134" s="85">
        <v>5.0</v>
      </c>
      <c r="U134" s="85">
        <v>0.0</v>
      </c>
      <c r="V134" s="85">
        <v>0.0</v>
      </c>
      <c r="W134" s="85">
        <v>0.0</v>
      </c>
      <c r="X134" s="85">
        <v>0.0</v>
      </c>
      <c r="Y134" s="85">
        <v>0.0</v>
      </c>
      <c r="Z134" s="85">
        <v>0.0</v>
      </c>
      <c r="AA134" s="85">
        <v>0.0</v>
      </c>
      <c r="AB134" s="85">
        <v>0.0</v>
      </c>
      <c r="AC134" s="85">
        <v>0.0</v>
      </c>
      <c r="AD134" s="85">
        <v>0.0</v>
      </c>
      <c r="AE134" s="62" t="b">
        <v>0</v>
      </c>
      <c r="AF134" s="62" t="b">
        <v>0</v>
      </c>
      <c r="AG134" s="85">
        <v>3.0</v>
      </c>
      <c r="AH134" s="85">
        <v>1.0</v>
      </c>
      <c r="AI134" s="62" t="b">
        <v>0</v>
      </c>
      <c r="AJ134" s="84" t="s">
        <v>454</v>
      </c>
      <c r="AK134" s="80">
        <f t="shared" si="1"/>
        <v>34</v>
      </c>
      <c r="AL134" s="80">
        <f t="shared" si="2"/>
        <v>34</v>
      </c>
    </row>
    <row r="135">
      <c r="A135" s="84" t="s">
        <v>377</v>
      </c>
      <c r="B135" s="85">
        <v>5.0</v>
      </c>
      <c r="C135" s="85">
        <v>2137.0</v>
      </c>
      <c r="D135" s="85">
        <v>1.0</v>
      </c>
      <c r="E135" s="85">
        <v>1.0</v>
      </c>
      <c r="F135" s="85">
        <v>0.0</v>
      </c>
      <c r="G135" s="85">
        <v>0.0</v>
      </c>
      <c r="H135" s="85">
        <v>0.0</v>
      </c>
      <c r="I135" s="85">
        <v>0.0</v>
      </c>
      <c r="J135" s="85">
        <v>0.0</v>
      </c>
      <c r="K135" s="85">
        <v>0.0</v>
      </c>
      <c r="L135" s="85">
        <v>0.0</v>
      </c>
      <c r="M135" s="85">
        <v>0.0</v>
      </c>
      <c r="N135" s="85">
        <v>0.0</v>
      </c>
      <c r="O135" s="85">
        <v>0.0</v>
      </c>
      <c r="P135" s="62" t="b">
        <v>0</v>
      </c>
      <c r="Q135" s="62" t="b">
        <v>0</v>
      </c>
      <c r="R135" s="62" t="b">
        <v>1</v>
      </c>
      <c r="S135" s="85">
        <v>0.0</v>
      </c>
      <c r="T135" s="85">
        <v>0.0</v>
      </c>
      <c r="U135" s="85">
        <v>3.0</v>
      </c>
      <c r="V135" s="85">
        <v>1.0</v>
      </c>
      <c r="W135" s="85">
        <v>0.0</v>
      </c>
      <c r="X135" s="85">
        <v>0.0</v>
      </c>
      <c r="Y135" s="85">
        <v>1.0</v>
      </c>
      <c r="Z135" s="85">
        <v>1.0</v>
      </c>
      <c r="AA135" s="85">
        <v>0.0</v>
      </c>
      <c r="AB135" s="85">
        <v>0.0</v>
      </c>
      <c r="AC135" s="85">
        <v>0.0</v>
      </c>
      <c r="AD135" s="85">
        <v>0.0</v>
      </c>
      <c r="AE135" s="62" t="b">
        <v>0</v>
      </c>
      <c r="AF135" s="62" t="b">
        <v>0</v>
      </c>
      <c r="AG135" s="85">
        <v>3.0</v>
      </c>
      <c r="AH135" s="86">
        <v>1.0</v>
      </c>
      <c r="AI135" s="62" t="b">
        <v>0</v>
      </c>
      <c r="AJ135" s="84"/>
      <c r="AK135" s="80">
        <f t="shared" si="1"/>
        <v>17</v>
      </c>
      <c r="AL135" s="80">
        <f t="shared" si="2"/>
        <v>17</v>
      </c>
    </row>
    <row r="136">
      <c r="A136" s="84" t="s">
        <v>365</v>
      </c>
      <c r="B136" s="85">
        <v>9.0</v>
      </c>
      <c r="C136" s="85">
        <v>2137.0</v>
      </c>
      <c r="D136" s="85">
        <v>0.0</v>
      </c>
      <c r="E136" s="85">
        <v>0.0</v>
      </c>
      <c r="F136" s="85">
        <v>0.0</v>
      </c>
      <c r="G136" s="85">
        <v>0.0</v>
      </c>
      <c r="H136" s="85">
        <v>1.0</v>
      </c>
      <c r="I136" s="85">
        <v>1.0</v>
      </c>
      <c r="J136" s="85">
        <v>0.0</v>
      </c>
      <c r="K136" s="85">
        <v>0.0</v>
      </c>
      <c r="L136" s="85">
        <v>0.0</v>
      </c>
      <c r="M136" s="85">
        <v>0.0</v>
      </c>
      <c r="N136" s="85">
        <v>0.0</v>
      </c>
      <c r="O136" s="85">
        <v>0.0</v>
      </c>
      <c r="P136" s="62" t="b">
        <v>0</v>
      </c>
      <c r="Q136" s="62" t="b">
        <v>0</v>
      </c>
      <c r="R136" s="62" t="b">
        <v>0</v>
      </c>
      <c r="S136" s="85">
        <v>1.0</v>
      </c>
      <c r="T136" s="85">
        <v>1.0</v>
      </c>
      <c r="U136" s="85">
        <v>0.0</v>
      </c>
      <c r="V136" s="85">
        <v>0.0</v>
      </c>
      <c r="W136" s="85">
        <v>0.0</v>
      </c>
      <c r="X136" s="85">
        <v>0.0</v>
      </c>
      <c r="Y136" s="85">
        <v>0.0</v>
      </c>
      <c r="Z136" s="85">
        <v>0.0</v>
      </c>
      <c r="AA136" s="85">
        <v>0.0</v>
      </c>
      <c r="AB136" s="85">
        <v>0.0</v>
      </c>
      <c r="AC136" s="85">
        <v>1.0</v>
      </c>
      <c r="AD136" s="85">
        <v>1.0</v>
      </c>
      <c r="AE136" s="62" t="b">
        <v>0</v>
      </c>
      <c r="AF136" s="62" t="b">
        <v>0</v>
      </c>
      <c r="AG136" s="85">
        <v>1.0</v>
      </c>
      <c r="AH136" s="86">
        <v>0.0</v>
      </c>
      <c r="AI136" s="62" t="b">
        <v>0</v>
      </c>
      <c r="AJ136" s="87" t="s">
        <v>455</v>
      </c>
      <c r="AK136" s="80">
        <f t="shared" si="1"/>
        <v>10</v>
      </c>
      <c r="AL136" s="80">
        <f t="shared" si="2"/>
        <v>10</v>
      </c>
    </row>
    <row r="137">
      <c r="A137" s="84" t="s">
        <v>379</v>
      </c>
      <c r="B137" s="85">
        <v>18.0</v>
      </c>
      <c r="C137" s="85">
        <v>2137.0</v>
      </c>
      <c r="D137" s="85">
        <v>0.0</v>
      </c>
      <c r="E137" s="85">
        <v>0.0</v>
      </c>
      <c r="F137" s="85">
        <v>0.0</v>
      </c>
      <c r="G137" s="85">
        <v>0.0</v>
      </c>
      <c r="H137" s="85">
        <v>0.0</v>
      </c>
      <c r="I137" s="85">
        <v>0.0</v>
      </c>
      <c r="J137" s="85">
        <v>1.0</v>
      </c>
      <c r="K137" s="85">
        <v>1.0</v>
      </c>
      <c r="L137" s="85">
        <v>0.0</v>
      </c>
      <c r="M137" s="85">
        <v>0.0</v>
      </c>
      <c r="N137" s="85">
        <v>0.0</v>
      </c>
      <c r="O137" s="85">
        <v>0.0</v>
      </c>
      <c r="P137" s="62" t="b">
        <v>1</v>
      </c>
      <c r="Q137" s="62" t="b">
        <v>1</v>
      </c>
      <c r="R137" s="62" t="b">
        <v>0</v>
      </c>
      <c r="S137" s="85">
        <v>2.0</v>
      </c>
      <c r="T137" s="85">
        <v>2.0</v>
      </c>
      <c r="U137" s="85">
        <v>1.0</v>
      </c>
      <c r="V137" s="85">
        <v>0.0</v>
      </c>
      <c r="W137" s="85">
        <v>0.0</v>
      </c>
      <c r="X137" s="85">
        <v>0.0</v>
      </c>
      <c r="Y137" s="85">
        <v>1.0</v>
      </c>
      <c r="Z137" s="85">
        <v>1.0</v>
      </c>
      <c r="AA137" s="85">
        <v>0.0</v>
      </c>
      <c r="AB137" s="85">
        <v>0.0</v>
      </c>
      <c r="AC137" s="85">
        <v>0.0</v>
      </c>
      <c r="AD137" s="85">
        <v>0.0</v>
      </c>
      <c r="AE137" s="62" t="b">
        <v>1</v>
      </c>
      <c r="AF137" s="62" t="b">
        <v>1</v>
      </c>
      <c r="AG137" s="85">
        <v>3.0</v>
      </c>
      <c r="AH137" s="86">
        <v>1.0</v>
      </c>
      <c r="AI137" s="62" t="b">
        <v>0</v>
      </c>
      <c r="AJ137" s="84"/>
      <c r="AK137" s="80">
        <f t="shared" si="1"/>
        <v>43</v>
      </c>
      <c r="AL137" s="80">
        <f t="shared" si="2"/>
        <v>21</v>
      </c>
    </row>
    <row r="138">
      <c r="A138" s="84" t="s">
        <v>102</v>
      </c>
      <c r="B138" s="85">
        <v>24.0</v>
      </c>
      <c r="C138" s="85">
        <v>2137.0</v>
      </c>
      <c r="D138" s="85">
        <v>0.0</v>
      </c>
      <c r="E138" s="85">
        <v>0.0</v>
      </c>
      <c r="F138" s="85">
        <v>0.0</v>
      </c>
      <c r="G138" s="85">
        <v>0.0</v>
      </c>
      <c r="H138" s="85">
        <v>0.0</v>
      </c>
      <c r="I138" s="85">
        <v>0.0</v>
      </c>
      <c r="J138" s="85">
        <v>1.0</v>
      </c>
      <c r="K138" s="85">
        <v>1.0</v>
      </c>
      <c r="L138" s="85">
        <v>0.0</v>
      </c>
      <c r="M138" s="85">
        <v>0.0</v>
      </c>
      <c r="N138" s="85">
        <v>0.0</v>
      </c>
      <c r="O138" s="85">
        <v>0.0</v>
      </c>
      <c r="P138" s="62" t="b">
        <v>0</v>
      </c>
      <c r="Q138" s="62" t="b">
        <v>1</v>
      </c>
      <c r="R138" s="62" t="b">
        <v>1</v>
      </c>
      <c r="S138" s="85">
        <v>3.0</v>
      </c>
      <c r="T138" s="85">
        <v>3.0</v>
      </c>
      <c r="U138" s="85">
        <v>0.0</v>
      </c>
      <c r="V138" s="85">
        <v>0.0</v>
      </c>
      <c r="W138" s="85">
        <v>0.0</v>
      </c>
      <c r="X138" s="85">
        <v>0.0</v>
      </c>
      <c r="Y138" s="85">
        <v>0.0</v>
      </c>
      <c r="Z138" s="85">
        <v>0.0</v>
      </c>
      <c r="AA138" s="85">
        <v>0.0</v>
      </c>
      <c r="AB138" s="85">
        <v>0.0</v>
      </c>
      <c r="AC138" s="85">
        <v>0.0</v>
      </c>
      <c r="AD138" s="85">
        <v>0.0</v>
      </c>
      <c r="AE138" s="62" t="b">
        <v>0</v>
      </c>
      <c r="AF138" s="62" t="b">
        <v>1</v>
      </c>
      <c r="AG138" s="85">
        <v>3.0</v>
      </c>
      <c r="AH138" s="86">
        <v>1.0</v>
      </c>
      <c r="AI138" s="62" t="b">
        <v>0</v>
      </c>
      <c r="AJ138" s="84"/>
      <c r="AK138" s="80">
        <f t="shared" si="1"/>
        <v>24</v>
      </c>
      <c r="AL138" s="80">
        <f t="shared" si="2"/>
        <v>24</v>
      </c>
    </row>
    <row r="139">
      <c r="A139" s="84" t="s">
        <v>423</v>
      </c>
      <c r="B139" s="85">
        <v>28.0</v>
      </c>
      <c r="C139" s="85">
        <v>2137.0</v>
      </c>
      <c r="D139" s="85">
        <v>0.0</v>
      </c>
      <c r="E139" s="85">
        <v>0.0</v>
      </c>
      <c r="F139" s="85">
        <v>0.0</v>
      </c>
      <c r="G139" s="85">
        <v>0.0</v>
      </c>
      <c r="H139" s="85">
        <v>0.0</v>
      </c>
      <c r="I139" s="85">
        <v>0.0</v>
      </c>
      <c r="J139" s="85">
        <v>1.0</v>
      </c>
      <c r="K139" s="85">
        <v>1.0</v>
      </c>
      <c r="L139" s="85">
        <v>0.0</v>
      </c>
      <c r="M139" s="85">
        <v>0.0</v>
      </c>
      <c r="N139" s="85">
        <v>0.0</v>
      </c>
      <c r="O139" s="85">
        <v>0.0</v>
      </c>
      <c r="P139" s="62" t="b">
        <v>1</v>
      </c>
      <c r="Q139" s="62" t="b">
        <v>1</v>
      </c>
      <c r="R139" s="62" t="b">
        <v>0</v>
      </c>
      <c r="S139" s="85">
        <v>2.0</v>
      </c>
      <c r="T139" s="85">
        <v>2.0</v>
      </c>
      <c r="U139" s="85">
        <v>2.0</v>
      </c>
      <c r="V139" s="85">
        <v>2.0</v>
      </c>
      <c r="W139" s="85">
        <v>0.0</v>
      </c>
      <c r="X139" s="85">
        <v>0.0</v>
      </c>
      <c r="Y139" s="85">
        <v>0.0</v>
      </c>
      <c r="Z139" s="85">
        <v>0.0</v>
      </c>
      <c r="AA139" s="85">
        <v>0.0</v>
      </c>
      <c r="AB139" s="85">
        <v>0.0</v>
      </c>
      <c r="AC139" s="85">
        <v>0.0</v>
      </c>
      <c r="AD139" s="85">
        <v>0.0</v>
      </c>
      <c r="AE139" s="62" t="b">
        <v>1</v>
      </c>
      <c r="AF139" s="62" t="b">
        <v>1</v>
      </c>
      <c r="AG139" s="85">
        <v>2.0</v>
      </c>
      <c r="AH139" s="86">
        <v>0.0</v>
      </c>
      <c r="AI139" s="62" t="b">
        <v>0</v>
      </c>
      <c r="AJ139" s="87" t="s">
        <v>456</v>
      </c>
      <c r="AK139" s="80">
        <f t="shared" si="1"/>
        <v>44</v>
      </c>
      <c r="AL139" s="80">
        <f t="shared" si="2"/>
        <v>22</v>
      </c>
    </row>
    <row r="140">
      <c r="A140" s="84" t="s">
        <v>423</v>
      </c>
      <c r="B140" s="90">
        <v>1.0</v>
      </c>
      <c r="C140" s="85">
        <v>1711.0</v>
      </c>
      <c r="D140" s="85">
        <v>0.0</v>
      </c>
      <c r="E140" s="85">
        <v>0.0</v>
      </c>
      <c r="F140" s="85">
        <v>0.0</v>
      </c>
      <c r="G140" s="85">
        <v>0.0</v>
      </c>
      <c r="H140" s="85">
        <v>0.0</v>
      </c>
      <c r="I140" s="85">
        <v>0.0</v>
      </c>
      <c r="J140" s="85">
        <v>0.0</v>
      </c>
      <c r="K140" s="85">
        <v>0.0</v>
      </c>
      <c r="L140" s="85">
        <v>1.0</v>
      </c>
      <c r="M140" s="85">
        <v>1.0</v>
      </c>
      <c r="N140" s="85">
        <v>0.0</v>
      </c>
      <c r="O140" s="85">
        <v>0.0</v>
      </c>
      <c r="P140" s="62" t="b">
        <v>0</v>
      </c>
      <c r="Q140" s="62" t="b">
        <v>0</v>
      </c>
      <c r="R140" s="62" t="b">
        <v>1</v>
      </c>
      <c r="S140" s="85">
        <v>0.0</v>
      </c>
      <c r="T140" s="85">
        <v>0.0</v>
      </c>
      <c r="U140" s="85">
        <v>0.0</v>
      </c>
      <c r="V140" s="85">
        <v>0.0</v>
      </c>
      <c r="W140" s="85">
        <v>0.0</v>
      </c>
      <c r="X140" s="85">
        <v>0.0</v>
      </c>
      <c r="Y140" s="85">
        <v>0.0</v>
      </c>
      <c r="Z140" s="85">
        <v>0.0</v>
      </c>
      <c r="AA140" s="85">
        <v>1.0</v>
      </c>
      <c r="AB140" s="85">
        <v>1.0</v>
      </c>
      <c r="AC140" s="85">
        <v>4.0</v>
      </c>
      <c r="AD140" s="85">
        <v>4.0</v>
      </c>
      <c r="AE140" s="62" t="b">
        <v>0</v>
      </c>
      <c r="AF140" s="62" t="b">
        <v>0</v>
      </c>
      <c r="AG140" s="85">
        <v>2.0</v>
      </c>
      <c r="AH140" s="86">
        <v>1.0</v>
      </c>
      <c r="AI140" s="62" t="b">
        <v>0</v>
      </c>
      <c r="AJ140" s="87" t="s">
        <v>457</v>
      </c>
      <c r="AK140" s="80">
        <f t="shared" si="1"/>
        <v>18</v>
      </c>
      <c r="AL140" s="80">
        <f t="shared" si="2"/>
        <v>18</v>
      </c>
    </row>
    <row r="141">
      <c r="A141" s="84" t="s">
        <v>351</v>
      </c>
      <c r="B141" s="85">
        <v>16.0</v>
      </c>
      <c r="C141" s="85">
        <v>1711.0</v>
      </c>
      <c r="D141" s="85">
        <v>0.0</v>
      </c>
      <c r="E141" s="85">
        <v>0.0</v>
      </c>
      <c r="F141" s="85">
        <v>0.0</v>
      </c>
      <c r="G141" s="85">
        <v>0.0</v>
      </c>
      <c r="H141" s="85">
        <v>0.0</v>
      </c>
      <c r="I141" s="85">
        <v>0.0</v>
      </c>
      <c r="J141" s="85">
        <v>0.0</v>
      </c>
      <c r="K141" s="85">
        <v>0.0</v>
      </c>
      <c r="L141" s="85">
        <v>0.0</v>
      </c>
      <c r="M141" s="85">
        <v>0.0</v>
      </c>
      <c r="N141" s="85">
        <v>1.0</v>
      </c>
      <c r="O141" s="85">
        <v>1.0</v>
      </c>
      <c r="P141" s="62" t="b">
        <v>0</v>
      </c>
      <c r="Q141" s="62" t="b">
        <v>0</v>
      </c>
      <c r="R141" s="62" t="b">
        <v>1</v>
      </c>
      <c r="S141" s="85">
        <v>0.0</v>
      </c>
      <c r="T141" s="85">
        <v>0.0</v>
      </c>
      <c r="U141" s="85">
        <v>0.0</v>
      </c>
      <c r="V141" s="85">
        <v>0.0</v>
      </c>
      <c r="W141" s="85">
        <v>0.0</v>
      </c>
      <c r="X141" s="85">
        <v>0.0</v>
      </c>
      <c r="Y141" s="85">
        <v>0.0</v>
      </c>
      <c r="Z141" s="85">
        <v>0.0</v>
      </c>
      <c r="AA141" s="85">
        <v>0.0</v>
      </c>
      <c r="AB141" s="85">
        <v>0.0</v>
      </c>
      <c r="AC141" s="85">
        <v>4.0</v>
      </c>
      <c r="AD141" s="85">
        <v>4.0</v>
      </c>
      <c r="AE141" s="62" t="b">
        <v>0</v>
      </c>
      <c r="AF141" s="62" t="b">
        <v>0</v>
      </c>
      <c r="AG141" s="85">
        <v>2.0</v>
      </c>
      <c r="AH141" s="85">
        <v>1.0</v>
      </c>
      <c r="AI141" s="62" t="b">
        <v>0</v>
      </c>
      <c r="AJ141" s="84" t="s">
        <v>458</v>
      </c>
      <c r="AK141" s="80">
        <f t="shared" si="1"/>
        <v>14</v>
      </c>
      <c r="AL141" s="80">
        <f t="shared" si="2"/>
        <v>14</v>
      </c>
    </row>
    <row r="142">
      <c r="A142" s="84" t="s">
        <v>365</v>
      </c>
      <c r="B142" s="85">
        <v>25.0</v>
      </c>
      <c r="C142" s="85">
        <v>1711.0</v>
      </c>
      <c r="D142" s="85">
        <v>0.0</v>
      </c>
      <c r="E142" s="85">
        <v>0.0</v>
      </c>
      <c r="F142" s="85">
        <v>0.0</v>
      </c>
      <c r="G142" s="85">
        <v>0.0</v>
      </c>
      <c r="H142" s="85">
        <v>0.0</v>
      </c>
      <c r="I142" s="85">
        <v>0.0</v>
      </c>
      <c r="J142" s="85">
        <v>0.0</v>
      </c>
      <c r="K142" s="85">
        <v>0.0</v>
      </c>
      <c r="L142" s="85">
        <v>1.0</v>
      </c>
      <c r="M142" s="85">
        <v>1.0</v>
      </c>
      <c r="N142" s="85">
        <v>0.0</v>
      </c>
      <c r="O142" s="85">
        <v>0.0</v>
      </c>
      <c r="P142" s="62" t="b">
        <v>0</v>
      </c>
      <c r="Q142" s="62" t="b">
        <v>0</v>
      </c>
      <c r="R142" s="62" t="b">
        <v>1</v>
      </c>
      <c r="S142" s="85">
        <v>0.0</v>
      </c>
      <c r="T142" s="85">
        <v>0.0</v>
      </c>
      <c r="U142" s="85">
        <v>0.0</v>
      </c>
      <c r="V142" s="85">
        <v>0.0</v>
      </c>
      <c r="W142" s="85">
        <v>0.0</v>
      </c>
      <c r="X142" s="85">
        <v>0.0</v>
      </c>
      <c r="Y142" s="85">
        <v>0.0</v>
      </c>
      <c r="Z142" s="85">
        <v>0.0</v>
      </c>
      <c r="AA142" s="85">
        <v>1.0</v>
      </c>
      <c r="AB142" s="85">
        <v>1.0</v>
      </c>
      <c r="AC142" s="85">
        <v>2.0</v>
      </c>
      <c r="AD142" s="85">
        <v>2.0</v>
      </c>
      <c r="AE142" s="62" t="b">
        <v>0</v>
      </c>
      <c r="AF142" s="62" t="b">
        <v>0</v>
      </c>
      <c r="AG142" s="85">
        <v>0.0</v>
      </c>
      <c r="AH142" s="86">
        <v>0.0</v>
      </c>
      <c r="AI142" s="62" t="b">
        <v>0</v>
      </c>
      <c r="AJ142" s="84"/>
      <c r="AK142" s="80">
        <f t="shared" si="1"/>
        <v>14</v>
      </c>
      <c r="AL142" s="80">
        <f t="shared" si="2"/>
        <v>14</v>
      </c>
    </row>
    <row r="143">
      <c r="A143" s="84" t="s">
        <v>375</v>
      </c>
      <c r="B143" s="85">
        <v>30.0</v>
      </c>
      <c r="C143" s="85">
        <v>1711.0</v>
      </c>
      <c r="D143" s="85">
        <v>0.0</v>
      </c>
      <c r="E143" s="85">
        <v>0.0</v>
      </c>
      <c r="F143" s="85">
        <v>0.0</v>
      </c>
      <c r="G143" s="85">
        <v>0.0</v>
      </c>
      <c r="H143" s="85">
        <v>0.0</v>
      </c>
      <c r="I143" s="85">
        <v>0.0</v>
      </c>
      <c r="J143" s="85">
        <v>1.0</v>
      </c>
      <c r="K143" s="85">
        <v>0.0</v>
      </c>
      <c r="L143" s="85">
        <v>0.0</v>
      </c>
      <c r="M143" s="85">
        <v>0.0</v>
      </c>
      <c r="N143" s="85">
        <v>0.0</v>
      </c>
      <c r="O143" s="85">
        <v>0.0</v>
      </c>
      <c r="P143" s="62" t="b">
        <v>0</v>
      </c>
      <c r="Q143" s="62" t="b">
        <v>0</v>
      </c>
      <c r="R143" s="62" t="b">
        <v>0</v>
      </c>
      <c r="S143" s="85">
        <v>0.0</v>
      </c>
      <c r="T143" s="85">
        <v>0.0</v>
      </c>
      <c r="U143" s="85">
        <v>0.0</v>
      </c>
      <c r="V143" s="85">
        <v>0.0</v>
      </c>
      <c r="W143" s="85">
        <v>0.0</v>
      </c>
      <c r="X143" s="85">
        <v>0.0</v>
      </c>
      <c r="Y143" s="85">
        <v>0.0</v>
      </c>
      <c r="Z143" s="85">
        <v>0.0</v>
      </c>
      <c r="AA143" s="85">
        <v>1.0</v>
      </c>
      <c r="AB143" s="85">
        <v>0.0</v>
      </c>
      <c r="AC143" s="85">
        <v>1.0</v>
      </c>
      <c r="AD143" s="85">
        <v>1.0</v>
      </c>
      <c r="AE143" s="62" t="b">
        <v>0</v>
      </c>
      <c r="AF143" s="62" t="b">
        <v>0</v>
      </c>
      <c r="AG143" s="85">
        <v>0.0</v>
      </c>
      <c r="AH143" s="86">
        <v>2.0</v>
      </c>
      <c r="AI143" s="62" t="b">
        <v>0</v>
      </c>
      <c r="AJ143" s="87" t="s">
        <v>459</v>
      </c>
      <c r="AK143" s="80">
        <f t="shared" si="1"/>
        <v>2</v>
      </c>
      <c r="AL143" s="80">
        <f t="shared" si="2"/>
        <v>2</v>
      </c>
    </row>
    <row r="144">
      <c r="A144" s="84" t="s">
        <v>365</v>
      </c>
      <c r="B144" s="85">
        <v>7.0</v>
      </c>
      <c r="C144" s="85">
        <v>1701.0</v>
      </c>
      <c r="D144" s="85">
        <v>0.0</v>
      </c>
      <c r="E144" s="85">
        <v>0.0</v>
      </c>
      <c r="F144" s="85">
        <v>0.0</v>
      </c>
      <c r="G144" s="85">
        <v>0.0</v>
      </c>
      <c r="H144" s="85">
        <v>0.0</v>
      </c>
      <c r="I144" s="85">
        <v>0.0</v>
      </c>
      <c r="J144" s="85">
        <v>1.0</v>
      </c>
      <c r="K144" s="85">
        <v>1.0</v>
      </c>
      <c r="L144" s="85">
        <v>1.0</v>
      </c>
      <c r="M144" s="85">
        <v>1.0</v>
      </c>
      <c r="N144" s="85">
        <v>0.0</v>
      </c>
      <c r="O144" s="85">
        <v>0.0</v>
      </c>
      <c r="P144" s="62" t="b">
        <v>1</v>
      </c>
      <c r="Q144" s="62" t="b">
        <v>0</v>
      </c>
      <c r="R144" s="62" t="b">
        <v>1</v>
      </c>
      <c r="S144" s="85">
        <v>0.0</v>
      </c>
      <c r="T144" s="85">
        <v>0.0</v>
      </c>
      <c r="U144" s="85">
        <v>0.0</v>
      </c>
      <c r="V144" s="85">
        <v>0.0</v>
      </c>
      <c r="W144" s="85">
        <v>0.0</v>
      </c>
      <c r="X144" s="85">
        <v>0.0</v>
      </c>
      <c r="Y144" s="85">
        <v>0.0</v>
      </c>
      <c r="Z144" s="85">
        <v>0.0</v>
      </c>
      <c r="AA144" s="85">
        <v>0.0</v>
      </c>
      <c r="AB144" s="85">
        <v>0.0</v>
      </c>
      <c r="AC144" s="85">
        <v>0.0</v>
      </c>
      <c r="AD144" s="85">
        <v>0.0</v>
      </c>
      <c r="AE144" s="62" t="b">
        <v>1</v>
      </c>
      <c r="AF144" s="62" t="b">
        <v>0</v>
      </c>
      <c r="AG144" s="85">
        <v>2.0</v>
      </c>
      <c r="AH144" s="86">
        <v>4.0</v>
      </c>
      <c r="AI144" s="62" t="b">
        <v>0</v>
      </c>
      <c r="AJ144" s="84"/>
      <c r="AK144" s="80">
        <f t="shared" si="1"/>
        <v>27</v>
      </c>
      <c r="AL144" s="80">
        <f t="shared" si="2"/>
        <v>13</v>
      </c>
    </row>
    <row r="145">
      <c r="A145" s="84" t="s">
        <v>351</v>
      </c>
      <c r="B145" s="85">
        <v>11.0</v>
      </c>
      <c r="C145" s="85">
        <v>1701.0</v>
      </c>
      <c r="D145" s="85">
        <v>0.0</v>
      </c>
      <c r="E145" s="85">
        <v>0.0</v>
      </c>
      <c r="F145" s="85">
        <v>0.0</v>
      </c>
      <c r="G145" s="85">
        <v>0.0</v>
      </c>
      <c r="H145" s="85">
        <v>0.0</v>
      </c>
      <c r="I145" s="85">
        <v>0.0</v>
      </c>
      <c r="J145" s="85">
        <v>1.0</v>
      </c>
      <c r="K145" s="85">
        <v>1.0</v>
      </c>
      <c r="L145" s="85">
        <v>1.0</v>
      </c>
      <c r="M145" s="85">
        <v>1.0</v>
      </c>
      <c r="N145" s="85">
        <v>0.0</v>
      </c>
      <c r="O145" s="85">
        <v>0.0</v>
      </c>
      <c r="P145" s="62" t="b">
        <v>1</v>
      </c>
      <c r="Q145" s="62" t="b">
        <v>0</v>
      </c>
      <c r="R145" s="62" t="b">
        <v>1</v>
      </c>
      <c r="S145" s="85">
        <v>0.0</v>
      </c>
      <c r="T145" s="85">
        <v>0.0</v>
      </c>
      <c r="U145" s="85">
        <v>0.0</v>
      </c>
      <c r="V145" s="85">
        <v>0.0</v>
      </c>
      <c r="W145" s="85">
        <v>0.0</v>
      </c>
      <c r="X145" s="85">
        <v>0.0</v>
      </c>
      <c r="Y145" s="85">
        <v>0.0</v>
      </c>
      <c r="Z145" s="85">
        <v>0.0</v>
      </c>
      <c r="AA145" s="85">
        <v>0.0</v>
      </c>
      <c r="AB145" s="85">
        <v>0.0</v>
      </c>
      <c r="AC145" s="85">
        <v>0.0</v>
      </c>
      <c r="AD145" s="85">
        <v>0.0</v>
      </c>
      <c r="AE145" s="62" t="b">
        <v>1</v>
      </c>
      <c r="AF145" s="62" t="b">
        <v>0</v>
      </c>
      <c r="AG145" s="85">
        <v>2.0</v>
      </c>
      <c r="AH145" s="86">
        <v>3.0</v>
      </c>
      <c r="AI145" s="62" t="b">
        <v>0</v>
      </c>
      <c r="AJ145" s="84" t="s">
        <v>460</v>
      </c>
      <c r="AK145" s="80">
        <f t="shared" si="1"/>
        <v>27</v>
      </c>
      <c r="AL145" s="80">
        <f t="shared" si="2"/>
        <v>13</v>
      </c>
    </row>
    <row r="146">
      <c r="A146" s="84" t="s">
        <v>150</v>
      </c>
      <c r="B146" s="85">
        <v>18.0</v>
      </c>
      <c r="C146" s="85">
        <v>1701.0</v>
      </c>
      <c r="D146" s="85">
        <v>0.0</v>
      </c>
      <c r="E146" s="85">
        <v>0.0</v>
      </c>
      <c r="F146" s="85">
        <v>0.0</v>
      </c>
      <c r="G146" s="85">
        <v>0.0</v>
      </c>
      <c r="H146" s="85">
        <v>0.0</v>
      </c>
      <c r="I146" s="85">
        <v>0.0</v>
      </c>
      <c r="J146" s="85">
        <v>0.0</v>
      </c>
      <c r="K146" s="85">
        <v>0.0</v>
      </c>
      <c r="L146" s="85">
        <v>1.0</v>
      </c>
      <c r="M146" s="85">
        <v>1.0</v>
      </c>
      <c r="N146" s="85">
        <v>0.0</v>
      </c>
      <c r="O146" s="85">
        <v>0.0</v>
      </c>
      <c r="P146" s="62" t="b">
        <v>1</v>
      </c>
      <c r="Q146" s="62" t="b">
        <v>0</v>
      </c>
      <c r="R146" s="62" t="b">
        <v>1</v>
      </c>
      <c r="S146" s="85">
        <v>4.0</v>
      </c>
      <c r="T146" s="85">
        <v>4.0</v>
      </c>
      <c r="U146" s="85">
        <v>0.0</v>
      </c>
      <c r="V146" s="85">
        <v>0.0</v>
      </c>
      <c r="W146" s="85">
        <v>0.0</v>
      </c>
      <c r="X146" s="85">
        <v>0.0</v>
      </c>
      <c r="Y146" s="85">
        <v>1.0</v>
      </c>
      <c r="Z146" s="85">
        <v>0.0</v>
      </c>
      <c r="AA146" s="85">
        <v>0.0</v>
      </c>
      <c r="AB146" s="85">
        <v>0.0</v>
      </c>
      <c r="AC146" s="85">
        <v>2.0</v>
      </c>
      <c r="AD146" s="85">
        <v>2.0</v>
      </c>
      <c r="AE146" s="62" t="b">
        <v>1</v>
      </c>
      <c r="AF146" s="62" t="b">
        <v>0</v>
      </c>
      <c r="AG146" s="85">
        <v>4.0</v>
      </c>
      <c r="AH146" s="85">
        <v>0.0</v>
      </c>
      <c r="AI146" s="62" t="b">
        <v>0</v>
      </c>
      <c r="AJ146" s="87" t="s">
        <v>461</v>
      </c>
      <c r="AK146" s="80">
        <f t="shared" si="1"/>
        <v>45</v>
      </c>
      <c r="AL146" s="80">
        <f t="shared" si="2"/>
        <v>31</v>
      </c>
    </row>
    <row r="147">
      <c r="A147" s="84" t="s">
        <v>377</v>
      </c>
      <c r="B147" s="85">
        <v>30.0</v>
      </c>
      <c r="C147" s="85">
        <v>1701.0</v>
      </c>
      <c r="D147" s="85">
        <v>1.0</v>
      </c>
      <c r="E147" s="85">
        <v>0.0</v>
      </c>
      <c r="F147" s="85">
        <v>0.0</v>
      </c>
      <c r="G147" s="85">
        <v>0.0</v>
      </c>
      <c r="H147" s="85">
        <v>0.0</v>
      </c>
      <c r="I147" s="85">
        <v>0.0</v>
      </c>
      <c r="J147" s="85">
        <v>0.0</v>
      </c>
      <c r="K147" s="85">
        <v>0.0</v>
      </c>
      <c r="L147" s="85">
        <v>0.0</v>
      </c>
      <c r="M147" s="85">
        <v>0.0</v>
      </c>
      <c r="N147" s="85">
        <v>0.0</v>
      </c>
      <c r="O147" s="85">
        <v>0.0</v>
      </c>
      <c r="P147" s="62" t="b">
        <v>0</v>
      </c>
      <c r="Q147" s="62" t="b">
        <v>0</v>
      </c>
      <c r="R147" s="62" t="b">
        <v>1</v>
      </c>
      <c r="S147" s="85">
        <v>1.0</v>
      </c>
      <c r="T147" s="85">
        <v>1.0</v>
      </c>
      <c r="U147" s="85">
        <v>1.0</v>
      </c>
      <c r="V147" s="85">
        <v>0.0</v>
      </c>
      <c r="W147" s="85">
        <v>0.0</v>
      </c>
      <c r="X147" s="85">
        <v>0.0</v>
      </c>
      <c r="Y147" s="85">
        <v>1.0</v>
      </c>
      <c r="Z147" s="85">
        <v>1.0</v>
      </c>
      <c r="AA147" s="85">
        <v>0.0</v>
      </c>
      <c r="AB147" s="85">
        <v>0.0</v>
      </c>
      <c r="AC147" s="85">
        <v>1.0</v>
      </c>
      <c r="AD147" s="85">
        <v>1.0</v>
      </c>
      <c r="AE147" s="62" t="b">
        <v>0</v>
      </c>
      <c r="AF147" s="62" t="b">
        <v>0</v>
      </c>
      <c r="AG147" s="85">
        <v>3.0</v>
      </c>
      <c r="AH147" s="86">
        <v>1.0</v>
      </c>
      <c r="AI147" s="62" t="b">
        <v>0</v>
      </c>
      <c r="AJ147" s="87" t="s">
        <v>462</v>
      </c>
      <c r="AK147" s="80">
        <f t="shared" si="1"/>
        <v>15</v>
      </c>
      <c r="AL147" s="80">
        <f t="shared" si="2"/>
        <v>15</v>
      </c>
    </row>
    <row r="148">
      <c r="A148" s="84" t="s">
        <v>377</v>
      </c>
      <c r="B148" s="85">
        <v>35.0</v>
      </c>
      <c r="C148" s="85">
        <v>1701.0</v>
      </c>
      <c r="D148" s="85">
        <v>0.0</v>
      </c>
      <c r="E148" s="85">
        <v>0.0</v>
      </c>
      <c r="F148" s="85">
        <v>0.0</v>
      </c>
      <c r="G148" s="85">
        <v>0.0</v>
      </c>
      <c r="H148" s="85">
        <v>0.0</v>
      </c>
      <c r="I148" s="85">
        <v>0.0</v>
      </c>
      <c r="J148" s="85">
        <v>0.0</v>
      </c>
      <c r="K148" s="85">
        <v>0.0</v>
      </c>
      <c r="L148" s="85">
        <v>0.0</v>
      </c>
      <c r="M148" s="85">
        <v>0.0</v>
      </c>
      <c r="N148" s="85">
        <v>1.0</v>
      </c>
      <c r="O148" s="85">
        <v>1.0</v>
      </c>
      <c r="P148" s="62" t="b">
        <v>0</v>
      </c>
      <c r="Q148" s="62" t="b">
        <v>0</v>
      </c>
      <c r="R148" s="62" t="b">
        <v>1</v>
      </c>
      <c r="S148" s="85">
        <v>2.0</v>
      </c>
      <c r="T148" s="85">
        <v>2.0</v>
      </c>
      <c r="U148" s="85">
        <v>0.0</v>
      </c>
      <c r="V148" s="85">
        <v>0.0</v>
      </c>
      <c r="W148" s="85">
        <v>0.0</v>
      </c>
      <c r="X148" s="85">
        <v>0.0</v>
      </c>
      <c r="Y148" s="85">
        <v>1.0</v>
      </c>
      <c r="Z148" s="85">
        <v>0.0</v>
      </c>
      <c r="AA148" s="85">
        <v>0.0</v>
      </c>
      <c r="AB148" s="85">
        <v>0.0</v>
      </c>
      <c r="AC148" s="85">
        <v>0.0</v>
      </c>
      <c r="AD148" s="85">
        <v>0.0</v>
      </c>
      <c r="AE148" s="62" t="b">
        <v>0</v>
      </c>
      <c r="AF148" s="62" t="b">
        <v>0</v>
      </c>
      <c r="AG148" s="85">
        <v>3.0</v>
      </c>
      <c r="AH148" s="86">
        <v>1.0</v>
      </c>
      <c r="AI148" s="62" t="b">
        <v>0</v>
      </c>
      <c r="AJ148" s="87" t="s">
        <v>463</v>
      </c>
      <c r="AK148" s="80">
        <f t="shared" si="1"/>
        <v>16</v>
      </c>
      <c r="AL148" s="80">
        <f t="shared" si="2"/>
        <v>16</v>
      </c>
    </row>
    <row r="149">
      <c r="A149" s="84" t="s">
        <v>372</v>
      </c>
      <c r="B149" s="85">
        <v>6.0</v>
      </c>
      <c r="C149" s="85">
        <v>1506.0</v>
      </c>
      <c r="D149" s="85">
        <v>0.0</v>
      </c>
      <c r="E149" s="85">
        <v>0.0</v>
      </c>
      <c r="F149" s="85">
        <v>0.0</v>
      </c>
      <c r="G149" s="85">
        <v>0.0</v>
      </c>
      <c r="H149" s="85">
        <v>0.0</v>
      </c>
      <c r="I149" s="85">
        <v>0.0</v>
      </c>
      <c r="J149" s="85">
        <v>0.0</v>
      </c>
      <c r="K149" s="85">
        <v>0.0</v>
      </c>
      <c r="L149" s="85">
        <v>0.0</v>
      </c>
      <c r="M149" s="85">
        <v>0.0</v>
      </c>
      <c r="N149" s="85">
        <v>0.0</v>
      </c>
      <c r="O149" s="85">
        <v>0.0</v>
      </c>
      <c r="P149" s="62" t="b">
        <v>0</v>
      </c>
      <c r="Q149" s="62" t="b">
        <v>0</v>
      </c>
      <c r="R149" s="62" t="b">
        <v>0</v>
      </c>
      <c r="S149" s="85">
        <v>5.0</v>
      </c>
      <c r="T149" s="85">
        <v>5.0</v>
      </c>
      <c r="U149" s="85">
        <v>0.0</v>
      </c>
      <c r="V149" s="85">
        <v>0.0</v>
      </c>
      <c r="W149" s="85">
        <v>0.0</v>
      </c>
      <c r="X149" s="85">
        <v>0.0</v>
      </c>
      <c r="Y149" s="85">
        <v>0.0</v>
      </c>
      <c r="Z149" s="85">
        <v>0.0</v>
      </c>
      <c r="AA149" s="85">
        <v>1.0</v>
      </c>
      <c r="AB149" s="85">
        <v>1.0</v>
      </c>
      <c r="AC149" s="85">
        <v>0.0</v>
      </c>
      <c r="AD149" s="85">
        <v>0.0</v>
      </c>
      <c r="AE149" s="62" t="b">
        <v>0</v>
      </c>
      <c r="AF149" s="62" t="b">
        <v>0</v>
      </c>
      <c r="AG149" s="85">
        <v>4.0</v>
      </c>
      <c r="AH149" s="86">
        <v>3.0</v>
      </c>
      <c r="AI149" s="62" t="b">
        <v>0</v>
      </c>
      <c r="AJ149" s="84"/>
      <c r="AK149" s="80">
        <f t="shared" si="1"/>
        <v>28</v>
      </c>
      <c r="AL149" s="80">
        <f t="shared" si="2"/>
        <v>28</v>
      </c>
    </row>
    <row r="150">
      <c r="A150" s="84" t="s">
        <v>354</v>
      </c>
      <c r="B150" s="85">
        <v>12.0</v>
      </c>
      <c r="C150" s="85">
        <v>1506.0</v>
      </c>
      <c r="D150" s="85">
        <v>1.0</v>
      </c>
      <c r="E150" s="85">
        <v>1.0</v>
      </c>
      <c r="F150" s="85">
        <v>0.0</v>
      </c>
      <c r="G150" s="85">
        <v>0.0</v>
      </c>
      <c r="H150" s="85">
        <v>0.0</v>
      </c>
      <c r="I150" s="85">
        <v>0.0</v>
      </c>
      <c r="J150" s="85">
        <v>0.0</v>
      </c>
      <c r="K150" s="85">
        <v>0.0</v>
      </c>
      <c r="L150" s="85">
        <v>0.0</v>
      </c>
      <c r="M150" s="85">
        <v>0.0</v>
      </c>
      <c r="N150" s="85">
        <v>0.0</v>
      </c>
      <c r="O150" s="85">
        <v>0.0</v>
      </c>
      <c r="P150" s="62" t="b">
        <v>0</v>
      </c>
      <c r="Q150" s="62" t="b">
        <v>0</v>
      </c>
      <c r="R150" s="62" t="b">
        <v>1</v>
      </c>
      <c r="S150" s="85">
        <v>1.0</v>
      </c>
      <c r="T150" s="85">
        <v>1.0</v>
      </c>
      <c r="U150" s="85">
        <v>2.0</v>
      </c>
      <c r="V150" s="85">
        <v>2.0</v>
      </c>
      <c r="W150" s="85">
        <v>0.0</v>
      </c>
      <c r="X150" s="85">
        <v>0.0</v>
      </c>
      <c r="Y150" s="85">
        <v>3.0</v>
      </c>
      <c r="Z150" s="85">
        <v>2.0</v>
      </c>
      <c r="AA150" s="85">
        <v>1.0</v>
      </c>
      <c r="AB150" s="85">
        <v>1.0</v>
      </c>
      <c r="AC150" s="85">
        <v>0.0</v>
      </c>
      <c r="AD150" s="85">
        <v>0.0</v>
      </c>
      <c r="AE150" s="62" t="b">
        <v>0</v>
      </c>
      <c r="AF150" s="62" t="b">
        <v>0</v>
      </c>
      <c r="AG150" s="85">
        <v>4.0</v>
      </c>
      <c r="AH150" s="86">
        <v>1.0</v>
      </c>
      <c r="AI150" s="62" t="b">
        <v>0</v>
      </c>
      <c r="AJ150" s="84"/>
      <c r="AK150" s="80">
        <f t="shared" si="1"/>
        <v>33</v>
      </c>
      <c r="AL150" s="80">
        <f t="shared" si="2"/>
        <v>33</v>
      </c>
    </row>
    <row r="151">
      <c r="A151" s="84" t="s">
        <v>365</v>
      </c>
      <c r="B151" s="85">
        <v>16.0</v>
      </c>
      <c r="C151" s="85">
        <v>1506.0</v>
      </c>
      <c r="D151" s="85">
        <v>0.0</v>
      </c>
      <c r="E151" s="85">
        <v>0.0</v>
      </c>
      <c r="F151" s="85">
        <v>1.0</v>
      </c>
      <c r="G151" s="85">
        <v>1.0</v>
      </c>
      <c r="H151" s="85">
        <v>0.0</v>
      </c>
      <c r="I151" s="85">
        <v>0.0</v>
      </c>
      <c r="J151" s="85">
        <v>0.0</v>
      </c>
      <c r="K151" s="85">
        <v>0.0</v>
      </c>
      <c r="L151" s="85">
        <v>0.0</v>
      </c>
      <c r="M151" s="85">
        <v>0.0</v>
      </c>
      <c r="N151" s="85">
        <v>0.0</v>
      </c>
      <c r="O151" s="85">
        <v>0.0</v>
      </c>
      <c r="P151" s="62" t="b">
        <v>1</v>
      </c>
      <c r="Q151" s="62" t="b">
        <v>1</v>
      </c>
      <c r="R151" s="62" t="b">
        <v>1</v>
      </c>
      <c r="S151" s="85">
        <v>2.0</v>
      </c>
      <c r="T151" s="85">
        <v>2.0</v>
      </c>
      <c r="U151" s="85">
        <v>2.0</v>
      </c>
      <c r="V151" s="85">
        <v>2.0</v>
      </c>
      <c r="W151" s="85">
        <v>0.0</v>
      </c>
      <c r="X151" s="85">
        <v>0.0</v>
      </c>
      <c r="Y151" s="85">
        <v>2.0</v>
      </c>
      <c r="Z151" s="85">
        <v>2.0</v>
      </c>
      <c r="AA151" s="85">
        <v>1.0</v>
      </c>
      <c r="AB151" s="85">
        <v>1.0</v>
      </c>
      <c r="AC151" s="85">
        <v>0.0</v>
      </c>
      <c r="AD151" s="85">
        <v>0.0</v>
      </c>
      <c r="AE151" s="62" t="b">
        <v>1</v>
      </c>
      <c r="AF151" s="62" t="b">
        <v>1</v>
      </c>
      <c r="AG151" s="85">
        <v>5.0</v>
      </c>
      <c r="AH151" s="86">
        <v>1.0</v>
      </c>
      <c r="AI151" s="62" t="b">
        <v>0</v>
      </c>
      <c r="AJ151" s="84"/>
      <c r="AK151" s="80">
        <f t="shared" si="1"/>
        <v>58</v>
      </c>
      <c r="AL151" s="80">
        <f t="shared" si="2"/>
        <v>36</v>
      </c>
    </row>
    <row r="152">
      <c r="A152" s="84" t="s">
        <v>393</v>
      </c>
      <c r="B152" s="85">
        <v>27.0</v>
      </c>
      <c r="C152" s="85">
        <v>1506.0</v>
      </c>
      <c r="D152" s="85">
        <v>0.0</v>
      </c>
      <c r="E152" s="85">
        <v>0.0</v>
      </c>
      <c r="F152" s="85">
        <v>0.0</v>
      </c>
      <c r="G152" s="85">
        <v>0.0</v>
      </c>
      <c r="H152" s="85">
        <v>0.0</v>
      </c>
      <c r="I152" s="85">
        <v>0.0</v>
      </c>
      <c r="J152" s="85">
        <v>0.0</v>
      </c>
      <c r="K152" s="85">
        <v>0.0</v>
      </c>
      <c r="L152" s="85">
        <v>0.0</v>
      </c>
      <c r="M152" s="85">
        <v>0.0</v>
      </c>
      <c r="N152" s="85">
        <v>0.0</v>
      </c>
      <c r="O152" s="85">
        <v>0.0</v>
      </c>
      <c r="P152" s="62" t="b">
        <v>0</v>
      </c>
      <c r="Q152" s="62" t="b">
        <v>0</v>
      </c>
      <c r="R152" s="62" t="b">
        <v>0</v>
      </c>
      <c r="S152" s="85">
        <v>1.0</v>
      </c>
      <c r="T152" s="85">
        <v>1.0</v>
      </c>
      <c r="U152" s="85">
        <v>0.0</v>
      </c>
      <c r="V152" s="85">
        <v>0.0</v>
      </c>
      <c r="W152" s="85">
        <v>0.0</v>
      </c>
      <c r="X152" s="85">
        <v>0.0</v>
      </c>
      <c r="Y152" s="85">
        <v>0.0</v>
      </c>
      <c r="Z152" s="85">
        <v>0.0</v>
      </c>
      <c r="AA152" s="85">
        <v>0.0</v>
      </c>
      <c r="AB152" s="85">
        <v>0.0</v>
      </c>
      <c r="AC152" s="85">
        <v>0.0</v>
      </c>
      <c r="AD152" s="85">
        <v>0.0</v>
      </c>
      <c r="AE152" s="62" t="b">
        <v>0</v>
      </c>
      <c r="AF152" s="62" t="b">
        <v>0</v>
      </c>
      <c r="AG152" s="85">
        <v>4.0</v>
      </c>
      <c r="AH152" s="86">
        <v>2.0</v>
      </c>
      <c r="AI152" s="62" t="b">
        <v>0</v>
      </c>
      <c r="AJ152" s="87" t="s">
        <v>464</v>
      </c>
      <c r="AK152" s="80">
        <f t="shared" si="1"/>
        <v>5</v>
      </c>
      <c r="AL152" s="80">
        <f t="shared" si="2"/>
        <v>5</v>
      </c>
    </row>
    <row r="153">
      <c r="A153" s="84" t="s">
        <v>377</v>
      </c>
      <c r="B153" s="85">
        <v>3.0</v>
      </c>
      <c r="C153" s="85">
        <v>1322.0</v>
      </c>
      <c r="D153" s="85">
        <v>0.0</v>
      </c>
      <c r="E153" s="85">
        <v>0.0</v>
      </c>
      <c r="F153" s="85">
        <v>0.0</v>
      </c>
      <c r="G153" s="85">
        <v>0.0</v>
      </c>
      <c r="H153" s="85">
        <v>0.0</v>
      </c>
      <c r="I153" s="85">
        <v>0.0</v>
      </c>
      <c r="J153" s="85">
        <v>0.0</v>
      </c>
      <c r="K153" s="85">
        <v>0.0</v>
      </c>
      <c r="L153" s="85">
        <v>0.0</v>
      </c>
      <c r="M153" s="85">
        <v>0.0</v>
      </c>
      <c r="N153" s="85">
        <v>0.0</v>
      </c>
      <c r="O153" s="85">
        <v>0.0</v>
      </c>
      <c r="P153" s="62" t="b">
        <v>0</v>
      </c>
      <c r="Q153" s="62" t="b">
        <v>0</v>
      </c>
      <c r="R153" s="62" t="b">
        <v>1</v>
      </c>
      <c r="S153" s="85">
        <v>1.0</v>
      </c>
      <c r="T153" s="85">
        <v>1.0</v>
      </c>
      <c r="U153" s="85">
        <v>0.0</v>
      </c>
      <c r="V153" s="85">
        <v>0.0</v>
      </c>
      <c r="W153" s="85">
        <v>0.0</v>
      </c>
      <c r="X153" s="85">
        <v>0.0</v>
      </c>
      <c r="Y153" s="85">
        <v>0.0</v>
      </c>
      <c r="Z153" s="85">
        <v>0.0</v>
      </c>
      <c r="AA153" s="85">
        <v>0.0</v>
      </c>
      <c r="AB153" s="85">
        <v>0.0</v>
      </c>
      <c r="AC153" s="85">
        <v>0.0</v>
      </c>
      <c r="AD153" s="85">
        <v>0.0</v>
      </c>
      <c r="AE153" s="62" t="b">
        <v>0</v>
      </c>
      <c r="AF153" s="62" t="b">
        <v>0</v>
      </c>
      <c r="AG153" s="85">
        <v>2.0</v>
      </c>
      <c r="AH153" s="86">
        <v>1.0</v>
      </c>
      <c r="AI153" s="62" t="b">
        <v>0</v>
      </c>
      <c r="AJ153" s="84" t="s">
        <v>194</v>
      </c>
      <c r="AK153" s="80">
        <f t="shared" si="1"/>
        <v>8</v>
      </c>
      <c r="AL153" s="80">
        <f t="shared" si="2"/>
        <v>8</v>
      </c>
    </row>
    <row r="154">
      <c r="A154" s="84" t="s">
        <v>377</v>
      </c>
      <c r="B154" s="85">
        <v>12.0</v>
      </c>
      <c r="C154" s="85">
        <v>1322.0</v>
      </c>
      <c r="D154" s="85">
        <v>0.0</v>
      </c>
      <c r="E154" s="85">
        <v>0.0</v>
      </c>
      <c r="F154" s="85">
        <v>0.0</v>
      </c>
      <c r="G154" s="85">
        <v>0.0</v>
      </c>
      <c r="H154" s="85">
        <v>0.0</v>
      </c>
      <c r="I154" s="85">
        <v>0.0</v>
      </c>
      <c r="J154" s="85">
        <v>1.0</v>
      </c>
      <c r="K154" s="85">
        <v>0.0</v>
      </c>
      <c r="L154" s="85">
        <v>0.0</v>
      </c>
      <c r="M154" s="85">
        <v>0.0</v>
      </c>
      <c r="N154" s="85">
        <v>0.0</v>
      </c>
      <c r="O154" s="85">
        <v>0.0</v>
      </c>
      <c r="P154" s="62" t="b">
        <v>1</v>
      </c>
      <c r="Q154" s="62" t="b">
        <v>1</v>
      </c>
      <c r="R154" s="62" t="b">
        <v>0</v>
      </c>
      <c r="S154" s="85">
        <v>1.0</v>
      </c>
      <c r="T154" s="85">
        <v>1.0</v>
      </c>
      <c r="U154" s="85">
        <v>0.0</v>
      </c>
      <c r="V154" s="85">
        <v>0.0</v>
      </c>
      <c r="W154" s="85">
        <v>0.0</v>
      </c>
      <c r="X154" s="85">
        <v>0.0</v>
      </c>
      <c r="Y154" s="85">
        <v>1.0</v>
      </c>
      <c r="Z154" s="85">
        <v>1.0</v>
      </c>
      <c r="AA154" s="85">
        <v>0.0</v>
      </c>
      <c r="AB154" s="85">
        <v>0.0</v>
      </c>
      <c r="AC154" s="85">
        <v>0.0</v>
      </c>
      <c r="AD154" s="85">
        <v>0.0</v>
      </c>
      <c r="AE154" s="62" t="b">
        <v>1</v>
      </c>
      <c r="AF154" s="62" t="b">
        <v>1</v>
      </c>
      <c r="AG154" s="85">
        <v>2.0</v>
      </c>
      <c r="AH154" s="86">
        <v>1.0</v>
      </c>
      <c r="AI154" s="62" t="b">
        <v>0</v>
      </c>
      <c r="AJ154" s="87" t="s">
        <v>465</v>
      </c>
      <c r="AK154" s="80">
        <f t="shared" si="1"/>
        <v>32</v>
      </c>
      <c r="AL154" s="80">
        <f t="shared" si="2"/>
        <v>10</v>
      </c>
    </row>
    <row r="155">
      <c r="A155" s="84" t="s">
        <v>150</v>
      </c>
      <c r="B155" s="85">
        <v>19.0</v>
      </c>
      <c r="C155" s="85">
        <v>1322.0</v>
      </c>
      <c r="D155" s="85">
        <v>1.0</v>
      </c>
      <c r="E155" s="85">
        <v>1.0</v>
      </c>
      <c r="F155" s="85">
        <v>0.0</v>
      </c>
      <c r="G155" s="85">
        <v>0.0</v>
      </c>
      <c r="H155" s="85">
        <v>0.0</v>
      </c>
      <c r="I155" s="85">
        <v>0.0</v>
      </c>
      <c r="J155" s="85">
        <v>0.0</v>
      </c>
      <c r="K155" s="85">
        <v>0.0</v>
      </c>
      <c r="L155" s="85">
        <v>0.0</v>
      </c>
      <c r="M155" s="85">
        <v>0.0</v>
      </c>
      <c r="N155" s="85">
        <v>0.0</v>
      </c>
      <c r="O155" s="85">
        <v>0.0</v>
      </c>
      <c r="P155" s="62" t="b">
        <v>0</v>
      </c>
      <c r="Q155" s="62" t="b">
        <v>0</v>
      </c>
      <c r="R155" s="62" t="b">
        <v>1</v>
      </c>
      <c r="S155" s="85">
        <v>1.0</v>
      </c>
      <c r="T155" s="85">
        <v>0.0</v>
      </c>
      <c r="U155" s="85">
        <v>0.0</v>
      </c>
      <c r="V155" s="85">
        <v>0.0</v>
      </c>
      <c r="W155" s="85">
        <v>1.0</v>
      </c>
      <c r="X155" s="85">
        <v>1.0</v>
      </c>
      <c r="Y155" s="85">
        <v>0.0</v>
      </c>
      <c r="Z155" s="85">
        <v>0.0</v>
      </c>
      <c r="AA155" s="85">
        <v>0.0</v>
      </c>
      <c r="AB155" s="85">
        <v>0.0</v>
      </c>
      <c r="AC155" s="85">
        <v>0.0</v>
      </c>
      <c r="AD155" s="85">
        <v>0.0</v>
      </c>
      <c r="AE155" s="62" t="b">
        <v>0</v>
      </c>
      <c r="AF155" s="62" t="b">
        <v>0</v>
      </c>
      <c r="AG155" s="85">
        <v>0.0</v>
      </c>
      <c r="AH155" s="86">
        <v>1.0</v>
      </c>
      <c r="AI155" s="62" t="b">
        <v>0</v>
      </c>
      <c r="AJ155" s="87" t="s">
        <v>466</v>
      </c>
      <c r="AK155" s="80">
        <f t="shared" si="1"/>
        <v>11</v>
      </c>
      <c r="AL155" s="80">
        <f t="shared" si="2"/>
        <v>11</v>
      </c>
    </row>
    <row r="156">
      <c r="A156" s="84" t="s">
        <v>423</v>
      </c>
      <c r="B156" s="85">
        <v>26.0</v>
      </c>
      <c r="C156" s="85">
        <v>1322.0</v>
      </c>
      <c r="D156" s="85">
        <v>0.0</v>
      </c>
      <c r="E156" s="85">
        <v>0.0</v>
      </c>
      <c r="F156" s="85">
        <v>0.0</v>
      </c>
      <c r="G156" s="85">
        <v>0.0</v>
      </c>
      <c r="H156" s="85">
        <v>0.0</v>
      </c>
      <c r="I156" s="85">
        <v>0.0</v>
      </c>
      <c r="J156" s="85">
        <v>0.0</v>
      </c>
      <c r="K156" s="85">
        <v>0.0</v>
      </c>
      <c r="L156" s="85">
        <v>0.0</v>
      </c>
      <c r="M156" s="85">
        <v>0.0</v>
      </c>
      <c r="N156" s="85">
        <v>1.0</v>
      </c>
      <c r="O156" s="85">
        <v>1.0</v>
      </c>
      <c r="P156" s="62" t="b">
        <v>0</v>
      </c>
      <c r="Q156" s="62" t="b">
        <v>0</v>
      </c>
      <c r="R156" s="62" t="b">
        <v>0</v>
      </c>
      <c r="S156" s="85">
        <v>0.0</v>
      </c>
      <c r="T156" s="85">
        <v>0.0</v>
      </c>
      <c r="U156" s="85">
        <v>0.0</v>
      </c>
      <c r="V156" s="85">
        <v>0.0</v>
      </c>
      <c r="W156" s="85">
        <v>0.0</v>
      </c>
      <c r="X156" s="85">
        <v>0.0</v>
      </c>
      <c r="Y156" s="85">
        <v>0.0</v>
      </c>
      <c r="Z156" s="85">
        <v>0.0</v>
      </c>
      <c r="AA156" s="85">
        <v>0.0</v>
      </c>
      <c r="AB156" s="85">
        <v>0.0</v>
      </c>
      <c r="AC156" s="85">
        <v>0.0</v>
      </c>
      <c r="AD156" s="85">
        <v>0.0</v>
      </c>
      <c r="AE156" s="62" t="b">
        <v>0</v>
      </c>
      <c r="AF156" s="62" t="b">
        <v>0</v>
      </c>
      <c r="AG156" s="85">
        <v>1.0</v>
      </c>
      <c r="AH156" s="86">
        <v>1.0</v>
      </c>
      <c r="AI156" s="62" t="b">
        <v>0</v>
      </c>
      <c r="AJ156" s="84" t="s">
        <v>467</v>
      </c>
      <c r="AK156" s="80">
        <f t="shared" si="1"/>
        <v>3</v>
      </c>
      <c r="AL156" s="80">
        <f t="shared" si="2"/>
        <v>3</v>
      </c>
    </row>
    <row r="157">
      <c r="A157" s="84" t="s">
        <v>468</v>
      </c>
      <c r="B157" s="85">
        <v>30.0</v>
      </c>
      <c r="C157" s="85">
        <v>1322.0</v>
      </c>
      <c r="D157" s="85">
        <v>0.0</v>
      </c>
      <c r="E157" s="85">
        <v>0.0</v>
      </c>
      <c r="F157" s="85">
        <v>0.0</v>
      </c>
      <c r="G157" s="85">
        <v>0.0</v>
      </c>
      <c r="H157" s="85">
        <v>0.0</v>
      </c>
      <c r="I157" s="85">
        <v>0.0</v>
      </c>
      <c r="J157" s="85">
        <v>1.0</v>
      </c>
      <c r="K157" s="85">
        <v>0.0</v>
      </c>
      <c r="L157" s="85">
        <v>0.0</v>
      </c>
      <c r="M157" s="85">
        <v>0.0</v>
      </c>
      <c r="N157" s="85">
        <v>0.0</v>
      </c>
      <c r="O157" s="85">
        <v>0.0</v>
      </c>
      <c r="P157" s="62" t="b">
        <v>0</v>
      </c>
      <c r="Q157" s="62" t="b">
        <v>0</v>
      </c>
      <c r="R157" s="62" t="b">
        <v>0</v>
      </c>
      <c r="S157" s="85">
        <v>0.0</v>
      </c>
      <c r="T157" s="85">
        <v>0.0</v>
      </c>
      <c r="U157" s="85">
        <v>0.0</v>
      </c>
      <c r="V157" s="85">
        <v>0.0</v>
      </c>
      <c r="W157" s="85">
        <v>0.0</v>
      </c>
      <c r="X157" s="85">
        <v>0.0</v>
      </c>
      <c r="Y157" s="85">
        <v>0.0</v>
      </c>
      <c r="Z157" s="85">
        <v>0.0</v>
      </c>
      <c r="AA157" s="85">
        <v>0.0</v>
      </c>
      <c r="AB157" s="85">
        <v>0.0</v>
      </c>
      <c r="AC157" s="85">
        <v>0.0</v>
      </c>
      <c r="AD157" s="85">
        <v>0.0</v>
      </c>
      <c r="AE157" s="62" t="b">
        <v>0</v>
      </c>
      <c r="AF157" s="62" t="b">
        <v>0</v>
      </c>
      <c r="AG157" s="85">
        <v>2.0</v>
      </c>
      <c r="AH157" s="86">
        <v>0.0</v>
      </c>
      <c r="AI157" s="62" t="b">
        <v>0</v>
      </c>
      <c r="AJ157" s="84"/>
      <c r="AK157" s="80">
        <f t="shared" si="1"/>
        <v>0</v>
      </c>
      <c r="AL157" s="80">
        <f t="shared" si="2"/>
        <v>0</v>
      </c>
    </row>
    <row r="158">
      <c r="A158" s="84" t="s">
        <v>393</v>
      </c>
      <c r="B158" s="85">
        <v>34.0</v>
      </c>
      <c r="C158" s="85">
        <v>1322.0</v>
      </c>
      <c r="D158" s="85">
        <v>0.0</v>
      </c>
      <c r="E158" s="85">
        <v>0.0</v>
      </c>
      <c r="F158" s="85">
        <v>0.0</v>
      </c>
      <c r="G158" s="85">
        <v>0.0</v>
      </c>
      <c r="H158" s="85">
        <v>0.0</v>
      </c>
      <c r="I158" s="85">
        <v>0.0</v>
      </c>
      <c r="J158" s="85">
        <v>0.0</v>
      </c>
      <c r="K158" s="85">
        <v>0.0</v>
      </c>
      <c r="L158" s="85">
        <v>0.0</v>
      </c>
      <c r="M158" s="85">
        <v>0.0</v>
      </c>
      <c r="N158" s="85">
        <v>1.0</v>
      </c>
      <c r="O158" s="85">
        <v>1.0</v>
      </c>
      <c r="P158" s="62" t="b">
        <v>1</v>
      </c>
      <c r="Q158" s="62" t="b">
        <v>0</v>
      </c>
      <c r="R158" s="62" t="b">
        <v>0</v>
      </c>
      <c r="S158" s="85">
        <v>0.0</v>
      </c>
      <c r="T158" s="85">
        <v>0.0</v>
      </c>
      <c r="U158" s="85">
        <v>1.0</v>
      </c>
      <c r="V158" s="85">
        <v>1.0</v>
      </c>
      <c r="W158" s="85">
        <v>0.0</v>
      </c>
      <c r="X158" s="85">
        <v>0.0</v>
      </c>
      <c r="Y158" s="85">
        <v>0.0</v>
      </c>
      <c r="Z158" s="85">
        <v>0.0</v>
      </c>
      <c r="AA158" s="85">
        <v>0.0</v>
      </c>
      <c r="AB158" s="85">
        <v>0.0</v>
      </c>
      <c r="AC158" s="85">
        <v>0.0</v>
      </c>
      <c r="AD158" s="85">
        <v>0.0</v>
      </c>
      <c r="AE158" s="62" t="b">
        <v>1</v>
      </c>
      <c r="AF158" s="62" t="b">
        <v>0</v>
      </c>
      <c r="AG158" s="85">
        <v>2.0</v>
      </c>
      <c r="AH158" s="86">
        <v>1.0</v>
      </c>
      <c r="AI158" s="62" t="b">
        <v>0</v>
      </c>
      <c r="AJ158" s="84" t="s">
        <v>469</v>
      </c>
      <c r="AK158" s="80">
        <f t="shared" si="1"/>
        <v>20</v>
      </c>
      <c r="AL158" s="80">
        <f t="shared" si="2"/>
        <v>6</v>
      </c>
    </row>
    <row r="159">
      <c r="A159" s="84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62"/>
      <c r="Q159" s="62"/>
      <c r="R159" s="62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62"/>
      <c r="AF159" s="62"/>
      <c r="AG159" s="85"/>
      <c r="AH159" s="86"/>
      <c r="AI159" s="62"/>
      <c r="AJ159" s="84"/>
    </row>
    <row r="160">
      <c r="A160" s="84" t="s">
        <v>377</v>
      </c>
      <c r="B160" s="85">
        <v>4.0</v>
      </c>
      <c r="C160" s="85">
        <v>503.0</v>
      </c>
      <c r="D160" s="85">
        <v>0.0</v>
      </c>
      <c r="E160" s="85">
        <v>0.0</v>
      </c>
      <c r="F160" s="85">
        <v>0.0</v>
      </c>
      <c r="G160" s="85">
        <v>0.0</v>
      </c>
      <c r="H160" s="85">
        <v>0.0</v>
      </c>
      <c r="I160" s="85">
        <v>0.0</v>
      </c>
      <c r="J160" s="85">
        <v>0.0</v>
      </c>
      <c r="K160" s="85">
        <v>0.0</v>
      </c>
      <c r="L160" s="85">
        <v>0.0</v>
      </c>
      <c r="M160" s="85">
        <v>0.0</v>
      </c>
      <c r="N160" s="85">
        <v>0.0</v>
      </c>
      <c r="O160" s="85">
        <v>0.0</v>
      </c>
      <c r="P160" s="62" t="b">
        <v>0</v>
      </c>
      <c r="Q160" s="62" t="b">
        <v>0</v>
      </c>
      <c r="R160" s="62" t="b">
        <v>0</v>
      </c>
      <c r="S160" s="85">
        <v>0.0</v>
      </c>
      <c r="T160" s="85">
        <v>0.0</v>
      </c>
      <c r="U160" s="85">
        <v>0.0</v>
      </c>
      <c r="V160" s="85">
        <v>0.0</v>
      </c>
      <c r="W160" s="85">
        <v>0.0</v>
      </c>
      <c r="X160" s="85">
        <v>0.0</v>
      </c>
      <c r="Y160" s="85">
        <v>1.0</v>
      </c>
      <c r="Z160" s="85">
        <v>1.0</v>
      </c>
      <c r="AA160" s="85">
        <v>2.0</v>
      </c>
      <c r="AB160" s="85">
        <v>1.0</v>
      </c>
      <c r="AC160" s="85">
        <v>1.0</v>
      </c>
      <c r="AD160" s="85">
        <v>1.0</v>
      </c>
      <c r="AE160" s="62" t="b">
        <v>0</v>
      </c>
      <c r="AF160" s="62" t="b">
        <v>0</v>
      </c>
      <c r="AG160" s="85">
        <v>3.0</v>
      </c>
      <c r="AH160" s="86">
        <v>0.0</v>
      </c>
      <c r="AI160" s="62" t="b">
        <v>0</v>
      </c>
      <c r="AJ160" s="84" t="s">
        <v>440</v>
      </c>
      <c r="AK160" s="80">
        <f t="shared" ref="AK160:AK201" si="3">SUM(if(R160=TRUE,3),E160*6,G160*4,I160*3,K160*6,M160*4,O160*3,T160*5,V160*3,X160*2,Z160*5,AB160*3,AD160*2,if(P160=TRUE,if(P160=Q160,12,8),0),if(AE160=TRUE,if(AE160=AF160,10,+6),+0))</f>
        <v>10</v>
      </c>
      <c r="AL160" s="80">
        <f t="shared" ref="AL160:AL201" si="4">SUM(if(R160=TRUE,3),E160*6,G160*4,I160*3,K160*6,M160*4,O160*3,T160*5,V160*3,X160*2,Z160*5,AB160*3,AD160*2)</f>
        <v>10</v>
      </c>
    </row>
    <row r="161">
      <c r="A161" s="84" t="s">
        <v>391</v>
      </c>
      <c r="B161" s="85">
        <v>9.0</v>
      </c>
      <c r="C161" s="85">
        <v>503.0</v>
      </c>
      <c r="D161" s="85">
        <v>1.0</v>
      </c>
      <c r="E161" s="85">
        <v>0.0</v>
      </c>
      <c r="F161" s="85">
        <v>0.0</v>
      </c>
      <c r="G161" s="85">
        <v>0.0</v>
      </c>
      <c r="H161" s="85">
        <v>0.0</v>
      </c>
      <c r="I161" s="85">
        <v>0.0</v>
      </c>
      <c r="J161" s="85">
        <v>0.0</v>
      </c>
      <c r="K161" s="85">
        <v>0.0</v>
      </c>
      <c r="L161" s="85">
        <v>0.0</v>
      </c>
      <c r="M161" s="85">
        <v>0.0</v>
      </c>
      <c r="N161" s="85">
        <v>0.0</v>
      </c>
      <c r="O161" s="85">
        <v>0.0</v>
      </c>
      <c r="P161" s="62" t="b">
        <v>1</v>
      </c>
      <c r="Q161" s="62" t="b">
        <v>0</v>
      </c>
      <c r="R161" s="62" t="b">
        <v>0</v>
      </c>
      <c r="S161" s="85">
        <v>1.0</v>
      </c>
      <c r="T161" s="85">
        <v>1.0</v>
      </c>
      <c r="U161" s="85">
        <v>0.0</v>
      </c>
      <c r="V161" s="85">
        <v>0.0</v>
      </c>
      <c r="W161" s="85">
        <v>1.0</v>
      </c>
      <c r="X161" s="85">
        <v>1.0</v>
      </c>
      <c r="Y161" s="85">
        <v>1.0</v>
      </c>
      <c r="Z161" s="85">
        <v>1.0</v>
      </c>
      <c r="AA161" s="85">
        <v>0.0</v>
      </c>
      <c r="AB161" s="85">
        <v>0.0</v>
      </c>
      <c r="AC161" s="85">
        <v>0.0</v>
      </c>
      <c r="AD161" s="85">
        <v>0.0</v>
      </c>
      <c r="AE161" s="62" t="b">
        <v>1</v>
      </c>
      <c r="AF161" s="62" t="b">
        <v>0</v>
      </c>
      <c r="AG161" s="85">
        <v>3.0</v>
      </c>
      <c r="AH161" s="86">
        <v>0.0</v>
      </c>
      <c r="AI161" s="62" t="b">
        <v>0</v>
      </c>
      <c r="AJ161" s="84"/>
      <c r="AK161" s="80">
        <f t="shared" si="3"/>
        <v>26</v>
      </c>
      <c r="AL161" s="80">
        <f t="shared" si="4"/>
        <v>12</v>
      </c>
    </row>
    <row r="162">
      <c r="A162" s="84" t="s">
        <v>379</v>
      </c>
      <c r="B162" s="85">
        <v>13.0</v>
      </c>
      <c r="C162" s="85">
        <v>503.0</v>
      </c>
      <c r="D162" s="85">
        <v>0.0</v>
      </c>
      <c r="E162" s="85">
        <v>0.0</v>
      </c>
      <c r="F162" s="85">
        <v>0.0</v>
      </c>
      <c r="G162" s="85">
        <v>0.0</v>
      </c>
      <c r="H162" s="85">
        <v>0.0</v>
      </c>
      <c r="I162" s="85">
        <v>0.0</v>
      </c>
      <c r="J162" s="85">
        <v>0.0</v>
      </c>
      <c r="K162" s="85">
        <v>0.0</v>
      </c>
      <c r="L162" s="85">
        <v>0.0</v>
      </c>
      <c r="M162" s="85">
        <v>0.0</v>
      </c>
      <c r="N162" s="85">
        <v>0.0</v>
      </c>
      <c r="O162" s="85">
        <v>0.0</v>
      </c>
      <c r="P162" s="62" t="b">
        <v>0</v>
      </c>
      <c r="Q162" s="62" t="b">
        <v>0</v>
      </c>
      <c r="R162" s="62" t="b">
        <v>0</v>
      </c>
      <c r="S162" s="85">
        <v>0.0</v>
      </c>
      <c r="T162" s="85">
        <v>0.0</v>
      </c>
      <c r="U162" s="85">
        <v>0.0</v>
      </c>
      <c r="V162" s="85">
        <v>0.0</v>
      </c>
      <c r="W162" s="85">
        <v>0.0</v>
      </c>
      <c r="X162" s="85">
        <v>0.0</v>
      </c>
      <c r="Y162" s="85">
        <v>0.0</v>
      </c>
      <c r="Z162" s="85">
        <v>0.0</v>
      </c>
      <c r="AA162" s="85">
        <v>0.0</v>
      </c>
      <c r="AB162" s="85">
        <v>0.0</v>
      </c>
      <c r="AC162" s="85">
        <v>0.0</v>
      </c>
      <c r="AD162" s="85">
        <v>0.0</v>
      </c>
      <c r="AE162" s="62" t="b">
        <v>0</v>
      </c>
      <c r="AF162" s="62" t="b">
        <v>0</v>
      </c>
      <c r="AG162" s="85">
        <v>0.0</v>
      </c>
      <c r="AH162" s="85">
        <v>0.0</v>
      </c>
      <c r="AI162" s="62" t="b">
        <v>0</v>
      </c>
      <c r="AJ162" s="84" t="s">
        <v>470</v>
      </c>
      <c r="AK162" s="80">
        <f t="shared" si="3"/>
        <v>0</v>
      </c>
      <c r="AL162" s="80">
        <f t="shared" si="4"/>
        <v>0</v>
      </c>
    </row>
    <row r="163">
      <c r="A163" s="84" t="s">
        <v>372</v>
      </c>
      <c r="B163" s="85">
        <v>20.0</v>
      </c>
      <c r="C163" s="85">
        <v>503.0</v>
      </c>
      <c r="D163" s="85">
        <v>0.0</v>
      </c>
      <c r="E163" s="85">
        <v>0.0</v>
      </c>
      <c r="F163" s="85">
        <v>0.0</v>
      </c>
      <c r="G163" s="85">
        <v>0.0</v>
      </c>
      <c r="H163" s="85">
        <v>0.0</v>
      </c>
      <c r="I163" s="85">
        <v>0.0</v>
      </c>
      <c r="J163" s="85">
        <v>1.0</v>
      </c>
      <c r="K163" s="85">
        <v>1.0</v>
      </c>
      <c r="L163" s="85">
        <v>0.0</v>
      </c>
      <c r="M163" s="85">
        <v>0.0</v>
      </c>
      <c r="N163" s="85">
        <v>1.0</v>
      </c>
      <c r="O163" s="85">
        <v>1.0</v>
      </c>
      <c r="P163" s="62" t="b">
        <v>0</v>
      </c>
      <c r="Q163" s="62" t="b">
        <v>0</v>
      </c>
      <c r="R163" s="62" t="b">
        <v>0</v>
      </c>
      <c r="S163" s="85">
        <v>0.0</v>
      </c>
      <c r="T163" s="85">
        <v>0.0</v>
      </c>
      <c r="U163" s="85">
        <v>0.0</v>
      </c>
      <c r="V163" s="85">
        <v>0.0</v>
      </c>
      <c r="W163" s="85">
        <v>0.0</v>
      </c>
      <c r="X163" s="85">
        <v>0.0</v>
      </c>
      <c r="Y163" s="85">
        <v>1.0</v>
      </c>
      <c r="Z163" s="85">
        <v>0.0</v>
      </c>
      <c r="AA163" s="85">
        <v>1.0</v>
      </c>
      <c r="AB163" s="85">
        <v>1.0</v>
      </c>
      <c r="AC163" s="85">
        <v>1.0</v>
      </c>
      <c r="AD163" s="85">
        <v>1.0</v>
      </c>
      <c r="AE163" s="62" t="b">
        <v>0</v>
      </c>
      <c r="AF163" s="62" t="b">
        <v>0</v>
      </c>
      <c r="AG163" s="85">
        <v>3.0</v>
      </c>
      <c r="AH163" s="86">
        <v>2.0</v>
      </c>
      <c r="AI163" s="62" t="b">
        <v>0</v>
      </c>
      <c r="AJ163" s="84"/>
      <c r="AK163" s="80">
        <f t="shared" si="3"/>
        <v>14</v>
      </c>
      <c r="AL163" s="80">
        <f t="shared" si="4"/>
        <v>14</v>
      </c>
    </row>
    <row r="164">
      <c r="A164" s="84" t="s">
        <v>150</v>
      </c>
      <c r="B164" s="85">
        <v>32.0</v>
      </c>
      <c r="C164" s="85">
        <v>503.0</v>
      </c>
      <c r="D164" s="85">
        <v>0.0</v>
      </c>
      <c r="E164" s="85">
        <v>0.0</v>
      </c>
      <c r="F164" s="85">
        <v>0.0</v>
      </c>
      <c r="G164" s="85">
        <v>0.0</v>
      </c>
      <c r="H164" s="85">
        <v>0.0</v>
      </c>
      <c r="I164" s="85">
        <v>0.0</v>
      </c>
      <c r="J164" s="85">
        <v>1.0</v>
      </c>
      <c r="K164" s="85">
        <v>1.0</v>
      </c>
      <c r="L164" s="85">
        <v>1.0</v>
      </c>
      <c r="M164" s="85">
        <v>1.0</v>
      </c>
      <c r="N164" s="85">
        <v>0.0</v>
      </c>
      <c r="O164" s="85">
        <v>0.0</v>
      </c>
      <c r="P164" s="62" t="b">
        <v>0</v>
      </c>
      <c r="Q164" s="62" t="b">
        <v>0</v>
      </c>
      <c r="R164" s="62" t="b">
        <v>1</v>
      </c>
      <c r="S164" s="85">
        <v>2.0</v>
      </c>
      <c r="T164" s="85">
        <v>2.0</v>
      </c>
      <c r="U164" s="85">
        <v>0.0</v>
      </c>
      <c r="V164" s="85">
        <v>0.0</v>
      </c>
      <c r="W164" s="85">
        <v>1.0</v>
      </c>
      <c r="X164" s="85">
        <v>1.0</v>
      </c>
      <c r="Y164" s="85">
        <v>0.0</v>
      </c>
      <c r="Z164" s="85">
        <v>0.0</v>
      </c>
      <c r="AA164" s="85">
        <v>2.0</v>
      </c>
      <c r="AB164" s="85">
        <v>2.0</v>
      </c>
      <c r="AC164" s="85">
        <v>0.0</v>
      </c>
      <c r="AD164" s="85">
        <v>0.0</v>
      </c>
      <c r="AE164" s="62" t="b">
        <v>0</v>
      </c>
      <c r="AF164" s="62" t="b">
        <v>0</v>
      </c>
      <c r="AG164" s="85">
        <v>4.0</v>
      </c>
      <c r="AH164" s="86">
        <v>0.0</v>
      </c>
      <c r="AI164" s="62" t="b">
        <v>0</v>
      </c>
      <c r="AJ164" s="87" t="s">
        <v>471</v>
      </c>
      <c r="AK164" s="80">
        <f t="shared" si="3"/>
        <v>31</v>
      </c>
      <c r="AL164" s="80">
        <f t="shared" si="4"/>
        <v>31</v>
      </c>
    </row>
    <row r="165">
      <c r="A165" s="84" t="s">
        <v>351</v>
      </c>
      <c r="B165" s="85">
        <v>5.0</v>
      </c>
      <c r="C165" s="85">
        <v>302.0</v>
      </c>
      <c r="D165" s="85">
        <v>1.0</v>
      </c>
      <c r="E165" s="85">
        <v>0.0</v>
      </c>
      <c r="F165" s="85">
        <v>0.0</v>
      </c>
      <c r="G165" s="85">
        <v>0.0</v>
      </c>
      <c r="H165" s="85">
        <v>0.0</v>
      </c>
      <c r="I165" s="85">
        <v>0.0</v>
      </c>
      <c r="J165" s="85">
        <v>0.0</v>
      </c>
      <c r="K165" s="85">
        <v>0.0</v>
      </c>
      <c r="L165" s="85">
        <v>0.0</v>
      </c>
      <c r="M165" s="85">
        <v>0.0</v>
      </c>
      <c r="N165" s="85">
        <v>0.0</v>
      </c>
      <c r="O165" s="85">
        <v>0.0</v>
      </c>
      <c r="P165" s="62" t="b">
        <v>1</v>
      </c>
      <c r="Q165" s="62" t="b">
        <v>1</v>
      </c>
      <c r="R165" s="62" t="b">
        <v>1</v>
      </c>
      <c r="S165" s="85">
        <v>4.0</v>
      </c>
      <c r="T165" s="85">
        <v>4.0</v>
      </c>
      <c r="U165" s="85">
        <v>1.0</v>
      </c>
      <c r="V165" s="85">
        <v>0.0</v>
      </c>
      <c r="W165" s="85">
        <v>0.0</v>
      </c>
      <c r="X165" s="85">
        <v>0.0</v>
      </c>
      <c r="Y165" s="85">
        <v>0.0</v>
      </c>
      <c r="Z165" s="85">
        <v>0.0</v>
      </c>
      <c r="AA165" s="85">
        <v>0.0</v>
      </c>
      <c r="AB165" s="85">
        <v>0.0</v>
      </c>
      <c r="AC165" s="85">
        <v>0.0</v>
      </c>
      <c r="AD165" s="85">
        <v>0.0</v>
      </c>
      <c r="AE165" s="62" t="b">
        <v>1</v>
      </c>
      <c r="AF165" s="62" t="b">
        <v>1</v>
      </c>
      <c r="AG165" s="85">
        <v>3.0</v>
      </c>
      <c r="AH165" s="86">
        <v>1.0</v>
      </c>
      <c r="AI165" s="62" t="b">
        <v>0</v>
      </c>
      <c r="AJ165" s="87" t="s">
        <v>472</v>
      </c>
      <c r="AK165" s="80">
        <f t="shared" si="3"/>
        <v>45</v>
      </c>
      <c r="AL165" s="80">
        <f t="shared" si="4"/>
        <v>23</v>
      </c>
    </row>
    <row r="166">
      <c r="A166" s="84" t="s">
        <v>362</v>
      </c>
      <c r="B166" s="85">
        <v>10.0</v>
      </c>
      <c r="C166" s="85">
        <v>302.0</v>
      </c>
      <c r="D166" s="85">
        <v>1.0</v>
      </c>
      <c r="E166" s="85">
        <v>0.0</v>
      </c>
      <c r="F166" s="85">
        <v>0.0</v>
      </c>
      <c r="G166" s="85">
        <v>0.0</v>
      </c>
      <c r="H166" s="85">
        <v>0.0</v>
      </c>
      <c r="I166" s="85">
        <v>0.0</v>
      </c>
      <c r="J166" s="85">
        <v>0.0</v>
      </c>
      <c r="K166" s="85">
        <v>0.0</v>
      </c>
      <c r="L166" s="85">
        <v>0.0</v>
      </c>
      <c r="M166" s="85">
        <v>0.0</v>
      </c>
      <c r="N166" s="85">
        <v>0.0</v>
      </c>
      <c r="O166" s="85">
        <v>0.0</v>
      </c>
      <c r="P166" s="62" t="b">
        <v>0</v>
      </c>
      <c r="Q166" s="62" t="b">
        <v>0</v>
      </c>
      <c r="R166" s="62" t="b">
        <v>1</v>
      </c>
      <c r="S166" s="85">
        <v>2.0</v>
      </c>
      <c r="T166" s="85">
        <v>2.0</v>
      </c>
      <c r="U166" s="85">
        <v>1.0</v>
      </c>
      <c r="V166" s="85">
        <v>1.0</v>
      </c>
      <c r="W166" s="85">
        <v>0.0</v>
      </c>
      <c r="X166" s="85">
        <v>0.0</v>
      </c>
      <c r="Y166" s="85">
        <v>2.0</v>
      </c>
      <c r="Z166" s="85">
        <v>1.0</v>
      </c>
      <c r="AA166" s="85">
        <v>0.0</v>
      </c>
      <c r="AB166" s="85">
        <v>0.0</v>
      </c>
      <c r="AC166" s="85">
        <v>0.0</v>
      </c>
      <c r="AD166" s="85">
        <v>0.0</v>
      </c>
      <c r="AE166" s="62" t="b">
        <v>0</v>
      </c>
      <c r="AF166" s="62" t="b">
        <v>0</v>
      </c>
      <c r="AG166" s="85">
        <v>2.0</v>
      </c>
      <c r="AH166" s="86">
        <v>1.0</v>
      </c>
      <c r="AI166" s="62" t="b">
        <v>0</v>
      </c>
      <c r="AJ166" s="84"/>
      <c r="AK166" s="80">
        <f t="shared" si="3"/>
        <v>21</v>
      </c>
      <c r="AL166" s="80">
        <f t="shared" si="4"/>
        <v>21</v>
      </c>
    </row>
    <row r="167">
      <c r="A167" s="84" t="s">
        <v>150</v>
      </c>
      <c r="B167" s="85">
        <v>15.0</v>
      </c>
      <c r="C167" s="85">
        <v>302.0</v>
      </c>
      <c r="D167" s="85">
        <v>1.0</v>
      </c>
      <c r="E167" s="85">
        <v>1.0</v>
      </c>
      <c r="F167" s="85">
        <v>0.0</v>
      </c>
      <c r="G167" s="85">
        <v>0.0</v>
      </c>
      <c r="H167" s="85">
        <v>0.0</v>
      </c>
      <c r="I167" s="85">
        <v>0.0</v>
      </c>
      <c r="J167" s="85">
        <v>0.0</v>
      </c>
      <c r="K167" s="85">
        <v>0.0</v>
      </c>
      <c r="L167" s="85">
        <v>0.0</v>
      </c>
      <c r="M167" s="85">
        <v>0.0</v>
      </c>
      <c r="N167" s="85">
        <v>0.0</v>
      </c>
      <c r="O167" s="85">
        <v>0.0</v>
      </c>
      <c r="P167" s="62" t="b">
        <v>1</v>
      </c>
      <c r="Q167" s="62" t="b">
        <v>1</v>
      </c>
      <c r="R167" s="62" t="b">
        <v>1</v>
      </c>
      <c r="S167" s="85">
        <v>3.0</v>
      </c>
      <c r="T167" s="85">
        <v>3.0</v>
      </c>
      <c r="U167" s="85">
        <v>1.0</v>
      </c>
      <c r="V167" s="85">
        <v>1.0</v>
      </c>
      <c r="W167" s="85">
        <v>0.0</v>
      </c>
      <c r="X167" s="85">
        <v>0.0</v>
      </c>
      <c r="Y167" s="85">
        <v>1.0</v>
      </c>
      <c r="Z167" s="85">
        <v>1.0</v>
      </c>
      <c r="AA167" s="85">
        <v>0.0</v>
      </c>
      <c r="AB167" s="85">
        <v>0.0</v>
      </c>
      <c r="AC167" s="85">
        <v>0.0</v>
      </c>
      <c r="AD167" s="85">
        <v>0.0</v>
      </c>
      <c r="AE167" s="62" t="b">
        <v>1</v>
      </c>
      <c r="AF167" s="62" t="b">
        <v>1</v>
      </c>
      <c r="AG167" s="85">
        <v>4.0</v>
      </c>
      <c r="AH167" s="86">
        <v>1.0</v>
      </c>
      <c r="AI167" s="62" t="b">
        <v>0</v>
      </c>
      <c r="AJ167" s="87" t="s">
        <v>473</v>
      </c>
      <c r="AK167" s="80">
        <f t="shared" si="3"/>
        <v>54</v>
      </c>
      <c r="AL167" s="80">
        <f t="shared" si="4"/>
        <v>32</v>
      </c>
    </row>
    <row r="168">
      <c r="A168" s="84" t="s">
        <v>379</v>
      </c>
      <c r="B168" s="85">
        <v>20.0</v>
      </c>
      <c r="C168" s="85">
        <v>302.0</v>
      </c>
      <c r="D168" s="85">
        <v>1.0</v>
      </c>
      <c r="E168" s="85">
        <v>0.0</v>
      </c>
      <c r="F168" s="85">
        <v>0.0</v>
      </c>
      <c r="G168" s="85">
        <v>0.0</v>
      </c>
      <c r="H168" s="85">
        <v>0.0</v>
      </c>
      <c r="I168" s="85">
        <v>0.0</v>
      </c>
      <c r="J168" s="85">
        <v>0.0</v>
      </c>
      <c r="K168" s="85">
        <v>0.0</v>
      </c>
      <c r="L168" s="85">
        <v>0.0</v>
      </c>
      <c r="M168" s="85">
        <v>0.0</v>
      </c>
      <c r="N168" s="85">
        <v>0.0</v>
      </c>
      <c r="O168" s="85">
        <v>0.0</v>
      </c>
      <c r="P168" s="62" t="b">
        <v>1</v>
      </c>
      <c r="Q168" s="62" t="b">
        <v>1</v>
      </c>
      <c r="R168" s="62" t="b">
        <v>1</v>
      </c>
      <c r="S168" s="85">
        <v>1.0</v>
      </c>
      <c r="T168" s="85">
        <v>1.0</v>
      </c>
      <c r="U168" s="85">
        <v>2.0</v>
      </c>
      <c r="V168" s="85">
        <v>2.0</v>
      </c>
      <c r="W168" s="85">
        <v>1.0</v>
      </c>
      <c r="X168" s="85">
        <v>1.0</v>
      </c>
      <c r="Y168" s="85">
        <v>0.0</v>
      </c>
      <c r="Z168" s="85">
        <v>0.0</v>
      </c>
      <c r="AA168" s="85">
        <v>1.0</v>
      </c>
      <c r="AB168" s="85">
        <v>1.0</v>
      </c>
      <c r="AC168" s="85">
        <v>0.0</v>
      </c>
      <c r="AD168" s="85">
        <v>0.0</v>
      </c>
      <c r="AE168" s="62" t="b">
        <v>1</v>
      </c>
      <c r="AF168" s="62" t="b">
        <v>1</v>
      </c>
      <c r="AG168" s="85">
        <v>4.0</v>
      </c>
      <c r="AH168" s="86">
        <v>2.0</v>
      </c>
      <c r="AI168" s="62" t="b">
        <v>0</v>
      </c>
      <c r="AJ168" s="84"/>
      <c r="AK168" s="80">
        <f t="shared" si="3"/>
        <v>41</v>
      </c>
      <c r="AL168" s="80">
        <f t="shared" si="4"/>
        <v>19</v>
      </c>
    </row>
    <row r="169">
      <c r="A169" s="84" t="s">
        <v>150</v>
      </c>
      <c r="B169" s="85">
        <v>26.0</v>
      </c>
      <c r="C169" s="85">
        <v>302.0</v>
      </c>
      <c r="D169" s="85">
        <v>1.0</v>
      </c>
      <c r="E169" s="85">
        <v>0.0</v>
      </c>
      <c r="F169" s="85">
        <v>0.0</v>
      </c>
      <c r="G169" s="85">
        <v>0.0</v>
      </c>
      <c r="H169" s="85">
        <v>0.0</v>
      </c>
      <c r="I169" s="85">
        <v>0.0</v>
      </c>
      <c r="J169" s="85">
        <v>0.0</v>
      </c>
      <c r="K169" s="85">
        <v>0.0</v>
      </c>
      <c r="L169" s="85">
        <v>0.0</v>
      </c>
      <c r="M169" s="85">
        <v>0.0</v>
      </c>
      <c r="N169" s="85">
        <v>0.0</v>
      </c>
      <c r="O169" s="85">
        <v>0.0</v>
      </c>
      <c r="P169" s="62" t="b">
        <v>0</v>
      </c>
      <c r="Q169" s="62" t="b">
        <v>0</v>
      </c>
      <c r="R169" s="62" t="b">
        <v>1</v>
      </c>
      <c r="S169" s="85">
        <v>4.0</v>
      </c>
      <c r="T169" s="85">
        <v>3.0</v>
      </c>
      <c r="U169" s="85">
        <v>1.0</v>
      </c>
      <c r="V169" s="85">
        <v>1.0</v>
      </c>
      <c r="W169" s="85">
        <v>0.0</v>
      </c>
      <c r="X169" s="85">
        <v>0.0</v>
      </c>
      <c r="Y169" s="85">
        <v>1.0</v>
      </c>
      <c r="Z169" s="85">
        <v>1.0</v>
      </c>
      <c r="AA169" s="85">
        <v>0.0</v>
      </c>
      <c r="AB169" s="85">
        <v>0.0</v>
      </c>
      <c r="AC169" s="85">
        <v>0.0</v>
      </c>
      <c r="AD169" s="85">
        <v>0.0</v>
      </c>
      <c r="AE169" s="62" t="b">
        <v>0</v>
      </c>
      <c r="AF169" s="62" t="b">
        <v>0</v>
      </c>
      <c r="AG169" s="85">
        <v>5.0</v>
      </c>
      <c r="AH169" s="86">
        <v>1.0</v>
      </c>
      <c r="AI169" s="62" t="b">
        <v>0</v>
      </c>
      <c r="AJ169" s="87" t="s">
        <v>474</v>
      </c>
      <c r="AK169" s="80">
        <f t="shared" si="3"/>
        <v>26</v>
      </c>
      <c r="AL169" s="80">
        <f t="shared" si="4"/>
        <v>26</v>
      </c>
    </row>
    <row r="170">
      <c r="A170" s="84" t="s">
        <v>371</v>
      </c>
      <c r="B170" s="85">
        <v>33.0</v>
      </c>
      <c r="C170" s="85">
        <v>302.0</v>
      </c>
      <c r="D170" s="85">
        <v>0.0</v>
      </c>
      <c r="E170" s="85">
        <v>0.0</v>
      </c>
      <c r="F170" s="85">
        <v>0.0</v>
      </c>
      <c r="G170" s="85">
        <v>0.0</v>
      </c>
      <c r="H170" s="85">
        <v>0.0</v>
      </c>
      <c r="I170" s="85">
        <v>0.0</v>
      </c>
      <c r="J170" s="85">
        <v>0.0</v>
      </c>
      <c r="K170" s="85">
        <v>0.0</v>
      </c>
      <c r="L170" s="85">
        <v>0.0</v>
      </c>
      <c r="M170" s="85">
        <v>0.0</v>
      </c>
      <c r="N170" s="85">
        <v>0.0</v>
      </c>
      <c r="O170" s="85">
        <v>0.0</v>
      </c>
      <c r="P170" s="62" t="b">
        <v>1</v>
      </c>
      <c r="Q170" s="62" t="b">
        <v>1</v>
      </c>
      <c r="R170" s="62" t="b">
        <v>0</v>
      </c>
      <c r="S170" s="85">
        <v>2.0</v>
      </c>
      <c r="T170" s="85">
        <v>1.0</v>
      </c>
      <c r="U170" s="85">
        <v>0.0</v>
      </c>
      <c r="V170" s="85">
        <v>0.0</v>
      </c>
      <c r="W170" s="85">
        <v>0.0</v>
      </c>
      <c r="X170" s="85">
        <v>0.0</v>
      </c>
      <c r="Y170" s="85">
        <v>0.0</v>
      </c>
      <c r="Z170" s="85">
        <v>0.0</v>
      </c>
      <c r="AA170" s="85">
        <v>0.0</v>
      </c>
      <c r="AB170" s="85">
        <v>0.0</v>
      </c>
      <c r="AC170" s="85">
        <v>0.0</v>
      </c>
      <c r="AD170" s="85">
        <v>0.0</v>
      </c>
      <c r="AE170" s="62" t="b">
        <v>1</v>
      </c>
      <c r="AF170" s="62" t="b">
        <v>1</v>
      </c>
      <c r="AG170" s="85">
        <v>3.0</v>
      </c>
      <c r="AH170" s="85">
        <v>0.0</v>
      </c>
      <c r="AI170" s="62" t="b">
        <v>1</v>
      </c>
      <c r="AJ170" s="84"/>
      <c r="AK170" s="80">
        <f t="shared" si="3"/>
        <v>27</v>
      </c>
      <c r="AL170" s="80">
        <f t="shared" si="4"/>
        <v>5</v>
      </c>
    </row>
    <row r="171">
      <c r="A171" s="84" t="s">
        <v>150</v>
      </c>
      <c r="B171" s="88">
        <v>2.0</v>
      </c>
      <c r="C171" s="85">
        <v>247.0</v>
      </c>
      <c r="D171" s="85">
        <v>0.0</v>
      </c>
      <c r="E171" s="85">
        <v>0.0</v>
      </c>
      <c r="F171" s="85">
        <v>0.0</v>
      </c>
      <c r="G171" s="85">
        <v>0.0</v>
      </c>
      <c r="H171" s="85">
        <v>0.0</v>
      </c>
      <c r="I171" s="85">
        <v>0.0</v>
      </c>
      <c r="J171" s="85">
        <v>0.0</v>
      </c>
      <c r="K171" s="85">
        <v>0.0</v>
      </c>
      <c r="L171" s="85">
        <v>0.0</v>
      </c>
      <c r="M171" s="85">
        <v>0.0</v>
      </c>
      <c r="N171" s="85">
        <v>0.0</v>
      </c>
      <c r="O171" s="85">
        <v>0.0</v>
      </c>
      <c r="P171" s="62" t="b">
        <v>1</v>
      </c>
      <c r="Q171" s="62" t="b">
        <v>1</v>
      </c>
      <c r="R171" s="62" t="b">
        <v>0</v>
      </c>
      <c r="S171" s="85">
        <v>0.0</v>
      </c>
      <c r="T171" s="85">
        <v>0.0</v>
      </c>
      <c r="U171" s="85">
        <v>0.0</v>
      </c>
      <c r="V171" s="85">
        <v>0.0</v>
      </c>
      <c r="W171" s="85">
        <v>0.0</v>
      </c>
      <c r="X171" s="85">
        <v>0.0</v>
      </c>
      <c r="Y171" s="85">
        <v>1.0</v>
      </c>
      <c r="Z171" s="85">
        <v>1.0</v>
      </c>
      <c r="AA171" s="85">
        <v>0.0</v>
      </c>
      <c r="AB171" s="85">
        <v>0.0</v>
      </c>
      <c r="AC171" s="85">
        <v>1.0</v>
      </c>
      <c r="AD171" s="85">
        <v>1.0</v>
      </c>
      <c r="AE171" s="62" t="b">
        <v>1</v>
      </c>
      <c r="AF171" s="62" t="b">
        <v>1</v>
      </c>
      <c r="AG171" s="85">
        <v>2.0</v>
      </c>
      <c r="AH171" s="86">
        <v>2.0</v>
      </c>
      <c r="AI171" s="62" t="b">
        <v>0</v>
      </c>
      <c r="AJ171" s="87" t="s">
        <v>475</v>
      </c>
      <c r="AK171" s="80">
        <f t="shared" si="3"/>
        <v>29</v>
      </c>
      <c r="AL171" s="80">
        <f t="shared" si="4"/>
        <v>7</v>
      </c>
    </row>
    <row r="172">
      <c r="A172" s="84" t="s">
        <v>476</v>
      </c>
      <c r="B172" s="85">
        <v>8.0</v>
      </c>
      <c r="C172" s="85">
        <v>247.0</v>
      </c>
      <c r="D172" s="85">
        <v>0.0</v>
      </c>
      <c r="E172" s="85">
        <v>0.0</v>
      </c>
      <c r="F172" s="85">
        <v>0.0</v>
      </c>
      <c r="G172" s="85">
        <v>0.0</v>
      </c>
      <c r="H172" s="85">
        <v>0.0</v>
      </c>
      <c r="I172" s="85">
        <v>0.0</v>
      </c>
      <c r="J172" s="85">
        <v>0.0</v>
      </c>
      <c r="K172" s="85">
        <v>0.0</v>
      </c>
      <c r="L172" s="85">
        <v>0.0</v>
      </c>
      <c r="M172" s="85">
        <v>0.0</v>
      </c>
      <c r="N172" s="85">
        <v>0.0</v>
      </c>
      <c r="O172" s="85">
        <v>0.0</v>
      </c>
      <c r="P172" s="62" t="b">
        <v>0</v>
      </c>
      <c r="Q172" s="62" t="b">
        <v>0</v>
      </c>
      <c r="R172" s="62" t="b">
        <v>0</v>
      </c>
      <c r="S172" s="85">
        <v>0.0</v>
      </c>
      <c r="T172" s="85">
        <v>0.0</v>
      </c>
      <c r="U172" s="85">
        <v>0.0</v>
      </c>
      <c r="V172" s="85">
        <v>0.0</v>
      </c>
      <c r="W172" s="85">
        <v>0.0</v>
      </c>
      <c r="X172" s="85">
        <v>0.0</v>
      </c>
      <c r="Y172" s="85">
        <v>0.0</v>
      </c>
      <c r="Z172" s="85">
        <v>0.0</v>
      </c>
      <c r="AA172" s="85">
        <v>0.0</v>
      </c>
      <c r="AB172" s="85">
        <v>0.0</v>
      </c>
      <c r="AC172" s="85">
        <v>0.0</v>
      </c>
      <c r="AD172" s="85">
        <v>0.0</v>
      </c>
      <c r="AE172" s="62" t="b">
        <v>0</v>
      </c>
      <c r="AF172" s="62" t="b">
        <v>0</v>
      </c>
      <c r="AG172" s="85">
        <v>1.0</v>
      </c>
      <c r="AH172" s="86">
        <v>1.0</v>
      </c>
      <c r="AI172" s="62" t="b">
        <v>1</v>
      </c>
      <c r="AJ172" s="84" t="s">
        <v>297</v>
      </c>
      <c r="AK172" s="80">
        <f t="shared" si="3"/>
        <v>0</v>
      </c>
      <c r="AL172" s="80">
        <f t="shared" si="4"/>
        <v>0</v>
      </c>
    </row>
    <row r="173">
      <c r="A173" s="84" t="s">
        <v>373</v>
      </c>
      <c r="B173" s="85">
        <v>14.0</v>
      </c>
      <c r="C173" s="85">
        <v>247.0</v>
      </c>
      <c r="D173" s="85">
        <v>0.0</v>
      </c>
      <c r="E173" s="85">
        <v>0.0</v>
      </c>
      <c r="F173" s="85">
        <v>0.0</v>
      </c>
      <c r="G173" s="85">
        <v>0.0</v>
      </c>
      <c r="H173" s="85">
        <v>0.0</v>
      </c>
      <c r="I173" s="85">
        <v>0.0</v>
      </c>
      <c r="J173" s="85">
        <v>0.0</v>
      </c>
      <c r="K173" s="85">
        <v>0.0</v>
      </c>
      <c r="L173" s="85">
        <v>0.0</v>
      </c>
      <c r="M173" s="85">
        <v>0.0</v>
      </c>
      <c r="N173" s="85">
        <v>0.0</v>
      </c>
      <c r="O173" s="85">
        <v>0.0</v>
      </c>
      <c r="P173" s="62" t="b">
        <v>0</v>
      </c>
      <c r="Q173" s="62" t="b">
        <v>0</v>
      </c>
      <c r="R173" s="62" t="b">
        <v>0</v>
      </c>
      <c r="S173" s="85">
        <v>0.0</v>
      </c>
      <c r="T173" s="85">
        <v>0.0</v>
      </c>
      <c r="U173" s="85">
        <v>0.0</v>
      </c>
      <c r="V173" s="85">
        <v>0.0</v>
      </c>
      <c r="W173" s="85">
        <v>0.0</v>
      </c>
      <c r="X173" s="85">
        <v>0.0</v>
      </c>
      <c r="Y173" s="85">
        <v>1.0</v>
      </c>
      <c r="Z173" s="85">
        <v>1.0</v>
      </c>
      <c r="AA173" s="85">
        <v>0.0</v>
      </c>
      <c r="AB173" s="85">
        <v>0.0</v>
      </c>
      <c r="AC173" s="85">
        <v>0.0</v>
      </c>
      <c r="AD173" s="85">
        <v>0.0</v>
      </c>
      <c r="AE173" s="62" t="b">
        <v>0</v>
      </c>
      <c r="AF173" s="62" t="b">
        <v>0</v>
      </c>
      <c r="AG173" s="85">
        <v>0.0</v>
      </c>
      <c r="AH173" s="86">
        <v>1.0</v>
      </c>
      <c r="AI173" s="62" t="b">
        <v>0</v>
      </c>
      <c r="AJ173" s="84"/>
      <c r="AK173" s="80">
        <f t="shared" si="3"/>
        <v>5</v>
      </c>
      <c r="AL173" s="80">
        <f t="shared" si="4"/>
        <v>5</v>
      </c>
    </row>
    <row r="174">
      <c r="A174" s="84" t="s">
        <v>377</v>
      </c>
      <c r="B174" s="85">
        <v>14.0</v>
      </c>
      <c r="C174" s="85">
        <v>247.0</v>
      </c>
      <c r="D174" s="85">
        <v>0.0</v>
      </c>
      <c r="E174" s="85">
        <v>0.0</v>
      </c>
      <c r="F174" s="85">
        <v>0.0</v>
      </c>
      <c r="G174" s="85">
        <v>0.0</v>
      </c>
      <c r="H174" s="85">
        <v>0.0</v>
      </c>
      <c r="I174" s="85">
        <v>0.0</v>
      </c>
      <c r="J174" s="85">
        <v>0.0</v>
      </c>
      <c r="K174" s="85">
        <v>0.0</v>
      </c>
      <c r="L174" s="85">
        <v>0.0</v>
      </c>
      <c r="M174" s="85">
        <v>0.0</v>
      </c>
      <c r="N174" s="85">
        <v>0.0</v>
      </c>
      <c r="O174" s="85">
        <v>0.0</v>
      </c>
      <c r="P174" s="62" t="b">
        <v>0</v>
      </c>
      <c r="Q174" s="62" t="b">
        <v>0</v>
      </c>
      <c r="R174" s="62" t="b">
        <v>0</v>
      </c>
      <c r="S174" s="85">
        <v>0.0</v>
      </c>
      <c r="T174" s="85">
        <v>0.0</v>
      </c>
      <c r="U174" s="85">
        <v>0.0</v>
      </c>
      <c r="V174" s="85">
        <v>0.0</v>
      </c>
      <c r="W174" s="85">
        <v>0.0</v>
      </c>
      <c r="X174" s="85">
        <v>0.0</v>
      </c>
      <c r="Y174" s="85">
        <v>0.0</v>
      </c>
      <c r="Z174" s="85">
        <v>0.0</v>
      </c>
      <c r="AA174" s="85">
        <v>1.0</v>
      </c>
      <c r="AB174" s="85">
        <v>1.0</v>
      </c>
      <c r="AC174" s="85">
        <v>2.0</v>
      </c>
      <c r="AD174" s="85">
        <v>2.0</v>
      </c>
      <c r="AE174" s="62" t="b">
        <v>0</v>
      </c>
      <c r="AF174" s="62" t="b">
        <v>0</v>
      </c>
      <c r="AG174" s="85">
        <v>2.0</v>
      </c>
      <c r="AH174" s="86">
        <v>1.0</v>
      </c>
      <c r="AI174" s="62" t="b">
        <v>0</v>
      </c>
      <c r="AJ174" s="87" t="s">
        <v>477</v>
      </c>
      <c r="AK174" s="80">
        <f t="shared" si="3"/>
        <v>7</v>
      </c>
      <c r="AL174" s="80">
        <f t="shared" si="4"/>
        <v>7</v>
      </c>
    </row>
    <row r="175">
      <c r="A175" s="84" t="s">
        <v>478</v>
      </c>
      <c r="B175" s="85">
        <v>22.0</v>
      </c>
      <c r="C175" s="85">
        <v>247.0</v>
      </c>
      <c r="D175" s="85">
        <v>0.0</v>
      </c>
      <c r="E175" s="85">
        <v>0.0</v>
      </c>
      <c r="F175" s="85">
        <v>0.0</v>
      </c>
      <c r="G175" s="85">
        <v>0.0</v>
      </c>
      <c r="H175" s="85">
        <v>0.0</v>
      </c>
      <c r="I175" s="85">
        <v>0.0</v>
      </c>
      <c r="J175" s="85">
        <v>0.0</v>
      </c>
      <c r="K175" s="85">
        <v>0.0</v>
      </c>
      <c r="L175" s="85">
        <v>0.0</v>
      </c>
      <c r="M175" s="85">
        <v>0.0</v>
      </c>
      <c r="N175" s="85">
        <v>0.0</v>
      </c>
      <c r="O175" s="85">
        <v>0.0</v>
      </c>
      <c r="P175" s="62" t="b">
        <v>0</v>
      </c>
      <c r="Q175" s="62" t="b">
        <v>1</v>
      </c>
      <c r="R175" s="62" t="b">
        <v>0</v>
      </c>
      <c r="S175" s="85">
        <v>0.0</v>
      </c>
      <c r="T175" s="85">
        <v>0.0</v>
      </c>
      <c r="U175" s="85">
        <v>0.0</v>
      </c>
      <c r="V175" s="85">
        <v>0.0</v>
      </c>
      <c r="W175" s="85">
        <v>0.0</v>
      </c>
      <c r="X175" s="85">
        <v>0.0</v>
      </c>
      <c r="Y175" s="85">
        <v>1.0</v>
      </c>
      <c r="Z175" s="85">
        <v>1.0</v>
      </c>
      <c r="AA175" s="85">
        <v>0.0</v>
      </c>
      <c r="AB175" s="85">
        <v>0.0</v>
      </c>
      <c r="AC175" s="85">
        <v>1.0</v>
      </c>
      <c r="AD175" s="85">
        <v>1.0</v>
      </c>
      <c r="AE175" s="62" t="b">
        <v>0</v>
      </c>
      <c r="AF175" s="62" t="b">
        <v>1</v>
      </c>
      <c r="AG175" s="85">
        <v>2.0</v>
      </c>
      <c r="AH175" s="85">
        <v>3.0</v>
      </c>
      <c r="AI175" s="62" t="b">
        <v>1</v>
      </c>
      <c r="AJ175" s="84"/>
      <c r="AK175" s="80">
        <f t="shared" si="3"/>
        <v>7</v>
      </c>
      <c r="AL175" s="80">
        <f t="shared" si="4"/>
        <v>7</v>
      </c>
    </row>
    <row r="176">
      <c r="A176" s="84" t="s">
        <v>375</v>
      </c>
      <c r="B176" s="85">
        <v>26.0</v>
      </c>
      <c r="C176" s="85">
        <v>247.0</v>
      </c>
      <c r="D176" s="85">
        <v>0.0</v>
      </c>
      <c r="E176" s="85">
        <v>0.0</v>
      </c>
      <c r="F176" s="85">
        <v>0.0</v>
      </c>
      <c r="G176" s="85">
        <v>0.0</v>
      </c>
      <c r="H176" s="85">
        <v>0.0</v>
      </c>
      <c r="I176" s="85">
        <v>0.0</v>
      </c>
      <c r="J176" s="85">
        <v>0.0</v>
      </c>
      <c r="K176" s="85">
        <v>0.0</v>
      </c>
      <c r="L176" s="85">
        <v>0.0</v>
      </c>
      <c r="M176" s="85">
        <v>0.0</v>
      </c>
      <c r="N176" s="85">
        <v>0.0</v>
      </c>
      <c r="O176" s="85">
        <v>0.0</v>
      </c>
      <c r="P176" s="62" t="b">
        <v>0</v>
      </c>
      <c r="Q176" s="62" t="b">
        <v>0</v>
      </c>
      <c r="R176" s="62" t="b">
        <v>0</v>
      </c>
      <c r="S176" s="85">
        <v>0.0</v>
      </c>
      <c r="T176" s="85">
        <v>0.0</v>
      </c>
      <c r="U176" s="85">
        <v>0.0</v>
      </c>
      <c r="V176" s="85">
        <v>0.0</v>
      </c>
      <c r="W176" s="85">
        <v>0.0</v>
      </c>
      <c r="X176" s="85">
        <v>0.0</v>
      </c>
      <c r="Y176" s="85">
        <v>1.0</v>
      </c>
      <c r="Z176" s="85">
        <v>1.0</v>
      </c>
      <c r="AA176" s="85">
        <v>0.0</v>
      </c>
      <c r="AB176" s="85">
        <v>0.0</v>
      </c>
      <c r="AC176" s="85">
        <v>0.0</v>
      </c>
      <c r="AD176" s="85">
        <v>0.0</v>
      </c>
      <c r="AE176" s="62" t="b">
        <v>0</v>
      </c>
      <c r="AF176" s="62" t="b">
        <v>0</v>
      </c>
      <c r="AG176" s="85">
        <v>0.0</v>
      </c>
      <c r="AH176" s="86">
        <v>1.0</v>
      </c>
      <c r="AI176" s="62" t="b">
        <v>1</v>
      </c>
      <c r="AJ176" s="84" t="s">
        <v>479</v>
      </c>
      <c r="AK176" s="80">
        <f t="shared" si="3"/>
        <v>5</v>
      </c>
      <c r="AL176" s="80">
        <f t="shared" si="4"/>
        <v>5</v>
      </c>
    </row>
    <row r="177">
      <c r="A177" s="84" t="s">
        <v>102</v>
      </c>
      <c r="B177" s="85">
        <v>4.0</v>
      </c>
      <c r="C177" s="85">
        <v>245.0</v>
      </c>
      <c r="D177" s="85">
        <v>0.0</v>
      </c>
      <c r="E177" s="85">
        <v>0.0</v>
      </c>
      <c r="F177" s="85">
        <v>0.0</v>
      </c>
      <c r="G177" s="85">
        <v>0.0</v>
      </c>
      <c r="H177" s="85">
        <v>0.0</v>
      </c>
      <c r="I177" s="85">
        <v>0.0</v>
      </c>
      <c r="J177" s="85">
        <v>1.0</v>
      </c>
      <c r="K177" s="85">
        <v>1.0</v>
      </c>
      <c r="L177" s="85">
        <v>0.0</v>
      </c>
      <c r="M177" s="85">
        <v>0.0</v>
      </c>
      <c r="N177" s="85">
        <v>0.0</v>
      </c>
      <c r="O177" s="85">
        <v>0.0</v>
      </c>
      <c r="P177" s="62" t="b">
        <v>0</v>
      </c>
      <c r="Q177" s="62" t="b">
        <v>1</v>
      </c>
      <c r="R177" s="62" t="b">
        <v>1</v>
      </c>
      <c r="S177" s="85">
        <v>2.0</v>
      </c>
      <c r="T177" s="85">
        <v>2.0</v>
      </c>
      <c r="U177" s="85">
        <v>2.0</v>
      </c>
      <c r="V177" s="85">
        <v>2.0</v>
      </c>
      <c r="W177" s="85">
        <v>0.0</v>
      </c>
      <c r="X177" s="85">
        <v>0.0</v>
      </c>
      <c r="Y177" s="85">
        <v>0.0</v>
      </c>
      <c r="Z177" s="85">
        <v>0.0</v>
      </c>
      <c r="AA177" s="85">
        <v>0.0</v>
      </c>
      <c r="AB177" s="85">
        <v>0.0</v>
      </c>
      <c r="AC177" s="85">
        <v>0.0</v>
      </c>
      <c r="AD177" s="85">
        <v>0.0</v>
      </c>
      <c r="AE177" s="62" t="b">
        <v>0</v>
      </c>
      <c r="AF177" s="62" t="b">
        <v>1</v>
      </c>
      <c r="AG177" s="85">
        <v>3.0</v>
      </c>
      <c r="AH177" s="86">
        <v>1.0</v>
      </c>
      <c r="AI177" s="62" t="b">
        <v>0</v>
      </c>
      <c r="AJ177" s="87" t="s">
        <v>480</v>
      </c>
      <c r="AK177" s="80">
        <f t="shared" si="3"/>
        <v>25</v>
      </c>
      <c r="AL177" s="80">
        <f t="shared" si="4"/>
        <v>25</v>
      </c>
    </row>
    <row r="178">
      <c r="A178" s="84" t="s">
        <v>362</v>
      </c>
      <c r="B178" s="85">
        <v>11.0</v>
      </c>
      <c r="C178" s="85">
        <v>245.0</v>
      </c>
      <c r="D178" s="85">
        <v>1.0</v>
      </c>
      <c r="E178" s="85">
        <v>1.0</v>
      </c>
      <c r="F178" s="85">
        <v>0.0</v>
      </c>
      <c r="G178" s="85">
        <v>0.0</v>
      </c>
      <c r="H178" s="85">
        <v>0.0</v>
      </c>
      <c r="I178" s="85">
        <v>0.0</v>
      </c>
      <c r="J178" s="85">
        <v>1.0</v>
      </c>
      <c r="K178" s="85">
        <v>1.0</v>
      </c>
      <c r="L178" s="85">
        <v>0.0</v>
      </c>
      <c r="M178" s="85">
        <v>0.0</v>
      </c>
      <c r="N178" s="85">
        <v>0.0</v>
      </c>
      <c r="O178" s="85">
        <v>0.0</v>
      </c>
      <c r="P178" s="62" t="b">
        <v>0</v>
      </c>
      <c r="Q178" s="62" t="b">
        <v>0</v>
      </c>
      <c r="R178" s="62" t="b">
        <v>1</v>
      </c>
      <c r="S178" s="85">
        <v>2.0</v>
      </c>
      <c r="T178" s="85">
        <v>2.0</v>
      </c>
      <c r="U178" s="85">
        <v>2.0</v>
      </c>
      <c r="V178" s="85">
        <v>2.0</v>
      </c>
      <c r="W178" s="85">
        <v>0.0</v>
      </c>
      <c r="X178" s="85">
        <v>0.0</v>
      </c>
      <c r="Y178" s="85">
        <v>0.0</v>
      </c>
      <c r="Z178" s="85">
        <v>0.0</v>
      </c>
      <c r="AA178" s="85">
        <v>0.0</v>
      </c>
      <c r="AB178" s="85">
        <v>0.0</v>
      </c>
      <c r="AC178" s="85">
        <v>0.0</v>
      </c>
      <c r="AD178" s="85">
        <v>0.0</v>
      </c>
      <c r="AE178" s="62" t="b">
        <v>0</v>
      </c>
      <c r="AF178" s="62" t="b">
        <v>0</v>
      </c>
      <c r="AG178" s="85">
        <v>4.0</v>
      </c>
      <c r="AH178" s="86">
        <v>1.0</v>
      </c>
      <c r="AI178" s="62" t="b">
        <v>0</v>
      </c>
      <c r="AJ178" s="84"/>
      <c r="AK178" s="80">
        <f t="shared" si="3"/>
        <v>31</v>
      </c>
      <c r="AL178" s="80">
        <f t="shared" si="4"/>
        <v>31</v>
      </c>
    </row>
    <row r="179">
      <c r="A179" s="84" t="s">
        <v>379</v>
      </c>
      <c r="B179" s="85">
        <v>17.0</v>
      </c>
      <c r="C179" s="85">
        <v>245.0</v>
      </c>
      <c r="D179" s="85">
        <v>1.0</v>
      </c>
      <c r="E179" s="85">
        <v>1.0</v>
      </c>
      <c r="F179" s="85">
        <v>0.0</v>
      </c>
      <c r="G179" s="85">
        <v>0.0</v>
      </c>
      <c r="H179" s="85">
        <v>0.0</v>
      </c>
      <c r="I179" s="85">
        <v>0.0</v>
      </c>
      <c r="J179" s="85">
        <v>1.0</v>
      </c>
      <c r="K179" s="85">
        <v>0.0</v>
      </c>
      <c r="L179" s="85">
        <v>0.0</v>
      </c>
      <c r="M179" s="85">
        <v>0.0</v>
      </c>
      <c r="N179" s="85">
        <v>0.0</v>
      </c>
      <c r="O179" s="85">
        <v>0.0</v>
      </c>
      <c r="P179" s="62" t="b">
        <v>0</v>
      </c>
      <c r="Q179" s="62" t="b">
        <v>0</v>
      </c>
      <c r="R179" s="62" t="b">
        <v>1</v>
      </c>
      <c r="S179" s="85">
        <v>2.0</v>
      </c>
      <c r="T179" s="85">
        <v>2.0</v>
      </c>
      <c r="U179" s="85">
        <v>2.0</v>
      </c>
      <c r="V179" s="85">
        <v>2.0</v>
      </c>
      <c r="W179" s="85">
        <v>1.0</v>
      </c>
      <c r="X179" s="85">
        <v>1.0</v>
      </c>
      <c r="Y179" s="85">
        <v>2.0</v>
      </c>
      <c r="Z179" s="85">
        <v>2.0</v>
      </c>
      <c r="AA179" s="85">
        <v>0.0</v>
      </c>
      <c r="AB179" s="85">
        <v>0.0</v>
      </c>
      <c r="AC179" s="85">
        <v>0.0</v>
      </c>
      <c r="AD179" s="85">
        <v>0.0</v>
      </c>
      <c r="AE179" s="62" t="b">
        <v>0</v>
      </c>
      <c r="AF179" s="62" t="b">
        <v>0</v>
      </c>
      <c r="AG179" s="85">
        <v>4.0</v>
      </c>
      <c r="AH179" s="86">
        <v>1.0</v>
      </c>
      <c r="AI179" s="62" t="b">
        <v>0</v>
      </c>
      <c r="AJ179" s="84"/>
      <c r="AK179" s="80">
        <f t="shared" si="3"/>
        <v>37</v>
      </c>
      <c r="AL179" s="80">
        <f t="shared" si="4"/>
        <v>37</v>
      </c>
    </row>
    <row r="180">
      <c r="A180" s="84" t="s">
        <v>375</v>
      </c>
      <c r="B180" s="85">
        <v>24.0</v>
      </c>
      <c r="C180" s="85">
        <v>245.0</v>
      </c>
      <c r="D180" s="85">
        <v>0.0</v>
      </c>
      <c r="E180" s="85">
        <v>0.0</v>
      </c>
      <c r="F180" s="85">
        <v>0.0</v>
      </c>
      <c r="G180" s="85">
        <v>0.0</v>
      </c>
      <c r="H180" s="85">
        <v>0.0</v>
      </c>
      <c r="I180" s="85">
        <v>0.0</v>
      </c>
      <c r="J180" s="85">
        <v>1.0</v>
      </c>
      <c r="K180" s="85">
        <v>1.0</v>
      </c>
      <c r="L180" s="85">
        <v>0.0</v>
      </c>
      <c r="M180" s="85">
        <v>0.0</v>
      </c>
      <c r="N180" s="85">
        <v>0.0</v>
      </c>
      <c r="O180" s="85">
        <v>0.0</v>
      </c>
      <c r="P180" s="62" t="b">
        <v>0</v>
      </c>
      <c r="Q180" s="62" t="b">
        <v>0</v>
      </c>
      <c r="R180" s="62" t="b">
        <v>1</v>
      </c>
      <c r="S180" s="85">
        <v>2.0</v>
      </c>
      <c r="T180" s="85">
        <v>2.0</v>
      </c>
      <c r="U180" s="85">
        <v>0.0</v>
      </c>
      <c r="V180" s="85">
        <v>0.0</v>
      </c>
      <c r="W180" s="85">
        <v>0.0</v>
      </c>
      <c r="X180" s="85">
        <v>0.0</v>
      </c>
      <c r="Y180" s="85">
        <v>2.0</v>
      </c>
      <c r="Z180" s="85">
        <v>2.0</v>
      </c>
      <c r="AA180" s="85">
        <v>1.0</v>
      </c>
      <c r="AB180" s="85">
        <v>1.0</v>
      </c>
      <c r="AC180" s="85">
        <v>1.0</v>
      </c>
      <c r="AD180" s="85">
        <v>1.0</v>
      </c>
      <c r="AE180" s="62" t="b">
        <v>0</v>
      </c>
      <c r="AF180" s="62" t="b">
        <v>0</v>
      </c>
      <c r="AG180" s="85">
        <v>5.0</v>
      </c>
      <c r="AH180" s="86">
        <v>2.0</v>
      </c>
      <c r="AI180" s="62" t="b">
        <v>1</v>
      </c>
      <c r="AJ180" s="87" t="s">
        <v>481</v>
      </c>
      <c r="AK180" s="80">
        <f t="shared" si="3"/>
        <v>34</v>
      </c>
      <c r="AL180" s="80">
        <f t="shared" si="4"/>
        <v>34</v>
      </c>
    </row>
    <row r="181">
      <c r="A181" s="84" t="s">
        <v>150</v>
      </c>
      <c r="B181" s="85">
        <v>30.0</v>
      </c>
      <c r="C181" s="85">
        <v>245.0</v>
      </c>
      <c r="D181" s="85">
        <v>0.0</v>
      </c>
      <c r="E181" s="85">
        <v>0.0</v>
      </c>
      <c r="F181" s="85">
        <v>0.0</v>
      </c>
      <c r="G181" s="85">
        <v>0.0</v>
      </c>
      <c r="H181" s="85">
        <v>0.0</v>
      </c>
      <c r="I181" s="85">
        <v>0.0</v>
      </c>
      <c r="J181" s="85">
        <v>1.0</v>
      </c>
      <c r="K181" s="85">
        <v>1.0</v>
      </c>
      <c r="L181" s="85">
        <v>0.0</v>
      </c>
      <c r="M181" s="85">
        <v>0.0</v>
      </c>
      <c r="N181" s="85">
        <v>0.0</v>
      </c>
      <c r="O181" s="85">
        <v>0.0</v>
      </c>
      <c r="P181" s="62" t="b">
        <v>1</v>
      </c>
      <c r="Q181" s="62" t="b">
        <v>1</v>
      </c>
      <c r="R181" s="62" t="b">
        <v>1</v>
      </c>
      <c r="S181" s="85">
        <v>1.0</v>
      </c>
      <c r="T181" s="85">
        <v>1.0</v>
      </c>
      <c r="U181" s="85">
        <v>0.0</v>
      </c>
      <c r="V181" s="85">
        <v>0.0</v>
      </c>
      <c r="W181" s="85">
        <v>0.0</v>
      </c>
      <c r="X181" s="85">
        <v>0.0</v>
      </c>
      <c r="Y181" s="85">
        <v>0.0</v>
      </c>
      <c r="Z181" s="85">
        <v>0.0</v>
      </c>
      <c r="AA181" s="85">
        <v>1.0</v>
      </c>
      <c r="AB181" s="85">
        <v>0.0</v>
      </c>
      <c r="AC181" s="85">
        <v>1.0</v>
      </c>
      <c r="AD181" s="85">
        <v>1.0</v>
      </c>
      <c r="AE181" s="62" t="b">
        <v>1</v>
      </c>
      <c r="AF181" s="62" t="b">
        <v>1</v>
      </c>
      <c r="AG181" s="85">
        <v>2.0</v>
      </c>
      <c r="AH181" s="86">
        <v>0.0</v>
      </c>
      <c r="AI181" s="62" t="b">
        <v>0</v>
      </c>
      <c r="AJ181" s="87" t="s">
        <v>482</v>
      </c>
      <c r="AK181" s="80">
        <f t="shared" si="3"/>
        <v>38</v>
      </c>
      <c r="AL181" s="80">
        <f t="shared" si="4"/>
        <v>16</v>
      </c>
    </row>
    <row r="182">
      <c r="A182" s="84" t="s">
        <v>150</v>
      </c>
      <c r="B182" s="85">
        <v>7.0</v>
      </c>
      <c r="C182" s="85">
        <v>123.0</v>
      </c>
      <c r="D182" s="85">
        <v>1.0</v>
      </c>
      <c r="E182" s="85">
        <v>1.0</v>
      </c>
      <c r="F182" s="85">
        <v>0.0</v>
      </c>
      <c r="G182" s="85">
        <v>0.0</v>
      </c>
      <c r="H182" s="85">
        <v>0.0</v>
      </c>
      <c r="I182" s="85">
        <v>0.0</v>
      </c>
      <c r="J182" s="85">
        <v>0.0</v>
      </c>
      <c r="K182" s="85">
        <v>0.0</v>
      </c>
      <c r="L182" s="85">
        <v>0.0</v>
      </c>
      <c r="M182" s="85">
        <v>0.0</v>
      </c>
      <c r="N182" s="85">
        <v>0.0</v>
      </c>
      <c r="O182" s="85">
        <v>0.0</v>
      </c>
      <c r="P182" s="62" t="b">
        <v>0</v>
      </c>
      <c r="Q182" s="62" t="b">
        <v>0</v>
      </c>
      <c r="R182" s="62" t="b">
        <v>1</v>
      </c>
      <c r="S182" s="85">
        <v>1.0</v>
      </c>
      <c r="T182" s="85">
        <v>1.0</v>
      </c>
      <c r="U182" s="85">
        <v>1.0</v>
      </c>
      <c r="V182" s="85">
        <v>0.0</v>
      </c>
      <c r="W182" s="85">
        <v>1.0</v>
      </c>
      <c r="X182" s="85">
        <v>1.0</v>
      </c>
      <c r="Y182" s="85">
        <v>0.0</v>
      </c>
      <c r="Z182" s="85">
        <v>0.0</v>
      </c>
      <c r="AA182" s="85">
        <v>0.0</v>
      </c>
      <c r="AB182" s="85">
        <v>0.0</v>
      </c>
      <c r="AC182" s="85">
        <v>0.0</v>
      </c>
      <c r="AD182" s="85">
        <v>0.0</v>
      </c>
      <c r="AE182" s="62" t="b">
        <v>0</v>
      </c>
      <c r="AF182" s="62" t="b">
        <v>0</v>
      </c>
      <c r="AG182" s="85">
        <v>2.0</v>
      </c>
      <c r="AH182" s="85">
        <v>0.0</v>
      </c>
      <c r="AI182" s="62" t="b">
        <v>1</v>
      </c>
      <c r="AJ182" s="87" t="s">
        <v>483</v>
      </c>
      <c r="AK182" s="80">
        <f t="shared" si="3"/>
        <v>16</v>
      </c>
      <c r="AL182" s="80">
        <f t="shared" si="4"/>
        <v>16</v>
      </c>
    </row>
    <row r="183">
      <c r="A183" s="84" t="s">
        <v>365</v>
      </c>
      <c r="B183" s="85">
        <v>12.0</v>
      </c>
      <c r="C183" s="85">
        <v>123.0</v>
      </c>
      <c r="D183" s="85">
        <v>1.0</v>
      </c>
      <c r="E183" s="85">
        <v>1.0</v>
      </c>
      <c r="F183" s="85">
        <v>0.0</v>
      </c>
      <c r="G183" s="85">
        <v>0.0</v>
      </c>
      <c r="H183" s="85">
        <v>0.0</v>
      </c>
      <c r="I183" s="85">
        <v>0.0</v>
      </c>
      <c r="J183" s="85">
        <v>0.0</v>
      </c>
      <c r="K183" s="85">
        <v>0.0</v>
      </c>
      <c r="L183" s="85">
        <v>0.0</v>
      </c>
      <c r="M183" s="85">
        <v>0.0</v>
      </c>
      <c r="N183" s="85">
        <v>0.0</v>
      </c>
      <c r="O183" s="85">
        <v>0.0</v>
      </c>
      <c r="P183" s="62" t="b">
        <v>0</v>
      </c>
      <c r="Q183" s="62" t="b">
        <v>0</v>
      </c>
      <c r="R183" s="62" t="b">
        <v>1</v>
      </c>
      <c r="S183" s="85">
        <v>0.0</v>
      </c>
      <c r="T183" s="85">
        <v>0.0</v>
      </c>
      <c r="U183" s="85">
        <v>0.0</v>
      </c>
      <c r="V183" s="85">
        <v>0.0</v>
      </c>
      <c r="W183" s="85">
        <v>0.0</v>
      </c>
      <c r="X183" s="85">
        <v>0.0</v>
      </c>
      <c r="Y183" s="85">
        <v>2.0</v>
      </c>
      <c r="Z183" s="85">
        <v>1.0</v>
      </c>
      <c r="AA183" s="85">
        <v>1.0</v>
      </c>
      <c r="AB183" s="85">
        <v>1.0</v>
      </c>
      <c r="AC183" s="85">
        <v>0.0</v>
      </c>
      <c r="AD183" s="85">
        <v>0.0</v>
      </c>
      <c r="AE183" s="62" t="b">
        <v>0</v>
      </c>
      <c r="AF183" s="62" t="b">
        <v>0</v>
      </c>
      <c r="AG183" s="85">
        <v>3.0</v>
      </c>
      <c r="AH183" s="85">
        <v>1.0</v>
      </c>
      <c r="AI183" s="62" t="b">
        <v>0</v>
      </c>
      <c r="AJ183" s="84"/>
      <c r="AK183" s="80">
        <f t="shared" si="3"/>
        <v>17</v>
      </c>
      <c r="AL183" s="80">
        <f t="shared" si="4"/>
        <v>17</v>
      </c>
    </row>
    <row r="184">
      <c r="A184" s="84" t="s">
        <v>372</v>
      </c>
      <c r="B184" s="85">
        <v>18.0</v>
      </c>
      <c r="C184" s="85">
        <v>123.0</v>
      </c>
      <c r="D184" s="85">
        <v>1.0</v>
      </c>
      <c r="E184" s="85">
        <v>1.0</v>
      </c>
      <c r="F184" s="85">
        <v>0.0</v>
      </c>
      <c r="G184" s="85">
        <v>0.0</v>
      </c>
      <c r="H184" s="85">
        <v>0.0</v>
      </c>
      <c r="I184" s="85">
        <v>0.0</v>
      </c>
      <c r="J184" s="85">
        <v>0.0</v>
      </c>
      <c r="K184" s="85">
        <v>0.0</v>
      </c>
      <c r="L184" s="85">
        <v>0.0</v>
      </c>
      <c r="M184" s="85">
        <v>0.0</v>
      </c>
      <c r="N184" s="85">
        <v>0.0</v>
      </c>
      <c r="O184" s="85">
        <v>0.0</v>
      </c>
      <c r="P184" s="62" t="b">
        <v>0</v>
      </c>
      <c r="Q184" s="62" t="b">
        <v>0</v>
      </c>
      <c r="R184" s="62" t="b">
        <v>0</v>
      </c>
      <c r="S184" s="85">
        <v>1.0</v>
      </c>
      <c r="T184" s="85">
        <v>1.0</v>
      </c>
      <c r="U184" s="85">
        <v>1.0</v>
      </c>
      <c r="V184" s="85">
        <v>1.0</v>
      </c>
      <c r="W184" s="85">
        <v>0.0</v>
      </c>
      <c r="X184" s="85">
        <v>0.0</v>
      </c>
      <c r="Y184" s="85">
        <v>1.0</v>
      </c>
      <c r="Z184" s="85">
        <v>1.0</v>
      </c>
      <c r="AA184" s="85">
        <v>0.0</v>
      </c>
      <c r="AB184" s="85">
        <v>0.0</v>
      </c>
      <c r="AC184" s="85">
        <v>0.0</v>
      </c>
      <c r="AD184" s="85">
        <v>0.0</v>
      </c>
      <c r="AE184" s="62" t="b">
        <v>0</v>
      </c>
      <c r="AF184" s="62" t="b">
        <v>0</v>
      </c>
      <c r="AG184" s="85">
        <v>3.0</v>
      </c>
      <c r="AH184" s="86">
        <v>0.0</v>
      </c>
      <c r="AI184" s="62" t="b">
        <v>0</v>
      </c>
      <c r="AJ184" s="84"/>
      <c r="AK184" s="80">
        <f t="shared" si="3"/>
        <v>19</v>
      </c>
      <c r="AL184" s="80">
        <f t="shared" si="4"/>
        <v>19</v>
      </c>
    </row>
    <row r="185">
      <c r="A185" s="84" t="s">
        <v>391</v>
      </c>
      <c r="B185" s="85">
        <v>32.0</v>
      </c>
      <c r="C185" s="85">
        <v>123.0</v>
      </c>
      <c r="D185" s="85">
        <v>1.0</v>
      </c>
      <c r="E185" s="85">
        <v>1.0</v>
      </c>
      <c r="F185" s="85">
        <v>0.0</v>
      </c>
      <c r="G185" s="85">
        <v>0.0</v>
      </c>
      <c r="H185" s="85">
        <v>0.0</v>
      </c>
      <c r="I185" s="85">
        <v>0.0</v>
      </c>
      <c r="J185" s="85">
        <v>0.0</v>
      </c>
      <c r="K185" s="85">
        <v>0.0</v>
      </c>
      <c r="L185" s="85">
        <v>0.0</v>
      </c>
      <c r="M185" s="85">
        <v>0.0</v>
      </c>
      <c r="N185" s="85">
        <v>0.0</v>
      </c>
      <c r="O185" s="85">
        <v>0.0</v>
      </c>
      <c r="P185" s="62" t="b">
        <v>0</v>
      </c>
      <c r="Q185" s="62" t="b">
        <v>0</v>
      </c>
      <c r="R185" s="62" t="b">
        <v>1</v>
      </c>
      <c r="S185" s="85">
        <v>3.0</v>
      </c>
      <c r="T185" s="85">
        <v>3.0</v>
      </c>
      <c r="U185" s="85">
        <v>0.0</v>
      </c>
      <c r="V185" s="85">
        <v>0.0</v>
      </c>
      <c r="W185" s="85">
        <v>0.0</v>
      </c>
      <c r="X185" s="85">
        <v>0.0</v>
      </c>
      <c r="Y185" s="85">
        <v>0.0</v>
      </c>
      <c r="Z185" s="85">
        <v>0.0</v>
      </c>
      <c r="AA185" s="85">
        <v>0.0</v>
      </c>
      <c r="AB185" s="85">
        <v>0.0</v>
      </c>
      <c r="AC185" s="85">
        <v>0.0</v>
      </c>
      <c r="AD185" s="85">
        <v>0.0</v>
      </c>
      <c r="AE185" s="62" t="b">
        <v>0</v>
      </c>
      <c r="AF185" s="62" t="b">
        <v>0</v>
      </c>
      <c r="AG185" s="85">
        <v>3.0</v>
      </c>
      <c r="AH185" s="86">
        <v>0.0</v>
      </c>
      <c r="AI185" s="62" t="b">
        <v>0</v>
      </c>
      <c r="AJ185" s="84"/>
      <c r="AK185" s="80">
        <f t="shared" si="3"/>
        <v>24</v>
      </c>
      <c r="AL185" s="80">
        <f t="shared" si="4"/>
        <v>24</v>
      </c>
    </row>
    <row r="186">
      <c r="A186" s="84" t="s">
        <v>377</v>
      </c>
      <c r="B186" s="85">
        <v>13.0</v>
      </c>
      <c r="C186" s="85">
        <v>68.0</v>
      </c>
      <c r="D186" s="85">
        <v>0.0</v>
      </c>
      <c r="E186" s="85">
        <v>0.0</v>
      </c>
      <c r="F186" s="85">
        <v>0.0</v>
      </c>
      <c r="G186" s="85">
        <v>0.0</v>
      </c>
      <c r="H186" s="85">
        <v>0.0</v>
      </c>
      <c r="I186" s="85">
        <v>0.0</v>
      </c>
      <c r="J186" s="85">
        <v>1.0</v>
      </c>
      <c r="K186" s="85">
        <v>0.0</v>
      </c>
      <c r="L186" s="85">
        <v>0.0</v>
      </c>
      <c r="M186" s="85">
        <v>0.0</v>
      </c>
      <c r="N186" s="85">
        <v>0.0</v>
      </c>
      <c r="O186" s="85">
        <v>0.0</v>
      </c>
      <c r="P186" s="62" t="b">
        <v>0</v>
      </c>
      <c r="Q186" s="62" t="b">
        <v>0</v>
      </c>
      <c r="R186" s="62" t="b">
        <v>1</v>
      </c>
      <c r="S186" s="85">
        <v>0.0</v>
      </c>
      <c r="T186" s="85">
        <v>0.0</v>
      </c>
      <c r="U186" s="85">
        <v>0.0</v>
      </c>
      <c r="V186" s="85">
        <v>0.0</v>
      </c>
      <c r="W186" s="85">
        <v>0.0</v>
      </c>
      <c r="X186" s="85">
        <v>0.0</v>
      </c>
      <c r="Y186" s="85">
        <v>2.0</v>
      </c>
      <c r="Z186" s="85">
        <v>2.0</v>
      </c>
      <c r="AA186" s="85">
        <v>3.0</v>
      </c>
      <c r="AB186" s="85">
        <v>3.0</v>
      </c>
      <c r="AC186" s="85">
        <v>1.0</v>
      </c>
      <c r="AD186" s="85">
        <v>1.0</v>
      </c>
      <c r="AE186" s="62" t="b">
        <v>0</v>
      </c>
      <c r="AF186" s="62" t="b">
        <v>0</v>
      </c>
      <c r="AG186" s="85">
        <v>3.0</v>
      </c>
      <c r="AH186" s="86">
        <v>0.0</v>
      </c>
      <c r="AI186" s="62" t="b">
        <v>0</v>
      </c>
      <c r="AJ186" s="87" t="s">
        <v>484</v>
      </c>
      <c r="AK186" s="80">
        <f t="shared" si="3"/>
        <v>24</v>
      </c>
      <c r="AL186" s="80">
        <f t="shared" si="4"/>
        <v>24</v>
      </c>
    </row>
    <row r="187">
      <c r="A187" s="84" t="s">
        <v>379</v>
      </c>
      <c r="B187" s="85">
        <v>19.0</v>
      </c>
      <c r="C187" s="85">
        <v>68.0</v>
      </c>
      <c r="D187" s="85">
        <v>1.0</v>
      </c>
      <c r="E187" s="85">
        <v>0.0</v>
      </c>
      <c r="F187" s="85">
        <v>0.0</v>
      </c>
      <c r="G187" s="85">
        <v>0.0</v>
      </c>
      <c r="H187" s="85">
        <v>0.0</v>
      </c>
      <c r="I187" s="85">
        <v>0.0</v>
      </c>
      <c r="J187" s="85">
        <v>0.0</v>
      </c>
      <c r="K187" s="85">
        <v>0.0</v>
      </c>
      <c r="L187" s="85">
        <v>0.0</v>
      </c>
      <c r="M187" s="85">
        <v>0.0</v>
      </c>
      <c r="N187" s="85">
        <v>0.0</v>
      </c>
      <c r="O187" s="85">
        <v>0.0</v>
      </c>
      <c r="P187" s="62" t="b">
        <v>0</v>
      </c>
      <c r="Q187" s="62" t="b">
        <v>0</v>
      </c>
      <c r="R187" s="62" t="b">
        <v>0</v>
      </c>
      <c r="S187" s="85">
        <v>3.0</v>
      </c>
      <c r="T187" s="85">
        <v>2.0</v>
      </c>
      <c r="U187" s="85">
        <v>1.0</v>
      </c>
      <c r="V187" s="85">
        <v>0.0</v>
      </c>
      <c r="W187" s="85">
        <v>0.0</v>
      </c>
      <c r="X187" s="85">
        <v>0.0</v>
      </c>
      <c r="Y187" s="85">
        <v>0.0</v>
      </c>
      <c r="Z187" s="85">
        <v>0.0</v>
      </c>
      <c r="AA187" s="85">
        <v>0.0</v>
      </c>
      <c r="AB187" s="85">
        <v>0.0</v>
      </c>
      <c r="AC187" s="85">
        <v>0.0</v>
      </c>
      <c r="AD187" s="85">
        <v>0.0</v>
      </c>
      <c r="AE187" s="62" t="b">
        <v>0</v>
      </c>
      <c r="AF187" s="62" t="b">
        <v>0</v>
      </c>
      <c r="AG187" s="85">
        <v>3.0</v>
      </c>
      <c r="AH187" s="86">
        <v>1.0</v>
      </c>
      <c r="AI187" s="62" t="b">
        <v>0</v>
      </c>
      <c r="AJ187" s="84"/>
      <c r="AK187" s="80">
        <f t="shared" si="3"/>
        <v>10</v>
      </c>
      <c r="AL187" s="80">
        <f t="shared" si="4"/>
        <v>10</v>
      </c>
    </row>
    <row r="188">
      <c r="A188" s="84" t="s">
        <v>423</v>
      </c>
      <c r="B188" s="85">
        <v>25.0</v>
      </c>
      <c r="C188" s="85">
        <v>68.0</v>
      </c>
      <c r="D188" s="85">
        <v>1.0</v>
      </c>
      <c r="E188" s="85">
        <v>1.0</v>
      </c>
      <c r="F188" s="85">
        <v>0.0</v>
      </c>
      <c r="G188" s="85">
        <v>0.0</v>
      </c>
      <c r="H188" s="85">
        <v>0.0</v>
      </c>
      <c r="I188" s="85">
        <v>0.0</v>
      </c>
      <c r="J188" s="85">
        <v>0.0</v>
      </c>
      <c r="K188" s="85">
        <v>0.0</v>
      </c>
      <c r="L188" s="85">
        <v>0.0</v>
      </c>
      <c r="M188" s="85">
        <v>0.0</v>
      </c>
      <c r="N188" s="85">
        <v>0.0</v>
      </c>
      <c r="O188" s="85">
        <v>0.0</v>
      </c>
      <c r="P188" s="62" t="b">
        <v>0</v>
      </c>
      <c r="Q188" s="62" t="b">
        <v>0</v>
      </c>
      <c r="R188" s="62" t="b">
        <v>0</v>
      </c>
      <c r="S188" s="85">
        <v>0.0</v>
      </c>
      <c r="T188" s="85">
        <v>0.0</v>
      </c>
      <c r="U188" s="85">
        <v>0.0</v>
      </c>
      <c r="V188" s="85">
        <v>0.0</v>
      </c>
      <c r="W188" s="85">
        <v>0.0</v>
      </c>
      <c r="X188" s="85">
        <v>0.0</v>
      </c>
      <c r="Y188" s="85">
        <v>1.0</v>
      </c>
      <c r="Z188" s="85">
        <v>1.0</v>
      </c>
      <c r="AA188" s="85">
        <v>1.0</v>
      </c>
      <c r="AB188" s="85">
        <v>1.0</v>
      </c>
      <c r="AC188" s="85">
        <v>2.0</v>
      </c>
      <c r="AD188" s="85">
        <v>2.0</v>
      </c>
      <c r="AE188" s="62" t="b">
        <v>0</v>
      </c>
      <c r="AF188" s="62" t="b">
        <v>0</v>
      </c>
      <c r="AG188" s="85">
        <v>1.0</v>
      </c>
      <c r="AH188" s="86">
        <v>1.0</v>
      </c>
      <c r="AI188" s="62" t="b">
        <v>0</v>
      </c>
      <c r="AJ188" s="87" t="s">
        <v>485</v>
      </c>
      <c r="AK188" s="80">
        <f t="shared" si="3"/>
        <v>18</v>
      </c>
      <c r="AL188" s="80">
        <f t="shared" si="4"/>
        <v>18</v>
      </c>
    </row>
    <row r="189">
      <c r="A189" s="84" t="s">
        <v>391</v>
      </c>
      <c r="B189" s="85">
        <v>30.0</v>
      </c>
      <c r="C189" s="85">
        <v>68.0</v>
      </c>
      <c r="D189" s="85">
        <v>1.0</v>
      </c>
      <c r="E189" s="85">
        <v>1.0</v>
      </c>
      <c r="F189" s="85">
        <v>0.0</v>
      </c>
      <c r="G189" s="85">
        <v>0.0</v>
      </c>
      <c r="H189" s="85">
        <v>0.0</v>
      </c>
      <c r="I189" s="85">
        <v>0.0</v>
      </c>
      <c r="J189" s="85">
        <v>0.0</v>
      </c>
      <c r="K189" s="85">
        <v>0.0</v>
      </c>
      <c r="L189" s="85">
        <v>0.0</v>
      </c>
      <c r="M189" s="85">
        <v>0.0</v>
      </c>
      <c r="N189" s="85">
        <v>0.0</v>
      </c>
      <c r="O189" s="85">
        <v>0.0</v>
      </c>
      <c r="P189" s="62" t="b">
        <v>0</v>
      </c>
      <c r="Q189" s="62" t="b">
        <v>0</v>
      </c>
      <c r="R189" s="62" t="b">
        <v>1</v>
      </c>
      <c r="S189" s="85">
        <v>0.0</v>
      </c>
      <c r="T189" s="85">
        <v>0.0</v>
      </c>
      <c r="U189" s="85">
        <v>0.0</v>
      </c>
      <c r="V189" s="85">
        <v>0.0</v>
      </c>
      <c r="W189" s="85">
        <v>0.0</v>
      </c>
      <c r="X189" s="85">
        <v>0.0</v>
      </c>
      <c r="Y189" s="85">
        <v>1.0</v>
      </c>
      <c r="Z189" s="85">
        <v>1.0</v>
      </c>
      <c r="AA189" s="85">
        <v>0.0</v>
      </c>
      <c r="AB189" s="85">
        <v>0.0</v>
      </c>
      <c r="AC189" s="85">
        <v>5.0</v>
      </c>
      <c r="AD189" s="85">
        <v>5.0</v>
      </c>
      <c r="AE189" s="62" t="b">
        <v>0</v>
      </c>
      <c r="AF189" s="62" t="b">
        <v>0</v>
      </c>
      <c r="AG189" s="85">
        <v>3.0</v>
      </c>
      <c r="AH189" s="86">
        <v>0.0</v>
      </c>
      <c r="AI189" s="62" t="b">
        <v>0</v>
      </c>
      <c r="AJ189" s="84"/>
      <c r="AK189" s="80">
        <f t="shared" si="3"/>
        <v>24</v>
      </c>
      <c r="AL189" s="80">
        <f t="shared" si="4"/>
        <v>24</v>
      </c>
    </row>
    <row r="190">
      <c r="A190" s="84" t="s">
        <v>150</v>
      </c>
      <c r="B190" s="85">
        <v>5.0</v>
      </c>
      <c r="C190" s="85">
        <v>33.0</v>
      </c>
      <c r="D190" s="85">
        <v>1.0</v>
      </c>
      <c r="E190" s="85">
        <v>1.0</v>
      </c>
      <c r="F190" s="85">
        <v>0.0</v>
      </c>
      <c r="G190" s="85">
        <v>0.0</v>
      </c>
      <c r="H190" s="85">
        <v>0.0</v>
      </c>
      <c r="I190" s="85">
        <v>0.0</v>
      </c>
      <c r="J190" s="85">
        <v>1.0</v>
      </c>
      <c r="K190" s="85">
        <v>0.0</v>
      </c>
      <c r="L190" s="85">
        <v>1.0</v>
      </c>
      <c r="M190" s="85">
        <v>1.0</v>
      </c>
      <c r="N190" s="85">
        <v>0.0</v>
      </c>
      <c r="O190" s="85">
        <v>0.0</v>
      </c>
      <c r="P190" s="62" t="b">
        <v>0</v>
      </c>
      <c r="Q190" s="62" t="b">
        <v>0</v>
      </c>
      <c r="R190" s="62" t="b">
        <v>1</v>
      </c>
      <c r="S190" s="85">
        <v>2.0</v>
      </c>
      <c r="T190" s="85">
        <v>2.0</v>
      </c>
      <c r="U190" s="85">
        <v>1.0</v>
      </c>
      <c r="V190" s="85">
        <v>1.0</v>
      </c>
      <c r="W190" s="85">
        <v>0.0</v>
      </c>
      <c r="X190" s="85">
        <v>0.0</v>
      </c>
      <c r="Y190" s="85">
        <v>1.0</v>
      </c>
      <c r="Z190" s="85">
        <v>1.0</v>
      </c>
      <c r="AA190" s="85">
        <v>0.0</v>
      </c>
      <c r="AB190" s="85">
        <v>0.0</v>
      </c>
      <c r="AC190" s="85">
        <v>0.0</v>
      </c>
      <c r="AD190" s="85">
        <v>0.0</v>
      </c>
      <c r="AE190" s="62" t="b">
        <v>0</v>
      </c>
      <c r="AF190" s="62" t="b">
        <v>0</v>
      </c>
      <c r="AG190" s="85">
        <v>5.0</v>
      </c>
      <c r="AH190" s="86">
        <v>1.0</v>
      </c>
      <c r="AI190" s="62" t="b">
        <v>0</v>
      </c>
      <c r="AJ190" s="87" t="s">
        <v>486</v>
      </c>
      <c r="AK190" s="80">
        <f t="shared" si="3"/>
        <v>31</v>
      </c>
      <c r="AL190" s="80">
        <f t="shared" si="4"/>
        <v>31</v>
      </c>
    </row>
    <row r="191">
      <c r="A191" s="84" t="s">
        <v>102</v>
      </c>
      <c r="B191" s="85">
        <v>11.0</v>
      </c>
      <c r="C191" s="85">
        <v>33.0</v>
      </c>
      <c r="D191" s="85">
        <v>1.0</v>
      </c>
      <c r="E191" s="85">
        <v>1.0</v>
      </c>
      <c r="F191" s="85">
        <v>0.0</v>
      </c>
      <c r="G191" s="85">
        <v>0.0</v>
      </c>
      <c r="H191" s="85">
        <v>0.0</v>
      </c>
      <c r="I191" s="85">
        <v>0.0</v>
      </c>
      <c r="J191" s="85">
        <v>0.0</v>
      </c>
      <c r="K191" s="85">
        <v>0.0</v>
      </c>
      <c r="L191" s="85">
        <v>0.0</v>
      </c>
      <c r="M191" s="85">
        <v>0.0</v>
      </c>
      <c r="N191" s="85">
        <v>2.0</v>
      </c>
      <c r="O191" s="85">
        <v>2.0</v>
      </c>
      <c r="P191" s="62" t="b">
        <v>0</v>
      </c>
      <c r="Q191" s="62" t="b">
        <v>0</v>
      </c>
      <c r="R191" s="62" t="b">
        <v>1</v>
      </c>
      <c r="S191" s="85">
        <v>2.0</v>
      </c>
      <c r="T191" s="85">
        <v>2.0</v>
      </c>
      <c r="U191" s="85">
        <v>3.0</v>
      </c>
      <c r="V191" s="85">
        <v>3.0</v>
      </c>
      <c r="W191" s="85">
        <v>0.0</v>
      </c>
      <c r="X191" s="85">
        <v>0.0</v>
      </c>
      <c r="Y191" s="85">
        <v>0.0</v>
      </c>
      <c r="Z191" s="85">
        <v>0.0</v>
      </c>
      <c r="AA191" s="85">
        <v>0.0</v>
      </c>
      <c r="AB191" s="85">
        <v>0.0</v>
      </c>
      <c r="AC191" s="85">
        <v>1.0</v>
      </c>
      <c r="AD191" s="85">
        <v>1.0</v>
      </c>
      <c r="AE191" s="62" t="b">
        <v>0</v>
      </c>
      <c r="AF191" s="62" t="b">
        <v>0</v>
      </c>
      <c r="AG191" s="85">
        <v>5.0</v>
      </c>
      <c r="AH191" s="86">
        <v>1.0</v>
      </c>
      <c r="AI191" s="62" t="b">
        <v>0</v>
      </c>
      <c r="AJ191" s="84" t="s">
        <v>487</v>
      </c>
      <c r="AK191" s="80">
        <f t="shared" si="3"/>
        <v>36</v>
      </c>
      <c r="AL191" s="80">
        <f t="shared" si="4"/>
        <v>36</v>
      </c>
    </row>
    <row r="192">
      <c r="A192" s="84" t="s">
        <v>375</v>
      </c>
      <c r="B192" s="85">
        <v>25.0</v>
      </c>
      <c r="C192" s="85">
        <v>33.0</v>
      </c>
      <c r="D192" s="85">
        <v>0.0</v>
      </c>
      <c r="E192" s="85">
        <v>0.0</v>
      </c>
      <c r="F192" s="85">
        <v>0.0</v>
      </c>
      <c r="G192" s="85">
        <v>0.0</v>
      </c>
      <c r="H192" s="85">
        <v>0.0</v>
      </c>
      <c r="I192" s="85">
        <v>0.0</v>
      </c>
      <c r="J192" s="85">
        <v>1.0</v>
      </c>
      <c r="K192" s="85">
        <v>1.0</v>
      </c>
      <c r="L192" s="85">
        <v>0.0</v>
      </c>
      <c r="M192" s="85">
        <v>0.0</v>
      </c>
      <c r="N192" s="85">
        <v>0.0</v>
      </c>
      <c r="O192" s="85">
        <v>0.0</v>
      </c>
      <c r="P192" s="62" t="b">
        <v>0</v>
      </c>
      <c r="Q192" s="62" t="b">
        <v>0</v>
      </c>
      <c r="R192" s="62" t="b">
        <v>0</v>
      </c>
      <c r="S192" s="85">
        <v>4.0</v>
      </c>
      <c r="T192" s="85">
        <v>4.0</v>
      </c>
      <c r="U192" s="85">
        <v>2.0</v>
      </c>
      <c r="V192" s="85">
        <v>2.0</v>
      </c>
      <c r="W192" s="85">
        <v>0.0</v>
      </c>
      <c r="X192" s="85">
        <v>0.0</v>
      </c>
      <c r="Y192" s="85">
        <v>0.0</v>
      </c>
      <c r="Z192" s="85">
        <v>0.0</v>
      </c>
      <c r="AA192" s="85">
        <v>0.0</v>
      </c>
      <c r="AB192" s="85">
        <v>0.0</v>
      </c>
      <c r="AC192" s="85">
        <v>0.0</v>
      </c>
      <c r="AD192" s="85">
        <v>0.0</v>
      </c>
      <c r="AE192" s="62" t="b">
        <v>0</v>
      </c>
      <c r="AF192" s="62" t="b">
        <v>0</v>
      </c>
      <c r="AG192" s="85">
        <v>5.0</v>
      </c>
      <c r="AH192" s="85">
        <v>4.0</v>
      </c>
      <c r="AI192" s="62" t="b">
        <v>0</v>
      </c>
      <c r="AJ192" s="84"/>
      <c r="AK192" s="80">
        <f t="shared" si="3"/>
        <v>32</v>
      </c>
      <c r="AL192" s="80">
        <f t="shared" si="4"/>
        <v>32</v>
      </c>
    </row>
    <row r="193">
      <c r="A193" s="84" t="s">
        <v>391</v>
      </c>
      <c r="B193" s="85">
        <v>29.0</v>
      </c>
      <c r="C193" s="85">
        <v>33.0</v>
      </c>
      <c r="D193" s="85">
        <v>1.0</v>
      </c>
      <c r="E193" s="85">
        <v>1.0</v>
      </c>
      <c r="F193" s="85">
        <v>0.0</v>
      </c>
      <c r="G193" s="85">
        <v>0.0</v>
      </c>
      <c r="H193" s="85">
        <v>0.0</v>
      </c>
      <c r="I193" s="85">
        <v>0.0</v>
      </c>
      <c r="J193" s="85">
        <v>0.0</v>
      </c>
      <c r="K193" s="85">
        <v>0.0</v>
      </c>
      <c r="L193" s="85">
        <v>0.0</v>
      </c>
      <c r="M193" s="85">
        <v>0.0</v>
      </c>
      <c r="N193" s="85">
        <v>0.0</v>
      </c>
      <c r="O193" s="85">
        <v>0.0</v>
      </c>
      <c r="P193" s="62" t="b">
        <v>0</v>
      </c>
      <c r="Q193" s="62" t="b">
        <v>1</v>
      </c>
      <c r="R193" s="62" t="b">
        <v>1</v>
      </c>
      <c r="S193" s="85">
        <v>4.0</v>
      </c>
      <c r="T193" s="85">
        <v>4.0</v>
      </c>
      <c r="U193" s="85">
        <v>2.0</v>
      </c>
      <c r="V193" s="85">
        <v>2.0</v>
      </c>
      <c r="W193" s="85">
        <v>1.0</v>
      </c>
      <c r="X193" s="85">
        <v>1.0</v>
      </c>
      <c r="Y193" s="85">
        <v>0.0</v>
      </c>
      <c r="Z193" s="85">
        <v>0.0</v>
      </c>
      <c r="AA193" s="85">
        <v>0.0</v>
      </c>
      <c r="AB193" s="85">
        <v>0.0</v>
      </c>
      <c r="AC193" s="85">
        <v>0.0</v>
      </c>
      <c r="AD193" s="85">
        <v>0.0</v>
      </c>
      <c r="AE193" s="62" t="b">
        <v>0</v>
      </c>
      <c r="AF193" s="62" t="b">
        <v>1</v>
      </c>
      <c r="AG193" s="85">
        <v>4.0</v>
      </c>
      <c r="AH193" s="86">
        <v>0.0</v>
      </c>
      <c r="AI193" s="62" t="b">
        <v>0</v>
      </c>
      <c r="AJ193" s="84"/>
      <c r="AK193" s="80">
        <f t="shared" si="3"/>
        <v>37</v>
      </c>
      <c r="AL193" s="80">
        <f t="shared" si="4"/>
        <v>37</v>
      </c>
    </row>
    <row r="194">
      <c r="A194" s="84" t="s">
        <v>391</v>
      </c>
      <c r="B194" s="85">
        <v>5.0</v>
      </c>
      <c r="C194" s="85">
        <v>27.0</v>
      </c>
      <c r="D194" s="85">
        <v>0.0</v>
      </c>
      <c r="E194" s="85">
        <v>0.0</v>
      </c>
      <c r="F194" s="85">
        <v>0.0</v>
      </c>
      <c r="G194" s="85">
        <v>0.0</v>
      </c>
      <c r="H194" s="85">
        <v>1.0</v>
      </c>
      <c r="I194" s="85">
        <v>1.0</v>
      </c>
      <c r="J194" s="85">
        <v>0.0</v>
      </c>
      <c r="K194" s="85">
        <v>0.0</v>
      </c>
      <c r="L194" s="85">
        <v>0.0</v>
      </c>
      <c r="M194" s="85">
        <v>0.0</v>
      </c>
      <c r="N194" s="85">
        <v>1.0</v>
      </c>
      <c r="O194" s="85">
        <v>1.0</v>
      </c>
      <c r="P194" s="62" t="b">
        <v>0</v>
      </c>
      <c r="Q194" s="62" t="b">
        <v>0</v>
      </c>
      <c r="R194" s="62" t="b">
        <v>1</v>
      </c>
      <c r="S194" s="85">
        <v>1.0</v>
      </c>
      <c r="T194" s="85">
        <v>1.0</v>
      </c>
      <c r="U194" s="85">
        <v>0.0</v>
      </c>
      <c r="V194" s="85">
        <v>0.0</v>
      </c>
      <c r="W194" s="85">
        <v>1.0</v>
      </c>
      <c r="X194" s="85">
        <v>1.0</v>
      </c>
      <c r="Y194" s="85">
        <v>2.0</v>
      </c>
      <c r="Z194" s="85">
        <v>2.0</v>
      </c>
      <c r="AA194" s="85">
        <v>0.0</v>
      </c>
      <c r="AB194" s="85">
        <v>0.0</v>
      </c>
      <c r="AC194" s="85">
        <v>0.0</v>
      </c>
      <c r="AD194" s="85">
        <v>0.0</v>
      </c>
      <c r="AE194" s="62" t="b">
        <v>0</v>
      </c>
      <c r="AF194" s="62" t="b">
        <v>0</v>
      </c>
      <c r="AG194" s="85">
        <v>3.0</v>
      </c>
      <c r="AH194" s="86">
        <v>0.0</v>
      </c>
      <c r="AI194" s="62" t="b">
        <v>0</v>
      </c>
      <c r="AJ194" s="84"/>
      <c r="AK194" s="80">
        <f t="shared" si="3"/>
        <v>26</v>
      </c>
      <c r="AL194" s="80">
        <f t="shared" si="4"/>
        <v>26</v>
      </c>
    </row>
    <row r="195">
      <c r="A195" s="84" t="s">
        <v>377</v>
      </c>
      <c r="B195" s="85">
        <v>16.0</v>
      </c>
      <c r="C195" s="85">
        <v>27.0</v>
      </c>
      <c r="D195" s="85">
        <v>0.0</v>
      </c>
      <c r="E195" s="85">
        <v>0.0</v>
      </c>
      <c r="F195" s="85">
        <v>0.0</v>
      </c>
      <c r="G195" s="85">
        <v>0.0</v>
      </c>
      <c r="H195" s="85">
        <v>0.0</v>
      </c>
      <c r="I195" s="85">
        <v>0.0</v>
      </c>
      <c r="J195" s="85">
        <v>0.0</v>
      </c>
      <c r="K195" s="85">
        <v>0.0</v>
      </c>
      <c r="L195" s="85">
        <v>0.0</v>
      </c>
      <c r="M195" s="85">
        <v>0.0</v>
      </c>
      <c r="N195" s="85">
        <v>3.0</v>
      </c>
      <c r="O195" s="85">
        <v>2.0</v>
      </c>
      <c r="P195" s="62" t="b">
        <v>0</v>
      </c>
      <c r="Q195" s="62" t="b">
        <v>0</v>
      </c>
      <c r="R195" s="62" t="b">
        <v>1</v>
      </c>
      <c r="S195" s="85">
        <v>2.0</v>
      </c>
      <c r="T195" s="85">
        <v>2.0</v>
      </c>
      <c r="U195" s="85">
        <v>1.0</v>
      </c>
      <c r="V195" s="85">
        <v>1.0</v>
      </c>
      <c r="W195" s="85">
        <v>0.0</v>
      </c>
      <c r="X195" s="85">
        <v>0.0</v>
      </c>
      <c r="Y195" s="85">
        <v>1.0</v>
      </c>
      <c r="Z195" s="85">
        <v>1.0</v>
      </c>
      <c r="AA195" s="85">
        <v>0.0</v>
      </c>
      <c r="AB195" s="85">
        <v>0.0</v>
      </c>
      <c r="AC195" s="85">
        <v>0.0</v>
      </c>
      <c r="AD195" s="85">
        <v>0.0</v>
      </c>
      <c r="AE195" s="62" t="b">
        <v>0</v>
      </c>
      <c r="AF195" s="62" t="b">
        <v>0</v>
      </c>
      <c r="AG195" s="85">
        <v>2.0</v>
      </c>
      <c r="AH195" s="86">
        <v>1.0</v>
      </c>
      <c r="AI195" s="62" t="b">
        <v>0</v>
      </c>
      <c r="AJ195" s="84" t="s">
        <v>488</v>
      </c>
      <c r="AK195" s="80">
        <f t="shared" si="3"/>
        <v>27</v>
      </c>
      <c r="AL195" s="80">
        <f t="shared" si="4"/>
        <v>27</v>
      </c>
    </row>
    <row r="196">
      <c r="A196" s="84" t="s">
        <v>351</v>
      </c>
      <c r="B196" s="85">
        <v>22.0</v>
      </c>
      <c r="C196" s="85">
        <v>27.0</v>
      </c>
      <c r="D196" s="85">
        <v>1.0</v>
      </c>
      <c r="E196" s="85">
        <v>1.0</v>
      </c>
      <c r="F196" s="85">
        <v>0.0</v>
      </c>
      <c r="G196" s="85">
        <v>0.0</v>
      </c>
      <c r="H196" s="85">
        <v>0.0</v>
      </c>
      <c r="I196" s="85">
        <v>0.0</v>
      </c>
      <c r="J196" s="85">
        <v>0.0</v>
      </c>
      <c r="K196" s="85">
        <v>0.0</v>
      </c>
      <c r="L196" s="85">
        <v>0.0</v>
      </c>
      <c r="M196" s="85">
        <v>0.0</v>
      </c>
      <c r="N196" s="85">
        <v>0.0</v>
      </c>
      <c r="O196" s="85">
        <v>0.0</v>
      </c>
      <c r="P196" s="62" t="b">
        <v>1</v>
      </c>
      <c r="Q196" s="62" t="b">
        <v>0</v>
      </c>
      <c r="R196" s="62" t="b">
        <v>1</v>
      </c>
      <c r="S196" s="85">
        <v>1.0</v>
      </c>
      <c r="T196" s="85">
        <v>1.0</v>
      </c>
      <c r="U196" s="85">
        <v>2.0</v>
      </c>
      <c r="V196" s="85">
        <v>2.0</v>
      </c>
      <c r="W196" s="85">
        <v>0.0</v>
      </c>
      <c r="X196" s="85">
        <v>0.0</v>
      </c>
      <c r="Y196" s="85">
        <v>1.0</v>
      </c>
      <c r="Z196" s="85">
        <v>1.0</v>
      </c>
      <c r="AA196" s="85">
        <v>2.0</v>
      </c>
      <c r="AB196" s="85">
        <v>2.0</v>
      </c>
      <c r="AC196" s="85">
        <v>1.0</v>
      </c>
      <c r="AD196" s="85">
        <v>1.0</v>
      </c>
      <c r="AE196" s="62" t="b">
        <v>1</v>
      </c>
      <c r="AF196" s="62" t="b">
        <v>0</v>
      </c>
      <c r="AG196" s="85">
        <v>4.0</v>
      </c>
      <c r="AH196" s="86">
        <v>1.0</v>
      </c>
      <c r="AI196" s="62" t="b">
        <v>0</v>
      </c>
      <c r="AJ196" s="87" t="s">
        <v>489</v>
      </c>
      <c r="AK196" s="80">
        <f t="shared" si="3"/>
        <v>47</v>
      </c>
      <c r="AL196" s="80">
        <f t="shared" si="4"/>
        <v>33</v>
      </c>
    </row>
    <row r="197">
      <c r="A197" s="84" t="s">
        <v>365</v>
      </c>
      <c r="B197" s="85">
        <v>27.0</v>
      </c>
      <c r="C197" s="85">
        <v>27.0</v>
      </c>
      <c r="D197" s="85">
        <v>0.0</v>
      </c>
      <c r="E197" s="85">
        <v>0.0</v>
      </c>
      <c r="F197" s="85">
        <v>0.0</v>
      </c>
      <c r="G197" s="85">
        <v>0.0</v>
      </c>
      <c r="H197" s="85">
        <v>0.0</v>
      </c>
      <c r="I197" s="85">
        <v>0.0</v>
      </c>
      <c r="J197" s="85">
        <v>0.0</v>
      </c>
      <c r="K197" s="85">
        <v>0.0</v>
      </c>
      <c r="L197" s="85">
        <v>0.0</v>
      </c>
      <c r="M197" s="85">
        <v>0.0</v>
      </c>
      <c r="N197" s="85">
        <v>2.0</v>
      </c>
      <c r="O197" s="85">
        <v>2.0</v>
      </c>
      <c r="P197" s="62" t="b">
        <v>0</v>
      </c>
      <c r="Q197" s="62" t="b">
        <v>0</v>
      </c>
      <c r="R197" s="62" t="b">
        <v>1</v>
      </c>
      <c r="S197" s="85">
        <v>1.0</v>
      </c>
      <c r="T197" s="85">
        <v>1.0</v>
      </c>
      <c r="U197" s="85">
        <v>0.0</v>
      </c>
      <c r="V197" s="85">
        <v>0.0</v>
      </c>
      <c r="W197" s="85">
        <v>0.0</v>
      </c>
      <c r="X197" s="85">
        <v>0.0</v>
      </c>
      <c r="Y197" s="85">
        <v>0.0</v>
      </c>
      <c r="Z197" s="85">
        <v>0.0</v>
      </c>
      <c r="AA197" s="85">
        <v>1.0</v>
      </c>
      <c r="AB197" s="85">
        <v>1.0</v>
      </c>
      <c r="AC197" s="85">
        <v>0.0</v>
      </c>
      <c r="AD197" s="85">
        <v>0.0</v>
      </c>
      <c r="AE197" s="62" t="b">
        <v>0</v>
      </c>
      <c r="AF197" s="62" t="b">
        <v>0</v>
      </c>
      <c r="AG197" s="85">
        <v>2.0</v>
      </c>
      <c r="AH197" s="86">
        <v>0.0</v>
      </c>
      <c r="AI197" s="62" t="b">
        <v>0</v>
      </c>
      <c r="AJ197" s="84"/>
      <c r="AK197" s="80">
        <f t="shared" si="3"/>
        <v>17</v>
      </c>
      <c r="AL197" s="80">
        <f t="shared" si="4"/>
        <v>17</v>
      </c>
    </row>
    <row r="198">
      <c r="A198" s="84" t="s">
        <v>371</v>
      </c>
      <c r="B198" s="85">
        <v>32.0</v>
      </c>
      <c r="C198" s="85">
        <v>27.0</v>
      </c>
      <c r="D198" s="85">
        <v>1.0</v>
      </c>
      <c r="E198" s="85">
        <v>1.0</v>
      </c>
      <c r="F198" s="85">
        <v>0.0</v>
      </c>
      <c r="G198" s="85">
        <v>0.0</v>
      </c>
      <c r="H198" s="85">
        <v>0.0</v>
      </c>
      <c r="I198" s="85">
        <v>0.0</v>
      </c>
      <c r="J198" s="85">
        <v>0.0</v>
      </c>
      <c r="K198" s="85">
        <v>0.0</v>
      </c>
      <c r="L198" s="85">
        <v>0.0</v>
      </c>
      <c r="M198" s="85">
        <v>0.0</v>
      </c>
      <c r="N198" s="85">
        <v>0.0</v>
      </c>
      <c r="O198" s="85">
        <v>0.0</v>
      </c>
      <c r="P198" s="62" t="b">
        <v>1</v>
      </c>
      <c r="Q198" s="62" t="b">
        <v>0</v>
      </c>
      <c r="R198" s="62" t="b">
        <v>0</v>
      </c>
      <c r="S198" s="85">
        <v>1.0</v>
      </c>
      <c r="T198" s="85">
        <v>1.0</v>
      </c>
      <c r="U198" s="85">
        <v>0.0</v>
      </c>
      <c r="V198" s="85">
        <v>0.0</v>
      </c>
      <c r="W198" s="85">
        <v>1.0</v>
      </c>
      <c r="X198" s="85">
        <v>1.0</v>
      </c>
      <c r="Y198" s="85">
        <v>0.0</v>
      </c>
      <c r="Z198" s="85">
        <v>0.0</v>
      </c>
      <c r="AA198" s="85">
        <v>0.0</v>
      </c>
      <c r="AB198" s="85">
        <v>0.0</v>
      </c>
      <c r="AC198" s="85">
        <v>2.0</v>
      </c>
      <c r="AD198" s="85">
        <v>2.0</v>
      </c>
      <c r="AE198" s="62" t="b">
        <v>1</v>
      </c>
      <c r="AF198" s="62" t="b">
        <v>0</v>
      </c>
      <c r="AG198" s="85">
        <v>3.0</v>
      </c>
      <c r="AH198" s="85">
        <v>0.0</v>
      </c>
      <c r="AI198" s="62" t="b">
        <v>0</v>
      </c>
      <c r="AJ198" s="87" t="s">
        <v>490</v>
      </c>
      <c r="AK198" s="80">
        <f t="shared" si="3"/>
        <v>31</v>
      </c>
      <c r="AL198" s="80">
        <f t="shared" si="4"/>
        <v>17</v>
      </c>
    </row>
    <row r="199">
      <c r="A199" s="84"/>
      <c r="B199" s="84"/>
      <c r="C199" s="84"/>
      <c r="D199" s="85">
        <v>0.0</v>
      </c>
      <c r="E199" s="85">
        <v>0.0</v>
      </c>
      <c r="F199" s="85">
        <v>0.0</v>
      </c>
      <c r="G199" s="85">
        <v>0.0</v>
      </c>
      <c r="H199" s="85">
        <v>0.0</v>
      </c>
      <c r="I199" s="85">
        <v>0.0</v>
      </c>
      <c r="J199" s="85">
        <v>1.0</v>
      </c>
      <c r="K199" s="85">
        <v>1.0</v>
      </c>
      <c r="L199" s="85">
        <v>0.0</v>
      </c>
      <c r="M199" s="85">
        <v>0.0</v>
      </c>
      <c r="N199" s="85">
        <v>0.0</v>
      </c>
      <c r="O199" s="85">
        <v>0.0</v>
      </c>
      <c r="P199" s="62" t="b">
        <v>0</v>
      </c>
      <c r="Q199" s="62" t="b">
        <v>0</v>
      </c>
      <c r="R199" s="62" t="b">
        <v>1</v>
      </c>
      <c r="S199" s="85">
        <v>2.0</v>
      </c>
      <c r="T199" s="85">
        <v>2.0</v>
      </c>
      <c r="U199" s="85">
        <v>2.0</v>
      </c>
      <c r="V199" s="85">
        <v>2.0</v>
      </c>
      <c r="W199" s="85">
        <v>1.0</v>
      </c>
      <c r="X199" s="85">
        <v>1.0</v>
      </c>
      <c r="Y199" s="85">
        <v>0.0</v>
      </c>
      <c r="Z199" s="85">
        <v>0.0</v>
      </c>
      <c r="AA199" s="85">
        <v>0.0</v>
      </c>
      <c r="AB199" s="85">
        <v>0.0</v>
      </c>
      <c r="AC199" s="85">
        <v>0.0</v>
      </c>
      <c r="AD199" s="85">
        <v>0.0</v>
      </c>
      <c r="AE199" s="62" t="b">
        <v>0</v>
      </c>
      <c r="AF199" s="62" t="b">
        <v>0</v>
      </c>
      <c r="AG199" s="85">
        <v>0.0</v>
      </c>
      <c r="AH199" s="85">
        <v>0.0</v>
      </c>
      <c r="AI199" s="62" t="b">
        <v>0</v>
      </c>
      <c r="AJ199" s="84"/>
      <c r="AK199" s="80">
        <f t="shared" si="3"/>
        <v>27</v>
      </c>
      <c r="AL199" s="80">
        <f t="shared" si="4"/>
        <v>27</v>
      </c>
    </row>
    <row r="200">
      <c r="A200" s="84"/>
      <c r="B200" s="84"/>
      <c r="C200" s="84"/>
      <c r="D200" s="85">
        <v>1.0</v>
      </c>
      <c r="E200" s="85">
        <v>1.0</v>
      </c>
      <c r="F200" s="85">
        <v>0.0</v>
      </c>
      <c r="G200" s="85">
        <v>0.0</v>
      </c>
      <c r="H200" s="85">
        <v>0.0</v>
      </c>
      <c r="I200" s="85">
        <v>0.0</v>
      </c>
      <c r="J200" s="85">
        <v>3.0</v>
      </c>
      <c r="K200" s="85">
        <v>2.0</v>
      </c>
      <c r="L200" s="85">
        <v>1.0</v>
      </c>
      <c r="M200" s="85">
        <v>0.0</v>
      </c>
      <c r="N200" s="85">
        <v>0.0</v>
      </c>
      <c r="O200" s="85">
        <v>0.0</v>
      </c>
      <c r="P200" s="62" t="b">
        <v>0</v>
      </c>
      <c r="Q200" s="62" t="b">
        <v>0</v>
      </c>
      <c r="R200" s="62" t="b">
        <v>0</v>
      </c>
      <c r="S200" s="85">
        <v>0.0</v>
      </c>
      <c r="T200" s="85">
        <v>0.0</v>
      </c>
      <c r="U200" s="85">
        <v>0.0</v>
      </c>
      <c r="V200" s="85">
        <v>0.0</v>
      </c>
      <c r="W200" s="85">
        <v>0.0</v>
      </c>
      <c r="X200" s="85">
        <v>0.0</v>
      </c>
      <c r="Y200" s="85">
        <v>0.0</v>
      </c>
      <c r="Z200" s="85">
        <v>0.0</v>
      </c>
      <c r="AA200" s="85">
        <v>0.0</v>
      </c>
      <c r="AB200" s="85">
        <v>0.0</v>
      </c>
      <c r="AC200" s="85">
        <v>0.0</v>
      </c>
      <c r="AD200" s="85">
        <v>0.0</v>
      </c>
      <c r="AE200" s="62" t="b">
        <v>0</v>
      </c>
      <c r="AF200" s="62" t="b">
        <v>0</v>
      </c>
      <c r="AG200" s="85">
        <v>0.0</v>
      </c>
      <c r="AH200" s="86">
        <v>0.0</v>
      </c>
      <c r="AI200" s="62" t="b">
        <v>0</v>
      </c>
      <c r="AJ200" s="84"/>
      <c r="AK200" s="80">
        <f t="shared" si="3"/>
        <v>18</v>
      </c>
      <c r="AL200" s="80">
        <f t="shared" si="4"/>
        <v>18</v>
      </c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91"/>
      <c r="AI201" s="84"/>
      <c r="AJ201" s="84"/>
      <c r="AK201" s="80">
        <f t="shared" si="3"/>
        <v>0</v>
      </c>
      <c r="AL201" s="80">
        <f t="shared" si="4"/>
        <v>0</v>
      </c>
    </row>
    <row r="202">
      <c r="D202" s="51">
        <v>0.0</v>
      </c>
      <c r="E202" s="51">
        <v>0.0</v>
      </c>
      <c r="F202" s="51">
        <v>0.0</v>
      </c>
      <c r="G202" s="51">
        <v>0.0</v>
      </c>
      <c r="H202" s="51">
        <v>0.0</v>
      </c>
      <c r="I202" s="51">
        <v>0.0</v>
      </c>
      <c r="J202" s="51">
        <v>0.0</v>
      </c>
      <c r="K202" s="51">
        <v>0.0</v>
      </c>
      <c r="L202" s="51">
        <v>0.0</v>
      </c>
      <c r="M202" s="51">
        <v>0.0</v>
      </c>
      <c r="N202" s="51">
        <v>0.0</v>
      </c>
      <c r="O202" s="51">
        <v>0.0</v>
      </c>
      <c r="P202" s="51" t="b">
        <v>0</v>
      </c>
      <c r="Q202" s="51" t="b">
        <v>0</v>
      </c>
      <c r="R202" s="51" t="b">
        <v>0</v>
      </c>
      <c r="S202" s="51">
        <v>0.0</v>
      </c>
      <c r="T202" s="51">
        <v>0.0</v>
      </c>
      <c r="U202" s="51">
        <v>0.0</v>
      </c>
      <c r="V202" s="51">
        <v>0.0</v>
      </c>
      <c r="W202" s="51">
        <v>0.0</v>
      </c>
      <c r="X202" s="51">
        <v>0.0</v>
      </c>
      <c r="Y202" s="51">
        <v>0.0</v>
      </c>
      <c r="Z202" s="51">
        <v>0.0</v>
      </c>
      <c r="AA202" s="51">
        <v>0.0</v>
      </c>
      <c r="AB202" s="51">
        <v>0.0</v>
      </c>
      <c r="AC202" s="51">
        <v>0.0</v>
      </c>
      <c r="AD202" s="51">
        <v>0.0</v>
      </c>
      <c r="AE202" s="51" t="b">
        <v>0</v>
      </c>
      <c r="AF202" s="51" t="b">
        <v>0</v>
      </c>
      <c r="AG202" s="51">
        <v>0.0</v>
      </c>
      <c r="AH202" s="51">
        <v>0.0</v>
      </c>
      <c r="AI202" s="51" t="b">
        <v>0</v>
      </c>
    </row>
    <row r="404">
      <c r="AH404" s="81"/>
    </row>
    <row r="405">
      <c r="AH405" s="81"/>
    </row>
    <row r="406">
      <c r="AH406" s="81"/>
    </row>
    <row r="407">
      <c r="AH407" s="81"/>
    </row>
    <row r="408">
      <c r="AH408" s="81"/>
    </row>
    <row r="409">
      <c r="AH409" s="81"/>
    </row>
    <row r="410">
      <c r="AH410" s="81"/>
    </row>
    <row r="411">
      <c r="AH411" s="81"/>
    </row>
    <row r="412">
      <c r="AH412" s="81"/>
    </row>
    <row r="413">
      <c r="AH413" s="81"/>
    </row>
    <row r="414">
      <c r="AH414" s="81"/>
    </row>
    <row r="415">
      <c r="AH415" s="81"/>
    </row>
    <row r="416">
      <c r="AH416" s="81"/>
    </row>
    <row r="417">
      <c r="AH417" s="81"/>
    </row>
    <row r="418">
      <c r="AH418" s="81"/>
    </row>
    <row r="419">
      <c r="AH419" s="81"/>
    </row>
    <row r="420">
      <c r="AH420" s="81"/>
    </row>
    <row r="421">
      <c r="AH421" s="81"/>
    </row>
    <row r="422">
      <c r="AH422" s="81"/>
    </row>
    <row r="423">
      <c r="AH423" s="81"/>
    </row>
    <row r="424">
      <c r="AH424" s="81"/>
    </row>
    <row r="425">
      <c r="AH425" s="81"/>
    </row>
    <row r="426">
      <c r="AH426" s="81"/>
    </row>
    <row r="427">
      <c r="AH427" s="81"/>
    </row>
    <row r="428">
      <c r="AH428" s="81"/>
    </row>
    <row r="429">
      <c r="AH429" s="81"/>
    </row>
    <row r="430">
      <c r="AH430" s="81"/>
    </row>
    <row r="431">
      <c r="AH431" s="81"/>
    </row>
    <row r="432">
      <c r="AH432" s="81"/>
    </row>
    <row r="433">
      <c r="AH433" s="81"/>
    </row>
    <row r="434">
      <c r="AH434" s="81"/>
    </row>
    <row r="435">
      <c r="AH435" s="81"/>
    </row>
    <row r="436">
      <c r="AH436" s="81"/>
    </row>
    <row r="437">
      <c r="AH437" s="81"/>
    </row>
    <row r="438">
      <c r="AH438" s="81"/>
    </row>
    <row r="439">
      <c r="AH439" s="81"/>
    </row>
    <row r="440">
      <c r="AH440" s="81"/>
    </row>
    <row r="441">
      <c r="AH441" s="81"/>
    </row>
    <row r="442">
      <c r="AH442" s="81"/>
    </row>
    <row r="443">
      <c r="AH443" s="81"/>
    </row>
    <row r="444">
      <c r="AH444" s="81"/>
    </row>
    <row r="445">
      <c r="AH445" s="81"/>
    </row>
    <row r="446">
      <c r="AH446" s="81"/>
    </row>
    <row r="447">
      <c r="AH447" s="81"/>
    </row>
    <row r="448">
      <c r="AH448" s="81"/>
    </row>
    <row r="449">
      <c r="AH449" s="81"/>
    </row>
    <row r="450">
      <c r="AH450" s="81"/>
    </row>
    <row r="451">
      <c r="AH451" s="81"/>
    </row>
    <row r="452">
      <c r="AH452" s="81"/>
    </row>
    <row r="453">
      <c r="AH453" s="81"/>
    </row>
    <row r="454">
      <c r="AH454" s="81"/>
    </row>
    <row r="455">
      <c r="AH455" s="81"/>
    </row>
    <row r="456">
      <c r="AH456" s="81"/>
    </row>
    <row r="457">
      <c r="AH457" s="81"/>
    </row>
    <row r="458">
      <c r="AH458" s="81"/>
    </row>
    <row r="459">
      <c r="AH459" s="81"/>
    </row>
    <row r="460">
      <c r="AH460" s="81"/>
    </row>
    <row r="461">
      <c r="AH461" s="81"/>
    </row>
    <row r="462">
      <c r="AH462" s="81"/>
    </row>
    <row r="463">
      <c r="AH463" s="81"/>
    </row>
    <row r="464">
      <c r="AH464" s="81"/>
    </row>
    <row r="465">
      <c r="AH465" s="81"/>
    </row>
    <row r="466">
      <c r="AH466" s="81"/>
    </row>
    <row r="467">
      <c r="AH467" s="81"/>
    </row>
    <row r="468">
      <c r="AH468" s="81"/>
    </row>
    <row r="469">
      <c r="AH469" s="81"/>
    </row>
    <row r="470">
      <c r="AH470" s="81"/>
    </row>
    <row r="471">
      <c r="AH471" s="81"/>
    </row>
    <row r="472">
      <c r="AH472" s="81"/>
    </row>
    <row r="473">
      <c r="AH473" s="81"/>
    </row>
    <row r="474">
      <c r="AH474" s="81"/>
    </row>
    <row r="475">
      <c r="AH475" s="81"/>
    </row>
    <row r="476">
      <c r="AH476" s="81"/>
    </row>
    <row r="477">
      <c r="AH477" s="81"/>
    </row>
    <row r="478">
      <c r="AH478" s="81"/>
    </row>
    <row r="479">
      <c r="AH479" s="81"/>
    </row>
    <row r="480">
      <c r="AH480" s="81"/>
    </row>
    <row r="481">
      <c r="AH481" s="81"/>
    </row>
    <row r="482">
      <c r="AH482" s="81"/>
    </row>
    <row r="483">
      <c r="AH483" s="81"/>
    </row>
    <row r="484">
      <c r="AH484" s="81"/>
    </row>
    <row r="485">
      <c r="AH485" s="81"/>
    </row>
    <row r="486">
      <c r="AH486" s="81"/>
    </row>
    <row r="487">
      <c r="AH487" s="81"/>
    </row>
    <row r="488">
      <c r="AH488" s="81"/>
    </row>
    <row r="489">
      <c r="AH489" s="81"/>
    </row>
    <row r="490">
      <c r="AH490" s="81"/>
    </row>
    <row r="491">
      <c r="AH491" s="81"/>
    </row>
    <row r="492">
      <c r="AH492" s="81"/>
    </row>
    <row r="493">
      <c r="AH493" s="81"/>
    </row>
    <row r="494">
      <c r="AH494" s="81"/>
    </row>
    <row r="495">
      <c r="AH495" s="81"/>
    </row>
    <row r="496">
      <c r="AH496" s="81"/>
    </row>
    <row r="497">
      <c r="AH497" s="81"/>
    </row>
    <row r="498">
      <c r="AH498" s="81"/>
    </row>
    <row r="499">
      <c r="AH499" s="81"/>
    </row>
    <row r="500">
      <c r="AH500" s="81"/>
    </row>
    <row r="501">
      <c r="AH501" s="81"/>
    </row>
    <row r="502">
      <c r="AH502" s="81"/>
    </row>
    <row r="503">
      <c r="AH503" s="81"/>
    </row>
    <row r="504">
      <c r="AH504" s="81"/>
    </row>
    <row r="505">
      <c r="AH505" s="81"/>
    </row>
    <row r="506">
      <c r="AH506" s="81"/>
    </row>
    <row r="507">
      <c r="AH507" s="81"/>
    </row>
    <row r="508">
      <c r="AH508" s="81"/>
    </row>
    <row r="509">
      <c r="AH509" s="81"/>
    </row>
    <row r="510">
      <c r="AH510" s="81"/>
    </row>
    <row r="511">
      <c r="AH511" s="81"/>
    </row>
    <row r="512">
      <c r="AH512" s="81"/>
    </row>
    <row r="513">
      <c r="AH513" s="81"/>
    </row>
    <row r="514">
      <c r="AH514" s="81"/>
    </row>
    <row r="515">
      <c r="AH515" s="81"/>
    </row>
    <row r="516">
      <c r="AH516" s="81"/>
    </row>
    <row r="517">
      <c r="AH517" s="81"/>
    </row>
    <row r="518">
      <c r="AH518" s="81"/>
    </row>
    <row r="519">
      <c r="AH519" s="81"/>
    </row>
    <row r="520">
      <c r="AH520" s="81"/>
    </row>
    <row r="521">
      <c r="AH521" s="81"/>
    </row>
    <row r="522">
      <c r="AH522" s="81"/>
    </row>
    <row r="523">
      <c r="AH523" s="81"/>
    </row>
    <row r="524">
      <c r="AH524" s="81"/>
    </row>
    <row r="525">
      <c r="AH525" s="81"/>
    </row>
    <row r="526">
      <c r="AH526" s="81"/>
    </row>
    <row r="527">
      <c r="AH527" s="81"/>
    </row>
    <row r="528">
      <c r="AH528" s="81"/>
    </row>
    <row r="529">
      <c r="AH529" s="81"/>
    </row>
    <row r="530">
      <c r="AH530" s="81"/>
    </row>
    <row r="531">
      <c r="AH531" s="81"/>
    </row>
    <row r="532">
      <c r="AH532" s="81"/>
    </row>
    <row r="533">
      <c r="AH533" s="81"/>
    </row>
    <row r="534">
      <c r="AH534" s="81"/>
    </row>
    <row r="535">
      <c r="AH535" s="81"/>
    </row>
    <row r="536">
      <c r="AH536" s="81"/>
    </row>
    <row r="537">
      <c r="AH537" s="81"/>
    </row>
    <row r="538">
      <c r="AH538" s="81"/>
    </row>
    <row r="539">
      <c r="AH539" s="81"/>
    </row>
    <row r="540">
      <c r="AH540" s="81"/>
    </row>
    <row r="541">
      <c r="AH541" s="81"/>
    </row>
    <row r="542">
      <c r="AH542" s="81"/>
    </row>
    <row r="543">
      <c r="AH543" s="81"/>
    </row>
    <row r="544">
      <c r="AH544" s="81"/>
    </row>
    <row r="545">
      <c r="AH545" s="81"/>
    </row>
    <row r="546">
      <c r="AH546" s="81"/>
    </row>
    <row r="547">
      <c r="AH547" s="81"/>
    </row>
    <row r="548">
      <c r="AH548" s="81"/>
    </row>
    <row r="549">
      <c r="AH549" s="81"/>
    </row>
    <row r="550">
      <c r="AH550" s="81"/>
    </row>
    <row r="551">
      <c r="AH551" s="81"/>
    </row>
    <row r="552">
      <c r="AH552" s="81"/>
    </row>
    <row r="553">
      <c r="AH553" s="81"/>
    </row>
    <row r="554">
      <c r="AH554" s="81"/>
    </row>
    <row r="555">
      <c r="AH555" s="81"/>
    </row>
    <row r="556">
      <c r="AH556" s="81"/>
    </row>
    <row r="557">
      <c r="AH557" s="81"/>
    </row>
    <row r="558">
      <c r="AH558" s="81"/>
    </row>
    <row r="559">
      <c r="AH559" s="81"/>
    </row>
    <row r="560">
      <c r="AH560" s="81"/>
    </row>
    <row r="561">
      <c r="AH561" s="81"/>
    </row>
    <row r="562">
      <c r="AH562" s="81"/>
    </row>
    <row r="563">
      <c r="AH563" s="81"/>
    </row>
    <row r="564">
      <c r="AH564" s="81"/>
    </row>
    <row r="565">
      <c r="AH565" s="81"/>
    </row>
    <row r="566">
      <c r="AH566" s="81"/>
    </row>
    <row r="567">
      <c r="AH567" s="81"/>
    </row>
    <row r="568">
      <c r="AH568" s="81"/>
    </row>
    <row r="569">
      <c r="AH569" s="81"/>
    </row>
    <row r="570">
      <c r="AH570" s="81"/>
    </row>
    <row r="571">
      <c r="AH571" s="81"/>
    </row>
    <row r="572">
      <c r="AH572" s="81"/>
    </row>
    <row r="573">
      <c r="AH573" s="81"/>
    </row>
    <row r="574">
      <c r="AH574" s="81"/>
    </row>
    <row r="575">
      <c r="AH575" s="81"/>
    </row>
    <row r="576">
      <c r="AH576" s="81"/>
    </row>
    <row r="577">
      <c r="AH577" s="81"/>
    </row>
    <row r="578">
      <c r="AH578" s="81"/>
    </row>
    <row r="579">
      <c r="AH579" s="81"/>
    </row>
    <row r="580">
      <c r="AH580" s="81"/>
    </row>
    <row r="581">
      <c r="AH581" s="81"/>
    </row>
    <row r="582">
      <c r="AH582" s="81"/>
    </row>
    <row r="583">
      <c r="AH583" s="81"/>
    </row>
    <row r="584">
      <c r="AH584" s="81"/>
    </row>
    <row r="585">
      <c r="AH585" s="81"/>
    </row>
    <row r="586">
      <c r="AH586" s="81"/>
    </row>
    <row r="587">
      <c r="AH587" s="81"/>
    </row>
    <row r="588">
      <c r="AH588" s="81"/>
    </row>
    <row r="589">
      <c r="AH589" s="81"/>
    </row>
    <row r="590">
      <c r="AH590" s="81"/>
    </row>
    <row r="591">
      <c r="AH591" s="81"/>
    </row>
    <row r="592">
      <c r="AH592" s="81"/>
    </row>
    <row r="593">
      <c r="AH593" s="81"/>
    </row>
    <row r="594">
      <c r="AH594" s="81"/>
    </row>
    <row r="595">
      <c r="AH595" s="81"/>
    </row>
    <row r="596">
      <c r="AH596" s="81"/>
    </row>
    <row r="597">
      <c r="AH597" s="81"/>
    </row>
    <row r="598">
      <c r="AH598" s="81"/>
    </row>
    <row r="599">
      <c r="AH599" s="81"/>
    </row>
    <row r="600">
      <c r="AH600" s="81"/>
    </row>
    <row r="601">
      <c r="AH601" s="81"/>
    </row>
    <row r="602">
      <c r="AH602" s="81"/>
    </row>
    <row r="603">
      <c r="AH603" s="81"/>
    </row>
    <row r="604">
      <c r="AH604" s="81"/>
    </row>
    <row r="605">
      <c r="AH605" s="81"/>
    </row>
    <row r="606">
      <c r="AH606" s="81"/>
    </row>
    <row r="607">
      <c r="AH607" s="81"/>
    </row>
    <row r="608">
      <c r="AH608" s="81"/>
    </row>
    <row r="609">
      <c r="AH609" s="81"/>
    </row>
    <row r="610">
      <c r="AH610" s="81"/>
    </row>
    <row r="611">
      <c r="AH611" s="81"/>
    </row>
    <row r="612">
      <c r="AH612" s="81"/>
    </row>
    <row r="613">
      <c r="AH613" s="81"/>
    </row>
    <row r="614">
      <c r="AH614" s="81"/>
    </row>
    <row r="615">
      <c r="AH615" s="81"/>
    </row>
    <row r="616">
      <c r="AH616" s="81"/>
    </row>
    <row r="617">
      <c r="AH617" s="81"/>
    </row>
    <row r="618">
      <c r="AH618" s="81"/>
    </row>
    <row r="619">
      <c r="AH619" s="81"/>
    </row>
    <row r="620">
      <c r="AH620" s="81"/>
    </row>
    <row r="621">
      <c r="AH621" s="81"/>
    </row>
    <row r="622">
      <c r="AH622" s="81"/>
    </row>
    <row r="623">
      <c r="AH623" s="81"/>
    </row>
    <row r="624">
      <c r="AH624" s="81"/>
    </row>
    <row r="625">
      <c r="AH625" s="81"/>
    </row>
    <row r="626">
      <c r="AH626" s="81"/>
    </row>
    <row r="627">
      <c r="AH627" s="81"/>
    </row>
    <row r="628">
      <c r="AH628" s="81"/>
    </row>
    <row r="629">
      <c r="AH629" s="81"/>
    </row>
    <row r="630">
      <c r="AH630" s="81"/>
    </row>
    <row r="631">
      <c r="AH631" s="81"/>
    </row>
    <row r="632">
      <c r="AH632" s="81"/>
    </row>
    <row r="633">
      <c r="AH633" s="81"/>
    </row>
    <row r="634">
      <c r="AH634" s="81"/>
    </row>
    <row r="635">
      <c r="AH635" s="81"/>
    </row>
    <row r="636">
      <c r="AH636" s="81"/>
    </row>
    <row r="637">
      <c r="AH637" s="81"/>
    </row>
    <row r="638">
      <c r="AH638" s="81"/>
    </row>
    <row r="639">
      <c r="AH639" s="81"/>
    </row>
    <row r="640">
      <c r="AH640" s="81"/>
    </row>
    <row r="641">
      <c r="AH641" s="81"/>
    </row>
    <row r="642">
      <c r="AH642" s="81"/>
    </row>
    <row r="643">
      <c r="AH643" s="81"/>
    </row>
    <row r="644">
      <c r="AH644" s="81"/>
    </row>
    <row r="645">
      <c r="AH645" s="81"/>
    </row>
    <row r="646">
      <c r="AH646" s="81"/>
    </row>
    <row r="647">
      <c r="AH647" s="81"/>
    </row>
    <row r="648">
      <c r="AH648" s="81"/>
    </row>
    <row r="649">
      <c r="AH649" s="81"/>
    </row>
    <row r="650">
      <c r="AH650" s="81"/>
    </row>
    <row r="651">
      <c r="AH651" s="81"/>
    </row>
    <row r="652">
      <c r="AH652" s="81"/>
    </row>
    <row r="653">
      <c r="AH653" s="81"/>
    </row>
    <row r="654">
      <c r="AH654" s="81"/>
    </row>
    <row r="655">
      <c r="AH655" s="81"/>
    </row>
    <row r="656">
      <c r="AH656" s="81"/>
    </row>
    <row r="657">
      <c r="AH657" s="81"/>
    </row>
    <row r="658">
      <c r="AH658" s="81"/>
    </row>
    <row r="659">
      <c r="AH659" s="81"/>
    </row>
    <row r="660">
      <c r="AH660" s="81"/>
    </row>
    <row r="661">
      <c r="AH661" s="81"/>
    </row>
    <row r="662">
      <c r="AH662" s="81"/>
    </row>
    <row r="663">
      <c r="AH663" s="81"/>
    </row>
    <row r="664">
      <c r="AH664" s="81"/>
    </row>
    <row r="665">
      <c r="AH665" s="81"/>
    </row>
    <row r="666">
      <c r="AH666" s="81"/>
    </row>
    <row r="667">
      <c r="AH667" s="81"/>
    </row>
    <row r="668">
      <c r="AH668" s="81"/>
    </row>
    <row r="669">
      <c r="AH669" s="81"/>
    </row>
    <row r="670">
      <c r="AH670" s="81"/>
    </row>
    <row r="671">
      <c r="AH671" s="81"/>
    </row>
    <row r="672">
      <c r="AH672" s="81"/>
    </row>
    <row r="673">
      <c r="AH673" s="81"/>
    </row>
    <row r="674">
      <c r="AH674" s="81"/>
    </row>
    <row r="675">
      <c r="AH675" s="81"/>
    </row>
    <row r="676">
      <c r="AH676" s="81"/>
    </row>
    <row r="677">
      <c r="AH677" s="81"/>
    </row>
    <row r="678">
      <c r="AH678" s="81"/>
    </row>
    <row r="679">
      <c r="AH679" s="81"/>
    </row>
    <row r="680">
      <c r="AH680" s="81"/>
    </row>
    <row r="681">
      <c r="AH681" s="81"/>
    </row>
    <row r="682">
      <c r="AH682" s="81"/>
    </row>
    <row r="683">
      <c r="AH683" s="81"/>
    </row>
    <row r="684">
      <c r="AH684" s="81"/>
    </row>
    <row r="685">
      <c r="AH685" s="81"/>
    </row>
    <row r="686">
      <c r="AH686" s="81"/>
    </row>
    <row r="687">
      <c r="AH687" s="81"/>
    </row>
    <row r="688">
      <c r="AH688" s="81"/>
    </row>
    <row r="689">
      <c r="AH689" s="81"/>
    </row>
    <row r="690">
      <c r="AH690" s="81"/>
    </row>
    <row r="691">
      <c r="AH691" s="81"/>
    </row>
    <row r="692">
      <c r="AH692" s="81"/>
    </row>
    <row r="693">
      <c r="AH693" s="81"/>
    </row>
    <row r="694">
      <c r="AH694" s="81"/>
    </row>
    <row r="695">
      <c r="AH695" s="81"/>
    </row>
    <row r="696">
      <c r="AH696" s="81"/>
    </row>
    <row r="697">
      <c r="AH697" s="81"/>
    </row>
    <row r="698">
      <c r="AH698" s="81"/>
    </row>
    <row r="699">
      <c r="AH699" s="81"/>
    </row>
    <row r="700">
      <c r="AH700" s="81"/>
    </row>
    <row r="701">
      <c r="AH701" s="81"/>
    </row>
    <row r="702">
      <c r="AH702" s="81"/>
    </row>
    <row r="703">
      <c r="AH703" s="81"/>
    </row>
    <row r="704">
      <c r="AH704" s="81"/>
    </row>
    <row r="705">
      <c r="AH705" s="81"/>
    </row>
    <row r="706">
      <c r="AH706" s="81"/>
    </row>
    <row r="707">
      <c r="AH707" s="81"/>
    </row>
    <row r="708">
      <c r="AH708" s="81"/>
    </row>
    <row r="709">
      <c r="AH709" s="81"/>
    </row>
    <row r="710">
      <c r="AH710" s="81"/>
    </row>
    <row r="711">
      <c r="AH711" s="81"/>
    </row>
    <row r="712">
      <c r="AH712" s="81"/>
    </row>
    <row r="713">
      <c r="AH713" s="81"/>
    </row>
    <row r="714">
      <c r="AH714" s="81"/>
    </row>
    <row r="715">
      <c r="AH715" s="81"/>
    </row>
    <row r="716">
      <c r="AH716" s="81"/>
    </row>
    <row r="717">
      <c r="AH717" s="81"/>
    </row>
    <row r="718">
      <c r="AH718" s="81"/>
    </row>
    <row r="719">
      <c r="AH719" s="81"/>
    </row>
    <row r="720">
      <c r="AH720" s="81"/>
    </row>
    <row r="721">
      <c r="AH721" s="81"/>
    </row>
    <row r="722">
      <c r="AH722" s="81"/>
    </row>
    <row r="723">
      <c r="AH723" s="81"/>
    </row>
    <row r="724">
      <c r="AH724" s="81"/>
    </row>
    <row r="725">
      <c r="AH725" s="81"/>
    </row>
    <row r="726">
      <c r="AH726" s="81"/>
    </row>
    <row r="727">
      <c r="AH727" s="81"/>
    </row>
    <row r="728">
      <c r="AH728" s="81"/>
    </row>
    <row r="729">
      <c r="AH729" s="81"/>
    </row>
    <row r="730">
      <c r="AH730" s="81"/>
    </row>
    <row r="731">
      <c r="AH731" s="81"/>
    </row>
    <row r="732">
      <c r="AH732" s="81"/>
    </row>
    <row r="733">
      <c r="AH733" s="81"/>
    </row>
    <row r="734">
      <c r="AH734" s="81"/>
    </row>
    <row r="735">
      <c r="AH735" s="81"/>
    </row>
    <row r="736">
      <c r="AH736" s="81"/>
    </row>
    <row r="737">
      <c r="AH737" s="81"/>
    </row>
    <row r="738">
      <c r="AH738" s="81"/>
    </row>
    <row r="739">
      <c r="AH739" s="81"/>
    </row>
    <row r="740">
      <c r="AH740" s="81"/>
    </row>
    <row r="741">
      <c r="AH741" s="81"/>
    </row>
    <row r="742">
      <c r="AH742" s="81"/>
    </row>
    <row r="743">
      <c r="AH743" s="81"/>
    </row>
    <row r="744">
      <c r="AH744" s="81"/>
    </row>
    <row r="745">
      <c r="AH745" s="81"/>
    </row>
    <row r="746">
      <c r="AH746" s="81"/>
    </row>
    <row r="747">
      <c r="AH747" s="81"/>
    </row>
    <row r="748">
      <c r="AH748" s="81"/>
    </row>
    <row r="749">
      <c r="AH749" s="81"/>
    </row>
    <row r="750">
      <c r="AH750" s="81"/>
    </row>
    <row r="751">
      <c r="AH751" s="81"/>
    </row>
    <row r="752">
      <c r="AH752" s="81"/>
    </row>
    <row r="753">
      <c r="AH753" s="81"/>
    </row>
    <row r="754">
      <c r="AH754" s="81"/>
    </row>
    <row r="755">
      <c r="AH755" s="81"/>
    </row>
    <row r="756">
      <c r="AH756" s="81"/>
    </row>
    <row r="757">
      <c r="AH757" s="81"/>
    </row>
    <row r="758">
      <c r="AH758" s="81"/>
    </row>
    <row r="759">
      <c r="AH759" s="81"/>
    </row>
    <row r="760">
      <c r="AH760" s="81"/>
    </row>
    <row r="761">
      <c r="AH761" s="81"/>
    </row>
    <row r="762">
      <c r="AH762" s="81"/>
    </row>
    <row r="763">
      <c r="AH763" s="81"/>
    </row>
    <row r="764">
      <c r="AH764" s="81"/>
    </row>
    <row r="765">
      <c r="AH765" s="81"/>
    </row>
    <row r="766">
      <c r="AH766" s="81"/>
    </row>
    <row r="767">
      <c r="AH767" s="81"/>
    </row>
    <row r="768">
      <c r="AH768" s="81"/>
    </row>
    <row r="769">
      <c r="AH769" s="81"/>
    </row>
    <row r="770">
      <c r="AH770" s="81"/>
    </row>
    <row r="771">
      <c r="AH771" s="81"/>
    </row>
    <row r="772">
      <c r="AH772" s="81"/>
    </row>
    <row r="773">
      <c r="AH773" s="81"/>
    </row>
    <row r="774">
      <c r="AH774" s="81"/>
    </row>
    <row r="775">
      <c r="AH775" s="81"/>
    </row>
    <row r="776">
      <c r="AH776" s="81"/>
    </row>
    <row r="777">
      <c r="AH777" s="81"/>
    </row>
    <row r="778">
      <c r="AH778" s="81"/>
    </row>
    <row r="779">
      <c r="AH779" s="81"/>
    </row>
    <row r="780">
      <c r="AH780" s="81"/>
    </row>
    <row r="781">
      <c r="AH781" s="81"/>
    </row>
    <row r="782">
      <c r="AH782" s="81"/>
    </row>
    <row r="783">
      <c r="AH783" s="81"/>
    </row>
    <row r="784">
      <c r="AH784" s="81"/>
    </row>
    <row r="785">
      <c r="AH785" s="81"/>
    </row>
    <row r="786">
      <c r="AH786" s="81"/>
    </row>
    <row r="787">
      <c r="AH787" s="81"/>
    </row>
    <row r="788">
      <c r="AH788" s="81"/>
    </row>
    <row r="789">
      <c r="AH789" s="81"/>
    </row>
    <row r="790">
      <c r="AH790" s="81"/>
    </row>
    <row r="791">
      <c r="AH791" s="81"/>
    </row>
    <row r="792">
      <c r="AH792" s="81"/>
    </row>
    <row r="793">
      <c r="AH793" s="81"/>
    </row>
    <row r="794">
      <c r="AH794" s="81"/>
    </row>
    <row r="795">
      <c r="AH795" s="81"/>
    </row>
    <row r="796">
      <c r="AH796" s="81"/>
    </row>
    <row r="797">
      <c r="AH797" s="81"/>
    </row>
    <row r="798">
      <c r="AH798" s="81"/>
    </row>
    <row r="799">
      <c r="AH799" s="81"/>
    </row>
    <row r="800">
      <c r="AH800" s="81"/>
    </row>
    <row r="801">
      <c r="AH801" s="81"/>
    </row>
    <row r="802">
      <c r="AH802" s="81"/>
    </row>
    <row r="803">
      <c r="AH803" s="81"/>
    </row>
    <row r="804">
      <c r="AH804" s="81"/>
    </row>
    <row r="805">
      <c r="AH805" s="81"/>
    </row>
    <row r="806">
      <c r="AH806" s="81"/>
    </row>
    <row r="807">
      <c r="AH807" s="81"/>
    </row>
    <row r="808">
      <c r="AH808" s="81"/>
    </row>
    <row r="809">
      <c r="AH809" s="81"/>
    </row>
    <row r="810">
      <c r="AH810" s="81"/>
    </row>
    <row r="811">
      <c r="AH811" s="81"/>
    </row>
    <row r="812">
      <c r="AH812" s="81"/>
    </row>
    <row r="813">
      <c r="AH813" s="81"/>
    </row>
    <row r="814">
      <c r="AH814" s="81"/>
    </row>
    <row r="815">
      <c r="AH815" s="81"/>
    </row>
    <row r="816">
      <c r="AH816" s="81"/>
    </row>
    <row r="817">
      <c r="AH817" s="81"/>
    </row>
    <row r="818">
      <c r="AH818" s="81"/>
    </row>
    <row r="819">
      <c r="AH819" s="81"/>
    </row>
    <row r="820">
      <c r="AH820" s="81"/>
    </row>
    <row r="821">
      <c r="AH821" s="81"/>
    </row>
    <row r="822">
      <c r="AH822" s="81"/>
    </row>
    <row r="823">
      <c r="AH823" s="81"/>
    </row>
    <row r="824">
      <c r="AH824" s="81"/>
    </row>
    <row r="825">
      <c r="AH825" s="81"/>
    </row>
    <row r="826">
      <c r="AH826" s="81"/>
    </row>
    <row r="827">
      <c r="AH827" s="81"/>
    </row>
    <row r="828">
      <c r="AH828" s="81"/>
    </row>
    <row r="829">
      <c r="AH829" s="81"/>
    </row>
    <row r="830">
      <c r="AH830" s="81"/>
    </row>
    <row r="831">
      <c r="AH831" s="81"/>
    </row>
    <row r="832">
      <c r="AH832" s="81"/>
    </row>
    <row r="833">
      <c r="AH833" s="81"/>
    </row>
    <row r="834">
      <c r="AH834" s="81"/>
    </row>
    <row r="835">
      <c r="AH835" s="81"/>
    </row>
    <row r="836">
      <c r="AH836" s="81"/>
    </row>
    <row r="837">
      <c r="AH837" s="81"/>
    </row>
    <row r="838">
      <c r="AH838" s="81"/>
    </row>
    <row r="839">
      <c r="AH839" s="81"/>
    </row>
    <row r="840">
      <c r="AH840" s="81"/>
    </row>
    <row r="841">
      <c r="AH841" s="81"/>
    </row>
    <row r="842">
      <c r="AH842" s="81"/>
    </row>
    <row r="843">
      <c r="AH843" s="81"/>
    </row>
    <row r="844">
      <c r="AH844" s="81"/>
    </row>
    <row r="845">
      <c r="AH845" s="81"/>
    </row>
    <row r="846">
      <c r="AH846" s="81"/>
    </row>
    <row r="847">
      <c r="AH847" s="81"/>
    </row>
    <row r="848">
      <c r="AH848" s="81"/>
    </row>
    <row r="849">
      <c r="AH849" s="81"/>
    </row>
    <row r="850">
      <c r="AH850" s="81"/>
    </row>
    <row r="851">
      <c r="AH851" s="81"/>
    </row>
    <row r="852">
      <c r="AH852" s="81"/>
    </row>
    <row r="853">
      <c r="AH853" s="81"/>
    </row>
    <row r="854">
      <c r="AH854" s="81"/>
    </row>
    <row r="855">
      <c r="AH855" s="81"/>
    </row>
    <row r="856">
      <c r="AH856" s="81"/>
    </row>
    <row r="857">
      <c r="AH857" s="81"/>
    </row>
    <row r="858">
      <c r="AH858" s="81"/>
    </row>
    <row r="859">
      <c r="AH859" s="81"/>
    </row>
    <row r="860">
      <c r="AH860" s="81"/>
    </row>
    <row r="861">
      <c r="AH861" s="81"/>
    </row>
    <row r="862">
      <c r="AH862" s="81"/>
    </row>
    <row r="863">
      <c r="AH863" s="81"/>
    </row>
    <row r="864">
      <c r="AH864" s="81"/>
    </row>
    <row r="865">
      <c r="AH865" s="81"/>
    </row>
    <row r="866">
      <c r="AH866" s="81"/>
    </row>
    <row r="867">
      <c r="AH867" s="81"/>
    </row>
    <row r="868">
      <c r="AH868" s="81"/>
    </row>
    <row r="869">
      <c r="AH869" s="81"/>
    </row>
    <row r="870">
      <c r="AH870" s="81"/>
    </row>
    <row r="871">
      <c r="AH871" s="81"/>
    </row>
    <row r="872">
      <c r="AH872" s="81"/>
    </row>
    <row r="873">
      <c r="AH873" s="81"/>
    </row>
    <row r="874">
      <c r="AH874" s="81"/>
    </row>
    <row r="875">
      <c r="AH875" s="81"/>
    </row>
    <row r="876">
      <c r="AH876" s="81"/>
    </row>
    <row r="877">
      <c r="AH877" s="81"/>
    </row>
    <row r="878">
      <c r="AH878" s="81"/>
    </row>
    <row r="879">
      <c r="AH879" s="81"/>
    </row>
    <row r="880">
      <c r="AH880" s="81"/>
    </row>
    <row r="881">
      <c r="AH881" s="81"/>
    </row>
    <row r="882">
      <c r="AH882" s="81"/>
    </row>
    <row r="883">
      <c r="AH883" s="81"/>
    </row>
    <row r="884">
      <c r="AH884" s="81"/>
    </row>
    <row r="885">
      <c r="AH885" s="81"/>
    </row>
    <row r="886">
      <c r="AH886" s="81"/>
    </row>
    <row r="887">
      <c r="AH887" s="81"/>
    </row>
    <row r="888">
      <c r="AH888" s="81"/>
    </row>
    <row r="889">
      <c r="AH889" s="81"/>
    </row>
    <row r="890">
      <c r="AH890" s="81"/>
    </row>
    <row r="891">
      <c r="AH891" s="81"/>
    </row>
    <row r="892">
      <c r="AH892" s="81"/>
    </row>
    <row r="893">
      <c r="AH893" s="81"/>
    </row>
    <row r="894">
      <c r="AH894" s="81"/>
    </row>
    <row r="895">
      <c r="AH895" s="81"/>
    </row>
    <row r="896">
      <c r="AH896" s="81"/>
    </row>
    <row r="897">
      <c r="AH897" s="81"/>
    </row>
    <row r="898">
      <c r="AH898" s="81"/>
    </row>
    <row r="899">
      <c r="AH899" s="81"/>
    </row>
    <row r="900">
      <c r="AH900" s="81"/>
    </row>
    <row r="901">
      <c r="AH901" s="81"/>
    </row>
    <row r="902">
      <c r="AH902" s="81"/>
    </row>
    <row r="903">
      <c r="AH903" s="81"/>
    </row>
    <row r="904">
      <c r="AH904" s="81"/>
    </row>
    <row r="905">
      <c r="AH905" s="81"/>
    </row>
    <row r="906">
      <c r="AH906" s="81"/>
    </row>
    <row r="907">
      <c r="AH907" s="81"/>
    </row>
    <row r="908">
      <c r="AH908" s="81"/>
    </row>
    <row r="909">
      <c r="AH909" s="81"/>
    </row>
    <row r="910">
      <c r="AH910" s="81"/>
    </row>
    <row r="911">
      <c r="AH911" s="81"/>
    </row>
    <row r="912">
      <c r="AH912" s="81"/>
    </row>
    <row r="913">
      <c r="AH913" s="81"/>
    </row>
    <row r="914">
      <c r="AH914" s="81"/>
    </row>
    <row r="915">
      <c r="AH915" s="81"/>
    </row>
    <row r="916">
      <c r="AH916" s="81"/>
    </row>
    <row r="917">
      <c r="AH917" s="81"/>
    </row>
    <row r="918">
      <c r="AH918" s="81"/>
    </row>
    <row r="919">
      <c r="AH919" s="81"/>
    </row>
    <row r="920">
      <c r="AH920" s="81"/>
    </row>
    <row r="921">
      <c r="AH921" s="81"/>
    </row>
    <row r="922">
      <c r="AH922" s="81"/>
    </row>
    <row r="923">
      <c r="AH923" s="81"/>
    </row>
    <row r="924">
      <c r="AH924" s="81"/>
    </row>
    <row r="925">
      <c r="AH925" s="81"/>
    </row>
    <row r="926">
      <c r="AH926" s="81"/>
    </row>
    <row r="927">
      <c r="AH927" s="81"/>
    </row>
    <row r="928">
      <c r="AH928" s="81"/>
    </row>
    <row r="929">
      <c r="AH929" s="81"/>
    </row>
    <row r="930">
      <c r="AH930" s="81"/>
    </row>
    <row r="931">
      <c r="AH931" s="81"/>
    </row>
    <row r="932">
      <c r="AH932" s="81"/>
    </row>
    <row r="933">
      <c r="AH933" s="81"/>
    </row>
    <row r="934">
      <c r="AH934" s="81"/>
    </row>
    <row r="935">
      <c r="AH935" s="81"/>
    </row>
    <row r="936">
      <c r="AH936" s="81"/>
    </row>
    <row r="937">
      <c r="AH937" s="81"/>
    </row>
    <row r="938">
      <c r="AH938" s="81"/>
    </row>
    <row r="939">
      <c r="AH939" s="81"/>
    </row>
    <row r="940">
      <c r="AH940" s="81"/>
    </row>
    <row r="941">
      <c r="AH941" s="81"/>
    </row>
    <row r="942">
      <c r="AH942" s="81"/>
    </row>
    <row r="943">
      <c r="AH943" s="81"/>
    </row>
    <row r="944">
      <c r="AH944" s="81"/>
    </row>
    <row r="945">
      <c r="AH945" s="81"/>
    </row>
    <row r="946">
      <c r="AH946" s="81"/>
    </row>
    <row r="947">
      <c r="AH947" s="81"/>
    </row>
    <row r="948">
      <c r="AH948" s="81"/>
    </row>
    <row r="949">
      <c r="AH949" s="81"/>
    </row>
    <row r="950">
      <c r="AH950" s="81"/>
    </row>
    <row r="951">
      <c r="AH951" s="81"/>
    </row>
    <row r="952">
      <c r="AH952" s="81"/>
    </row>
    <row r="953">
      <c r="AH953" s="81"/>
    </row>
    <row r="954">
      <c r="AH954" s="81"/>
    </row>
    <row r="955">
      <c r="AH955" s="81"/>
    </row>
    <row r="956">
      <c r="AH956" s="81"/>
    </row>
    <row r="957">
      <c r="AH957" s="81"/>
    </row>
    <row r="958">
      <c r="AH958" s="81"/>
    </row>
    <row r="959">
      <c r="AH959" s="81"/>
    </row>
    <row r="960">
      <c r="AH960" s="81"/>
    </row>
    <row r="961">
      <c r="AH961" s="81"/>
    </row>
    <row r="962">
      <c r="AH962" s="81"/>
    </row>
    <row r="963">
      <c r="AH963" s="81"/>
    </row>
    <row r="964">
      <c r="AH964" s="81"/>
    </row>
    <row r="965">
      <c r="AH965" s="81"/>
    </row>
    <row r="966">
      <c r="AH966" s="81"/>
    </row>
    <row r="967">
      <c r="AH967" s="81"/>
    </row>
    <row r="968">
      <c r="AH968" s="81"/>
    </row>
    <row r="969">
      <c r="AH969" s="81"/>
    </row>
    <row r="970">
      <c r="AH970" s="81"/>
    </row>
    <row r="971">
      <c r="AH971" s="81"/>
    </row>
    <row r="972">
      <c r="AH972" s="81"/>
    </row>
    <row r="973">
      <c r="AH973" s="81"/>
    </row>
    <row r="974">
      <c r="AH974" s="81"/>
    </row>
    <row r="975">
      <c r="AH975" s="81"/>
    </row>
    <row r="976">
      <c r="AH976" s="81"/>
    </row>
    <row r="977">
      <c r="AH977" s="81"/>
    </row>
    <row r="978">
      <c r="AH978" s="81"/>
    </row>
    <row r="979">
      <c r="AH979" s="81"/>
    </row>
    <row r="980">
      <c r="AH980" s="81"/>
    </row>
    <row r="981">
      <c r="AH981" s="81"/>
    </row>
    <row r="982">
      <c r="AH982" s="81"/>
    </row>
    <row r="983">
      <c r="AH983" s="81"/>
    </row>
    <row r="984">
      <c r="AH984" s="81"/>
    </row>
    <row r="985">
      <c r="AH985" s="81"/>
    </row>
    <row r="986">
      <c r="AH986" s="81"/>
    </row>
    <row r="987">
      <c r="AH987" s="81"/>
    </row>
    <row r="988">
      <c r="AH988" s="81"/>
    </row>
    <row r="989">
      <c r="AH989" s="81"/>
    </row>
    <row r="990">
      <c r="AH990" s="81"/>
    </row>
    <row r="991">
      <c r="AH991" s="81"/>
    </row>
    <row r="992">
      <c r="AH992" s="81"/>
    </row>
    <row r="993">
      <c r="AH993" s="81"/>
    </row>
    <row r="994">
      <c r="AH994" s="81"/>
    </row>
    <row r="995">
      <c r="AH995" s="81"/>
    </row>
    <row r="996">
      <c r="AH996" s="81"/>
    </row>
    <row r="997">
      <c r="AH997" s="81"/>
    </row>
    <row r="998">
      <c r="AH998" s="81"/>
    </row>
    <row r="999">
      <c r="AH999" s="81"/>
    </row>
    <row r="1000">
      <c r="AH1000" s="81"/>
    </row>
    <row r="1001">
      <c r="AH1001" s="81"/>
    </row>
    <row r="1002">
      <c r="AH1002" s="81"/>
    </row>
    <row r="1003">
      <c r="AH1003" s="81"/>
    </row>
    <row r="1004">
      <c r="AH1004" s="81"/>
    </row>
    <row r="1005">
      <c r="AH1005" s="81"/>
    </row>
    <row r="1006">
      <c r="AH1006" s="81"/>
    </row>
    <row r="1007">
      <c r="AH1007" s="81"/>
    </row>
    <row r="1008">
      <c r="AH1008" s="81"/>
    </row>
    <row r="1009">
      <c r="AH1009" s="81"/>
    </row>
    <row r="1010">
      <c r="AH1010" s="81"/>
    </row>
    <row r="1011">
      <c r="AH1011" s="81"/>
    </row>
    <row r="1012">
      <c r="AH1012" s="81"/>
    </row>
    <row r="1013">
      <c r="AH1013" s="81"/>
    </row>
    <row r="1014">
      <c r="AH1014" s="81"/>
    </row>
    <row r="1015">
      <c r="AH1015" s="81"/>
    </row>
    <row r="1016">
      <c r="AH1016" s="81"/>
    </row>
    <row r="1017">
      <c r="AH1017" s="81"/>
    </row>
    <row r="1018">
      <c r="AH1018" s="81"/>
    </row>
    <row r="1019">
      <c r="AH1019" s="81"/>
    </row>
    <row r="1020">
      <c r="AH1020" s="81"/>
    </row>
    <row r="1021">
      <c r="AH1021" s="81"/>
    </row>
    <row r="1022">
      <c r="AH1022" s="81"/>
    </row>
    <row r="1023">
      <c r="AH1023" s="81"/>
    </row>
    <row r="1024">
      <c r="AH1024" s="81"/>
    </row>
    <row r="1025">
      <c r="AH1025" s="81"/>
    </row>
    <row r="1026">
      <c r="AH1026" s="81"/>
    </row>
    <row r="1027">
      <c r="AH1027" s="81"/>
    </row>
    <row r="1028">
      <c r="AH1028" s="81"/>
    </row>
    <row r="1029">
      <c r="AH1029" s="81"/>
    </row>
    <row r="1030">
      <c r="AH1030" s="81"/>
    </row>
    <row r="1031">
      <c r="AH1031" s="81"/>
    </row>
    <row r="1032">
      <c r="AH1032" s="81"/>
    </row>
    <row r="1033">
      <c r="AH1033" s="81"/>
    </row>
    <row r="1034">
      <c r="AH1034" s="81"/>
    </row>
    <row r="1035">
      <c r="AH1035" s="81"/>
    </row>
    <row r="1036">
      <c r="AH1036" s="81"/>
    </row>
    <row r="1037">
      <c r="AH1037" s="81"/>
    </row>
    <row r="1038">
      <c r="AH1038" s="81"/>
    </row>
    <row r="1039">
      <c r="AH1039" s="81"/>
    </row>
    <row r="1040">
      <c r="AH1040" s="81"/>
    </row>
    <row r="1041">
      <c r="AH1041" s="81"/>
    </row>
    <row r="1042">
      <c r="AH1042" s="81"/>
    </row>
    <row r="1043">
      <c r="AH1043" s="81"/>
    </row>
    <row r="1044">
      <c r="AH1044" s="81"/>
    </row>
    <row r="1045">
      <c r="AH1045" s="81"/>
    </row>
    <row r="1046">
      <c r="AH1046" s="81"/>
    </row>
    <row r="1047">
      <c r="AH1047" s="81"/>
    </row>
    <row r="1048">
      <c r="AH1048" s="81"/>
    </row>
    <row r="1049">
      <c r="AH1049" s="81"/>
    </row>
    <row r="1050">
      <c r="AH1050" s="81"/>
    </row>
    <row r="1051">
      <c r="AH1051" s="81"/>
    </row>
    <row r="1052">
      <c r="AH1052" s="81"/>
    </row>
    <row r="1053">
      <c r="AH1053" s="81"/>
    </row>
    <row r="1054">
      <c r="AH1054" s="81"/>
    </row>
    <row r="1055">
      <c r="AH1055" s="81"/>
    </row>
    <row r="1056">
      <c r="AH1056" s="81"/>
    </row>
    <row r="1057">
      <c r="AH1057" s="81"/>
    </row>
    <row r="1058">
      <c r="AH1058" s="81"/>
    </row>
    <row r="1059">
      <c r="AH1059" s="81"/>
    </row>
    <row r="1060">
      <c r="AH1060" s="81"/>
    </row>
    <row r="1061">
      <c r="AH1061" s="81"/>
    </row>
    <row r="1062">
      <c r="AH1062" s="81"/>
    </row>
    <row r="1063">
      <c r="AH1063" s="81"/>
    </row>
    <row r="1064">
      <c r="AH1064" s="81"/>
    </row>
    <row r="1065">
      <c r="AH1065" s="81"/>
    </row>
    <row r="1066">
      <c r="AH1066" s="81"/>
    </row>
    <row r="1067">
      <c r="AH1067" s="81"/>
    </row>
    <row r="1068">
      <c r="AH1068" s="81"/>
    </row>
    <row r="1069">
      <c r="AH1069" s="81"/>
    </row>
    <row r="1070">
      <c r="AH1070" s="81"/>
    </row>
    <row r="1071">
      <c r="AH1071" s="81"/>
    </row>
    <row r="1072">
      <c r="AH1072" s="81"/>
    </row>
    <row r="1073">
      <c r="AH1073" s="81"/>
    </row>
    <row r="1074">
      <c r="AH1074" s="81"/>
    </row>
    <row r="1075">
      <c r="AH1075" s="81"/>
    </row>
    <row r="1076">
      <c r="AH1076" s="81"/>
    </row>
    <row r="1077">
      <c r="AH1077" s="81"/>
    </row>
    <row r="1078">
      <c r="AH1078" s="81"/>
    </row>
    <row r="1079">
      <c r="AH1079" s="81"/>
    </row>
    <row r="1080">
      <c r="AH1080" s="81"/>
    </row>
    <row r="1081">
      <c r="AH1081" s="81"/>
    </row>
    <row r="1082">
      <c r="AH1082" s="81"/>
    </row>
    <row r="1083">
      <c r="AH1083" s="81"/>
    </row>
    <row r="1084">
      <c r="AH1084" s="81"/>
    </row>
    <row r="1085">
      <c r="AH1085" s="81"/>
    </row>
    <row r="1086">
      <c r="AH1086" s="81"/>
    </row>
    <row r="1087">
      <c r="AH1087" s="81"/>
    </row>
    <row r="1088">
      <c r="AH1088" s="81"/>
    </row>
    <row r="1089">
      <c r="AH1089" s="81"/>
    </row>
    <row r="1090">
      <c r="AH1090" s="81"/>
    </row>
    <row r="1091">
      <c r="AH1091" s="81"/>
    </row>
    <row r="1092">
      <c r="AH1092" s="81"/>
    </row>
    <row r="1093">
      <c r="AH1093" s="81"/>
    </row>
    <row r="1094">
      <c r="AH1094" s="81"/>
    </row>
    <row r="1095">
      <c r="AH1095" s="81"/>
    </row>
    <row r="1096">
      <c r="AH1096" s="81"/>
    </row>
    <row r="1097">
      <c r="AH1097" s="81"/>
    </row>
    <row r="1098">
      <c r="AH1098" s="81"/>
    </row>
    <row r="1099">
      <c r="AH1099" s="81"/>
    </row>
    <row r="1100">
      <c r="AH1100" s="81"/>
    </row>
    <row r="1101">
      <c r="AH1101" s="81"/>
    </row>
    <row r="1102">
      <c r="AH1102" s="81"/>
    </row>
    <row r="1103">
      <c r="AH1103" s="81"/>
    </row>
    <row r="1104">
      <c r="AH1104" s="81"/>
    </row>
    <row r="1105">
      <c r="AH1105" s="81"/>
    </row>
    <row r="1106">
      <c r="AH1106" s="81"/>
    </row>
    <row r="1107">
      <c r="AH1107" s="81"/>
    </row>
    <row r="1108">
      <c r="AH1108" s="81"/>
    </row>
    <row r="1109">
      <c r="AH1109" s="81"/>
    </row>
    <row r="1110">
      <c r="AH1110" s="81"/>
    </row>
    <row r="1111">
      <c r="AH1111" s="81"/>
    </row>
    <row r="1112">
      <c r="AH1112" s="81"/>
    </row>
    <row r="1113">
      <c r="AH1113" s="81"/>
    </row>
    <row r="1114">
      <c r="AH1114" s="81"/>
    </row>
    <row r="1115">
      <c r="AH1115" s="81"/>
    </row>
    <row r="1116">
      <c r="AH1116" s="81"/>
    </row>
    <row r="1117">
      <c r="AH1117" s="81"/>
    </row>
    <row r="1118">
      <c r="AH1118" s="81"/>
    </row>
    <row r="1119">
      <c r="AH1119" s="81"/>
    </row>
    <row r="1120">
      <c r="AH1120" s="81"/>
    </row>
    <row r="1121">
      <c r="AH1121" s="81"/>
    </row>
    <row r="1122">
      <c r="AH1122" s="81"/>
    </row>
    <row r="1123">
      <c r="AH1123" s="81"/>
    </row>
    <row r="1124">
      <c r="AH1124" s="81"/>
    </row>
    <row r="1125">
      <c r="AH1125" s="81"/>
    </row>
    <row r="1126">
      <c r="AH1126" s="81"/>
    </row>
    <row r="1127">
      <c r="AH1127" s="81"/>
    </row>
    <row r="1128">
      <c r="AH1128" s="81"/>
    </row>
    <row r="1129">
      <c r="AH1129" s="81"/>
    </row>
    <row r="1130">
      <c r="AH1130" s="81"/>
    </row>
    <row r="1131">
      <c r="AH1131" s="81"/>
    </row>
    <row r="1132">
      <c r="AH1132" s="81"/>
    </row>
    <row r="1133">
      <c r="AH1133" s="81"/>
    </row>
    <row r="1134">
      <c r="AH1134" s="81"/>
    </row>
    <row r="1135">
      <c r="AH1135" s="81"/>
    </row>
    <row r="1136">
      <c r="AH1136" s="81"/>
    </row>
    <row r="1137">
      <c r="AH1137" s="81"/>
    </row>
    <row r="1138">
      <c r="AH1138" s="81"/>
    </row>
    <row r="1139">
      <c r="AH1139" s="81"/>
    </row>
    <row r="1140">
      <c r="AH1140" s="81"/>
    </row>
    <row r="1141">
      <c r="AH1141" s="81"/>
    </row>
    <row r="1142">
      <c r="AH1142" s="81"/>
    </row>
    <row r="1143">
      <c r="AH1143" s="81"/>
    </row>
    <row r="1144">
      <c r="AH1144" s="81"/>
    </row>
    <row r="1145">
      <c r="AH1145" s="81"/>
    </row>
    <row r="1146">
      <c r="AH1146" s="81"/>
    </row>
    <row r="1147">
      <c r="AH1147" s="81"/>
    </row>
    <row r="1148">
      <c r="AH1148" s="81"/>
    </row>
    <row r="1149">
      <c r="AH1149" s="81"/>
    </row>
    <row r="1150">
      <c r="AH1150" s="81"/>
    </row>
    <row r="1151">
      <c r="AH1151" s="81"/>
    </row>
    <row r="1152">
      <c r="AH1152" s="81"/>
    </row>
    <row r="1153">
      <c r="AH1153" s="81"/>
    </row>
    <row r="1154">
      <c r="AH1154" s="81"/>
    </row>
    <row r="1155">
      <c r="AH1155" s="81"/>
    </row>
    <row r="1156">
      <c r="AH1156" s="81"/>
    </row>
    <row r="1157">
      <c r="AH1157" s="81"/>
    </row>
    <row r="1158">
      <c r="AH1158" s="81"/>
    </row>
    <row r="1159">
      <c r="AH1159" s="81"/>
    </row>
    <row r="1160">
      <c r="AH1160" s="81"/>
    </row>
    <row r="1161">
      <c r="AH1161" s="81"/>
    </row>
    <row r="1162">
      <c r="AH1162" s="81"/>
    </row>
    <row r="1163">
      <c r="AH1163" s="81"/>
    </row>
    <row r="1164">
      <c r="AH1164" s="81"/>
    </row>
    <row r="1165">
      <c r="AH1165" s="81"/>
    </row>
    <row r="1166">
      <c r="AH1166" s="81"/>
    </row>
    <row r="1167">
      <c r="AH1167" s="81"/>
    </row>
    <row r="1168">
      <c r="AH1168" s="81"/>
    </row>
    <row r="1169">
      <c r="AH1169" s="81"/>
    </row>
    <row r="1170">
      <c r="AH1170" s="81"/>
    </row>
    <row r="1171">
      <c r="AH1171" s="81"/>
    </row>
    <row r="1172">
      <c r="AH1172" s="81"/>
    </row>
    <row r="1173">
      <c r="AH1173" s="81"/>
    </row>
    <row r="1174">
      <c r="AH1174" s="81"/>
    </row>
    <row r="1175">
      <c r="AH1175" s="81"/>
    </row>
    <row r="1176">
      <c r="AH1176" s="81"/>
    </row>
    <row r="1177">
      <c r="AH1177" s="81"/>
    </row>
    <row r="1178">
      <c r="AH1178" s="81"/>
    </row>
    <row r="1179">
      <c r="AH1179" s="81"/>
    </row>
    <row r="1180">
      <c r="AH1180" s="81"/>
    </row>
    <row r="1181">
      <c r="AH1181" s="81"/>
    </row>
    <row r="1182">
      <c r="AH1182" s="81"/>
    </row>
    <row r="1183">
      <c r="AH1183" s="81"/>
    </row>
    <row r="1184">
      <c r="AH1184" s="81"/>
    </row>
    <row r="1185">
      <c r="AH1185" s="81"/>
    </row>
    <row r="1186">
      <c r="AH1186" s="81"/>
    </row>
    <row r="1187">
      <c r="AH1187" s="81"/>
    </row>
    <row r="1188">
      <c r="AH1188" s="81"/>
    </row>
    <row r="1189">
      <c r="AH1189" s="81"/>
    </row>
    <row r="1190">
      <c r="AH1190" s="81"/>
    </row>
    <row r="1191">
      <c r="AH1191" s="81"/>
    </row>
    <row r="1192">
      <c r="AH1192" s="81"/>
    </row>
    <row r="1193">
      <c r="AH1193" s="81"/>
    </row>
    <row r="1194">
      <c r="AH1194" s="81"/>
    </row>
    <row r="1195">
      <c r="AH1195" s="81"/>
    </row>
    <row r="1196">
      <c r="AH1196" s="81"/>
    </row>
    <row r="1197">
      <c r="AH1197" s="81"/>
    </row>
    <row r="1198">
      <c r="AH1198" s="81"/>
    </row>
    <row r="1199">
      <c r="AH1199" s="81"/>
    </row>
    <row r="1200">
      <c r="AH1200" s="81"/>
    </row>
    <row r="1201">
      <c r="AH1201" s="81"/>
    </row>
    <row r="1202">
      <c r="AH1202" s="81"/>
    </row>
    <row r="1203">
      <c r="AH1203" s="81"/>
    </row>
    <row r="1204">
      <c r="AH1204" s="81"/>
    </row>
    <row r="1205">
      <c r="AH1205" s="81"/>
    </row>
    <row r="1206">
      <c r="AH1206" s="81"/>
    </row>
    <row r="1207">
      <c r="AH1207" s="81"/>
    </row>
    <row r="1208">
      <c r="AH1208" s="81"/>
    </row>
    <row r="1209">
      <c r="AH1209" s="81"/>
    </row>
    <row r="1210">
      <c r="AH1210" s="81"/>
    </row>
    <row r="1211">
      <c r="AH1211" s="81"/>
    </row>
    <row r="1212">
      <c r="AH1212" s="81"/>
    </row>
    <row r="1213">
      <c r="AH1213" s="81"/>
    </row>
    <row r="1214">
      <c r="AH1214" s="81"/>
    </row>
    <row r="1215">
      <c r="AH1215" s="81"/>
    </row>
    <row r="1216">
      <c r="AH1216" s="81"/>
    </row>
    <row r="1217">
      <c r="AH1217" s="81"/>
    </row>
    <row r="1218">
      <c r="AH1218" s="81"/>
    </row>
    <row r="1219">
      <c r="AH1219" s="81"/>
    </row>
    <row r="1220">
      <c r="AH1220" s="81"/>
    </row>
    <row r="1221">
      <c r="AH1221" s="81"/>
    </row>
    <row r="1222">
      <c r="AH1222" s="81"/>
    </row>
    <row r="1223">
      <c r="AH1223" s="81"/>
    </row>
    <row r="1224">
      <c r="AH1224" s="81"/>
    </row>
    <row r="1225">
      <c r="AH1225" s="81"/>
    </row>
    <row r="1226">
      <c r="AH1226" s="81"/>
    </row>
    <row r="1227">
      <c r="AH1227" s="81"/>
    </row>
    <row r="1228">
      <c r="AH1228" s="81"/>
    </row>
    <row r="1229">
      <c r="AH1229" s="81"/>
    </row>
    <row r="1230">
      <c r="AH1230" s="81"/>
    </row>
    <row r="1231">
      <c r="AH1231" s="81"/>
    </row>
    <row r="1232">
      <c r="AH1232" s="81"/>
    </row>
    <row r="1233">
      <c r="AH1233" s="81"/>
    </row>
    <row r="1234">
      <c r="AH1234" s="81"/>
    </row>
    <row r="1235">
      <c r="AH1235" s="81"/>
    </row>
    <row r="1236">
      <c r="AH1236" s="81"/>
    </row>
    <row r="1237">
      <c r="AH1237" s="81"/>
    </row>
    <row r="1238">
      <c r="AH1238" s="81"/>
    </row>
    <row r="1239">
      <c r="AH1239" s="81"/>
    </row>
    <row r="1240">
      <c r="AH1240" s="81"/>
    </row>
    <row r="1241">
      <c r="AH1241" s="81"/>
    </row>
    <row r="1242">
      <c r="AH1242" s="81"/>
    </row>
    <row r="1243">
      <c r="AH1243" s="81"/>
    </row>
    <row r="1244">
      <c r="AH1244" s="81"/>
    </row>
    <row r="1245">
      <c r="AH1245" s="81"/>
    </row>
    <row r="1246">
      <c r="AH1246" s="81"/>
    </row>
    <row r="1247">
      <c r="AH1247" s="81"/>
    </row>
    <row r="1248">
      <c r="AH1248" s="81"/>
    </row>
    <row r="1249">
      <c r="AH1249" s="81"/>
    </row>
    <row r="1250">
      <c r="AH1250" s="81"/>
    </row>
    <row r="1251">
      <c r="AH1251" s="81"/>
    </row>
    <row r="1252">
      <c r="AH1252" s="81"/>
    </row>
    <row r="1253">
      <c r="AH1253" s="81"/>
    </row>
    <row r="1254">
      <c r="AH1254" s="81"/>
    </row>
    <row r="1255">
      <c r="AH1255" s="81"/>
    </row>
    <row r="1256">
      <c r="AH1256" s="81"/>
    </row>
    <row r="1257">
      <c r="AH1257" s="81"/>
    </row>
    <row r="1258">
      <c r="AH1258" s="81"/>
    </row>
    <row r="1259">
      <c r="AH1259" s="81"/>
    </row>
    <row r="1260">
      <c r="AH1260" s="81"/>
    </row>
    <row r="1261">
      <c r="AH1261" s="81"/>
    </row>
    <row r="1262">
      <c r="AH1262" s="81"/>
    </row>
    <row r="1263">
      <c r="AH1263" s="81"/>
    </row>
    <row r="1264">
      <c r="AH1264" s="81"/>
    </row>
    <row r="1265">
      <c r="AH1265" s="81"/>
    </row>
    <row r="1266">
      <c r="AH1266" s="81"/>
    </row>
    <row r="1267">
      <c r="AH1267" s="81"/>
    </row>
    <row r="1268">
      <c r="AH1268" s="81"/>
    </row>
    <row r="1269">
      <c r="AH1269" s="81"/>
    </row>
    <row r="1270">
      <c r="AH1270" s="81"/>
    </row>
    <row r="1271">
      <c r="AH1271" s="81"/>
    </row>
    <row r="1272">
      <c r="AH1272" s="81"/>
    </row>
    <row r="1273">
      <c r="AH1273" s="81"/>
    </row>
    <row r="1274">
      <c r="AH1274" s="81"/>
    </row>
    <row r="1275">
      <c r="AH1275" s="81"/>
    </row>
    <row r="1276">
      <c r="AH1276" s="81"/>
    </row>
    <row r="1277">
      <c r="AH1277" s="81"/>
    </row>
    <row r="1278">
      <c r="AH1278" s="81"/>
    </row>
    <row r="1279">
      <c r="AH1279" s="81"/>
    </row>
    <row r="1280">
      <c r="AH1280" s="81"/>
    </row>
    <row r="1281">
      <c r="AH1281" s="81"/>
    </row>
    <row r="1282">
      <c r="AH1282" s="81"/>
    </row>
    <row r="1283">
      <c r="AH1283" s="81"/>
    </row>
    <row r="1284">
      <c r="AH1284" s="81"/>
    </row>
    <row r="1285">
      <c r="AH1285" s="81"/>
    </row>
    <row r="1286">
      <c r="AH1286" s="81"/>
    </row>
    <row r="1287">
      <c r="AH1287" s="81"/>
    </row>
    <row r="1288">
      <c r="AH1288" s="81"/>
    </row>
    <row r="1289">
      <c r="AH1289" s="81"/>
    </row>
    <row r="1290">
      <c r="AH1290" s="81"/>
    </row>
    <row r="1291">
      <c r="AH1291" s="81"/>
    </row>
    <row r="1292">
      <c r="AH1292" s="81"/>
    </row>
    <row r="1293">
      <c r="AH1293" s="81"/>
    </row>
    <row r="1294">
      <c r="AH1294" s="81"/>
    </row>
    <row r="1295">
      <c r="AH1295" s="81"/>
    </row>
    <row r="1296">
      <c r="AH1296" s="81"/>
    </row>
    <row r="1297">
      <c r="AH1297" s="81"/>
    </row>
    <row r="1298">
      <c r="AH1298" s="81"/>
    </row>
    <row r="1299">
      <c r="AH1299" s="81"/>
    </row>
    <row r="1300">
      <c r="AH1300" s="81"/>
    </row>
    <row r="1301">
      <c r="AH1301" s="81"/>
    </row>
    <row r="1302">
      <c r="AH1302" s="81"/>
    </row>
    <row r="1303">
      <c r="AH1303" s="81"/>
    </row>
    <row r="1304">
      <c r="AH1304" s="81"/>
    </row>
    <row r="1305">
      <c r="AH1305" s="81"/>
    </row>
    <row r="1306">
      <c r="AH1306" s="81"/>
    </row>
    <row r="1307">
      <c r="AH1307" s="81"/>
    </row>
    <row r="1308">
      <c r="AH1308" s="81"/>
    </row>
    <row r="1309">
      <c r="AH1309" s="81"/>
    </row>
    <row r="1310">
      <c r="AH1310" s="81"/>
    </row>
    <row r="1311">
      <c r="AH1311" s="81"/>
    </row>
    <row r="1312">
      <c r="AH1312" s="81"/>
    </row>
    <row r="1313">
      <c r="AH1313" s="81"/>
    </row>
    <row r="1314">
      <c r="AH1314" s="81"/>
    </row>
    <row r="1315">
      <c r="AH1315" s="81"/>
    </row>
    <row r="1316">
      <c r="AH1316" s="81"/>
    </row>
    <row r="1317">
      <c r="AH1317" s="81"/>
    </row>
    <row r="1318">
      <c r="AH1318" s="81"/>
    </row>
    <row r="1319">
      <c r="AH1319" s="81"/>
    </row>
    <row r="1320">
      <c r="AH1320" s="81"/>
    </row>
    <row r="1321">
      <c r="AH1321" s="81"/>
    </row>
    <row r="1322">
      <c r="AH1322" s="81"/>
    </row>
    <row r="1323">
      <c r="AH1323" s="81"/>
    </row>
    <row r="1324">
      <c r="AH1324" s="81"/>
    </row>
    <row r="1325">
      <c r="AH1325" s="81"/>
    </row>
    <row r="1326">
      <c r="AH1326" s="81"/>
    </row>
    <row r="1327">
      <c r="AH1327" s="81"/>
    </row>
    <row r="1328">
      <c r="AH1328" s="81"/>
    </row>
    <row r="1329">
      <c r="AH1329" s="81"/>
    </row>
    <row r="1330">
      <c r="AH1330" s="81"/>
    </row>
    <row r="1331">
      <c r="AH1331" s="81"/>
    </row>
    <row r="1332">
      <c r="AH1332" s="81"/>
    </row>
    <row r="1333">
      <c r="AH1333" s="81"/>
    </row>
    <row r="1334">
      <c r="AH1334" s="81"/>
    </row>
    <row r="1335">
      <c r="AH1335" s="81"/>
    </row>
    <row r="1336">
      <c r="AH1336" s="81"/>
    </row>
    <row r="1337">
      <c r="AH1337" s="81"/>
    </row>
    <row r="1338">
      <c r="AH1338" s="81"/>
    </row>
    <row r="1339">
      <c r="AH1339" s="81"/>
    </row>
    <row r="1340">
      <c r="AH1340" s="81"/>
    </row>
    <row r="1341">
      <c r="AH1341" s="81"/>
    </row>
    <row r="1342">
      <c r="AH1342" s="81"/>
    </row>
    <row r="1343">
      <c r="AH1343" s="81"/>
    </row>
    <row r="1344">
      <c r="AH1344" s="81"/>
    </row>
    <row r="1345">
      <c r="AH1345" s="81"/>
    </row>
    <row r="1346">
      <c r="AH1346" s="81"/>
    </row>
    <row r="1347">
      <c r="AH1347" s="81"/>
    </row>
    <row r="1348">
      <c r="AH1348" s="81"/>
    </row>
    <row r="1349">
      <c r="AH1349" s="81"/>
    </row>
    <row r="1350">
      <c r="AH1350" s="81"/>
    </row>
    <row r="1351">
      <c r="AH1351" s="81"/>
    </row>
    <row r="1352">
      <c r="AH1352" s="81"/>
    </row>
    <row r="1353">
      <c r="AH1353" s="81"/>
    </row>
    <row r="1354">
      <c r="AH1354" s="81"/>
    </row>
    <row r="1355">
      <c r="AH1355" s="81"/>
    </row>
    <row r="1356">
      <c r="AH1356" s="81"/>
    </row>
    <row r="1357">
      <c r="AH1357" s="81"/>
    </row>
    <row r="1358">
      <c r="AH1358" s="81"/>
    </row>
    <row r="1359">
      <c r="AH1359" s="81"/>
    </row>
    <row r="1360">
      <c r="AH1360" s="81"/>
    </row>
    <row r="1361">
      <c r="AH1361" s="81"/>
    </row>
    <row r="1362">
      <c r="AH1362" s="81"/>
    </row>
    <row r="1363">
      <c r="AH1363" s="81"/>
    </row>
    <row r="1364">
      <c r="AH1364" s="81"/>
    </row>
    <row r="1365">
      <c r="AH1365" s="81"/>
    </row>
  </sheetData>
  <autoFilter ref="$A$1:$AL$202">
    <sortState ref="A1:AL202">
      <sortCondition descending="1" ref="C1:C202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BC04"/>
    <outlinePr summaryBelow="0" summaryRight="0"/>
  </sheetPr>
  <sheetViews>
    <sheetView workbookViewId="0"/>
  </sheetViews>
  <sheetFormatPr customHeight="1" defaultColWidth="12.63" defaultRowHeight="15.75"/>
  <cols>
    <col customWidth="1" min="2" max="2" width="17.13"/>
    <col customWidth="1" min="3" max="3" width="14.88"/>
    <col customWidth="1" min="4" max="4" width="22.88"/>
  </cols>
  <sheetData>
    <row r="1">
      <c r="A1" s="84" t="s">
        <v>80</v>
      </c>
      <c r="B1" s="91" t="s">
        <v>491</v>
      </c>
      <c r="C1" s="91" t="s">
        <v>492</v>
      </c>
      <c r="D1" s="92" t="s">
        <v>493</v>
      </c>
    </row>
    <row r="2">
      <c r="A2" s="93">
        <v>107.0</v>
      </c>
      <c r="B2" s="94" t="s">
        <v>494</v>
      </c>
      <c r="C2" s="95" t="s">
        <v>102</v>
      </c>
      <c r="D2" s="96" t="s">
        <v>495</v>
      </c>
    </row>
    <row r="3">
      <c r="A3" s="93">
        <v>815.0</v>
      </c>
      <c r="B3" s="94" t="s">
        <v>496</v>
      </c>
      <c r="C3" s="95" t="s">
        <v>102</v>
      </c>
      <c r="D3" s="97" t="s">
        <v>497</v>
      </c>
    </row>
    <row r="4">
      <c r="A4" s="93">
        <v>862.0</v>
      </c>
      <c r="B4" s="94" t="s">
        <v>498</v>
      </c>
      <c r="C4" s="95" t="s">
        <v>102</v>
      </c>
      <c r="D4" s="98" t="s">
        <v>499</v>
      </c>
    </row>
    <row r="5">
      <c r="A5" s="99">
        <v>904.0</v>
      </c>
      <c r="B5" s="100" t="s">
        <v>500</v>
      </c>
      <c r="C5" s="95" t="s">
        <v>102</v>
      </c>
      <c r="D5" s="101" t="s">
        <v>501</v>
      </c>
    </row>
    <row r="6">
      <c r="A6" s="93">
        <v>1076.0</v>
      </c>
      <c r="B6" s="94" t="s">
        <v>502</v>
      </c>
      <c r="C6" s="95" t="s">
        <v>144</v>
      </c>
    </row>
    <row r="7">
      <c r="A7" s="102">
        <v>1502.0</v>
      </c>
      <c r="B7" s="103" t="s">
        <v>503</v>
      </c>
      <c r="C7" s="104" t="s">
        <v>150</v>
      </c>
      <c r="D7" s="84"/>
    </row>
    <row r="8">
      <c r="A8" s="93">
        <v>1504.0</v>
      </c>
      <c r="B8" s="94" t="s">
        <v>504</v>
      </c>
      <c r="C8" s="95" t="s">
        <v>164</v>
      </c>
      <c r="D8" s="84"/>
    </row>
    <row r="9">
      <c r="A9" s="93">
        <v>3322.0</v>
      </c>
      <c r="B9" s="94" t="s">
        <v>503</v>
      </c>
      <c r="C9" s="94" t="s">
        <v>102</v>
      </c>
      <c r="D9" s="84"/>
    </row>
    <row r="10">
      <c r="A10" s="93">
        <v>3568.0</v>
      </c>
      <c r="B10" s="94" t="s">
        <v>502</v>
      </c>
      <c r="C10" s="95" t="s">
        <v>505</v>
      </c>
      <c r="D10" s="84"/>
    </row>
    <row r="11">
      <c r="A11" s="93">
        <v>3707.0</v>
      </c>
      <c r="B11" s="94" t="s">
        <v>506</v>
      </c>
      <c r="C11" s="95" t="s">
        <v>221</v>
      </c>
      <c r="D11" s="84"/>
    </row>
    <row r="12">
      <c r="A12" s="93">
        <v>3773.0</v>
      </c>
      <c r="B12" s="94" t="s">
        <v>498</v>
      </c>
      <c r="C12" s="95" t="s">
        <v>221</v>
      </c>
      <c r="D12" s="84"/>
    </row>
    <row r="13">
      <c r="A13" s="93">
        <v>4395.0</v>
      </c>
      <c r="B13" s="94" t="s">
        <v>494</v>
      </c>
      <c r="C13" s="95" t="s">
        <v>188</v>
      </c>
      <c r="D13" s="84"/>
    </row>
    <row r="14">
      <c r="A14" s="93">
        <v>4405.0</v>
      </c>
      <c r="B14" s="94" t="s">
        <v>507</v>
      </c>
      <c r="C14" s="95" t="s">
        <v>192</v>
      </c>
      <c r="D14" s="84"/>
    </row>
    <row r="15">
      <c r="A15" s="93">
        <v>5050.0</v>
      </c>
      <c r="B15" s="94" t="s">
        <v>507</v>
      </c>
      <c r="C15" s="95" t="s">
        <v>102</v>
      </c>
      <c r="D15" s="84"/>
    </row>
    <row r="16">
      <c r="A16" s="102">
        <v>5066.0</v>
      </c>
      <c r="B16" s="103" t="s">
        <v>503</v>
      </c>
      <c r="C16" s="104" t="s">
        <v>102</v>
      </c>
      <c r="D16" s="84"/>
    </row>
    <row r="17">
      <c r="A17" s="93">
        <v>5067.0</v>
      </c>
      <c r="B17" s="94" t="s">
        <v>504</v>
      </c>
      <c r="C17" s="95" t="s">
        <v>192</v>
      </c>
      <c r="D17" s="84"/>
    </row>
    <row r="18">
      <c r="A18" s="93">
        <v>5205.0</v>
      </c>
      <c r="B18" s="94" t="s">
        <v>503</v>
      </c>
      <c r="C18" s="95" t="s">
        <v>221</v>
      </c>
      <c r="D18" s="84"/>
    </row>
    <row r="19">
      <c r="A19" s="93">
        <v>5509.0</v>
      </c>
      <c r="B19" s="94" t="s">
        <v>508</v>
      </c>
      <c r="C19" s="95" t="s">
        <v>192</v>
      </c>
      <c r="D19" s="84"/>
    </row>
    <row r="20">
      <c r="A20" s="93">
        <v>5641.0</v>
      </c>
      <c r="B20" s="94" t="s">
        <v>509</v>
      </c>
      <c r="C20" s="95" t="s">
        <v>221</v>
      </c>
      <c r="D20" s="84"/>
    </row>
    <row r="21">
      <c r="A21" s="102">
        <v>5674.0</v>
      </c>
      <c r="B21" s="103" t="s">
        <v>498</v>
      </c>
      <c r="C21" s="104" t="s">
        <v>144</v>
      </c>
      <c r="D21" s="84"/>
    </row>
    <row r="22">
      <c r="A22" s="102">
        <v>5708.0</v>
      </c>
      <c r="B22" s="103" t="s">
        <v>498</v>
      </c>
      <c r="C22" s="104" t="s">
        <v>239</v>
      </c>
      <c r="D22" s="84"/>
    </row>
    <row r="23">
      <c r="A23" s="93">
        <v>6081.0</v>
      </c>
      <c r="B23" s="94" t="s">
        <v>510</v>
      </c>
      <c r="C23" s="95" t="s">
        <v>102</v>
      </c>
      <c r="D23" s="84"/>
    </row>
    <row r="24">
      <c r="A24" s="99">
        <v>6089.0</v>
      </c>
      <c r="B24" s="95" t="s">
        <v>511</v>
      </c>
      <c r="C24" s="95" t="s">
        <v>512</v>
      </c>
      <c r="D24" s="84"/>
    </row>
    <row r="25">
      <c r="A25" s="93">
        <v>6101.0</v>
      </c>
      <c r="B25" s="94" t="s">
        <v>507</v>
      </c>
      <c r="C25" s="95" t="s">
        <v>192</v>
      </c>
      <c r="D25" s="84"/>
    </row>
    <row r="26">
      <c r="A26" s="93">
        <v>6556.0</v>
      </c>
      <c r="B26" s="94" t="s">
        <v>503</v>
      </c>
      <c r="C26" s="95" t="s">
        <v>144</v>
      </c>
      <c r="D26" s="90"/>
    </row>
    <row r="27">
      <c r="A27" s="93">
        <v>6615.0</v>
      </c>
      <c r="B27" s="94" t="s">
        <v>507</v>
      </c>
      <c r="C27" s="95" t="s">
        <v>192</v>
      </c>
      <c r="D27" s="84"/>
    </row>
    <row r="28">
      <c r="A28" s="102">
        <v>6616.0</v>
      </c>
      <c r="B28" s="103" t="s">
        <v>496</v>
      </c>
      <c r="C28" s="104" t="s">
        <v>239</v>
      </c>
      <c r="D28" s="84"/>
    </row>
    <row r="29">
      <c r="A29" s="93">
        <v>7221.0</v>
      </c>
      <c r="B29" s="94" t="s">
        <v>503</v>
      </c>
      <c r="C29" s="95" t="s">
        <v>239</v>
      </c>
      <c r="D29" s="84"/>
    </row>
    <row r="30">
      <c r="A30" s="93">
        <v>7225.0</v>
      </c>
      <c r="B30" s="94" t="s">
        <v>506</v>
      </c>
      <c r="C30" s="95" t="s">
        <v>102</v>
      </c>
      <c r="D30" s="84"/>
    </row>
    <row r="31">
      <c r="A31" s="102">
        <v>7598.0</v>
      </c>
      <c r="B31" s="103" t="s">
        <v>506</v>
      </c>
      <c r="C31" s="104" t="s">
        <v>239</v>
      </c>
      <c r="D31" s="84"/>
    </row>
    <row r="32">
      <c r="A32" s="105">
        <v>8628.0</v>
      </c>
      <c r="B32" s="104" t="s">
        <v>513</v>
      </c>
      <c r="C32" s="104"/>
      <c r="D32" s="84"/>
    </row>
    <row r="33">
      <c r="A33" s="93">
        <v>8374.0</v>
      </c>
      <c r="B33" s="94" t="s">
        <v>498</v>
      </c>
      <c r="C33" s="95" t="s">
        <v>287</v>
      </c>
      <c r="D33" s="84"/>
    </row>
    <row r="34">
      <c r="A34" s="99">
        <v>8424.0</v>
      </c>
      <c r="B34" s="94" t="s">
        <v>498</v>
      </c>
      <c r="C34" s="95" t="s">
        <v>290</v>
      </c>
      <c r="D34" s="84"/>
    </row>
    <row r="35">
      <c r="A35" s="93">
        <v>8832.0</v>
      </c>
      <c r="B35" s="95" t="s">
        <v>514</v>
      </c>
      <c r="C35" s="95" t="s">
        <v>102</v>
      </c>
      <c r="D35" s="84"/>
    </row>
    <row r="36">
      <c r="A36" s="102">
        <v>8895.0</v>
      </c>
      <c r="B36" s="103" t="s">
        <v>507</v>
      </c>
      <c r="C36" s="104" t="s">
        <v>239</v>
      </c>
      <c r="D36" s="84"/>
    </row>
    <row r="37">
      <c r="A37" s="93">
        <v>9209.0</v>
      </c>
      <c r="B37" s="94" t="s">
        <v>503</v>
      </c>
      <c r="C37" s="95" t="s">
        <v>102</v>
      </c>
      <c r="D37" s="84"/>
    </row>
    <row r="38">
      <c r="A38" s="102">
        <v>9210.0</v>
      </c>
      <c r="B38" s="103" t="s">
        <v>503</v>
      </c>
      <c r="C38" s="104" t="s">
        <v>239</v>
      </c>
      <c r="D38" s="84"/>
    </row>
    <row r="39">
      <c r="A39" s="102">
        <v>9211.0</v>
      </c>
      <c r="B39" s="103" t="s">
        <v>507</v>
      </c>
      <c r="C39" s="104" t="s">
        <v>239</v>
      </c>
      <c r="D39" s="84"/>
    </row>
    <row r="40">
      <c r="A40" s="93">
        <v>9241.0</v>
      </c>
      <c r="B40" s="94" t="s">
        <v>498</v>
      </c>
      <c r="C40" s="95" t="s">
        <v>515</v>
      </c>
      <c r="D40" s="8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75"/>
  <cols>
    <col customWidth="1" min="1" max="1" width="24.5"/>
    <col customWidth="1" min="3" max="3" width="15.88"/>
    <col customWidth="1" min="9" max="9" width="12.63"/>
    <col customWidth="1" min="71" max="71" width="14.25"/>
    <col customWidth="1" min="72" max="72" width="15.25"/>
    <col customWidth="1" min="73" max="74" width="14.25"/>
  </cols>
  <sheetData>
    <row r="1">
      <c r="A1" s="1" t="s">
        <v>0</v>
      </c>
      <c r="C1" s="2" t="s">
        <v>1</v>
      </c>
      <c r="AI1" s="3"/>
      <c r="AJ1" s="4" t="s">
        <v>2</v>
      </c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6"/>
      <c r="BQ1" s="8" t="s">
        <v>3</v>
      </c>
      <c r="BR1" s="9"/>
      <c r="BS1" s="9"/>
      <c r="BT1" s="9"/>
      <c r="BU1" s="9"/>
      <c r="BV1" s="10"/>
      <c r="BW1" s="11" t="s">
        <v>4</v>
      </c>
    </row>
    <row r="2">
      <c r="C2" s="12" t="s">
        <v>1</v>
      </c>
      <c r="D2" s="13" t="s">
        <v>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5" t="s">
        <v>6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7" t="s">
        <v>7</v>
      </c>
      <c r="AI2" s="18"/>
      <c r="AJ2" s="19" t="s">
        <v>5</v>
      </c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1"/>
      <c r="AY2" s="22" t="s">
        <v>6</v>
      </c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1"/>
      <c r="BN2" s="23" t="s">
        <v>7</v>
      </c>
      <c r="BO2" s="24"/>
      <c r="BP2" s="25"/>
      <c r="BQ2" s="26" t="s">
        <v>8</v>
      </c>
      <c r="BR2" s="27"/>
      <c r="BS2" s="28" t="s">
        <v>9</v>
      </c>
      <c r="BV2" s="27"/>
    </row>
    <row r="3">
      <c r="C3" s="29"/>
      <c r="D3" s="30" t="s">
        <v>10</v>
      </c>
      <c r="E3" s="14"/>
      <c r="F3" s="14"/>
      <c r="G3" s="14"/>
      <c r="H3" s="14"/>
      <c r="I3" s="30" t="s">
        <v>11</v>
      </c>
      <c r="J3" s="14"/>
      <c r="K3" s="14"/>
      <c r="L3" s="14"/>
      <c r="M3" s="31"/>
      <c r="N3" s="13" t="s">
        <v>12</v>
      </c>
      <c r="O3" s="14"/>
      <c r="P3" s="14"/>
      <c r="Q3" s="14"/>
      <c r="R3" s="14"/>
      <c r="S3" s="32" t="s">
        <v>10</v>
      </c>
      <c r="W3" s="29"/>
      <c r="X3" s="2" t="s">
        <v>11</v>
      </c>
      <c r="AB3" s="29"/>
      <c r="AC3" s="2" t="s">
        <v>12</v>
      </c>
      <c r="AH3" s="33"/>
      <c r="AI3" s="3"/>
      <c r="AJ3" s="7" t="s">
        <v>10</v>
      </c>
      <c r="AO3" s="34" t="s">
        <v>11</v>
      </c>
      <c r="AT3" s="34" t="s">
        <v>12</v>
      </c>
      <c r="AY3" s="34" t="s">
        <v>10</v>
      </c>
      <c r="BD3" s="34" t="s">
        <v>11</v>
      </c>
      <c r="BI3" s="34" t="s">
        <v>12</v>
      </c>
      <c r="BN3" s="35"/>
      <c r="BO3" s="24"/>
      <c r="BP3" s="36"/>
      <c r="BR3" s="27"/>
      <c r="BS3" s="38"/>
      <c r="BV3" s="27"/>
    </row>
    <row r="4">
      <c r="A4" s="39" t="s">
        <v>13</v>
      </c>
      <c r="B4" s="39" t="s">
        <v>14</v>
      </c>
      <c r="C4" s="40" t="s">
        <v>15</v>
      </c>
      <c r="D4" s="41" t="s">
        <v>16</v>
      </c>
      <c r="E4" s="41" t="s">
        <v>17</v>
      </c>
      <c r="F4" s="41" t="s">
        <v>18</v>
      </c>
      <c r="G4" s="41" t="s">
        <v>19</v>
      </c>
      <c r="H4" s="41" t="s">
        <v>20</v>
      </c>
      <c r="I4" s="42" t="s">
        <v>16</v>
      </c>
      <c r="J4" s="41" t="s">
        <v>17</v>
      </c>
      <c r="K4" s="41" t="s">
        <v>18</v>
      </c>
      <c r="L4" s="41" t="s">
        <v>19</v>
      </c>
      <c r="M4" s="41" t="s">
        <v>20</v>
      </c>
      <c r="N4" s="42" t="s">
        <v>16</v>
      </c>
      <c r="O4" s="41" t="s">
        <v>17</v>
      </c>
      <c r="P4" s="41" t="s">
        <v>18</v>
      </c>
      <c r="Q4" s="41" t="s">
        <v>19</v>
      </c>
      <c r="R4" s="41" t="s">
        <v>20</v>
      </c>
      <c r="S4" s="42" t="s">
        <v>16</v>
      </c>
      <c r="T4" s="41" t="s">
        <v>17</v>
      </c>
      <c r="U4" s="41" t="s">
        <v>18</v>
      </c>
      <c r="V4" s="41" t="s">
        <v>19</v>
      </c>
      <c r="W4" s="43" t="s">
        <v>20</v>
      </c>
      <c r="X4" s="41" t="s">
        <v>16</v>
      </c>
      <c r="Y4" s="41" t="s">
        <v>17</v>
      </c>
      <c r="Z4" s="41" t="s">
        <v>18</v>
      </c>
      <c r="AA4" s="41" t="s">
        <v>19</v>
      </c>
      <c r="AB4" s="43" t="s">
        <v>20</v>
      </c>
      <c r="AC4" s="41" t="s">
        <v>16</v>
      </c>
      <c r="AD4" s="41" t="s">
        <v>17</v>
      </c>
      <c r="AE4" s="41" t="s">
        <v>18</v>
      </c>
      <c r="AF4" s="41" t="s">
        <v>19</v>
      </c>
      <c r="AG4" s="41" t="s">
        <v>20</v>
      </c>
      <c r="AH4" s="42" t="s">
        <v>21</v>
      </c>
      <c r="AI4" s="44" t="s">
        <v>22</v>
      </c>
      <c r="AJ4" s="45" t="s">
        <v>16</v>
      </c>
      <c r="AK4" s="45" t="s">
        <v>17</v>
      </c>
      <c r="AL4" s="45" t="s">
        <v>18</v>
      </c>
      <c r="AM4" s="45" t="s">
        <v>19</v>
      </c>
      <c r="AN4" s="46" t="s">
        <v>20</v>
      </c>
      <c r="AO4" s="45" t="s">
        <v>16</v>
      </c>
      <c r="AP4" s="45" t="s">
        <v>17</v>
      </c>
      <c r="AQ4" s="45" t="s">
        <v>18</v>
      </c>
      <c r="AR4" s="45" t="s">
        <v>19</v>
      </c>
      <c r="AS4" s="46" t="s">
        <v>20</v>
      </c>
      <c r="AT4" s="45" t="s">
        <v>16</v>
      </c>
      <c r="AU4" s="45" t="s">
        <v>17</v>
      </c>
      <c r="AV4" s="45" t="s">
        <v>18</v>
      </c>
      <c r="AW4" s="45" t="s">
        <v>19</v>
      </c>
      <c r="AX4" s="46" t="s">
        <v>20</v>
      </c>
      <c r="AY4" s="45" t="s">
        <v>16</v>
      </c>
      <c r="AZ4" s="45" t="s">
        <v>17</v>
      </c>
      <c r="BA4" s="45" t="s">
        <v>18</v>
      </c>
      <c r="BB4" s="45" t="s">
        <v>19</v>
      </c>
      <c r="BC4" s="46" t="s">
        <v>20</v>
      </c>
      <c r="BD4" s="45" t="s">
        <v>16</v>
      </c>
      <c r="BE4" s="45" t="s">
        <v>17</v>
      </c>
      <c r="BF4" s="45" t="s">
        <v>18</v>
      </c>
      <c r="BG4" s="45" t="s">
        <v>19</v>
      </c>
      <c r="BH4" s="46" t="s">
        <v>20</v>
      </c>
      <c r="BI4" s="45" t="s">
        <v>16</v>
      </c>
      <c r="BJ4" s="45" t="s">
        <v>17</v>
      </c>
      <c r="BK4" s="45" t="s">
        <v>18</v>
      </c>
      <c r="BL4" s="45" t="s">
        <v>19</v>
      </c>
      <c r="BM4" s="46" t="s">
        <v>20</v>
      </c>
      <c r="BN4" s="45" t="s">
        <v>21</v>
      </c>
      <c r="BO4" s="46" t="s">
        <v>22</v>
      </c>
      <c r="BP4" s="25" t="s">
        <v>23</v>
      </c>
      <c r="BQ4" s="47" t="s">
        <v>25</v>
      </c>
      <c r="BR4" s="48" t="s">
        <v>26</v>
      </c>
      <c r="BS4" s="49" t="s">
        <v>28</v>
      </c>
      <c r="BT4" s="49" t="s">
        <v>29</v>
      </c>
      <c r="BU4" s="49" t="s">
        <v>31</v>
      </c>
      <c r="BV4" s="49" t="s">
        <v>32</v>
      </c>
      <c r="BW4" s="50" t="s">
        <v>33</v>
      </c>
      <c r="BX4" s="50" t="s">
        <v>34</v>
      </c>
      <c r="BY4" s="50" t="s">
        <v>35</v>
      </c>
      <c r="BZ4" s="50" t="s">
        <v>36</v>
      </c>
      <c r="CA4" s="50" t="s">
        <v>516</v>
      </c>
    </row>
    <row r="5">
      <c r="A5" s="51" t="s">
        <v>517</v>
      </c>
      <c r="B5" s="51">
        <v>8280.0</v>
      </c>
      <c r="C5" s="52" t="str">
        <f>IFERROR(__xludf.DUMMYFUNCTION("if(countif(query(filter('Saline Comp Data Recording'!R:R,'Saline Comp Data Recording'!C:C=B5), ""Select Col1""),""TRUE"")=0,""0"",countif(query(filter('Saline Comp Data Recording'!R:R,'Saline Comp Data Recording'!C:C=B5), ""Select Col1""),""TRUE"")) &amp; ""/"&amp;""" &amp; if(COUNTA(query(ifna(filter('Saline Comp Data Recording'!R:R,'Saline Comp Data Recording'!C:C=B5),""""), ""Select Col1""))=0,""0"",COUNTA(query(ifna(filter('Saline Comp Data Recording'!R:R,'Saline Comp Data Recording'!C:C=B5),""""), ""Select Col1""))"&amp;")"),"5/5")</f>
        <v>5/5</v>
      </c>
      <c r="D5" s="53">
        <f>IFERROR(__xludf.DUMMYFUNCTION("iferror(SUM(query(filter('Saline Comp Data Recording'!D:D,'Saline Comp Data Recording'!C:C=B5), ""Select Col1"")),""-"")"),0.0)</f>
        <v>0</v>
      </c>
      <c r="E5" s="53">
        <f>IFERROR(__xludf.DUMMYFUNCTION("iferror(SUM(query(filter('Saline Comp Data Recording'!E:E,'Saline Comp Data Recording'!C:C=B5), ""Select Col1"")),""-"")"),0.0)</f>
        <v>0</v>
      </c>
      <c r="F5" s="54" t="str">
        <f t="shared" ref="F5:F42" si="1">IFERROR(E5/D5,"-")</f>
        <v>-</v>
      </c>
      <c r="G5" s="55">
        <f>IFERROR(__xludf.DUMMYFUNCTION("iferror(AVERAGE(query(filter('Saline Comp Data Recording'!E:E,'Saline Comp Data Recording'!C:C=B5), ""Select Col1"")),""0.00"")"),0.0)</f>
        <v>0</v>
      </c>
      <c r="H5" s="53">
        <f>IFERROR(__xludf.DUMMYFUNCTION("iferror(MAX(query(filter('Saline Comp Data Recording'!E:E,'Saline Comp Data Recording'!C:C=B5), ""Select Col1"")),""-"")"),0.0)</f>
        <v>0</v>
      </c>
      <c r="I5" s="56">
        <f>IFERROR(__xludf.DUMMYFUNCTION("iferror(SUM(query(filter('Saline Comp Data Recording'!F:F,'Saline Comp Data Recording'!C:C=B5), ""Select Col1"")),""-"")"),0.0)</f>
        <v>0</v>
      </c>
      <c r="J5" s="57">
        <f>IFERROR(__xludf.DUMMYFUNCTION("iferror(SUM(query(filter('Saline Comp Data Recording'!G:G,'Saline Comp Data Recording'!C:C=B5), ""Select Col1"")),""-"")"),0.0)</f>
        <v>0</v>
      </c>
      <c r="K5" s="54" t="str">
        <f t="shared" ref="K5:K42" si="2">iferror(J5/I5,"-")</f>
        <v>-</v>
      </c>
      <c r="L5" s="55">
        <f>IFERROR(__xludf.DUMMYFUNCTION("iferror(AVERAGE(query(filter('Saline Comp Data Recording'!G:G,'Saline Comp Data Recording'!C:C=B5), ""Select Col1"")),""0.00"")"),0.0)</f>
        <v>0</v>
      </c>
      <c r="M5" s="53">
        <f>IFERROR(__xludf.DUMMYFUNCTION("iferror(MAX(query(filter('Saline Comp Data Recording'!G:G,'Saline Comp Data Recording'!C:C=B5), ""Select Col1"")),""-"")"),0.0)</f>
        <v>0</v>
      </c>
      <c r="N5" s="58">
        <f>IFERROR(__xludf.DUMMYFUNCTION("iferror(SUM(query(filter('Saline Comp Data Recording'!H:H,'Saline Comp Data Recording'!C:C=B5), ""Select Col1"")),""-"")"),0.0)</f>
        <v>0</v>
      </c>
      <c r="O5" s="59">
        <f>IFERROR(__xludf.DUMMYFUNCTION("iferror(SUM(query(filter('Saline Comp Data Recording'!I:I,'Saline Comp Data Recording'!C:C=B5), ""Select Col1"")),""-"")"),0.0)</f>
        <v>0</v>
      </c>
      <c r="P5" s="54" t="str">
        <f t="shared" ref="P5:P42" si="3">iferror(O5/N5,"-")</f>
        <v>-</v>
      </c>
      <c r="Q5" s="55">
        <f>IFERROR(__xludf.DUMMYFUNCTION("iferror(AVERAGE(query(filter('Saline Comp Data Recording'!I:I,'Saline Comp Data Recording'!C:C=B5), ""Select Col1"")),""0.00"")"),0.0)</f>
        <v>0</v>
      </c>
      <c r="R5" s="53">
        <f>IFERROR(__xludf.DUMMYFUNCTION("iferror(MAX(query(filter('Saline Comp Data Recording'!I:I,'Saline Comp Data Recording'!C:C=B5), ""Select Col1"")),""-"")"),0.0)</f>
        <v>0</v>
      </c>
      <c r="S5" s="58">
        <f>IFERROR(__xludf.DUMMYFUNCTION("iferror(SUM(query(filter('Saline Comp Data Recording'!J:J,'Saline Comp Data Recording'!C:C=B5), ""Select Col1"")),""-"")"),1.0)</f>
        <v>1</v>
      </c>
      <c r="T5" s="59">
        <f>IFERROR(__xludf.DUMMYFUNCTION("iferror(SUM(query(filter('Saline Comp Data Recording'!K:K,'Saline Comp Data Recording'!C:C=B5), ""Select Col1"")),""-"")"),0.0)</f>
        <v>0</v>
      </c>
      <c r="U5" s="54">
        <f t="shared" ref="U5:U42" si="4">iferror(T5/S5,"-")</f>
        <v>0</v>
      </c>
      <c r="V5" s="55">
        <f>IFERROR(__xludf.DUMMYFUNCTION("iferror(AVERAGE(query(filter('Saline Comp Data Recording'!K:K,'Saline Comp Data Recording'!C:C=B5), ""Select Col1"")),""-"")"),0.0)</f>
        <v>0</v>
      </c>
      <c r="W5" s="52">
        <f>IFERROR(__xludf.DUMMYFUNCTION("iferror(MAX(query(filter('Saline Comp Data Recording'!K:K,'Saline Comp Data Recording'!C:C=B5), ""Select Col1"")),""-"")"),0.0)</f>
        <v>0</v>
      </c>
      <c r="X5" s="59">
        <f>IFERROR(__xludf.DUMMYFUNCTION("iferror(SUM(query(filter('Saline Comp Data Recording'!L:L,'Saline Comp Data Recording'!C:C=B5), ""Select Col1"")),""-"")"),4.0)</f>
        <v>4</v>
      </c>
      <c r="Y5" s="59">
        <f>IFERROR(__xludf.DUMMYFUNCTION("iferror(SUM(query(filter('Saline Comp Data Recording'!M:M,'Saline Comp Data Recording'!C:C=B5), ""Select Col1"")),""-"")"),4.0)</f>
        <v>4</v>
      </c>
      <c r="Z5" s="54">
        <f t="shared" ref="Z5:Z42" si="5">Iferror(Y5/X5,"-")</f>
        <v>1</v>
      </c>
      <c r="AA5" s="55">
        <f>IFERROR(__xludf.DUMMYFUNCTION("iferror(AVERAGE(query(filter('Saline Comp Data Recording'!M:M,'Saline Comp Data Recording'!C:C=B5), ""Select Col1"")),""0.00"")"),0.8)</f>
        <v>0.8</v>
      </c>
      <c r="AB5" s="52">
        <f>IFERROR(__xludf.DUMMYFUNCTION("iferror(MAX(query(filter('Saline Comp Data Recording'!M:M,'Saline Comp Data Recording'!C:C=B5), ""Select Col1"")),""-"")"),1.0)</f>
        <v>1</v>
      </c>
      <c r="AC5" s="59">
        <f>IFERROR(__xludf.DUMMYFUNCTION("iferror(SUM(query(filter('Saline Comp Data Recording'!N:N,'Saline Comp Data Recording'!C:C=B5), ""Select Col1"")),""-"")"),0.0)</f>
        <v>0</v>
      </c>
      <c r="AD5" s="59">
        <f>IFERROR(__xludf.DUMMYFUNCTION("iferror(SUM(query(filter('Saline Comp Data Recording'!O:O,'Saline Comp Data Recording'!C:C=B5), ""Select Col1"")),""-"")"),0.0)</f>
        <v>0</v>
      </c>
      <c r="AE5" s="54" t="str">
        <f t="shared" ref="AE5:AE42" si="6">iferror(AD5/AC5,"-")</f>
        <v>-</v>
      </c>
      <c r="AF5" s="55">
        <f>IFERROR(__xludf.DUMMYFUNCTION("iferror(AVERAGE(query(filter('Saline Comp Data Recording'!O:O,'Saline Comp Data Recording'!C:C=B5), ""Select Col1"")),""0.00"")"),0.0)</f>
        <v>0</v>
      </c>
      <c r="AG5" s="59">
        <f>IFERROR(__xludf.DUMMYFUNCTION("iferror(MAX(query(filter('Saline Comp Data Recording'!O:O,'Saline Comp Data Recording'!C:C=B5), ""Select Col1"")),""-"")"),0.0)</f>
        <v>0</v>
      </c>
      <c r="AH5" s="58" t="str">
        <f>IFERROR(__xludf.DUMMYFUNCTION("if(countif(query(filter('Saline Comp Data Recording'!P:P,'Saline Comp Data Recording'!C:C=B5), ""Select Col1""),TRUE)=0,""0"",countif(query(filter('Saline Comp Data Recording'!P:P,'Saline Comp Data Recording'!C:C=B5), ""Select Col1""),TRUE)) &amp; ""/"" &amp; if("&amp;"COUNTA(query(ifna(filter('Saline Comp Data Recording'!P:P,'Saline Comp Data Recording'!C:C=B5),""""), ""Select Col1""))=0,""0"",COUNTA(query(ifna(filter('Saline Comp Data Recording'!P:P,'Saline Comp Data Recording'!C:C=B5),""""), ""Select Col1"")))"),"0/5")</f>
        <v>0/5</v>
      </c>
      <c r="AI5" s="60" t="str">
        <f>IFERROR(__xludf.DUMMYFUNCTION("if(countif(query(filter('Saline Comp Data Recording'!Q:Q,'Saline Comp Data Recording'!C:C=B5), ""Select Col1""),TRUE)=0,""0"",countif(query(filter('Saline Comp Data Recording'!Q:Q,'Saline Comp Data Recording'!C:C=B5), ""Select Col1""),TRUE)) &amp; ""/"" &amp; if("&amp;"COUNTA(query(ifna(filter('Saline Comp Data Recording'!Q:Q,'Saline Comp Data Recording'!C:C=B5),""""), ""Select Col1""))=0,""0"",COUNTA(query(ifna(filter('Saline Comp Data Recording'!Q:Q,'Saline Comp Data Recording'!C:C=B5),""""), ""Select Col1"")))"),"0/5")</f>
        <v>0/5</v>
      </c>
      <c r="AJ5" s="59">
        <f>IFERROR(__xludf.DUMMYFUNCTION("iferror(SUM(query(filter('Saline Comp Data Recording'!S:S,'Saline Comp Data Recording'!C:C=B5), ""Select Col1"")),""-"")"),0.0)</f>
        <v>0</v>
      </c>
      <c r="AK5" s="59">
        <f>IFERROR(__xludf.DUMMYFUNCTION("iferror(SUM(query(filter('Saline Comp Data Recording'!T:T,'Saline Comp Data Recording'!C:C=B5), ""Select Col1"")),""-"")"),0.0)</f>
        <v>0</v>
      </c>
      <c r="AL5" s="54" t="str">
        <f t="shared" ref="AL5:AL42" si="7">iferror(AK5/AJ5,"-")</f>
        <v>-</v>
      </c>
      <c r="AM5" s="55">
        <f>IFERROR(__xludf.DUMMYFUNCTION("iferror(AVERAGE(query(filter('Saline Comp Data Recording'!T:T,'Saline Comp Data Recording'!C:C=B5), ""Select Col1"")),""0.00"")"),0.0)</f>
        <v>0</v>
      </c>
      <c r="AN5" s="61">
        <f>IFERROR(__xludf.DUMMYFUNCTION("iferror(MAX(query(filter('Saline Comp Data Recording'!T:T,'Saline Comp Data Recording'!C:C=B5), ""Select Col1"")),""-"")"),0.0)</f>
        <v>0</v>
      </c>
      <c r="AO5" s="62">
        <f>IFERROR(__xludf.DUMMYFUNCTION("iferror(SUM(query(filter('Saline Comp Data Recording'!U:U,'Saline Comp Data Recording'!C:C=B5), ""Select Col1"")),""-"")"),13.0)</f>
        <v>13</v>
      </c>
      <c r="AP5" s="62">
        <f>IFERROR(__xludf.DUMMYFUNCTION("iferror(SUM(query(filter('Saline Comp Data Recording'!V:V,'Saline Comp Data Recording'!C:C=B5), ""Select Col1"")),""-"")"),12.0)</f>
        <v>12</v>
      </c>
      <c r="AQ5" s="63">
        <f t="shared" ref="AQ5:AQ42" si="8">iferror(AP5/AO5,"-")</f>
        <v>0.9230769231</v>
      </c>
      <c r="AR5" s="64">
        <f>IFERROR(__xludf.DUMMYFUNCTION("iferror(AVERAGE(query(filter('Saline Comp Data Recording'!V:V,'Saline Comp Data Recording'!C:C=B5), ""Select Col1"")),""0.00"")"),2.4)</f>
        <v>2.4</v>
      </c>
      <c r="AS5" s="65">
        <f>IFERROR(__xludf.DUMMYFUNCTION("iferror(MAX(query(filter('Saline Comp Data Recording'!V:V,'Saline Comp Data Recording'!C:C=B5), ""Select Col1"")),""-"")"),4.0)</f>
        <v>4</v>
      </c>
      <c r="AT5" s="62">
        <f>IFERROR(__xludf.DUMMYFUNCTION("iferror(SUM(query(filter('Saline Comp Data Recording'!W:W,'Saline Comp Data Recording'!C:C=B5), ""Select Col1"")),""-"")"),3.0)</f>
        <v>3</v>
      </c>
      <c r="AU5" s="62">
        <f>IFERROR(__xludf.DUMMYFUNCTION("iferror(SUM(query(filter('Saline Comp Data Recording'!X:X,'Saline Comp Data Recording'!C:C=B5), ""Select Col1"")),""-"")"),3.0)</f>
        <v>3</v>
      </c>
      <c r="AV5" s="63">
        <f t="shared" ref="AV5:AV42" si="9">iferror(AU5/AT5,"-")</f>
        <v>1</v>
      </c>
      <c r="AW5" s="64">
        <f>IFERROR(__xludf.DUMMYFUNCTION("iferror(AVERAGE(query(filter('Saline Comp Data Recording'!X:X,'Saline Comp Data Recording'!C:C=B5), ""Select Col1"")),""0.00"")"),0.6)</f>
        <v>0.6</v>
      </c>
      <c r="AX5" s="65">
        <f>IFERROR(__xludf.DUMMYFUNCTION("iferror(MAX(query(filter('Saline Comp Data Recording'!X:X,'Saline Comp Data Recording'!C:C=B5), ""Select Col1"")),""-"")"),3.0)</f>
        <v>3</v>
      </c>
      <c r="AY5" s="62">
        <f>IFERROR(__xludf.DUMMYFUNCTION("iferror(SUM(query(filter('Saline Comp Data Recording'!Y:Y,'Saline Comp Data Recording'!C:C=B5), ""Select Col1"")),""-"")"),0.0)</f>
        <v>0</v>
      </c>
      <c r="AZ5" s="62">
        <f>IFERROR(__xludf.DUMMYFUNCTION("iferror(SUM(query(filter('Saline Comp Data Recording'!Z:Z,'Saline Comp Data Recording'!C:C=B5), ""Select Col1"")),""-"")"),0.0)</f>
        <v>0</v>
      </c>
      <c r="BA5" s="63" t="str">
        <f t="shared" ref="BA5:BA42" si="10">iferror(AZ5/AY5,"-")</f>
        <v>-</v>
      </c>
      <c r="BB5" s="64">
        <f>IFERROR(__xludf.DUMMYFUNCTION("iferror(AVERAGE(query(filter('Saline Comp Data Recording'!Z:Z,'Saline Comp Data Recording'!C:C=B5), ""Select Col1"")),""0.00"")"),0.0)</f>
        <v>0</v>
      </c>
      <c r="BC5" s="65">
        <f>IFERROR(__xludf.DUMMYFUNCTION("iferror(MAX(query(filter('Saline Comp Data Recording'!Z:Z,'Saline Comp Data Recording'!C:C=B5), ""Select Col1"")),""-"")"),0.0)</f>
        <v>0</v>
      </c>
      <c r="BD5" s="62">
        <f>IFERROR(__xludf.DUMMYFUNCTION("iferror(SUM(query(filter('Saline Comp Data Recording'!AA:AA,'Saline Comp Data Recording'!C:C=B5), ""Select Col1"")),""-"")"),0.0)</f>
        <v>0</v>
      </c>
      <c r="BE5" s="62">
        <f>IFERROR(__xludf.DUMMYFUNCTION("iferror(SUM(query(filter('Saline Comp Data Recording'!AB:AB,'Saline Comp Data Recording'!C:C=B5), ""Select Col1"")),""-"")"),0.0)</f>
        <v>0</v>
      </c>
      <c r="BF5" s="63" t="str">
        <f t="shared" ref="BF5:BF42" si="11">iferror(BE5/BD5,"-")</f>
        <v>-</v>
      </c>
      <c r="BG5" s="64">
        <f>IFERROR(__xludf.DUMMYFUNCTION("iferror(AVERAGE(query(filter('Saline Comp Data Recording'!AB:AB,'Saline Comp Data Recording'!C:C=B5), ""Select Col1"")),""0.00"")"),0.0)</f>
        <v>0</v>
      </c>
      <c r="BH5" s="65">
        <f>IFERROR(__xludf.DUMMYFUNCTION("iferror(MAX(query(filter('Saline Comp Data Recording'!AB:AB,'Saline Comp Data Recording'!C:C=B5), ""Select Col1"")),""-"")"),0.0)</f>
        <v>0</v>
      </c>
      <c r="BI5" s="62">
        <f>IFERROR(__xludf.DUMMYFUNCTION("iferror(SUM(query(filter('Saline Comp Data Recording'!AC:AC,'Saline Comp Data Recording'!C:C=B5), ""Select Col1"")),""-"")"),1.0)</f>
        <v>1</v>
      </c>
      <c r="BJ5" s="62">
        <f>IFERROR(__xludf.DUMMYFUNCTION("iferror(SUM(query(filter('Saline Comp Data Recording'!AD:AD,'Saline Comp Data Recording'!C:C=B5), ""Select Col1"")),""-"")"),1.0)</f>
        <v>1</v>
      </c>
      <c r="BK5" s="63">
        <f t="shared" ref="BK5:BK42" si="12">iferror(BJ5/BI5,"-")</f>
        <v>1</v>
      </c>
      <c r="BL5" s="64">
        <f>IFERROR(__xludf.DUMMYFUNCTION("iferror(AVERAGE(query(filter('Saline Comp Data Recording'!AD:AD,'Saline Comp Data Recording'!C:C=B5), ""Select Col1"")),""0.00"")"),0.2)</f>
        <v>0.2</v>
      </c>
      <c r="BM5" s="65">
        <f>IFERROR(__xludf.DUMMYFUNCTION("iferror(MAX(query(filter('Saline Comp Data Recording'!AD:AD,'Saline Comp Data Recording'!C:C=B5), ""Select Col1"")),""-"")"),1.0)</f>
        <v>1</v>
      </c>
      <c r="BN5" s="66" t="str">
        <f>IFERROR(__xludf.DUMMYFUNCTION("if(countif(query(filter('Saline Comp Data Recording'!AE:AE,'Saline Comp Data Recording'!C:C=B5), ""Select Col1""),""TRUE"")=0,""0"",countif(query(filter('Saline Comp Data Recording'!AE:AE,'Saline Comp Data Recording'!C:C=B5), ""Select Col1""),""TRUE"")) &amp;"&amp;" ""/"" &amp; if(COUNTA(query(ifna(filter('Saline Comp Data Recording'!AE:AE,'Saline Comp Data Recording'!C:C=B5),""""), ""Select Col1""))=0,""0"",COUNTA(query(ifna(filter('Saline Comp Data Recording'!AE:AE,'Saline Comp Data Recording'!C:C=B5),""""), ""Select "&amp;"Col1"")))"),"0/5")</f>
        <v>0/5</v>
      </c>
      <c r="BO5" s="67" t="str">
        <f>IFERROR(__xludf.DUMMYFUNCTION("if(countif(query(filter('Saline Comp Data Recording'!AF:AF,'Saline Comp Data Recording'!C:C=B5), ""Select Col1""),""TRUE"")=0,""0"",countif(query(filter('Saline Comp Data Recording'!AF:AF,'Saline Comp Data Recording'!C:C=B5), ""Select Col1""),""TRUE"")) &amp;"&amp;" ""/"" &amp; if(COUNTA(query(ifna(filter('Saline Comp Data Recording'!AF:AF,'Saline Comp Data Recording'!C:C=B5),""""), ""Select Col1""))=0,""0"",COUNTA(query(ifna(filter('Saline Comp Data Recording'!AF:AF,'Saline Comp Data Recording'!C:C=B5),""""), ""Select "&amp;"Col1"")))"),"0/5")</f>
        <v>0/5</v>
      </c>
      <c r="BP5" s="60" t="str">
        <f>IFERROR(__xludf.DUMMYFUNCTION("if(countif(query(filter('Saline Comp Data Recording'!AI:AI,'Saline Comp Data Recording'!C:C=B5), ""Select Col1""),""TRUE"")=0,""0"",countif(query(filter('Saline Comp Data Recording'!AI:AI,'Saline Comp Data Recording'!C:C=B5), ""Select Col1""),""TRUE"")) &amp;"&amp;" ""/"" &amp; if(COUNTA(query(ifna(filter('Saline Comp Data Recording'!AI:AI,'Saline Comp Data Recording'!C:C=B5),""""), ""Select Col1""))=0,""0"",COUNTA(query(ifna(filter('Saline Comp Data Recording'!AI:AI,'Saline Comp Data Recording'!C:C=B5),""""), ""Select "&amp;"Col1"")))"),"0/5")</f>
        <v>0/5</v>
      </c>
      <c r="BQ5" s="55">
        <f>IFERROR(__xludf.DUMMYFUNCTION("iferror(average(query(filter('Saline Comp Data Recording'!AG:AG,'Saline Comp Data Recording'!C:C=B5), ""Select Col1"")),""-"")"),2.6)</f>
        <v>2.6</v>
      </c>
      <c r="BR5" s="69">
        <f>IFERROR(__xludf.DUMMYFUNCTION("iferror(average(query(filter('Saline Comp Data Recording'!AH:AH,'Saline Comp Data Recording'!C:C=B5), ""Select Col1"")),""-"")"),1.4)</f>
        <v>1.4</v>
      </c>
      <c r="BS5" s="70">
        <f>IFERROR(__xludf.DUMMYFUNCTION("iferror(AVERAGE(query(filter('Saline Comp Data Recording'!AK:AK,'Saline Comp Data Recording'!C:C=B5), ""Select Col1"")),""-"")"),15.0)</f>
        <v>15</v>
      </c>
      <c r="BT5" s="70">
        <f>IFERROR(__xludf.DUMMYFUNCTION("iferror(AVERAGE(query(filter('Saline Comp Data Recording'!AL:AL,'Saline Comp Data Recording'!C:C=B5), ""Select Col1"")),""-"")"),15.0)</f>
        <v>15</v>
      </c>
      <c r="BU5" s="71">
        <f>IFERROR(__xludf.DUMMYFUNCTION("iferror(max(query(filter('Saline Comp Data Recording'!AK:AK,'Saline Comp Data Recording'!C:C=B5), ""Select Col1"")),""-"")"),16.0)</f>
        <v>16</v>
      </c>
      <c r="BV5" s="72">
        <f>IFERROR(__xludf.DUMMYFUNCTION("iferror(MIN(query(filter('Saline Comp Data Recording'!AK:AK,'Saline Comp Data Recording'!C:C=B5), ""Select Col1"")),""-"")"),13.0)</f>
        <v>13</v>
      </c>
      <c r="BW5" s="73" t="str">
        <f>IFERROR(__xludf.DUMMYFUNCTION("iferror(if(DIVIDE(COUNTIF(query(filter('Saline Comp Data Recording'!P:P,'Saline Comp Data Recording'!C:C=B5), ""Select Col1""),TRUE),COUNTA(query(ifna(filter('Saline Comp Data Recording'!P:P,'Saline Comp Data Recording'!C:C=B5),""""), ""Select Col1"")))&gt;="&amp;"(0.5),""1"",""0""),""-"")"),"0")</f>
        <v>0</v>
      </c>
      <c r="BX5" s="59" t="str">
        <f>IFERROR(__xludf.DUMMYFUNCTION("iferror(if(countif(query(filter('Saline Comp Data Recording'!Q:Q,'Saline Comp Data Recording'!C:C=B5), ""Select Col1""),TRUE)/COUNTA(query(ifna(filter('Saline Comp Data Recording'!Q:Q,'Saline Comp Data Recording'!C:C=B5),""""), ""Select Col1""))&gt;=(0.5),"""&amp;"1"",""0""),""-"")"),"0")</f>
        <v>0</v>
      </c>
      <c r="BY5" s="74" t="str">
        <f>IFERROR(__xludf.DUMMYFUNCTION("iferror(if(DIVIDE(COUNTIF(query(filter('Saline Comp Data Recording'!AE:AE,'Saline Comp Data Recording'!C:C=B5), ""Select Col1""),TRUE),COUNTA(query(ifna(filter('Saline Comp Data Recording'!AE:AE,'Saline Comp Data Recording'!C:C=B5),""""), ""Select Col1"")"&amp;"))&gt;=(0.5),""1"",""0""),""-"")"),"0")</f>
        <v>0</v>
      </c>
      <c r="BZ5" s="59" t="str">
        <f>IFERROR(__xludf.DUMMYFUNCTION("iferror(if(countif(query(filter('Saline Comp Data Recording'!AF:AF,'Saline Comp Data Recording'!C:C=B5), ""Select Col1""),TRUE)/COUNTA(query(ifna(filter('Saline Comp Data Recording'!AF:AF,'Saline Comp Data Recording'!C:C=B5),""""), ""Select Col1""))&gt;=(0.5"&amp;"),""1"",""0""),""-"")"),"0")</f>
        <v>0</v>
      </c>
      <c r="CA5" s="74" t="str">
        <f>IFERROR(__xludf.DUMMYFUNCTION("iferror(if(DIVIDE(countif(query(filter('Saline Comp Data Recording'!R:R,'Saline Comp Data Recording'!C:C=B5), ""Select Col1""),TRUE),COUNTA(query(ifna(filter('Saline Comp Data Recording'!R:R,'Saline Comp Data Recording'!C:C=B5),""""), ""Select Col1"")))&gt;="&amp;"(0.5),""1"",""0""),""-"")"),"1")</f>
        <v>1</v>
      </c>
    </row>
    <row r="6">
      <c r="A6" s="51" t="s">
        <v>518</v>
      </c>
      <c r="B6" s="51">
        <v>7211.0</v>
      </c>
      <c r="C6" s="52" t="str">
        <f>IFERROR(__xludf.DUMMYFUNCTION("if(countif(query(filter('Saline Comp Data Recording'!R:R,'Saline Comp Data Recording'!C:C=B6), ""Select Col1""),""TRUE"")=0,""0"",countif(query(filter('Saline Comp Data Recording'!R:R,'Saline Comp Data Recording'!C:C=B6), ""Select Col1""),""TRUE"")) &amp; ""/"&amp;""" &amp; if(COUNTA(query(ifna(filter('Saline Comp Data Recording'!R:R,'Saline Comp Data Recording'!C:C=B6),""""), ""Select Col1""))=0,""0"",COUNTA(query(ifna(filter('Saline Comp Data Recording'!R:R,'Saline Comp Data Recording'!C:C=B6),""""), ""Select Col1""))"&amp;")"),"3/4")</f>
        <v>3/4</v>
      </c>
      <c r="D6" s="53">
        <f>IFERROR(__xludf.DUMMYFUNCTION("iferror(SUM(query(filter('Saline Comp Data Recording'!D:D,'Saline Comp Data Recording'!C:C=B6), ""Select Col1"")),""-"")"),1.0)</f>
        <v>1</v>
      </c>
      <c r="E6" s="53">
        <f>IFERROR(__xludf.DUMMYFUNCTION("iferror(SUM(query(filter('Saline Comp Data Recording'!E:E,'Saline Comp Data Recording'!C:C=B6), ""Select Col1"")),""-"")"),1.0)</f>
        <v>1</v>
      </c>
      <c r="F6" s="54">
        <f t="shared" si="1"/>
        <v>1</v>
      </c>
      <c r="G6" s="55">
        <f>IFERROR(__xludf.DUMMYFUNCTION("iferror(AVERAGE(query(filter('Saline Comp Data Recording'!E:E,'Saline Comp Data Recording'!C:C=B6), ""Select Col1"")),""0.00"")"),0.25)</f>
        <v>0.25</v>
      </c>
      <c r="H6" s="53">
        <f>IFERROR(__xludf.DUMMYFUNCTION("iferror(MAX(query(filter('Saline Comp Data Recording'!E:E,'Saline Comp Data Recording'!C:C=B6), ""Select Col1"")),""-"")"),1.0)</f>
        <v>1</v>
      </c>
      <c r="I6" s="56">
        <f>IFERROR(__xludf.DUMMYFUNCTION("iferror(SUM(query(filter('Saline Comp Data Recording'!F:F,'Saline Comp Data Recording'!C:C=B6), ""Select Col1"")),""-"")"),1.0)</f>
        <v>1</v>
      </c>
      <c r="J6" s="57">
        <f>IFERROR(__xludf.DUMMYFUNCTION("iferror(SUM(query(filter('Saline Comp Data Recording'!G:G,'Saline Comp Data Recording'!C:C=B6), ""Select Col1"")),""-"")"),1.0)</f>
        <v>1</v>
      </c>
      <c r="K6" s="54">
        <f t="shared" si="2"/>
        <v>1</v>
      </c>
      <c r="L6" s="55">
        <f>IFERROR(__xludf.DUMMYFUNCTION("iferror(AVERAGE(query(filter('Saline Comp Data Recording'!G:G,'Saline Comp Data Recording'!C:C=B6), ""Select Col1"")),""0.00"")"),0.25)</f>
        <v>0.25</v>
      </c>
      <c r="M6" s="53">
        <f>IFERROR(__xludf.DUMMYFUNCTION("iferror(MAX(query(filter('Saline Comp Data Recording'!G:G,'Saline Comp Data Recording'!C:C=B6), ""Select Col1"")),""-"")"),1.0)</f>
        <v>1</v>
      </c>
      <c r="N6" s="58">
        <f>IFERROR(__xludf.DUMMYFUNCTION("iferror(SUM(query(filter('Saline Comp Data Recording'!H:H,'Saline Comp Data Recording'!C:C=B6), ""Select Col1"")),""-"")"),0.0)</f>
        <v>0</v>
      </c>
      <c r="O6" s="59">
        <f>IFERROR(__xludf.DUMMYFUNCTION("iferror(SUM(query(filter('Saline Comp Data Recording'!I:I,'Saline Comp Data Recording'!C:C=B6), ""Select Col1"")),""-"")"),0.0)</f>
        <v>0</v>
      </c>
      <c r="P6" s="54" t="str">
        <f t="shared" si="3"/>
        <v>-</v>
      </c>
      <c r="Q6" s="55">
        <f>IFERROR(__xludf.DUMMYFUNCTION("iferror(AVERAGE(query(filter('Saline Comp Data Recording'!I:I,'Saline Comp Data Recording'!C:C=B6), ""Select Col1"")),""0.00"")"),0.0)</f>
        <v>0</v>
      </c>
      <c r="R6" s="53">
        <f>IFERROR(__xludf.DUMMYFUNCTION("iferror(MAX(query(filter('Saline Comp Data Recording'!I:I,'Saline Comp Data Recording'!C:C=B6), ""Select Col1"")),""-"")"),0.0)</f>
        <v>0</v>
      </c>
      <c r="S6" s="58">
        <f>IFERROR(__xludf.DUMMYFUNCTION("iferror(SUM(query(filter('Saline Comp Data Recording'!J:J,'Saline Comp Data Recording'!C:C=B6), ""Select Col1"")),""-"")"),4.0)</f>
        <v>4</v>
      </c>
      <c r="T6" s="59">
        <f>IFERROR(__xludf.DUMMYFUNCTION("iferror(SUM(query(filter('Saline Comp Data Recording'!K:K,'Saline Comp Data Recording'!C:C=B6), ""Select Col1"")),""-"")"),2.0)</f>
        <v>2</v>
      </c>
      <c r="U6" s="54">
        <f t="shared" si="4"/>
        <v>0.5</v>
      </c>
      <c r="V6" s="55">
        <f>IFERROR(__xludf.DUMMYFUNCTION("iferror(AVERAGE(query(filter('Saline Comp Data Recording'!K:K,'Saline Comp Data Recording'!C:C=B6), ""Select Col1"")),""-"")"),0.5)</f>
        <v>0.5</v>
      </c>
      <c r="W6" s="52">
        <f>IFERROR(__xludf.DUMMYFUNCTION("iferror(MAX(query(filter('Saline Comp Data Recording'!K:K,'Saline Comp Data Recording'!C:C=B6), ""Select Col1"")),""-"")"),1.0)</f>
        <v>1</v>
      </c>
      <c r="X6" s="59">
        <f>IFERROR(__xludf.DUMMYFUNCTION("iferror(SUM(query(filter('Saline Comp Data Recording'!L:L,'Saline Comp Data Recording'!C:C=B6), ""Select Col1"")),""-"")"),0.0)</f>
        <v>0</v>
      </c>
      <c r="Y6" s="59">
        <f>IFERROR(__xludf.DUMMYFUNCTION("iferror(SUM(query(filter('Saline Comp Data Recording'!M:M,'Saline Comp Data Recording'!C:C=B6), ""Select Col1"")),""-"")"),0.0)</f>
        <v>0</v>
      </c>
      <c r="Z6" s="54" t="str">
        <f t="shared" si="5"/>
        <v>-</v>
      </c>
      <c r="AA6" s="55">
        <f>IFERROR(__xludf.DUMMYFUNCTION("iferror(AVERAGE(query(filter('Saline Comp Data Recording'!M:M,'Saline Comp Data Recording'!C:C=B6), ""Select Col1"")),""0.00"")"),0.0)</f>
        <v>0</v>
      </c>
      <c r="AB6" s="52">
        <f>IFERROR(__xludf.DUMMYFUNCTION("iferror(MAX(query(filter('Saline Comp Data Recording'!M:M,'Saline Comp Data Recording'!C:C=B6), ""Select Col1"")),""-"")"),0.0)</f>
        <v>0</v>
      </c>
      <c r="AC6" s="59">
        <f>IFERROR(__xludf.DUMMYFUNCTION("iferror(SUM(query(filter('Saline Comp Data Recording'!N:N,'Saline Comp Data Recording'!C:C=B6), ""Select Col1"")),""-"")"),0.0)</f>
        <v>0</v>
      </c>
      <c r="AD6" s="59">
        <f>IFERROR(__xludf.DUMMYFUNCTION("iferror(SUM(query(filter('Saline Comp Data Recording'!O:O,'Saline Comp Data Recording'!C:C=B6), ""Select Col1"")),""-"")"),0.0)</f>
        <v>0</v>
      </c>
      <c r="AE6" s="54" t="str">
        <f t="shared" si="6"/>
        <v>-</v>
      </c>
      <c r="AF6" s="55">
        <f>IFERROR(__xludf.DUMMYFUNCTION("iferror(AVERAGE(query(filter('Saline Comp Data Recording'!O:O,'Saline Comp Data Recording'!C:C=B6), ""Select Col1"")),""0.00"")"),0.0)</f>
        <v>0</v>
      </c>
      <c r="AG6" s="59">
        <f>IFERROR(__xludf.DUMMYFUNCTION("iferror(MAX(query(filter('Saline Comp Data Recording'!O:O,'Saline Comp Data Recording'!C:C=B6), ""Select Col1"")),""-"")"),0.0)</f>
        <v>0</v>
      </c>
      <c r="AH6" s="58" t="str">
        <f>IFERROR(__xludf.DUMMYFUNCTION("if(countif(query(filter('Saline Comp Data Recording'!P:P,'Saline Comp Data Recording'!C:C=B6), ""Select Col1""),TRUE)=0,""0"",countif(query(filter('Saline Comp Data Recording'!P:P,'Saline Comp Data Recording'!C:C=B6), ""Select Col1""),TRUE)) &amp; ""/"" &amp; if("&amp;"COUNTA(query(ifna(filter('Saline Comp Data Recording'!P:P,'Saline Comp Data Recording'!C:C=B6),""""), ""Select Col1""))=0,""0"",COUNTA(query(ifna(filter('Saline Comp Data Recording'!P:P,'Saline Comp Data Recording'!C:C=B6),""""), ""Select Col1"")))"),"0/4")</f>
        <v>0/4</v>
      </c>
      <c r="AI6" s="60" t="str">
        <f>IFERROR(__xludf.DUMMYFUNCTION("if(countif(query(filter('Saline Comp Data Recording'!Q:Q,'Saline Comp Data Recording'!C:C=B6), ""Select Col1""),TRUE)=0,""0"",countif(query(filter('Saline Comp Data Recording'!Q:Q,'Saline Comp Data Recording'!C:C=B6), ""Select Col1""),TRUE)) &amp; ""/"" &amp; if("&amp;"COUNTA(query(ifna(filter('Saline Comp Data Recording'!Q:Q,'Saline Comp Data Recording'!C:C=B6),""""), ""Select Col1""))=0,""0"",COUNTA(query(ifna(filter('Saline Comp Data Recording'!Q:Q,'Saline Comp Data Recording'!C:C=B6),""""), ""Select Col1"")))"),"0/4")</f>
        <v>0/4</v>
      </c>
      <c r="AJ6" s="59">
        <f>IFERROR(__xludf.DUMMYFUNCTION("iferror(SUM(query(filter('Saline Comp Data Recording'!S:S,'Saline Comp Data Recording'!C:C=B6), ""Select Col1"")),""-"")"),7.0)</f>
        <v>7</v>
      </c>
      <c r="AK6" s="59">
        <f>IFERROR(__xludf.DUMMYFUNCTION("iferror(SUM(query(filter('Saline Comp Data Recording'!T:T,'Saline Comp Data Recording'!C:C=B6), ""Select Col1"")),""-"")"),7.0)</f>
        <v>7</v>
      </c>
      <c r="AL6" s="54">
        <f t="shared" si="7"/>
        <v>1</v>
      </c>
      <c r="AM6" s="55">
        <f>IFERROR(__xludf.DUMMYFUNCTION("iferror(AVERAGE(query(filter('Saline Comp Data Recording'!T:T,'Saline Comp Data Recording'!C:C=B6), ""Select Col1"")),""0.00"")"),1.75)</f>
        <v>1.75</v>
      </c>
      <c r="AN6" s="61">
        <f>IFERROR(__xludf.DUMMYFUNCTION("iferror(MAX(query(filter('Saline Comp Data Recording'!T:T,'Saline Comp Data Recording'!C:C=B6), ""Select Col1"")),""-"")"),3.0)</f>
        <v>3</v>
      </c>
      <c r="AO6" s="62">
        <f>IFERROR(__xludf.DUMMYFUNCTION("iferror(SUM(query(filter('Saline Comp Data Recording'!U:U,'Saline Comp Data Recording'!C:C=B6), ""Select Col1"")),""-"")"),10.0)</f>
        <v>10</v>
      </c>
      <c r="AP6" s="62">
        <f>IFERROR(__xludf.DUMMYFUNCTION("iferror(SUM(query(filter('Saline Comp Data Recording'!V:V,'Saline Comp Data Recording'!C:C=B6), ""Select Col1"")),""-"")"),9.0)</f>
        <v>9</v>
      </c>
      <c r="AQ6" s="63">
        <f t="shared" si="8"/>
        <v>0.9</v>
      </c>
      <c r="AR6" s="64">
        <f>IFERROR(__xludf.DUMMYFUNCTION("iferror(AVERAGE(query(filter('Saline Comp Data Recording'!V:V,'Saline Comp Data Recording'!C:C=B6), ""Select Col1"")),""0.00"")"),2.25)</f>
        <v>2.25</v>
      </c>
      <c r="AS6" s="65">
        <f>IFERROR(__xludf.DUMMYFUNCTION("iferror(MAX(query(filter('Saline Comp Data Recording'!V:V,'Saline Comp Data Recording'!C:C=B6), ""Select Col1"")),""-"")"),4.0)</f>
        <v>4</v>
      </c>
      <c r="AT6" s="62">
        <f>IFERROR(__xludf.DUMMYFUNCTION("iferror(SUM(query(filter('Saline Comp Data Recording'!W:W,'Saline Comp Data Recording'!C:C=B6), ""Select Col1"")),""-"")"),0.0)</f>
        <v>0</v>
      </c>
      <c r="AU6" s="62">
        <f>IFERROR(__xludf.DUMMYFUNCTION("iferror(SUM(query(filter('Saline Comp Data Recording'!X:X,'Saline Comp Data Recording'!C:C=B6), ""Select Col1"")),""-"")"),0.0)</f>
        <v>0</v>
      </c>
      <c r="AV6" s="63" t="str">
        <f t="shared" si="9"/>
        <v>-</v>
      </c>
      <c r="AW6" s="64">
        <f>IFERROR(__xludf.DUMMYFUNCTION("iferror(AVERAGE(query(filter('Saline Comp Data Recording'!X:X,'Saline Comp Data Recording'!C:C=B6), ""Select Col1"")),""0.00"")"),0.0)</f>
        <v>0</v>
      </c>
      <c r="AX6" s="65">
        <f>IFERROR(__xludf.DUMMYFUNCTION("iferror(MAX(query(filter('Saline Comp Data Recording'!X:X,'Saline Comp Data Recording'!C:C=B6), ""Select Col1"")),""-"")"),0.0)</f>
        <v>0</v>
      </c>
      <c r="AY6" s="62">
        <f>IFERROR(__xludf.DUMMYFUNCTION("iferror(SUM(query(filter('Saline Comp Data Recording'!Y:Y,'Saline Comp Data Recording'!C:C=B6), ""Select Col1"")),""-"")"),2.0)</f>
        <v>2</v>
      </c>
      <c r="AZ6" s="62">
        <f>IFERROR(__xludf.DUMMYFUNCTION("iferror(SUM(query(filter('Saline Comp Data Recording'!Z:Z,'Saline Comp Data Recording'!C:C=B6), ""Select Col1"")),""-"")"),2.0)</f>
        <v>2</v>
      </c>
      <c r="BA6" s="63">
        <f t="shared" si="10"/>
        <v>1</v>
      </c>
      <c r="BB6" s="64">
        <f>IFERROR(__xludf.DUMMYFUNCTION("iferror(AVERAGE(query(filter('Saline Comp Data Recording'!Z:Z,'Saline Comp Data Recording'!C:C=B6), ""Select Col1"")),""0.00"")"),0.5)</f>
        <v>0.5</v>
      </c>
      <c r="BC6" s="65">
        <f>IFERROR(__xludf.DUMMYFUNCTION("iferror(MAX(query(filter('Saline Comp Data Recording'!Z:Z,'Saline Comp Data Recording'!C:C=B6), ""Select Col1"")),""-"")"),1.0)</f>
        <v>1</v>
      </c>
      <c r="BD6" s="62">
        <f>IFERROR(__xludf.DUMMYFUNCTION("iferror(SUM(query(filter('Saline Comp Data Recording'!AA:AA,'Saline Comp Data Recording'!C:C=B6), ""Select Col1"")),""-"")"),0.0)</f>
        <v>0</v>
      </c>
      <c r="BE6" s="62">
        <f>IFERROR(__xludf.DUMMYFUNCTION("iferror(SUM(query(filter('Saline Comp Data Recording'!AB:AB,'Saline Comp Data Recording'!C:C=B6), ""Select Col1"")),""-"")"),0.0)</f>
        <v>0</v>
      </c>
      <c r="BF6" s="63" t="str">
        <f t="shared" si="11"/>
        <v>-</v>
      </c>
      <c r="BG6" s="64">
        <f>IFERROR(__xludf.DUMMYFUNCTION("iferror(AVERAGE(query(filter('Saline Comp Data Recording'!AB:AB,'Saline Comp Data Recording'!C:C=B6), ""Select Col1"")),""0.00"")"),0.0)</f>
        <v>0</v>
      </c>
      <c r="BH6" s="65">
        <f>IFERROR(__xludf.DUMMYFUNCTION("iferror(MAX(query(filter('Saline Comp Data Recording'!AB:AB,'Saline Comp Data Recording'!C:C=B6), ""Select Col1"")),""-"")"),0.0)</f>
        <v>0</v>
      </c>
      <c r="BI6" s="62">
        <f>IFERROR(__xludf.DUMMYFUNCTION("iferror(SUM(query(filter('Saline Comp Data Recording'!AC:AC,'Saline Comp Data Recording'!C:C=B6), ""Select Col1"")),""-"")"),0.0)</f>
        <v>0</v>
      </c>
      <c r="BJ6" s="62">
        <f>IFERROR(__xludf.DUMMYFUNCTION("iferror(SUM(query(filter('Saline Comp Data Recording'!AD:AD,'Saline Comp Data Recording'!C:C=B6), ""Select Col1"")),""-"")"),0.0)</f>
        <v>0</v>
      </c>
      <c r="BK6" s="63" t="str">
        <f t="shared" si="12"/>
        <v>-</v>
      </c>
      <c r="BL6" s="64">
        <f>IFERROR(__xludf.DUMMYFUNCTION("iferror(AVERAGE(query(filter('Saline Comp Data Recording'!AD:AD,'Saline Comp Data Recording'!C:C=B6), ""Select Col1"")),""0.00"")"),0.0)</f>
        <v>0</v>
      </c>
      <c r="BM6" s="65">
        <f>IFERROR(__xludf.DUMMYFUNCTION("iferror(MAX(query(filter('Saline Comp Data Recording'!AD:AD,'Saline Comp Data Recording'!C:C=B6), ""Select Col1"")),""-"")"),0.0)</f>
        <v>0</v>
      </c>
      <c r="BN6" s="66" t="str">
        <f>IFERROR(__xludf.DUMMYFUNCTION("if(countif(query(filter('Saline Comp Data Recording'!AE:AE,'Saline Comp Data Recording'!C:C=B6), ""Select Col1""),""TRUE"")=0,""0"",countif(query(filter('Saline Comp Data Recording'!AE:AE,'Saline Comp Data Recording'!C:C=B6), ""Select Col1""),""TRUE"")) &amp;"&amp;" ""/"" &amp; if(COUNTA(query(ifna(filter('Saline Comp Data Recording'!AE:AE,'Saline Comp Data Recording'!C:C=B6),""""), ""Select Col1""))=0,""0"",COUNTA(query(ifna(filter('Saline Comp Data Recording'!AE:AE,'Saline Comp Data Recording'!C:C=B6),""""), ""Select "&amp;"Col1"")))"),"0/4")</f>
        <v>0/4</v>
      </c>
      <c r="BO6" s="67" t="str">
        <f>IFERROR(__xludf.DUMMYFUNCTION("if(countif(query(filter('Saline Comp Data Recording'!AF:AF,'Saline Comp Data Recording'!C:C=B6), ""Select Col1""),""TRUE"")=0,""0"",countif(query(filter('Saline Comp Data Recording'!AF:AF,'Saline Comp Data Recording'!C:C=B6), ""Select Col1""),""TRUE"")) &amp;"&amp;" ""/"" &amp; if(COUNTA(query(ifna(filter('Saline Comp Data Recording'!AF:AF,'Saline Comp Data Recording'!C:C=B6),""""), ""Select Col1""))=0,""0"",COUNTA(query(ifna(filter('Saline Comp Data Recording'!AF:AF,'Saline Comp Data Recording'!C:C=B6),""""), ""Select "&amp;"Col1"")))"),"0/4")</f>
        <v>0/4</v>
      </c>
      <c r="BP6" s="60" t="str">
        <f>IFERROR(__xludf.DUMMYFUNCTION("if(countif(query(filter('Saline Comp Data Recording'!AI:AI,'Saline Comp Data Recording'!C:C=B6), ""Select Col1""),""TRUE"")=0,""0"",countif(query(filter('Saline Comp Data Recording'!AI:AI,'Saline Comp Data Recording'!C:C=B6), ""Select Col1""),""TRUE"")) &amp;"&amp;" ""/"" &amp; if(COUNTA(query(ifna(filter('Saline Comp Data Recording'!AI:AI,'Saline Comp Data Recording'!C:C=B6),""""), ""Select Col1""))=0,""0"",COUNTA(query(ifna(filter('Saline Comp Data Recording'!AI:AI,'Saline Comp Data Recording'!C:C=B6),""""), ""Select "&amp;"Col1"")))"),"0/4")</f>
        <v>0/4</v>
      </c>
      <c r="BQ6" s="55">
        <f>IFERROR(__xludf.DUMMYFUNCTION("iferror(average(query(filter('Saline Comp Data Recording'!AG:AG,'Saline Comp Data Recording'!C:C=B6), ""Select Col1"")),""-"")"),3.5)</f>
        <v>3.5</v>
      </c>
      <c r="BR6" s="69">
        <f>IFERROR(__xludf.DUMMYFUNCTION("iferror(average(query(filter('Saline Comp Data Recording'!AH:AH,'Saline Comp Data Recording'!C:C=B6), ""Select Col1"")),""-"")"),1.25)</f>
        <v>1.25</v>
      </c>
      <c r="BS6" s="70">
        <f>IFERROR(__xludf.DUMMYFUNCTION("iferror(AVERAGE(query(filter('Saline Comp Data Recording'!AK:AK,'Saline Comp Data Recording'!C:C=B6), ""Select Col1"")),""-"")"),25.75)</f>
        <v>25.75</v>
      </c>
      <c r="BT6" s="70">
        <f>IFERROR(__xludf.DUMMYFUNCTION("iferror(AVERAGE(query(filter('Saline Comp Data Recording'!AL:AL,'Saline Comp Data Recording'!C:C=B6), ""Select Col1"")),""-"")"),25.75)</f>
        <v>25.75</v>
      </c>
      <c r="BU6" s="71">
        <f>IFERROR(__xludf.DUMMYFUNCTION("iferror(max(query(filter('Saline Comp Data Recording'!AK:AK,'Saline Comp Data Recording'!C:C=B6), ""Select Col1"")),""-"")"),30.0)</f>
        <v>30</v>
      </c>
      <c r="BV6" s="72">
        <f>IFERROR(__xludf.DUMMYFUNCTION("iferror(MIN(query(filter('Saline Comp Data Recording'!AK:AK,'Saline Comp Data Recording'!C:C=B6), ""Select Col1"")),""-"")"),19.0)</f>
        <v>19</v>
      </c>
      <c r="BW6" s="73" t="str">
        <f>IFERROR(__xludf.DUMMYFUNCTION("iferror(if(DIVIDE(COUNTIF(query(filter('Saline Comp Data Recording'!P:P,'Saline Comp Data Recording'!C:C=B6), ""Select Col1""),TRUE),COUNTA(query(ifna(filter('Saline Comp Data Recording'!P:P,'Saline Comp Data Recording'!C:C=B6),""""), ""Select Col1"")))&gt;="&amp;"(0.5),""1"",""0""),""-"")"),"0")</f>
        <v>0</v>
      </c>
      <c r="BX6" s="59" t="str">
        <f>IFERROR(__xludf.DUMMYFUNCTION("iferror(if(countif(query(filter('Saline Comp Data Recording'!Q:Q,'Saline Comp Data Recording'!C:C=B6), ""Select Col1""),TRUE)/COUNTA(query(ifna(filter('Saline Comp Data Recording'!Q:Q,'Saline Comp Data Recording'!C:C=B6),""""), ""Select Col1""))&gt;=(0.5),"""&amp;"1"",""0""),""-"")"),"0")</f>
        <v>0</v>
      </c>
      <c r="BY6" s="74" t="str">
        <f>IFERROR(__xludf.DUMMYFUNCTION("iferror(if(DIVIDE(COUNTIF(query(filter('Saline Comp Data Recording'!AE:AE,'Saline Comp Data Recording'!C:C=B6), ""Select Col1""),TRUE),COUNTA(query(ifna(filter('Saline Comp Data Recording'!AE:AE,'Saline Comp Data Recording'!C:C=B6),""""), ""Select Col1"")"&amp;"))&gt;=(0.5),""1"",""0""),""-"")"),"0")</f>
        <v>0</v>
      </c>
      <c r="BZ6" s="59" t="str">
        <f>IFERROR(__xludf.DUMMYFUNCTION("iferror(if(countif(query(filter('Saline Comp Data Recording'!AF:AF,'Saline Comp Data Recording'!C:C=B6), ""Select Col1""),TRUE)/COUNTA(query(ifna(filter('Saline Comp Data Recording'!AF:AF,'Saline Comp Data Recording'!C:C=B6),""""), ""Select Col1""))&gt;=(0.5"&amp;"),""1"",""0""),""-"")"),"0")</f>
        <v>0</v>
      </c>
      <c r="CA6" s="74" t="str">
        <f>IFERROR(__xludf.DUMMYFUNCTION("iferror(if(DIVIDE(countif(query(filter('Saline Comp Data Recording'!R:R,'Saline Comp Data Recording'!C:C=B6), ""Select Col1""),TRUE),COUNTA(query(ifna(filter('Saline Comp Data Recording'!R:R,'Saline Comp Data Recording'!C:C=B6),""""), ""Select Col1"")))&gt;="&amp;"(0.5),""1"",""0""),""-"")"),"1")</f>
        <v>1</v>
      </c>
    </row>
    <row r="7">
      <c r="A7" s="51" t="s">
        <v>519</v>
      </c>
      <c r="B7" s="51">
        <v>33.0</v>
      </c>
      <c r="C7" s="52" t="str">
        <f>IFERROR(__xludf.DUMMYFUNCTION("if(countif(query(filter('Saline Comp Data Recording'!R:R,'Saline Comp Data Recording'!C:C=B7), ""Select Col1""),""TRUE"")=0,""0"",countif(query(filter('Saline Comp Data Recording'!R:R,'Saline Comp Data Recording'!C:C=B7), ""Select Col1""),""TRUE"")) &amp; ""/"&amp;""" &amp; if(COUNTA(query(ifna(filter('Saline Comp Data Recording'!R:R,'Saline Comp Data Recording'!C:C=B7),""""), ""Select Col1""))=0,""0"",COUNTA(query(ifna(filter('Saline Comp Data Recording'!R:R,'Saline Comp Data Recording'!C:C=B7),""""), ""Select Col1""))"&amp;")"),"3/4")</f>
        <v>3/4</v>
      </c>
      <c r="D7" s="53">
        <f>IFERROR(__xludf.DUMMYFUNCTION("iferror(SUM(query(filter('Saline Comp Data Recording'!D:D,'Saline Comp Data Recording'!C:C=B7), ""Select Col1"")),""-"")"),3.0)</f>
        <v>3</v>
      </c>
      <c r="E7" s="53">
        <f>IFERROR(__xludf.DUMMYFUNCTION("iferror(SUM(query(filter('Saline Comp Data Recording'!E:E,'Saline Comp Data Recording'!C:C=B7), ""Select Col1"")),""-"")"),3.0)</f>
        <v>3</v>
      </c>
      <c r="F7" s="54">
        <f t="shared" si="1"/>
        <v>1</v>
      </c>
      <c r="G7" s="55">
        <f>IFERROR(__xludf.DUMMYFUNCTION("iferror(AVERAGE(query(filter('Saline Comp Data Recording'!E:E,'Saline Comp Data Recording'!C:C=B7), ""Select Col1"")),""0.00"")"),0.75)</f>
        <v>0.75</v>
      </c>
      <c r="H7" s="53">
        <f>IFERROR(__xludf.DUMMYFUNCTION("iferror(MAX(query(filter('Saline Comp Data Recording'!E:E,'Saline Comp Data Recording'!C:C=B7), ""Select Col1"")),""-"")"),1.0)</f>
        <v>1</v>
      </c>
      <c r="I7" s="56">
        <f>IFERROR(__xludf.DUMMYFUNCTION("iferror(SUM(query(filter('Saline Comp Data Recording'!F:F,'Saline Comp Data Recording'!C:C=B7), ""Select Col1"")),""-"")"),0.0)</f>
        <v>0</v>
      </c>
      <c r="J7" s="57">
        <f>IFERROR(__xludf.DUMMYFUNCTION("iferror(SUM(query(filter('Saline Comp Data Recording'!G:G,'Saline Comp Data Recording'!C:C=B7), ""Select Col1"")),""-"")"),0.0)</f>
        <v>0</v>
      </c>
      <c r="K7" s="54" t="str">
        <f t="shared" si="2"/>
        <v>-</v>
      </c>
      <c r="L7" s="55">
        <f>IFERROR(__xludf.DUMMYFUNCTION("iferror(AVERAGE(query(filter('Saline Comp Data Recording'!G:G,'Saline Comp Data Recording'!C:C=B7), ""Select Col1"")),""0.00"")"),0.0)</f>
        <v>0</v>
      </c>
      <c r="M7" s="53">
        <f>IFERROR(__xludf.DUMMYFUNCTION("iferror(MAX(query(filter('Saline Comp Data Recording'!G:G,'Saline Comp Data Recording'!C:C=B7), ""Select Col1"")),""-"")"),0.0)</f>
        <v>0</v>
      </c>
      <c r="N7" s="58">
        <f>IFERROR(__xludf.DUMMYFUNCTION("iferror(SUM(query(filter('Saline Comp Data Recording'!H:H,'Saline Comp Data Recording'!C:C=B7), ""Select Col1"")),""-"")"),0.0)</f>
        <v>0</v>
      </c>
      <c r="O7" s="59">
        <f>IFERROR(__xludf.DUMMYFUNCTION("iferror(SUM(query(filter('Saline Comp Data Recording'!I:I,'Saline Comp Data Recording'!C:C=B7), ""Select Col1"")),""-"")"),0.0)</f>
        <v>0</v>
      </c>
      <c r="P7" s="54" t="str">
        <f t="shared" si="3"/>
        <v>-</v>
      </c>
      <c r="Q7" s="55">
        <f>IFERROR(__xludf.DUMMYFUNCTION("iferror(AVERAGE(query(filter('Saline Comp Data Recording'!I:I,'Saline Comp Data Recording'!C:C=B7), ""Select Col1"")),""0.00"")"),0.0)</f>
        <v>0</v>
      </c>
      <c r="R7" s="53">
        <f>IFERROR(__xludf.DUMMYFUNCTION("iferror(MAX(query(filter('Saline Comp Data Recording'!I:I,'Saline Comp Data Recording'!C:C=B7), ""Select Col1"")),""-"")"),0.0)</f>
        <v>0</v>
      </c>
      <c r="S7" s="58">
        <f>IFERROR(__xludf.DUMMYFUNCTION("iferror(SUM(query(filter('Saline Comp Data Recording'!J:J,'Saline Comp Data Recording'!C:C=B7), ""Select Col1"")),""-"")"),2.0)</f>
        <v>2</v>
      </c>
      <c r="T7" s="59">
        <f>IFERROR(__xludf.DUMMYFUNCTION("iferror(SUM(query(filter('Saline Comp Data Recording'!K:K,'Saline Comp Data Recording'!C:C=B7), ""Select Col1"")),""-"")"),1.0)</f>
        <v>1</v>
      </c>
      <c r="U7" s="54">
        <f t="shared" si="4"/>
        <v>0.5</v>
      </c>
      <c r="V7" s="55">
        <f>IFERROR(__xludf.DUMMYFUNCTION("iferror(AVERAGE(query(filter('Saline Comp Data Recording'!K:K,'Saline Comp Data Recording'!C:C=B7), ""Select Col1"")),""-"")"),0.25)</f>
        <v>0.25</v>
      </c>
      <c r="W7" s="52">
        <f>IFERROR(__xludf.DUMMYFUNCTION("iferror(MAX(query(filter('Saline Comp Data Recording'!K:K,'Saline Comp Data Recording'!C:C=B7), ""Select Col1"")),""-"")"),1.0)</f>
        <v>1</v>
      </c>
      <c r="X7" s="59">
        <f>IFERROR(__xludf.DUMMYFUNCTION("iferror(SUM(query(filter('Saline Comp Data Recording'!L:L,'Saline Comp Data Recording'!C:C=B7), ""Select Col1"")),""-"")"),1.0)</f>
        <v>1</v>
      </c>
      <c r="Y7" s="59">
        <f>IFERROR(__xludf.DUMMYFUNCTION("iferror(SUM(query(filter('Saline Comp Data Recording'!M:M,'Saline Comp Data Recording'!C:C=B7), ""Select Col1"")),""-"")"),1.0)</f>
        <v>1</v>
      </c>
      <c r="Z7" s="54">
        <f t="shared" si="5"/>
        <v>1</v>
      </c>
      <c r="AA7" s="55">
        <f>IFERROR(__xludf.DUMMYFUNCTION("iferror(AVERAGE(query(filter('Saline Comp Data Recording'!M:M,'Saline Comp Data Recording'!C:C=B7), ""Select Col1"")),""0.00"")"),0.25)</f>
        <v>0.25</v>
      </c>
      <c r="AB7" s="52">
        <f>IFERROR(__xludf.DUMMYFUNCTION("iferror(MAX(query(filter('Saline Comp Data Recording'!M:M,'Saline Comp Data Recording'!C:C=B7), ""Select Col1"")),""-"")"),1.0)</f>
        <v>1</v>
      </c>
      <c r="AC7" s="59">
        <f>IFERROR(__xludf.DUMMYFUNCTION("iferror(SUM(query(filter('Saline Comp Data Recording'!N:N,'Saline Comp Data Recording'!C:C=B7), ""Select Col1"")),""-"")"),2.0)</f>
        <v>2</v>
      </c>
      <c r="AD7" s="59">
        <f>IFERROR(__xludf.DUMMYFUNCTION("iferror(SUM(query(filter('Saline Comp Data Recording'!O:O,'Saline Comp Data Recording'!C:C=B7), ""Select Col1"")),""-"")"),2.0)</f>
        <v>2</v>
      </c>
      <c r="AE7" s="54">
        <f t="shared" si="6"/>
        <v>1</v>
      </c>
      <c r="AF7" s="55">
        <f>IFERROR(__xludf.DUMMYFUNCTION("iferror(AVERAGE(query(filter('Saline Comp Data Recording'!O:O,'Saline Comp Data Recording'!C:C=B7), ""Select Col1"")),""0.00"")"),0.5)</f>
        <v>0.5</v>
      </c>
      <c r="AG7" s="59">
        <f>IFERROR(__xludf.DUMMYFUNCTION("iferror(MAX(query(filter('Saline Comp Data Recording'!O:O,'Saline Comp Data Recording'!C:C=B7), ""Select Col1"")),""-"")"),2.0)</f>
        <v>2</v>
      </c>
      <c r="AH7" s="58" t="str">
        <f>IFERROR(__xludf.DUMMYFUNCTION("if(countif(query(filter('Saline Comp Data Recording'!P:P,'Saline Comp Data Recording'!C:C=B7), ""Select Col1""),TRUE)=0,""0"",countif(query(filter('Saline Comp Data Recording'!P:P,'Saline Comp Data Recording'!C:C=B7), ""Select Col1""),TRUE)) &amp; ""/"" &amp; if("&amp;"COUNTA(query(ifna(filter('Saline Comp Data Recording'!P:P,'Saline Comp Data Recording'!C:C=B7),""""), ""Select Col1""))=0,""0"",COUNTA(query(ifna(filter('Saline Comp Data Recording'!P:P,'Saline Comp Data Recording'!C:C=B7),""""), ""Select Col1"")))"),"0/4")</f>
        <v>0/4</v>
      </c>
      <c r="AI7" s="60" t="str">
        <f>IFERROR(__xludf.DUMMYFUNCTION("if(countif(query(filter('Saline Comp Data Recording'!Q:Q,'Saline Comp Data Recording'!C:C=B7), ""Select Col1""),TRUE)=0,""0"",countif(query(filter('Saline Comp Data Recording'!Q:Q,'Saline Comp Data Recording'!C:C=B7), ""Select Col1""),TRUE)) &amp; ""/"" &amp; if("&amp;"COUNTA(query(ifna(filter('Saline Comp Data Recording'!Q:Q,'Saline Comp Data Recording'!C:C=B7),""""), ""Select Col1""))=0,""0"",COUNTA(query(ifna(filter('Saline Comp Data Recording'!Q:Q,'Saline Comp Data Recording'!C:C=B7),""""), ""Select Col1"")))"),"1/4")</f>
        <v>1/4</v>
      </c>
      <c r="AJ7" s="59">
        <f>IFERROR(__xludf.DUMMYFUNCTION("iferror(SUM(query(filter('Saline Comp Data Recording'!S:S,'Saline Comp Data Recording'!C:C=B7), ""Select Col1"")),""-"")"),12.0)</f>
        <v>12</v>
      </c>
      <c r="AK7" s="59">
        <f>IFERROR(__xludf.DUMMYFUNCTION("iferror(SUM(query(filter('Saline Comp Data Recording'!T:T,'Saline Comp Data Recording'!C:C=B7), ""Select Col1"")),""-"")"),12.0)</f>
        <v>12</v>
      </c>
      <c r="AL7" s="54">
        <f t="shared" si="7"/>
        <v>1</v>
      </c>
      <c r="AM7" s="55">
        <f>IFERROR(__xludf.DUMMYFUNCTION("iferror(AVERAGE(query(filter('Saline Comp Data Recording'!T:T,'Saline Comp Data Recording'!C:C=B7), ""Select Col1"")),""0.00"")"),3.0)</f>
        <v>3</v>
      </c>
      <c r="AN7" s="61">
        <f>IFERROR(__xludf.DUMMYFUNCTION("iferror(MAX(query(filter('Saline Comp Data Recording'!T:T,'Saline Comp Data Recording'!C:C=B7), ""Select Col1"")),""-"")"),4.0)</f>
        <v>4</v>
      </c>
      <c r="AO7" s="62">
        <f>IFERROR(__xludf.DUMMYFUNCTION("iferror(SUM(query(filter('Saline Comp Data Recording'!U:U,'Saline Comp Data Recording'!C:C=B7), ""Select Col1"")),""-"")"),8.0)</f>
        <v>8</v>
      </c>
      <c r="AP7" s="62">
        <f>IFERROR(__xludf.DUMMYFUNCTION("iferror(SUM(query(filter('Saline Comp Data Recording'!V:V,'Saline Comp Data Recording'!C:C=B7), ""Select Col1"")),""-"")"),8.0)</f>
        <v>8</v>
      </c>
      <c r="AQ7" s="63">
        <f t="shared" si="8"/>
        <v>1</v>
      </c>
      <c r="AR7" s="64">
        <f>IFERROR(__xludf.DUMMYFUNCTION("iferror(AVERAGE(query(filter('Saline Comp Data Recording'!V:V,'Saline Comp Data Recording'!C:C=B7), ""Select Col1"")),""0.00"")"),2.0)</f>
        <v>2</v>
      </c>
      <c r="AS7" s="65">
        <f>IFERROR(__xludf.DUMMYFUNCTION("iferror(MAX(query(filter('Saline Comp Data Recording'!V:V,'Saline Comp Data Recording'!C:C=B7), ""Select Col1"")),""-"")"),3.0)</f>
        <v>3</v>
      </c>
      <c r="AT7" s="62">
        <f>IFERROR(__xludf.DUMMYFUNCTION("iferror(SUM(query(filter('Saline Comp Data Recording'!W:W,'Saline Comp Data Recording'!C:C=B7), ""Select Col1"")),""-"")"),1.0)</f>
        <v>1</v>
      </c>
      <c r="AU7" s="62">
        <f>IFERROR(__xludf.DUMMYFUNCTION("iferror(SUM(query(filter('Saline Comp Data Recording'!X:X,'Saline Comp Data Recording'!C:C=B7), ""Select Col1"")),""-"")"),1.0)</f>
        <v>1</v>
      </c>
      <c r="AV7" s="63">
        <f t="shared" si="9"/>
        <v>1</v>
      </c>
      <c r="AW7" s="64">
        <f>IFERROR(__xludf.DUMMYFUNCTION("iferror(AVERAGE(query(filter('Saline Comp Data Recording'!X:X,'Saline Comp Data Recording'!C:C=B7), ""Select Col1"")),""0.00"")"),0.25)</f>
        <v>0.25</v>
      </c>
      <c r="AX7" s="65">
        <f>IFERROR(__xludf.DUMMYFUNCTION("iferror(MAX(query(filter('Saline Comp Data Recording'!X:X,'Saline Comp Data Recording'!C:C=B7), ""Select Col1"")),""-"")"),1.0)</f>
        <v>1</v>
      </c>
      <c r="AY7" s="62">
        <f>IFERROR(__xludf.DUMMYFUNCTION("iferror(SUM(query(filter('Saline Comp Data Recording'!Y:Y,'Saline Comp Data Recording'!C:C=B7), ""Select Col1"")),""-"")"),1.0)</f>
        <v>1</v>
      </c>
      <c r="AZ7" s="62">
        <f>IFERROR(__xludf.DUMMYFUNCTION("iferror(SUM(query(filter('Saline Comp Data Recording'!Z:Z,'Saline Comp Data Recording'!C:C=B7), ""Select Col1"")),""-"")"),1.0)</f>
        <v>1</v>
      </c>
      <c r="BA7" s="63">
        <f t="shared" si="10"/>
        <v>1</v>
      </c>
      <c r="BB7" s="64">
        <f>IFERROR(__xludf.DUMMYFUNCTION("iferror(AVERAGE(query(filter('Saline Comp Data Recording'!Z:Z,'Saline Comp Data Recording'!C:C=B7), ""Select Col1"")),""0.00"")"),0.25)</f>
        <v>0.25</v>
      </c>
      <c r="BC7" s="65">
        <f>IFERROR(__xludf.DUMMYFUNCTION("iferror(MAX(query(filter('Saline Comp Data Recording'!Z:Z,'Saline Comp Data Recording'!C:C=B7), ""Select Col1"")),""-"")"),1.0)</f>
        <v>1</v>
      </c>
      <c r="BD7" s="62">
        <f>IFERROR(__xludf.DUMMYFUNCTION("iferror(SUM(query(filter('Saline Comp Data Recording'!AA:AA,'Saline Comp Data Recording'!C:C=B7), ""Select Col1"")),""-"")"),0.0)</f>
        <v>0</v>
      </c>
      <c r="BE7" s="62">
        <f>IFERROR(__xludf.DUMMYFUNCTION("iferror(SUM(query(filter('Saline Comp Data Recording'!AB:AB,'Saline Comp Data Recording'!C:C=B7), ""Select Col1"")),""-"")"),0.0)</f>
        <v>0</v>
      </c>
      <c r="BF7" s="63" t="str">
        <f t="shared" si="11"/>
        <v>-</v>
      </c>
      <c r="BG7" s="64">
        <f>IFERROR(__xludf.DUMMYFUNCTION("iferror(AVERAGE(query(filter('Saline Comp Data Recording'!AB:AB,'Saline Comp Data Recording'!C:C=B7), ""Select Col1"")),""0.00"")"),0.0)</f>
        <v>0</v>
      </c>
      <c r="BH7" s="65">
        <f>IFERROR(__xludf.DUMMYFUNCTION("iferror(MAX(query(filter('Saline Comp Data Recording'!AB:AB,'Saline Comp Data Recording'!C:C=B7), ""Select Col1"")),""-"")"),0.0)</f>
        <v>0</v>
      </c>
      <c r="BI7" s="62">
        <f>IFERROR(__xludf.DUMMYFUNCTION("iferror(SUM(query(filter('Saline Comp Data Recording'!AC:AC,'Saline Comp Data Recording'!C:C=B7), ""Select Col1"")),""-"")"),1.0)</f>
        <v>1</v>
      </c>
      <c r="BJ7" s="62">
        <f>IFERROR(__xludf.DUMMYFUNCTION("iferror(SUM(query(filter('Saline Comp Data Recording'!AD:AD,'Saline Comp Data Recording'!C:C=B7), ""Select Col1"")),""-"")"),1.0)</f>
        <v>1</v>
      </c>
      <c r="BK7" s="63">
        <f t="shared" si="12"/>
        <v>1</v>
      </c>
      <c r="BL7" s="64">
        <f>IFERROR(__xludf.DUMMYFUNCTION("iferror(AVERAGE(query(filter('Saline Comp Data Recording'!AD:AD,'Saline Comp Data Recording'!C:C=B7), ""Select Col1"")),""0.00"")"),0.25)</f>
        <v>0.25</v>
      </c>
      <c r="BM7" s="65">
        <f>IFERROR(__xludf.DUMMYFUNCTION("iferror(MAX(query(filter('Saline Comp Data Recording'!AD:AD,'Saline Comp Data Recording'!C:C=B7), ""Select Col1"")),""-"")"),1.0)</f>
        <v>1</v>
      </c>
      <c r="BN7" s="66" t="str">
        <f>IFERROR(__xludf.DUMMYFUNCTION("if(countif(query(filter('Saline Comp Data Recording'!AE:AE,'Saline Comp Data Recording'!C:C=B7), ""Select Col1""),""TRUE"")=0,""0"",countif(query(filter('Saline Comp Data Recording'!AE:AE,'Saline Comp Data Recording'!C:C=B7), ""Select Col1""),""TRUE"")) &amp;"&amp;" ""/"" &amp; if(COUNTA(query(ifna(filter('Saline Comp Data Recording'!AE:AE,'Saline Comp Data Recording'!C:C=B7),""""), ""Select Col1""))=0,""0"",COUNTA(query(ifna(filter('Saline Comp Data Recording'!AE:AE,'Saline Comp Data Recording'!C:C=B7),""""), ""Select "&amp;"Col1"")))"),"0/4")</f>
        <v>0/4</v>
      </c>
      <c r="BO7" s="67" t="str">
        <f>IFERROR(__xludf.DUMMYFUNCTION("if(countif(query(filter('Saline Comp Data Recording'!AF:AF,'Saline Comp Data Recording'!C:C=B7), ""Select Col1""),""TRUE"")=0,""0"",countif(query(filter('Saline Comp Data Recording'!AF:AF,'Saline Comp Data Recording'!C:C=B7), ""Select Col1""),""TRUE"")) &amp;"&amp;" ""/"" &amp; if(COUNTA(query(ifna(filter('Saline Comp Data Recording'!AF:AF,'Saline Comp Data Recording'!C:C=B7),""""), ""Select Col1""))=0,""0"",COUNTA(query(ifna(filter('Saline Comp Data Recording'!AF:AF,'Saline Comp Data Recording'!C:C=B7),""""), ""Select "&amp;"Col1"")))"),"1/4")</f>
        <v>1/4</v>
      </c>
      <c r="BP7" s="60" t="str">
        <f>IFERROR(__xludf.DUMMYFUNCTION("if(countif(query(filter('Saline Comp Data Recording'!AI:AI,'Saline Comp Data Recording'!C:C=B7), ""Select Col1""),""TRUE"")=0,""0"",countif(query(filter('Saline Comp Data Recording'!AI:AI,'Saline Comp Data Recording'!C:C=B7), ""Select Col1""),""TRUE"")) &amp;"&amp;" ""/"" &amp; if(COUNTA(query(ifna(filter('Saline Comp Data Recording'!AI:AI,'Saline Comp Data Recording'!C:C=B7),""""), ""Select Col1""))=0,""0"",COUNTA(query(ifna(filter('Saline Comp Data Recording'!AI:AI,'Saline Comp Data Recording'!C:C=B7),""""), ""Select "&amp;"Col1"")))"),"0/4")</f>
        <v>0/4</v>
      </c>
      <c r="BQ7" s="55">
        <f>IFERROR(__xludf.DUMMYFUNCTION("iferror(average(query(filter('Saline Comp Data Recording'!AG:AG,'Saline Comp Data Recording'!C:C=B7), ""Select Col1"")),""-"")"),4.75)</f>
        <v>4.75</v>
      </c>
      <c r="BR7" s="69">
        <f>IFERROR(__xludf.DUMMYFUNCTION("iferror(average(query(filter('Saline Comp Data Recording'!AH:AH,'Saline Comp Data Recording'!C:C=B7), ""Select Col1"")),""-"")"),1.5)</f>
        <v>1.5</v>
      </c>
      <c r="BS7" s="70">
        <f>IFERROR(__xludf.DUMMYFUNCTION("iferror(AVERAGE(query(filter('Saline Comp Data Recording'!AK:AK,'Saline Comp Data Recording'!C:C=B7), ""Select Col1"")),""-"")"),34.0)</f>
        <v>34</v>
      </c>
      <c r="BT7" s="70">
        <f>IFERROR(__xludf.DUMMYFUNCTION("iferror(AVERAGE(query(filter('Saline Comp Data Recording'!AL:AL,'Saline Comp Data Recording'!C:C=B7), ""Select Col1"")),""-"")"),34.0)</f>
        <v>34</v>
      </c>
      <c r="BU7" s="71">
        <f>IFERROR(__xludf.DUMMYFUNCTION("iferror(max(query(filter('Saline Comp Data Recording'!AK:AK,'Saline Comp Data Recording'!C:C=B7), ""Select Col1"")),""-"")"),37.0)</f>
        <v>37</v>
      </c>
      <c r="BV7" s="72">
        <f>IFERROR(__xludf.DUMMYFUNCTION("iferror(MIN(query(filter('Saline Comp Data Recording'!AK:AK,'Saline Comp Data Recording'!C:C=B7), ""Select Col1"")),""-"")"),31.0)</f>
        <v>31</v>
      </c>
      <c r="BW7" s="73" t="str">
        <f>IFERROR(__xludf.DUMMYFUNCTION("iferror(if(DIVIDE(COUNTIF(query(filter('Saline Comp Data Recording'!P:P,'Saline Comp Data Recording'!C:C=B7), ""Select Col1""),TRUE),COUNTA(query(ifna(filter('Saline Comp Data Recording'!P:P,'Saline Comp Data Recording'!C:C=B7),""""), ""Select Col1"")))&gt;="&amp;"(0.5),""1"",""0""),""-"")"),"0")</f>
        <v>0</v>
      </c>
      <c r="BX7" s="59" t="str">
        <f>IFERROR(__xludf.DUMMYFUNCTION("iferror(if(countif(query(filter('Saline Comp Data Recording'!Q:Q,'Saline Comp Data Recording'!C:C=B7), ""Select Col1""),TRUE)/COUNTA(query(ifna(filter('Saline Comp Data Recording'!Q:Q,'Saline Comp Data Recording'!C:C=B7),""""), ""Select Col1""))&gt;=(0.5),"""&amp;"1"",""0""),""-"")"),"0")</f>
        <v>0</v>
      </c>
      <c r="BY7" s="74" t="str">
        <f>IFERROR(__xludf.DUMMYFUNCTION("iferror(if(DIVIDE(COUNTIF(query(filter('Saline Comp Data Recording'!AE:AE,'Saline Comp Data Recording'!C:C=B7), ""Select Col1""),TRUE),COUNTA(query(ifna(filter('Saline Comp Data Recording'!AE:AE,'Saline Comp Data Recording'!C:C=B7),""""), ""Select Col1"")"&amp;"))&gt;=(0.5),""1"",""0""),""-"")"),"0")</f>
        <v>0</v>
      </c>
      <c r="BZ7" s="59" t="str">
        <f>IFERROR(__xludf.DUMMYFUNCTION("iferror(if(countif(query(filter('Saline Comp Data Recording'!AF:AF,'Saline Comp Data Recording'!C:C=B7), ""Select Col1""),TRUE)/COUNTA(query(ifna(filter('Saline Comp Data Recording'!AF:AF,'Saline Comp Data Recording'!C:C=B7),""""), ""Select Col1""))&gt;=(0.5"&amp;"),""1"",""0""),""-"")"),"0")</f>
        <v>0</v>
      </c>
      <c r="CA7" s="74" t="str">
        <f>IFERROR(__xludf.DUMMYFUNCTION("iferror(if(DIVIDE(countif(query(filter('Saline Comp Data Recording'!R:R,'Saline Comp Data Recording'!C:C=B7), ""Select Col1""),TRUE),COUNTA(query(ifna(filter('Saline Comp Data Recording'!R:R,'Saline Comp Data Recording'!C:C=B7),""""), ""Select Col1"")))&gt;="&amp;"(0.5),""1"",""0""),""-"")"),"1")</f>
        <v>1</v>
      </c>
    </row>
    <row r="8">
      <c r="A8" s="51" t="s">
        <v>520</v>
      </c>
      <c r="B8" s="51">
        <v>245.0</v>
      </c>
      <c r="C8" s="52" t="str">
        <f>IFERROR(__xludf.DUMMYFUNCTION("if(countif(query(filter('Saline Comp Data Recording'!R:R,'Saline Comp Data Recording'!C:C=B8), ""Select Col1""),""TRUE"")=0,""0"",countif(query(filter('Saline Comp Data Recording'!R:R,'Saline Comp Data Recording'!C:C=B8), ""Select Col1""),""TRUE"")) &amp; ""/"&amp;""" &amp; if(COUNTA(query(ifna(filter('Saline Comp Data Recording'!R:R,'Saline Comp Data Recording'!C:C=B8),""""), ""Select Col1""))=0,""0"",COUNTA(query(ifna(filter('Saline Comp Data Recording'!R:R,'Saline Comp Data Recording'!C:C=B8),""""), ""Select Col1""))"&amp;")"),"5/5")</f>
        <v>5/5</v>
      </c>
      <c r="D8" s="53">
        <f>IFERROR(__xludf.DUMMYFUNCTION("iferror(SUM(query(filter('Saline Comp Data Recording'!D:D,'Saline Comp Data Recording'!C:C=B8), ""Select Col1"")),""-"")"),2.0)</f>
        <v>2</v>
      </c>
      <c r="E8" s="53">
        <f>IFERROR(__xludf.DUMMYFUNCTION("iferror(SUM(query(filter('Saline Comp Data Recording'!E:E,'Saline Comp Data Recording'!C:C=B8), ""Select Col1"")),""-"")"),2.0)</f>
        <v>2</v>
      </c>
      <c r="F8" s="54">
        <f t="shared" si="1"/>
        <v>1</v>
      </c>
      <c r="G8" s="55">
        <f>IFERROR(__xludf.DUMMYFUNCTION("iferror(AVERAGE(query(filter('Saline Comp Data Recording'!E:E,'Saline Comp Data Recording'!C:C=B8), ""Select Col1"")),""0.00"")"),0.4)</f>
        <v>0.4</v>
      </c>
      <c r="H8" s="53">
        <f>IFERROR(__xludf.DUMMYFUNCTION("iferror(MAX(query(filter('Saline Comp Data Recording'!E:E,'Saline Comp Data Recording'!C:C=B8), ""Select Col1"")),""-"")"),1.0)</f>
        <v>1</v>
      </c>
      <c r="I8" s="56">
        <f>IFERROR(__xludf.DUMMYFUNCTION("iferror(SUM(query(filter('Saline Comp Data Recording'!F:F,'Saline Comp Data Recording'!C:C=B8), ""Select Col1"")),""-"")"),0.0)</f>
        <v>0</v>
      </c>
      <c r="J8" s="57">
        <f>IFERROR(__xludf.DUMMYFUNCTION("iferror(SUM(query(filter('Saline Comp Data Recording'!G:G,'Saline Comp Data Recording'!C:C=B8), ""Select Col1"")),""-"")"),0.0)</f>
        <v>0</v>
      </c>
      <c r="K8" s="54" t="str">
        <f t="shared" si="2"/>
        <v>-</v>
      </c>
      <c r="L8" s="55">
        <f>IFERROR(__xludf.DUMMYFUNCTION("iferror(AVERAGE(query(filter('Saline Comp Data Recording'!G:G,'Saline Comp Data Recording'!C:C=B8), ""Select Col1"")),""0.00"")"),0.0)</f>
        <v>0</v>
      </c>
      <c r="M8" s="53">
        <f>IFERROR(__xludf.DUMMYFUNCTION("iferror(MAX(query(filter('Saline Comp Data Recording'!G:G,'Saline Comp Data Recording'!C:C=B8), ""Select Col1"")),""-"")"),0.0)</f>
        <v>0</v>
      </c>
      <c r="N8" s="58">
        <f>IFERROR(__xludf.DUMMYFUNCTION("iferror(SUM(query(filter('Saline Comp Data Recording'!H:H,'Saline Comp Data Recording'!C:C=B8), ""Select Col1"")),""-"")"),0.0)</f>
        <v>0</v>
      </c>
      <c r="O8" s="59">
        <f>IFERROR(__xludf.DUMMYFUNCTION("iferror(SUM(query(filter('Saline Comp Data Recording'!I:I,'Saline Comp Data Recording'!C:C=B8), ""Select Col1"")),""-"")"),0.0)</f>
        <v>0</v>
      </c>
      <c r="P8" s="54" t="str">
        <f t="shared" si="3"/>
        <v>-</v>
      </c>
      <c r="Q8" s="55">
        <f>IFERROR(__xludf.DUMMYFUNCTION("iferror(AVERAGE(query(filter('Saline Comp Data Recording'!I:I,'Saline Comp Data Recording'!C:C=B8), ""Select Col1"")),""0.00"")"),0.0)</f>
        <v>0</v>
      </c>
      <c r="R8" s="53">
        <f>IFERROR(__xludf.DUMMYFUNCTION("iferror(MAX(query(filter('Saline Comp Data Recording'!I:I,'Saline Comp Data Recording'!C:C=B8), ""Select Col1"")),""-"")"),0.0)</f>
        <v>0</v>
      </c>
      <c r="S8" s="58">
        <f>IFERROR(__xludf.DUMMYFUNCTION("iferror(SUM(query(filter('Saline Comp Data Recording'!J:J,'Saline Comp Data Recording'!C:C=B8), ""Select Col1"")),""-"")"),5.0)</f>
        <v>5</v>
      </c>
      <c r="T8" s="59">
        <f>IFERROR(__xludf.DUMMYFUNCTION("iferror(SUM(query(filter('Saline Comp Data Recording'!K:K,'Saline Comp Data Recording'!C:C=B8), ""Select Col1"")),""-"")"),4.0)</f>
        <v>4</v>
      </c>
      <c r="U8" s="54">
        <f t="shared" si="4"/>
        <v>0.8</v>
      </c>
      <c r="V8" s="55">
        <f>IFERROR(__xludf.DUMMYFUNCTION("iferror(AVERAGE(query(filter('Saline Comp Data Recording'!K:K,'Saline Comp Data Recording'!C:C=B8), ""Select Col1"")),""-"")"),0.8)</f>
        <v>0.8</v>
      </c>
      <c r="W8" s="52">
        <f>IFERROR(__xludf.DUMMYFUNCTION("iferror(MAX(query(filter('Saline Comp Data Recording'!K:K,'Saline Comp Data Recording'!C:C=B8), ""Select Col1"")),""-"")"),1.0)</f>
        <v>1</v>
      </c>
      <c r="X8" s="59">
        <f>IFERROR(__xludf.DUMMYFUNCTION("iferror(SUM(query(filter('Saline Comp Data Recording'!L:L,'Saline Comp Data Recording'!C:C=B8), ""Select Col1"")),""-"")"),0.0)</f>
        <v>0</v>
      </c>
      <c r="Y8" s="59">
        <f>IFERROR(__xludf.DUMMYFUNCTION("iferror(SUM(query(filter('Saline Comp Data Recording'!M:M,'Saline Comp Data Recording'!C:C=B8), ""Select Col1"")),""-"")"),0.0)</f>
        <v>0</v>
      </c>
      <c r="Z8" s="54" t="str">
        <f t="shared" si="5"/>
        <v>-</v>
      </c>
      <c r="AA8" s="55">
        <f>IFERROR(__xludf.DUMMYFUNCTION("iferror(AVERAGE(query(filter('Saline Comp Data Recording'!M:M,'Saline Comp Data Recording'!C:C=B8), ""Select Col1"")),""0.00"")"),0.0)</f>
        <v>0</v>
      </c>
      <c r="AB8" s="52">
        <f>IFERROR(__xludf.DUMMYFUNCTION("iferror(MAX(query(filter('Saline Comp Data Recording'!M:M,'Saline Comp Data Recording'!C:C=B8), ""Select Col1"")),""-"")"),0.0)</f>
        <v>0</v>
      </c>
      <c r="AC8" s="59">
        <f>IFERROR(__xludf.DUMMYFUNCTION("iferror(SUM(query(filter('Saline Comp Data Recording'!N:N,'Saline Comp Data Recording'!C:C=B8), ""Select Col1"")),""-"")"),0.0)</f>
        <v>0</v>
      </c>
      <c r="AD8" s="59">
        <f>IFERROR(__xludf.DUMMYFUNCTION("iferror(SUM(query(filter('Saline Comp Data Recording'!O:O,'Saline Comp Data Recording'!C:C=B8), ""Select Col1"")),""-"")"),0.0)</f>
        <v>0</v>
      </c>
      <c r="AE8" s="54" t="str">
        <f t="shared" si="6"/>
        <v>-</v>
      </c>
      <c r="AF8" s="55">
        <f>IFERROR(__xludf.DUMMYFUNCTION("iferror(AVERAGE(query(filter('Saline Comp Data Recording'!O:O,'Saline Comp Data Recording'!C:C=B8), ""Select Col1"")),""0.00"")"),0.0)</f>
        <v>0</v>
      </c>
      <c r="AG8" s="59">
        <f>IFERROR(__xludf.DUMMYFUNCTION("iferror(MAX(query(filter('Saline Comp Data Recording'!O:O,'Saline Comp Data Recording'!C:C=B8), ""Select Col1"")),""-"")"),0.0)</f>
        <v>0</v>
      </c>
      <c r="AH8" s="58" t="str">
        <f>IFERROR(__xludf.DUMMYFUNCTION("if(countif(query(filter('Saline Comp Data Recording'!P:P,'Saline Comp Data Recording'!C:C=B8), ""Select Col1""),TRUE)=0,""0"",countif(query(filter('Saline Comp Data Recording'!P:P,'Saline Comp Data Recording'!C:C=B8), ""Select Col1""),TRUE)) &amp; ""/"" &amp; if("&amp;"COUNTA(query(ifna(filter('Saline Comp Data Recording'!P:P,'Saline Comp Data Recording'!C:C=B8),""""), ""Select Col1""))=0,""0"",COUNTA(query(ifna(filter('Saline Comp Data Recording'!P:P,'Saline Comp Data Recording'!C:C=B8),""""), ""Select Col1"")))"),"1/5")</f>
        <v>1/5</v>
      </c>
      <c r="AI8" s="60" t="str">
        <f>IFERROR(__xludf.DUMMYFUNCTION("if(countif(query(filter('Saline Comp Data Recording'!Q:Q,'Saline Comp Data Recording'!C:C=B8), ""Select Col1""),TRUE)=0,""0"",countif(query(filter('Saline Comp Data Recording'!Q:Q,'Saline Comp Data Recording'!C:C=B8), ""Select Col1""),TRUE)) &amp; ""/"" &amp; if("&amp;"COUNTA(query(ifna(filter('Saline Comp Data Recording'!Q:Q,'Saline Comp Data Recording'!C:C=B8),""""), ""Select Col1""))=0,""0"",COUNTA(query(ifna(filter('Saline Comp Data Recording'!Q:Q,'Saline Comp Data Recording'!C:C=B8),""""), ""Select Col1"")))"),"2/5")</f>
        <v>2/5</v>
      </c>
      <c r="AJ8" s="59">
        <f>IFERROR(__xludf.DUMMYFUNCTION("iferror(SUM(query(filter('Saline Comp Data Recording'!S:S,'Saline Comp Data Recording'!C:C=B8), ""Select Col1"")),""-"")"),9.0)</f>
        <v>9</v>
      </c>
      <c r="AK8" s="59">
        <f>IFERROR(__xludf.DUMMYFUNCTION("iferror(SUM(query(filter('Saline Comp Data Recording'!T:T,'Saline Comp Data Recording'!C:C=B8), ""Select Col1"")),""-"")"),9.0)</f>
        <v>9</v>
      </c>
      <c r="AL8" s="54">
        <f t="shared" si="7"/>
        <v>1</v>
      </c>
      <c r="AM8" s="55">
        <f>IFERROR(__xludf.DUMMYFUNCTION("iferror(AVERAGE(query(filter('Saline Comp Data Recording'!T:T,'Saline Comp Data Recording'!C:C=B8), ""Select Col1"")),""0.00"")"),1.8)</f>
        <v>1.8</v>
      </c>
      <c r="AN8" s="61">
        <f>IFERROR(__xludf.DUMMYFUNCTION("iferror(MAX(query(filter('Saline Comp Data Recording'!T:T,'Saline Comp Data Recording'!C:C=B8), ""Select Col1"")),""-"")"),2.0)</f>
        <v>2</v>
      </c>
      <c r="AO8" s="62">
        <f>IFERROR(__xludf.DUMMYFUNCTION("iferror(SUM(query(filter('Saline Comp Data Recording'!U:U,'Saline Comp Data Recording'!C:C=B8), ""Select Col1"")),""-"")"),6.0)</f>
        <v>6</v>
      </c>
      <c r="AP8" s="62">
        <f>IFERROR(__xludf.DUMMYFUNCTION("iferror(SUM(query(filter('Saline Comp Data Recording'!V:V,'Saline Comp Data Recording'!C:C=B8), ""Select Col1"")),""-"")"),6.0)</f>
        <v>6</v>
      </c>
      <c r="AQ8" s="63">
        <f t="shared" si="8"/>
        <v>1</v>
      </c>
      <c r="AR8" s="64">
        <f>IFERROR(__xludf.DUMMYFUNCTION("iferror(AVERAGE(query(filter('Saline Comp Data Recording'!V:V,'Saline Comp Data Recording'!C:C=B8), ""Select Col1"")),""0.00"")"),1.2)</f>
        <v>1.2</v>
      </c>
      <c r="AS8" s="65">
        <f>IFERROR(__xludf.DUMMYFUNCTION("iferror(MAX(query(filter('Saline Comp Data Recording'!V:V,'Saline Comp Data Recording'!C:C=B8), ""Select Col1"")),""-"")"),2.0)</f>
        <v>2</v>
      </c>
      <c r="AT8" s="62">
        <f>IFERROR(__xludf.DUMMYFUNCTION("iferror(SUM(query(filter('Saline Comp Data Recording'!W:W,'Saline Comp Data Recording'!C:C=B8), ""Select Col1"")),""-"")"),1.0)</f>
        <v>1</v>
      </c>
      <c r="AU8" s="62">
        <f>IFERROR(__xludf.DUMMYFUNCTION("iferror(SUM(query(filter('Saline Comp Data Recording'!X:X,'Saline Comp Data Recording'!C:C=B8), ""Select Col1"")),""-"")"),1.0)</f>
        <v>1</v>
      </c>
      <c r="AV8" s="63">
        <f t="shared" si="9"/>
        <v>1</v>
      </c>
      <c r="AW8" s="64">
        <f>IFERROR(__xludf.DUMMYFUNCTION("iferror(AVERAGE(query(filter('Saline Comp Data Recording'!X:X,'Saline Comp Data Recording'!C:C=B8), ""Select Col1"")),""0.00"")"),0.2)</f>
        <v>0.2</v>
      </c>
      <c r="AX8" s="65">
        <f>IFERROR(__xludf.DUMMYFUNCTION("iferror(MAX(query(filter('Saline Comp Data Recording'!X:X,'Saline Comp Data Recording'!C:C=B8), ""Select Col1"")),""-"")"),1.0)</f>
        <v>1</v>
      </c>
      <c r="AY8" s="62">
        <f>IFERROR(__xludf.DUMMYFUNCTION("iferror(SUM(query(filter('Saline Comp Data Recording'!Y:Y,'Saline Comp Data Recording'!C:C=B8), ""Select Col1"")),""-"")"),4.0)</f>
        <v>4</v>
      </c>
      <c r="AZ8" s="62">
        <f>IFERROR(__xludf.DUMMYFUNCTION("iferror(SUM(query(filter('Saline Comp Data Recording'!Z:Z,'Saline Comp Data Recording'!C:C=B8), ""Select Col1"")),""-"")"),4.0)</f>
        <v>4</v>
      </c>
      <c r="BA8" s="63">
        <f t="shared" si="10"/>
        <v>1</v>
      </c>
      <c r="BB8" s="64">
        <f>IFERROR(__xludf.DUMMYFUNCTION("iferror(AVERAGE(query(filter('Saline Comp Data Recording'!Z:Z,'Saline Comp Data Recording'!C:C=B8), ""Select Col1"")),""0.00"")"),0.8)</f>
        <v>0.8</v>
      </c>
      <c r="BC8" s="65">
        <f>IFERROR(__xludf.DUMMYFUNCTION("iferror(MAX(query(filter('Saline Comp Data Recording'!Z:Z,'Saline Comp Data Recording'!C:C=B8), ""Select Col1"")),""-"")"),2.0)</f>
        <v>2</v>
      </c>
      <c r="BD8" s="62">
        <f>IFERROR(__xludf.DUMMYFUNCTION("iferror(SUM(query(filter('Saline Comp Data Recording'!AA:AA,'Saline Comp Data Recording'!C:C=B8), ""Select Col1"")),""-"")"),2.0)</f>
        <v>2</v>
      </c>
      <c r="BE8" s="62">
        <f>IFERROR(__xludf.DUMMYFUNCTION("iferror(SUM(query(filter('Saline Comp Data Recording'!AB:AB,'Saline Comp Data Recording'!C:C=B8), ""Select Col1"")),""-"")"),1.0)</f>
        <v>1</v>
      </c>
      <c r="BF8" s="63">
        <f t="shared" si="11"/>
        <v>0.5</v>
      </c>
      <c r="BG8" s="64">
        <f>IFERROR(__xludf.DUMMYFUNCTION("iferror(AVERAGE(query(filter('Saline Comp Data Recording'!AB:AB,'Saline Comp Data Recording'!C:C=B8), ""Select Col1"")),""0.00"")"),0.2)</f>
        <v>0.2</v>
      </c>
      <c r="BH8" s="65">
        <f>IFERROR(__xludf.DUMMYFUNCTION("iferror(MAX(query(filter('Saline Comp Data Recording'!AB:AB,'Saline Comp Data Recording'!C:C=B8), ""Select Col1"")),""-"")"),1.0)</f>
        <v>1</v>
      </c>
      <c r="BI8" s="62">
        <f>IFERROR(__xludf.DUMMYFUNCTION("iferror(SUM(query(filter('Saline Comp Data Recording'!AC:AC,'Saline Comp Data Recording'!C:C=B8), ""Select Col1"")),""-"")"),2.0)</f>
        <v>2</v>
      </c>
      <c r="BJ8" s="62">
        <f>IFERROR(__xludf.DUMMYFUNCTION("iferror(SUM(query(filter('Saline Comp Data Recording'!AD:AD,'Saline Comp Data Recording'!C:C=B8), ""Select Col1"")),""-"")"),2.0)</f>
        <v>2</v>
      </c>
      <c r="BK8" s="63">
        <f t="shared" si="12"/>
        <v>1</v>
      </c>
      <c r="BL8" s="64">
        <f>IFERROR(__xludf.DUMMYFUNCTION("iferror(AVERAGE(query(filter('Saline Comp Data Recording'!AD:AD,'Saline Comp Data Recording'!C:C=B8), ""Select Col1"")),""0.00"")"),0.4)</f>
        <v>0.4</v>
      </c>
      <c r="BM8" s="65">
        <f>IFERROR(__xludf.DUMMYFUNCTION("iferror(MAX(query(filter('Saline Comp Data Recording'!AD:AD,'Saline Comp Data Recording'!C:C=B8), ""Select Col1"")),""-"")"),1.0)</f>
        <v>1</v>
      </c>
      <c r="BN8" s="66" t="str">
        <f>IFERROR(__xludf.DUMMYFUNCTION("if(countif(query(filter('Saline Comp Data Recording'!AE:AE,'Saline Comp Data Recording'!C:C=B8), ""Select Col1""),""TRUE"")=0,""0"",countif(query(filter('Saline Comp Data Recording'!AE:AE,'Saline Comp Data Recording'!C:C=B8), ""Select Col1""),""TRUE"")) &amp;"&amp;" ""/"" &amp; if(COUNTA(query(ifna(filter('Saline Comp Data Recording'!AE:AE,'Saline Comp Data Recording'!C:C=B8),""""), ""Select Col1""))=0,""0"",COUNTA(query(ifna(filter('Saline Comp Data Recording'!AE:AE,'Saline Comp Data Recording'!C:C=B8),""""), ""Select "&amp;"Col1"")))"),"1/5")</f>
        <v>1/5</v>
      </c>
      <c r="BO8" s="67" t="str">
        <f>IFERROR(__xludf.DUMMYFUNCTION("if(countif(query(filter('Saline Comp Data Recording'!AF:AF,'Saline Comp Data Recording'!C:C=B8), ""Select Col1""),""TRUE"")=0,""0"",countif(query(filter('Saline Comp Data Recording'!AF:AF,'Saline Comp Data Recording'!C:C=B8), ""Select Col1""),""TRUE"")) &amp;"&amp;" ""/"" &amp; if(COUNTA(query(ifna(filter('Saline Comp Data Recording'!AF:AF,'Saline Comp Data Recording'!C:C=B8),""""), ""Select Col1""))=0,""0"",COUNTA(query(ifna(filter('Saline Comp Data Recording'!AF:AF,'Saline Comp Data Recording'!C:C=B8),""""), ""Select "&amp;"Col1"")))"),"2/5")</f>
        <v>2/5</v>
      </c>
      <c r="BP8" s="60" t="str">
        <f>IFERROR(__xludf.DUMMYFUNCTION("if(countif(query(filter('Saline Comp Data Recording'!AI:AI,'Saline Comp Data Recording'!C:C=B8), ""Select Col1""),""TRUE"")=0,""0"",countif(query(filter('Saline Comp Data Recording'!AI:AI,'Saline Comp Data Recording'!C:C=B8), ""Select Col1""),""TRUE"")) &amp;"&amp;" ""/"" &amp; if(COUNTA(query(ifna(filter('Saline Comp Data Recording'!AI:AI,'Saline Comp Data Recording'!C:C=B8),""""), ""Select Col1""))=0,""0"",COUNTA(query(ifna(filter('Saline Comp Data Recording'!AI:AI,'Saline Comp Data Recording'!C:C=B8),""""), ""Select "&amp;"Col1"")))"),"1/5")</f>
        <v>1/5</v>
      </c>
      <c r="BQ8" s="55">
        <f>IFERROR(__xludf.DUMMYFUNCTION("iferror(average(query(filter('Saline Comp Data Recording'!AG:AG,'Saline Comp Data Recording'!C:C=B8), ""Select Col1"")),""-"")"),3.6)</f>
        <v>3.6</v>
      </c>
      <c r="BR8" s="69">
        <f>IFERROR(__xludf.DUMMYFUNCTION("iferror(average(query(filter('Saline Comp Data Recording'!AH:AH,'Saline Comp Data Recording'!C:C=B8), ""Select Col1"")),""-"")"),1.0)</f>
        <v>1</v>
      </c>
      <c r="BS8" s="70">
        <f>IFERROR(__xludf.DUMMYFUNCTION("iferror(AVERAGE(query(filter('Saline Comp Data Recording'!AK:AK,'Saline Comp Data Recording'!C:C=B8), ""Select Col1"")),""-"")"),33.0)</f>
        <v>33</v>
      </c>
      <c r="BT8" s="70">
        <f>IFERROR(__xludf.DUMMYFUNCTION("iferror(AVERAGE(query(filter('Saline Comp Data Recording'!AL:AL,'Saline Comp Data Recording'!C:C=B8), ""Select Col1"")),""-"")"),28.6)</f>
        <v>28.6</v>
      </c>
      <c r="BU8" s="71">
        <f>IFERROR(__xludf.DUMMYFUNCTION("iferror(max(query(filter('Saline Comp Data Recording'!AK:AK,'Saline Comp Data Recording'!C:C=B8), ""Select Col1"")),""-"")"),38.0)</f>
        <v>38</v>
      </c>
      <c r="BV8" s="72">
        <f>IFERROR(__xludf.DUMMYFUNCTION("iferror(MIN(query(filter('Saline Comp Data Recording'!AK:AK,'Saline Comp Data Recording'!C:C=B8), ""Select Col1"")),""-"")"),25.0)</f>
        <v>25</v>
      </c>
      <c r="BW8" s="73" t="str">
        <f>IFERROR(__xludf.DUMMYFUNCTION("iferror(if(DIVIDE(COUNTIF(query(filter('Saline Comp Data Recording'!P:P,'Saline Comp Data Recording'!C:C=B8), ""Select Col1""),TRUE),COUNTA(query(ifna(filter('Saline Comp Data Recording'!P:P,'Saline Comp Data Recording'!C:C=B8),""""), ""Select Col1"")))&gt;="&amp;"(0.5),""1"",""0""),""-"")"),"0")</f>
        <v>0</v>
      </c>
      <c r="BX8" s="59" t="str">
        <f>IFERROR(__xludf.DUMMYFUNCTION("iferror(if(countif(query(filter('Saline Comp Data Recording'!Q:Q,'Saline Comp Data Recording'!C:C=B8), ""Select Col1""),TRUE)/COUNTA(query(ifna(filter('Saline Comp Data Recording'!Q:Q,'Saline Comp Data Recording'!C:C=B8),""""), ""Select Col1""))&gt;=(0.5),"""&amp;"1"",""0""),""-"")"),"0")</f>
        <v>0</v>
      </c>
      <c r="BY8" s="74" t="str">
        <f>IFERROR(__xludf.DUMMYFUNCTION("iferror(if(DIVIDE(COUNTIF(query(filter('Saline Comp Data Recording'!AE:AE,'Saline Comp Data Recording'!C:C=B8), ""Select Col1""),TRUE),COUNTA(query(ifna(filter('Saline Comp Data Recording'!AE:AE,'Saline Comp Data Recording'!C:C=B8),""""), ""Select Col1"")"&amp;"))&gt;=(0.5),""1"",""0""),""-"")"),"0")</f>
        <v>0</v>
      </c>
      <c r="BZ8" s="59" t="str">
        <f>IFERROR(__xludf.DUMMYFUNCTION("iferror(if(countif(query(filter('Saline Comp Data Recording'!AF:AF,'Saline Comp Data Recording'!C:C=B8), ""Select Col1""),TRUE)/COUNTA(query(ifna(filter('Saline Comp Data Recording'!AF:AF,'Saline Comp Data Recording'!C:C=B8),""""), ""Select Col1""))&gt;=(0.5"&amp;"),""1"",""0""),""-"")"),"0")</f>
        <v>0</v>
      </c>
      <c r="CA8" s="74" t="str">
        <f>IFERROR(__xludf.DUMMYFUNCTION("iferror(if(DIVIDE(countif(query(filter('Saline Comp Data Recording'!R:R,'Saline Comp Data Recording'!C:C=B8), ""Select Col1""),TRUE),COUNTA(query(ifna(filter('Saline Comp Data Recording'!R:R,'Saline Comp Data Recording'!C:C=B8),""""), ""Select Col1"")))&gt;="&amp;"(0.5),""1"",""0""),""-"")"),"1")</f>
        <v>1</v>
      </c>
    </row>
    <row r="9">
      <c r="A9" s="51" t="s">
        <v>521</v>
      </c>
      <c r="B9" s="51">
        <v>3668.0</v>
      </c>
      <c r="C9" s="52" t="str">
        <f>IFERROR(__xludf.DUMMYFUNCTION("if(countif(query(filter('Saline Comp Data Recording'!R:R,'Saline Comp Data Recording'!C:C=B9), ""Select Col1""),""TRUE"")=0,""0"",countif(query(filter('Saline Comp Data Recording'!R:R,'Saline Comp Data Recording'!C:C=B9), ""Select Col1""),""TRUE"")) &amp; ""/"&amp;""" &amp; if(COUNTA(query(ifna(filter('Saline Comp Data Recording'!R:R,'Saline Comp Data Recording'!C:C=B9),""""), ""Select Col1""))=0,""0"",COUNTA(query(ifna(filter('Saline Comp Data Recording'!R:R,'Saline Comp Data Recording'!C:C=B9),""""), ""Select Col1""))"&amp;")"),"3/5")</f>
        <v>3/5</v>
      </c>
      <c r="D9" s="53">
        <f>IFERROR(__xludf.DUMMYFUNCTION("iferror(SUM(query(filter('Saline Comp Data Recording'!D:D,'Saline Comp Data Recording'!C:C=B9), ""Select Col1"")),""-"")"),3.0)</f>
        <v>3</v>
      </c>
      <c r="E9" s="53">
        <f>IFERROR(__xludf.DUMMYFUNCTION("iferror(SUM(query(filter('Saline Comp Data Recording'!E:E,'Saline Comp Data Recording'!C:C=B9), ""Select Col1"")),""-"")"),3.0)</f>
        <v>3</v>
      </c>
      <c r="F9" s="54">
        <f t="shared" si="1"/>
        <v>1</v>
      </c>
      <c r="G9" s="55">
        <f>IFERROR(__xludf.DUMMYFUNCTION("iferror(AVERAGE(query(filter('Saline Comp Data Recording'!E:E,'Saline Comp Data Recording'!C:C=B9), ""Select Col1"")),""0.00"")"),0.6)</f>
        <v>0.6</v>
      </c>
      <c r="H9" s="53">
        <f>IFERROR(__xludf.DUMMYFUNCTION("iferror(MAX(query(filter('Saline Comp Data Recording'!E:E,'Saline Comp Data Recording'!C:C=B9), ""Select Col1"")),""-"")"),1.0)</f>
        <v>1</v>
      </c>
      <c r="I9" s="56">
        <f>IFERROR(__xludf.DUMMYFUNCTION("iferror(SUM(query(filter('Saline Comp Data Recording'!F:F,'Saline Comp Data Recording'!C:C=B9), ""Select Col1"")),""-"")"),0.0)</f>
        <v>0</v>
      </c>
      <c r="J9" s="57">
        <f>IFERROR(__xludf.DUMMYFUNCTION("iferror(SUM(query(filter('Saline Comp Data Recording'!G:G,'Saline Comp Data Recording'!C:C=B9), ""Select Col1"")),""-"")"),0.0)</f>
        <v>0</v>
      </c>
      <c r="K9" s="54" t="str">
        <f t="shared" si="2"/>
        <v>-</v>
      </c>
      <c r="L9" s="55">
        <f>IFERROR(__xludf.DUMMYFUNCTION("iferror(AVERAGE(query(filter('Saline Comp Data Recording'!G:G,'Saline Comp Data Recording'!C:C=B9), ""Select Col1"")),""0.00"")"),0.0)</f>
        <v>0</v>
      </c>
      <c r="M9" s="53">
        <f>IFERROR(__xludf.DUMMYFUNCTION("iferror(MAX(query(filter('Saline Comp Data Recording'!G:G,'Saline Comp Data Recording'!C:C=B9), ""Select Col1"")),""-"")"),0.0)</f>
        <v>0</v>
      </c>
      <c r="N9" s="58">
        <f>IFERROR(__xludf.DUMMYFUNCTION("iferror(SUM(query(filter('Saline Comp Data Recording'!H:H,'Saline Comp Data Recording'!C:C=B9), ""Select Col1"")),""-"")"),0.0)</f>
        <v>0</v>
      </c>
      <c r="O9" s="59">
        <f>IFERROR(__xludf.DUMMYFUNCTION("iferror(SUM(query(filter('Saline Comp Data Recording'!I:I,'Saline Comp Data Recording'!C:C=B9), ""Select Col1"")),""-"")"),0.0)</f>
        <v>0</v>
      </c>
      <c r="P9" s="54" t="str">
        <f t="shared" si="3"/>
        <v>-</v>
      </c>
      <c r="Q9" s="55">
        <f>IFERROR(__xludf.DUMMYFUNCTION("iferror(AVERAGE(query(filter('Saline Comp Data Recording'!I:I,'Saline Comp Data Recording'!C:C=B9), ""Select Col1"")),""0.00"")"),0.0)</f>
        <v>0</v>
      </c>
      <c r="R9" s="53">
        <f>IFERROR(__xludf.DUMMYFUNCTION("iferror(MAX(query(filter('Saline Comp Data Recording'!I:I,'Saline Comp Data Recording'!C:C=B9), ""Select Col1"")),""-"")"),0.0)</f>
        <v>0</v>
      </c>
      <c r="S9" s="58">
        <f>IFERROR(__xludf.DUMMYFUNCTION("iferror(SUM(query(filter('Saline Comp Data Recording'!J:J,'Saline Comp Data Recording'!C:C=B9), ""Select Col1"")),""-"")"),2.0)</f>
        <v>2</v>
      </c>
      <c r="T9" s="59">
        <f>IFERROR(__xludf.DUMMYFUNCTION("iferror(SUM(query(filter('Saline Comp Data Recording'!K:K,'Saline Comp Data Recording'!C:C=B9), ""Select Col1"")),""-"")"),0.0)</f>
        <v>0</v>
      </c>
      <c r="U9" s="54">
        <f t="shared" si="4"/>
        <v>0</v>
      </c>
      <c r="V9" s="55">
        <f>IFERROR(__xludf.DUMMYFUNCTION("iferror(AVERAGE(query(filter('Saline Comp Data Recording'!K:K,'Saline Comp Data Recording'!C:C=B9), ""Select Col1"")),""-"")"),0.0)</f>
        <v>0</v>
      </c>
      <c r="W9" s="52">
        <f>IFERROR(__xludf.DUMMYFUNCTION("iferror(MAX(query(filter('Saline Comp Data Recording'!K:K,'Saline Comp Data Recording'!C:C=B9), ""Select Col1"")),""-"")"),0.0)</f>
        <v>0</v>
      </c>
      <c r="X9" s="59">
        <f>IFERROR(__xludf.DUMMYFUNCTION("iferror(SUM(query(filter('Saline Comp Data Recording'!L:L,'Saline Comp Data Recording'!C:C=B9), ""Select Col1"")),""-"")"),0.0)</f>
        <v>0</v>
      </c>
      <c r="Y9" s="59">
        <f>IFERROR(__xludf.DUMMYFUNCTION("iferror(SUM(query(filter('Saline Comp Data Recording'!M:M,'Saline Comp Data Recording'!C:C=B9), ""Select Col1"")),""-"")"),0.0)</f>
        <v>0</v>
      </c>
      <c r="Z9" s="54" t="str">
        <f t="shared" si="5"/>
        <v>-</v>
      </c>
      <c r="AA9" s="55">
        <f>IFERROR(__xludf.DUMMYFUNCTION("iferror(AVERAGE(query(filter('Saline Comp Data Recording'!M:M,'Saline Comp Data Recording'!C:C=B9), ""Select Col1"")),""0.00"")"),0.0)</f>
        <v>0</v>
      </c>
      <c r="AB9" s="52">
        <f>IFERROR(__xludf.DUMMYFUNCTION("iferror(MAX(query(filter('Saline Comp Data Recording'!M:M,'Saline Comp Data Recording'!C:C=B9), ""Select Col1"")),""-"")"),0.0)</f>
        <v>0</v>
      </c>
      <c r="AC9" s="59">
        <f>IFERROR(__xludf.DUMMYFUNCTION("iferror(SUM(query(filter('Saline Comp Data Recording'!N:N,'Saline Comp Data Recording'!C:C=B9), ""Select Col1"")),""-"")"),1.0)</f>
        <v>1</v>
      </c>
      <c r="AD9" s="59">
        <f>IFERROR(__xludf.DUMMYFUNCTION("iferror(SUM(query(filter('Saline Comp Data Recording'!O:O,'Saline Comp Data Recording'!C:C=B9), ""Select Col1"")),""-"")"),1.0)</f>
        <v>1</v>
      </c>
      <c r="AE9" s="54">
        <f t="shared" si="6"/>
        <v>1</v>
      </c>
      <c r="AF9" s="55">
        <f>IFERROR(__xludf.DUMMYFUNCTION("iferror(AVERAGE(query(filter('Saline Comp Data Recording'!O:O,'Saline Comp Data Recording'!C:C=B9), ""Select Col1"")),""0.00"")"),0.2)</f>
        <v>0.2</v>
      </c>
      <c r="AG9" s="59">
        <f>IFERROR(__xludf.DUMMYFUNCTION("iferror(MAX(query(filter('Saline Comp Data Recording'!O:O,'Saline Comp Data Recording'!C:C=B9), ""Select Col1"")),""-"")"),1.0)</f>
        <v>1</v>
      </c>
      <c r="AH9" s="58" t="str">
        <f>IFERROR(__xludf.DUMMYFUNCTION("if(countif(query(filter('Saline Comp Data Recording'!P:P,'Saline Comp Data Recording'!C:C=B9), ""Select Col1""),TRUE)=0,""0"",countif(query(filter('Saline Comp Data Recording'!P:P,'Saline Comp Data Recording'!C:C=B9), ""Select Col1""),TRUE)) &amp; ""/"" &amp; if("&amp;"COUNTA(query(ifna(filter('Saline Comp Data Recording'!P:P,'Saline Comp Data Recording'!C:C=B9),""""), ""Select Col1""))=0,""0"",COUNTA(query(ifna(filter('Saline Comp Data Recording'!P:P,'Saline Comp Data Recording'!C:C=B9),""""), ""Select Col1"")))"),"2/5")</f>
        <v>2/5</v>
      </c>
      <c r="AI9" s="60" t="str">
        <f>IFERROR(__xludf.DUMMYFUNCTION("if(countif(query(filter('Saline Comp Data Recording'!Q:Q,'Saline Comp Data Recording'!C:C=B9), ""Select Col1""),TRUE)=0,""0"",countif(query(filter('Saline Comp Data Recording'!Q:Q,'Saline Comp Data Recording'!C:C=B9), ""Select Col1""),TRUE)) &amp; ""/"" &amp; if("&amp;"COUNTA(query(ifna(filter('Saline Comp Data Recording'!Q:Q,'Saline Comp Data Recording'!C:C=B9),""""), ""Select Col1""))=0,""0"",COUNTA(query(ifna(filter('Saline Comp Data Recording'!Q:Q,'Saline Comp Data Recording'!C:C=B9),""""), ""Select Col1"")))"),"2/5")</f>
        <v>2/5</v>
      </c>
      <c r="AJ9" s="59">
        <f>IFERROR(__xludf.DUMMYFUNCTION("iferror(SUM(query(filter('Saline Comp Data Recording'!S:S,'Saline Comp Data Recording'!C:C=B9), ""Select Col1"")),""-"")"),15.0)</f>
        <v>15</v>
      </c>
      <c r="AK9" s="59">
        <f>IFERROR(__xludf.DUMMYFUNCTION("iferror(SUM(query(filter('Saline Comp Data Recording'!T:T,'Saline Comp Data Recording'!C:C=B9), ""Select Col1"")),""-"")"),15.0)</f>
        <v>15</v>
      </c>
      <c r="AL9" s="54">
        <f t="shared" si="7"/>
        <v>1</v>
      </c>
      <c r="AM9" s="55">
        <f>IFERROR(__xludf.DUMMYFUNCTION("iferror(AVERAGE(query(filter('Saline Comp Data Recording'!T:T,'Saline Comp Data Recording'!C:C=B9), ""Select Col1"")),""0.00"")"),3.0)</f>
        <v>3</v>
      </c>
      <c r="AN9" s="61">
        <f>IFERROR(__xludf.DUMMYFUNCTION("iferror(MAX(query(filter('Saline Comp Data Recording'!T:T,'Saline Comp Data Recording'!C:C=B9), ""Select Col1"")),""-"")"),4.0)</f>
        <v>4</v>
      </c>
      <c r="AO9" s="62">
        <f>IFERROR(__xludf.DUMMYFUNCTION("iferror(SUM(query(filter('Saline Comp Data Recording'!U:U,'Saline Comp Data Recording'!C:C=B9), ""Select Col1"")),""-"")"),6.0)</f>
        <v>6</v>
      </c>
      <c r="AP9" s="62">
        <f>IFERROR(__xludf.DUMMYFUNCTION("iferror(SUM(query(filter('Saline Comp Data Recording'!V:V,'Saline Comp Data Recording'!C:C=B9), ""Select Col1"")),""-"")"),5.0)</f>
        <v>5</v>
      </c>
      <c r="AQ9" s="63">
        <f t="shared" si="8"/>
        <v>0.8333333333</v>
      </c>
      <c r="AR9" s="64">
        <f>IFERROR(__xludf.DUMMYFUNCTION("iferror(AVERAGE(query(filter('Saline Comp Data Recording'!V:V,'Saline Comp Data Recording'!C:C=B9), ""Select Col1"")),""0.00"")"),1.0)</f>
        <v>1</v>
      </c>
      <c r="AS9" s="65">
        <f>IFERROR(__xludf.DUMMYFUNCTION("iferror(MAX(query(filter('Saline Comp Data Recording'!V:V,'Saline Comp Data Recording'!C:C=B9), ""Select Col1"")),""-"")"),2.0)</f>
        <v>2</v>
      </c>
      <c r="AT9" s="62">
        <f>IFERROR(__xludf.DUMMYFUNCTION("iferror(SUM(query(filter('Saline Comp Data Recording'!W:W,'Saline Comp Data Recording'!C:C=B9), ""Select Col1"")),""-"")"),1.0)</f>
        <v>1</v>
      </c>
      <c r="AU9" s="62">
        <f>IFERROR(__xludf.DUMMYFUNCTION("iferror(SUM(query(filter('Saline Comp Data Recording'!X:X,'Saline Comp Data Recording'!C:C=B9), ""Select Col1"")),""-"")"),1.0)</f>
        <v>1</v>
      </c>
      <c r="AV9" s="63">
        <f t="shared" si="9"/>
        <v>1</v>
      </c>
      <c r="AW9" s="64">
        <f>IFERROR(__xludf.DUMMYFUNCTION("iferror(AVERAGE(query(filter('Saline Comp Data Recording'!X:X,'Saline Comp Data Recording'!C:C=B9), ""Select Col1"")),""0.00"")"),0.2)</f>
        <v>0.2</v>
      </c>
      <c r="AX9" s="65">
        <f>IFERROR(__xludf.DUMMYFUNCTION("iferror(MAX(query(filter('Saline Comp Data Recording'!X:X,'Saline Comp Data Recording'!C:C=B9), ""Select Col1"")),""-"")"),1.0)</f>
        <v>1</v>
      </c>
      <c r="AY9" s="62">
        <f>IFERROR(__xludf.DUMMYFUNCTION("iferror(SUM(query(filter('Saline Comp Data Recording'!Y:Y,'Saline Comp Data Recording'!C:C=B9), ""Select Col1"")),""-"")"),6.0)</f>
        <v>6</v>
      </c>
      <c r="AZ9" s="62">
        <f>IFERROR(__xludf.DUMMYFUNCTION("iferror(SUM(query(filter('Saline Comp Data Recording'!Z:Z,'Saline Comp Data Recording'!C:C=B9), ""Select Col1"")),""-"")"),6.0)</f>
        <v>6</v>
      </c>
      <c r="BA9" s="63">
        <f t="shared" si="10"/>
        <v>1</v>
      </c>
      <c r="BB9" s="64">
        <f>IFERROR(__xludf.DUMMYFUNCTION("iferror(AVERAGE(query(filter('Saline Comp Data Recording'!Z:Z,'Saline Comp Data Recording'!C:C=B9), ""Select Col1"")),""0.00"")"),1.2)</f>
        <v>1.2</v>
      </c>
      <c r="BC9" s="65">
        <f>IFERROR(__xludf.DUMMYFUNCTION("iferror(MAX(query(filter('Saline Comp Data Recording'!Z:Z,'Saline Comp Data Recording'!C:C=B9), ""Select Col1"")),""-"")"),3.0)</f>
        <v>3</v>
      </c>
      <c r="BD9" s="62">
        <f>IFERROR(__xludf.DUMMYFUNCTION("iferror(SUM(query(filter('Saline Comp Data Recording'!AA:AA,'Saline Comp Data Recording'!C:C=B9), ""Select Col1"")),""-"")"),4.0)</f>
        <v>4</v>
      </c>
      <c r="BE9" s="62">
        <f>IFERROR(__xludf.DUMMYFUNCTION("iferror(SUM(query(filter('Saline Comp Data Recording'!AB:AB,'Saline Comp Data Recording'!C:C=B9), ""Select Col1"")),""-"")"),4.0)</f>
        <v>4</v>
      </c>
      <c r="BF9" s="63">
        <f t="shared" si="11"/>
        <v>1</v>
      </c>
      <c r="BG9" s="64">
        <f>IFERROR(__xludf.DUMMYFUNCTION("iferror(AVERAGE(query(filter('Saline Comp Data Recording'!AB:AB,'Saline Comp Data Recording'!C:C=B9), ""Select Col1"")),""0.00"")"),0.8)</f>
        <v>0.8</v>
      </c>
      <c r="BH9" s="65">
        <f>IFERROR(__xludf.DUMMYFUNCTION("iferror(MAX(query(filter('Saline Comp Data Recording'!AB:AB,'Saline Comp Data Recording'!C:C=B9), ""Select Col1"")),""-"")"),2.0)</f>
        <v>2</v>
      </c>
      <c r="BI9" s="62">
        <f>IFERROR(__xludf.DUMMYFUNCTION("iferror(SUM(query(filter('Saline Comp Data Recording'!AC:AC,'Saline Comp Data Recording'!C:C=B9), ""Select Col1"")),""-"")"),1.0)</f>
        <v>1</v>
      </c>
      <c r="BJ9" s="62">
        <f>IFERROR(__xludf.DUMMYFUNCTION("iferror(SUM(query(filter('Saline Comp Data Recording'!AD:AD,'Saline Comp Data Recording'!C:C=B9), ""Select Col1"")),""-"")"),1.0)</f>
        <v>1</v>
      </c>
      <c r="BK9" s="63">
        <f t="shared" si="12"/>
        <v>1</v>
      </c>
      <c r="BL9" s="64">
        <f>IFERROR(__xludf.DUMMYFUNCTION("iferror(AVERAGE(query(filter('Saline Comp Data Recording'!AD:AD,'Saline Comp Data Recording'!C:C=B9), ""Select Col1"")),""0.00"")"),0.2)</f>
        <v>0.2</v>
      </c>
      <c r="BM9" s="65">
        <f>IFERROR(__xludf.DUMMYFUNCTION("iferror(MAX(query(filter('Saline Comp Data Recording'!AD:AD,'Saline Comp Data Recording'!C:C=B9), ""Select Col1"")),""-"")"),1.0)</f>
        <v>1</v>
      </c>
      <c r="BN9" s="66" t="str">
        <f>IFERROR(__xludf.DUMMYFUNCTION("if(countif(query(filter('Saline Comp Data Recording'!AE:AE,'Saline Comp Data Recording'!C:C=B9), ""Select Col1""),""TRUE"")=0,""0"",countif(query(filter('Saline Comp Data Recording'!AE:AE,'Saline Comp Data Recording'!C:C=B9), ""Select Col1""),""TRUE"")) &amp;"&amp;" ""/"" &amp; if(COUNTA(query(ifna(filter('Saline Comp Data Recording'!AE:AE,'Saline Comp Data Recording'!C:C=B9),""""), ""Select Col1""))=0,""0"",COUNTA(query(ifna(filter('Saline Comp Data Recording'!AE:AE,'Saline Comp Data Recording'!C:C=B9),""""), ""Select "&amp;"Col1"")))"),"2/5")</f>
        <v>2/5</v>
      </c>
      <c r="BO9" s="67" t="str">
        <f>IFERROR(__xludf.DUMMYFUNCTION("if(countif(query(filter('Saline Comp Data Recording'!AF:AF,'Saline Comp Data Recording'!C:C=B9), ""Select Col1""),""TRUE"")=0,""0"",countif(query(filter('Saline Comp Data Recording'!AF:AF,'Saline Comp Data Recording'!C:C=B9), ""Select Col1""),""TRUE"")) &amp;"&amp;" ""/"" &amp; if(COUNTA(query(ifna(filter('Saline Comp Data Recording'!AF:AF,'Saline Comp Data Recording'!C:C=B9),""""), ""Select Col1""))=0,""0"",COUNTA(query(ifna(filter('Saline Comp Data Recording'!AF:AF,'Saline Comp Data Recording'!C:C=B9),""""), ""Select "&amp;"Col1"")))"),"2/5")</f>
        <v>2/5</v>
      </c>
      <c r="BP9" s="60" t="str">
        <f>IFERROR(__xludf.DUMMYFUNCTION("if(countif(query(filter('Saline Comp Data Recording'!AI:AI,'Saline Comp Data Recording'!C:C=B9), ""Select Col1""),""TRUE"")=0,""0"",countif(query(filter('Saline Comp Data Recording'!AI:AI,'Saline Comp Data Recording'!C:C=B9), ""Select Col1""),""TRUE"")) &amp;"&amp;" ""/"" &amp; if(COUNTA(query(ifna(filter('Saline Comp Data Recording'!AI:AI,'Saline Comp Data Recording'!C:C=B9),""""), ""Select Col1""))=0,""0"",COUNTA(query(ifna(filter('Saline Comp Data Recording'!AI:AI,'Saline Comp Data Recording'!C:C=B9),""""), ""Select "&amp;"Col1"")))"),"0/5")</f>
        <v>0/5</v>
      </c>
      <c r="BQ9" s="55">
        <f>IFERROR(__xludf.DUMMYFUNCTION("iferror(average(query(filter('Saline Comp Data Recording'!AG:AG,'Saline Comp Data Recording'!C:C=B9), ""Select Col1"")),""-"")"),3.8)</f>
        <v>3.8</v>
      </c>
      <c r="BR9" s="69">
        <f>IFERROR(__xludf.DUMMYFUNCTION("iferror(average(query(filter('Saline Comp Data Recording'!AH:AH,'Saline Comp Data Recording'!C:C=B9), ""Select Col1"")),""-"")"),1.0)</f>
        <v>1</v>
      </c>
      <c r="BS9" s="70">
        <f>IFERROR(__xludf.DUMMYFUNCTION("iferror(AVERAGE(query(filter('Saline Comp Data Recording'!AK:AK,'Saline Comp Data Recording'!C:C=B9), ""Select Col1"")),""-"")"),42.0)</f>
        <v>42</v>
      </c>
      <c r="BT9" s="70">
        <f>IFERROR(__xludf.DUMMYFUNCTION("iferror(AVERAGE(query(filter('Saline Comp Data Recording'!AL:AL,'Saline Comp Data Recording'!C:C=B9), ""Select Col1"")),""-"")"),33.2)</f>
        <v>33.2</v>
      </c>
      <c r="BU9" s="71">
        <f>IFERROR(__xludf.DUMMYFUNCTION("iferror(max(query(filter('Saline Comp Data Recording'!AK:AK,'Saline Comp Data Recording'!C:C=B9), ""Select Col1"")),""-"")"),69.0)</f>
        <v>69</v>
      </c>
      <c r="BV9" s="72">
        <f>IFERROR(__xludf.DUMMYFUNCTION("iferror(MIN(query(filter('Saline Comp Data Recording'!AK:AK,'Saline Comp Data Recording'!C:C=B9), ""Select Col1"")),""-"")"),26.0)</f>
        <v>26</v>
      </c>
      <c r="BW9" s="73" t="str">
        <f>IFERROR(__xludf.DUMMYFUNCTION("iferror(if(DIVIDE(COUNTIF(query(filter('Saline Comp Data Recording'!P:P,'Saline Comp Data Recording'!C:C=B9), ""Select Col1""),TRUE),COUNTA(query(ifna(filter('Saline Comp Data Recording'!P:P,'Saline Comp Data Recording'!C:C=B9),""""), ""Select Col1"")))&gt;="&amp;"(0.5),""1"",""0""),""-"")"),"0")</f>
        <v>0</v>
      </c>
      <c r="BX9" s="59" t="str">
        <f>IFERROR(__xludf.DUMMYFUNCTION("iferror(if(countif(query(filter('Saline Comp Data Recording'!Q:Q,'Saline Comp Data Recording'!C:C=B9), ""Select Col1""),TRUE)/COUNTA(query(ifna(filter('Saline Comp Data Recording'!Q:Q,'Saline Comp Data Recording'!C:C=B9),""""), ""Select Col1""))&gt;=(0.5),"""&amp;"1"",""0""),""-"")"),"0")</f>
        <v>0</v>
      </c>
      <c r="BY9" s="74" t="str">
        <f>IFERROR(__xludf.DUMMYFUNCTION("iferror(if(DIVIDE(COUNTIF(query(filter('Saline Comp Data Recording'!AE:AE,'Saline Comp Data Recording'!C:C=B9), ""Select Col1""),TRUE),COUNTA(query(ifna(filter('Saline Comp Data Recording'!AE:AE,'Saline Comp Data Recording'!C:C=B9),""""), ""Select Col1"")"&amp;"))&gt;=(0.5),""1"",""0""),""-"")"),"0")</f>
        <v>0</v>
      </c>
      <c r="BZ9" s="59" t="str">
        <f>IFERROR(__xludf.DUMMYFUNCTION("iferror(if(countif(query(filter('Saline Comp Data Recording'!AF:AF,'Saline Comp Data Recording'!C:C=B9), ""Select Col1""),TRUE)/COUNTA(query(ifna(filter('Saline Comp Data Recording'!AF:AF,'Saline Comp Data Recording'!C:C=B9),""""), ""Select Col1""))&gt;=(0.5"&amp;"),""1"",""0""),""-"")"),"0")</f>
        <v>0</v>
      </c>
      <c r="CA9" s="74" t="str">
        <f>IFERROR(__xludf.DUMMYFUNCTION("iferror(if(DIVIDE(countif(query(filter('Saline Comp Data Recording'!R:R,'Saline Comp Data Recording'!C:C=B9), ""Select Col1""),TRUE),COUNTA(query(ifna(filter('Saline Comp Data Recording'!R:R,'Saline Comp Data Recording'!C:C=B9),""""), ""Select Col1"")))&gt;="&amp;"(0.5),""1"",""0""),""-"")"),"1")</f>
        <v>1</v>
      </c>
    </row>
    <row r="10">
      <c r="A10" s="51" t="s">
        <v>522</v>
      </c>
      <c r="B10" s="51">
        <v>1506.0</v>
      </c>
      <c r="C10" s="52" t="str">
        <f>IFERROR(__xludf.DUMMYFUNCTION("if(countif(query(filter('Saline Comp Data Recording'!R:R,'Saline Comp Data Recording'!C:C=B10), ""Select Col1""),""TRUE"")=0,""0"",countif(query(filter('Saline Comp Data Recording'!R:R,'Saline Comp Data Recording'!C:C=B10), ""Select Col1""),""TRUE"")) &amp; "&amp;"""/"" &amp; if(COUNTA(query(ifna(filter('Saline Comp Data Recording'!R:R,'Saline Comp Data Recording'!C:C=B10),""""), ""Select Col1""))=0,""0"",COUNTA(query(ifna(filter('Saline Comp Data Recording'!R:R,'Saline Comp Data Recording'!C:C=B10),""""), ""Select Col"&amp;"1"")))"),"2/4")</f>
        <v>2/4</v>
      </c>
      <c r="D10" s="53">
        <f>IFERROR(__xludf.DUMMYFUNCTION("iferror(SUM(query(filter('Saline Comp Data Recording'!D:D,'Saline Comp Data Recording'!C:C=B10), ""Select Col1"")),""-"")"),1.0)</f>
        <v>1</v>
      </c>
      <c r="E10" s="53">
        <f>IFERROR(__xludf.DUMMYFUNCTION("iferror(SUM(query(filter('Saline Comp Data Recording'!E:E,'Saline Comp Data Recording'!C:C=B10), ""Select Col1"")),""-"")"),1.0)</f>
        <v>1</v>
      </c>
      <c r="F10" s="54">
        <f t="shared" si="1"/>
        <v>1</v>
      </c>
      <c r="G10" s="55">
        <f>IFERROR(__xludf.DUMMYFUNCTION("iferror(AVERAGE(query(filter('Saline Comp Data Recording'!E:E,'Saline Comp Data Recording'!C:C=B10), ""Select Col1"")),""0.00"")"),0.25)</f>
        <v>0.25</v>
      </c>
      <c r="H10" s="53">
        <f>IFERROR(__xludf.DUMMYFUNCTION("iferror(MAX(query(filter('Saline Comp Data Recording'!E:E,'Saline Comp Data Recording'!C:C=B10), ""Select Col1"")),""-"")"),1.0)</f>
        <v>1</v>
      </c>
      <c r="I10" s="56">
        <f>IFERROR(__xludf.DUMMYFUNCTION("iferror(SUM(query(filter('Saline Comp Data Recording'!F:F,'Saline Comp Data Recording'!C:C=B10), ""Select Col1"")),""-"")"),1.0)</f>
        <v>1</v>
      </c>
      <c r="J10" s="57">
        <f>IFERROR(__xludf.DUMMYFUNCTION("iferror(SUM(query(filter('Saline Comp Data Recording'!G:G,'Saline Comp Data Recording'!C:C=B10), ""Select Col1"")),""-"")"),1.0)</f>
        <v>1</v>
      </c>
      <c r="K10" s="54">
        <f t="shared" si="2"/>
        <v>1</v>
      </c>
      <c r="L10" s="55">
        <f>IFERROR(__xludf.DUMMYFUNCTION("iferror(AVERAGE(query(filter('Saline Comp Data Recording'!G:G,'Saline Comp Data Recording'!C:C=B10), ""Select Col1"")),""0.00"")"),0.25)</f>
        <v>0.25</v>
      </c>
      <c r="M10" s="53">
        <f>IFERROR(__xludf.DUMMYFUNCTION("iferror(MAX(query(filter('Saline Comp Data Recording'!G:G,'Saline Comp Data Recording'!C:C=B10), ""Select Col1"")),""-"")"),1.0)</f>
        <v>1</v>
      </c>
      <c r="N10" s="58">
        <f>IFERROR(__xludf.DUMMYFUNCTION("iferror(SUM(query(filter('Saline Comp Data Recording'!H:H,'Saline Comp Data Recording'!C:C=B10), ""Select Col1"")),""-"")"),0.0)</f>
        <v>0</v>
      </c>
      <c r="O10" s="59">
        <f>IFERROR(__xludf.DUMMYFUNCTION("iferror(SUM(query(filter('Saline Comp Data Recording'!I:I,'Saline Comp Data Recording'!C:C=B10), ""Select Col1"")),""-"")"),0.0)</f>
        <v>0</v>
      </c>
      <c r="P10" s="54" t="str">
        <f t="shared" si="3"/>
        <v>-</v>
      </c>
      <c r="Q10" s="55">
        <f>IFERROR(__xludf.DUMMYFUNCTION("iferror(AVERAGE(query(filter('Saline Comp Data Recording'!I:I,'Saline Comp Data Recording'!C:C=B10), ""Select Col1"")),""0.00"")"),0.0)</f>
        <v>0</v>
      </c>
      <c r="R10" s="53">
        <f>IFERROR(__xludf.DUMMYFUNCTION("iferror(MAX(query(filter('Saline Comp Data Recording'!I:I,'Saline Comp Data Recording'!C:C=B10), ""Select Col1"")),""-"")"),0.0)</f>
        <v>0</v>
      </c>
      <c r="S10" s="58">
        <f>IFERROR(__xludf.DUMMYFUNCTION("iferror(SUM(query(filter('Saline Comp Data Recording'!J:J,'Saline Comp Data Recording'!C:C=B10), ""Select Col1"")),""-"")"),0.0)</f>
        <v>0</v>
      </c>
      <c r="T10" s="59">
        <f>IFERROR(__xludf.DUMMYFUNCTION("iferror(SUM(query(filter('Saline Comp Data Recording'!K:K,'Saline Comp Data Recording'!C:C=B10), ""Select Col1"")),""-"")"),0.0)</f>
        <v>0</v>
      </c>
      <c r="U10" s="54" t="str">
        <f t="shared" si="4"/>
        <v>-</v>
      </c>
      <c r="V10" s="55">
        <f>IFERROR(__xludf.DUMMYFUNCTION("iferror(AVERAGE(query(filter('Saline Comp Data Recording'!K:K,'Saline Comp Data Recording'!C:C=B10), ""Select Col1"")),""-"")"),0.0)</f>
        <v>0</v>
      </c>
      <c r="W10" s="52">
        <f>IFERROR(__xludf.DUMMYFUNCTION("iferror(MAX(query(filter('Saline Comp Data Recording'!K:K,'Saline Comp Data Recording'!C:C=B10), ""Select Col1"")),""-"")"),0.0)</f>
        <v>0</v>
      </c>
      <c r="X10" s="59">
        <f>IFERROR(__xludf.DUMMYFUNCTION("iferror(SUM(query(filter('Saline Comp Data Recording'!L:L,'Saline Comp Data Recording'!C:C=B10), ""Select Col1"")),""-"")"),0.0)</f>
        <v>0</v>
      </c>
      <c r="Y10" s="59">
        <f>IFERROR(__xludf.DUMMYFUNCTION("iferror(SUM(query(filter('Saline Comp Data Recording'!M:M,'Saline Comp Data Recording'!C:C=B10), ""Select Col1"")),""-"")"),0.0)</f>
        <v>0</v>
      </c>
      <c r="Z10" s="54" t="str">
        <f t="shared" si="5"/>
        <v>-</v>
      </c>
      <c r="AA10" s="55">
        <f>IFERROR(__xludf.DUMMYFUNCTION("iferror(AVERAGE(query(filter('Saline Comp Data Recording'!M:M,'Saline Comp Data Recording'!C:C=B10), ""Select Col1"")),""0.00"")"),0.0)</f>
        <v>0</v>
      </c>
      <c r="AB10" s="52">
        <f>IFERROR(__xludf.DUMMYFUNCTION("iferror(MAX(query(filter('Saline Comp Data Recording'!M:M,'Saline Comp Data Recording'!C:C=B10), ""Select Col1"")),""-"")"),0.0)</f>
        <v>0</v>
      </c>
      <c r="AC10" s="59">
        <f>IFERROR(__xludf.DUMMYFUNCTION("iferror(SUM(query(filter('Saline Comp Data Recording'!N:N,'Saline Comp Data Recording'!C:C=B10), ""Select Col1"")),""-"")"),0.0)</f>
        <v>0</v>
      </c>
      <c r="AD10" s="59">
        <f>IFERROR(__xludf.DUMMYFUNCTION("iferror(SUM(query(filter('Saline Comp Data Recording'!O:O,'Saline Comp Data Recording'!C:C=B10), ""Select Col1"")),""-"")"),0.0)</f>
        <v>0</v>
      </c>
      <c r="AE10" s="54" t="str">
        <f t="shared" si="6"/>
        <v>-</v>
      </c>
      <c r="AF10" s="55">
        <f>IFERROR(__xludf.DUMMYFUNCTION("iferror(AVERAGE(query(filter('Saline Comp Data Recording'!O:O,'Saline Comp Data Recording'!C:C=B10), ""Select Col1"")),""0.00"")"),0.0)</f>
        <v>0</v>
      </c>
      <c r="AG10" s="59">
        <f>IFERROR(__xludf.DUMMYFUNCTION("iferror(MAX(query(filter('Saline Comp Data Recording'!O:O,'Saline Comp Data Recording'!C:C=B10), ""Select Col1"")),""-"")"),0.0)</f>
        <v>0</v>
      </c>
      <c r="AH10" s="58" t="str">
        <f>IFERROR(__xludf.DUMMYFUNCTION("if(countif(query(filter('Saline Comp Data Recording'!P:P,'Saline Comp Data Recording'!C:C=B10), ""Select Col1""),TRUE)=0,""0"",countif(query(filter('Saline Comp Data Recording'!P:P,'Saline Comp Data Recording'!C:C=B10), ""Select Col1""),TRUE)) &amp; ""/"" &amp; i"&amp;"f(COUNTA(query(ifna(filter('Saline Comp Data Recording'!P:P,'Saline Comp Data Recording'!C:C=B10),""""), ""Select Col1""))=0,""0"",COUNTA(query(ifna(filter('Saline Comp Data Recording'!P:P,'Saline Comp Data Recording'!C:C=B10),""""), ""Select Col1"")))"),"1/4")</f>
        <v>1/4</v>
      </c>
      <c r="AI10" s="60" t="str">
        <f>IFERROR(__xludf.DUMMYFUNCTION("if(countif(query(filter('Saline Comp Data Recording'!Q:Q,'Saline Comp Data Recording'!C:C=B10), ""Select Col1""),TRUE)=0,""0"",countif(query(filter('Saline Comp Data Recording'!Q:Q,'Saline Comp Data Recording'!C:C=B10), ""Select Col1""),TRUE)) &amp; ""/"" &amp; i"&amp;"f(COUNTA(query(ifna(filter('Saline Comp Data Recording'!Q:Q,'Saline Comp Data Recording'!C:C=B10),""""), ""Select Col1""))=0,""0"",COUNTA(query(ifna(filter('Saline Comp Data Recording'!Q:Q,'Saline Comp Data Recording'!C:C=B10),""""), ""Select Col1"")))"),"1/4")</f>
        <v>1/4</v>
      </c>
      <c r="AJ10" s="59">
        <f>IFERROR(__xludf.DUMMYFUNCTION("iferror(SUM(query(filter('Saline Comp Data Recording'!S:S,'Saline Comp Data Recording'!C:C=B10), ""Select Col1"")),""-"")"),9.0)</f>
        <v>9</v>
      </c>
      <c r="AK10" s="59">
        <f>IFERROR(__xludf.DUMMYFUNCTION("iferror(SUM(query(filter('Saline Comp Data Recording'!T:T,'Saline Comp Data Recording'!C:C=B10), ""Select Col1"")),""-"")"),9.0)</f>
        <v>9</v>
      </c>
      <c r="AL10" s="54">
        <f t="shared" si="7"/>
        <v>1</v>
      </c>
      <c r="AM10" s="55">
        <f>IFERROR(__xludf.DUMMYFUNCTION("iferror(AVERAGE(query(filter('Saline Comp Data Recording'!T:T,'Saline Comp Data Recording'!C:C=B10), ""Select Col1"")),""0.00"")"),2.25)</f>
        <v>2.25</v>
      </c>
      <c r="AN10" s="61">
        <f>IFERROR(__xludf.DUMMYFUNCTION("iferror(MAX(query(filter('Saline Comp Data Recording'!T:T,'Saline Comp Data Recording'!C:C=B10), ""Select Col1"")),""-"")"),5.0)</f>
        <v>5</v>
      </c>
      <c r="AO10" s="62">
        <f>IFERROR(__xludf.DUMMYFUNCTION("iferror(SUM(query(filter('Saline Comp Data Recording'!U:U,'Saline Comp Data Recording'!C:C=B10), ""Select Col1"")),""-"")"),4.0)</f>
        <v>4</v>
      </c>
      <c r="AP10" s="62">
        <f>IFERROR(__xludf.DUMMYFUNCTION("iferror(SUM(query(filter('Saline Comp Data Recording'!V:V,'Saline Comp Data Recording'!C:C=B10), ""Select Col1"")),""-"")"),4.0)</f>
        <v>4</v>
      </c>
      <c r="AQ10" s="63">
        <f t="shared" si="8"/>
        <v>1</v>
      </c>
      <c r="AR10" s="64">
        <f>IFERROR(__xludf.DUMMYFUNCTION("iferror(AVERAGE(query(filter('Saline Comp Data Recording'!V:V,'Saline Comp Data Recording'!C:C=B10), ""Select Col1"")),""0.00"")"),1.0)</f>
        <v>1</v>
      </c>
      <c r="AS10" s="65">
        <f>IFERROR(__xludf.DUMMYFUNCTION("iferror(MAX(query(filter('Saline Comp Data Recording'!V:V,'Saline Comp Data Recording'!C:C=B10), ""Select Col1"")),""-"")"),2.0)</f>
        <v>2</v>
      </c>
      <c r="AT10" s="62">
        <f>IFERROR(__xludf.DUMMYFUNCTION("iferror(SUM(query(filter('Saline Comp Data Recording'!W:W,'Saline Comp Data Recording'!C:C=B10), ""Select Col1"")),""-"")"),0.0)</f>
        <v>0</v>
      </c>
      <c r="AU10" s="62">
        <f>IFERROR(__xludf.DUMMYFUNCTION("iferror(SUM(query(filter('Saline Comp Data Recording'!X:X,'Saline Comp Data Recording'!C:C=B10), ""Select Col1"")),""-"")"),0.0)</f>
        <v>0</v>
      </c>
      <c r="AV10" s="63" t="str">
        <f t="shared" si="9"/>
        <v>-</v>
      </c>
      <c r="AW10" s="64">
        <f>IFERROR(__xludf.DUMMYFUNCTION("iferror(AVERAGE(query(filter('Saline Comp Data Recording'!X:X,'Saline Comp Data Recording'!C:C=B10), ""Select Col1"")),""0.00"")"),0.0)</f>
        <v>0</v>
      </c>
      <c r="AX10" s="65">
        <f>IFERROR(__xludf.DUMMYFUNCTION("iferror(MAX(query(filter('Saline Comp Data Recording'!X:X,'Saline Comp Data Recording'!C:C=B10), ""Select Col1"")),""-"")"),0.0)</f>
        <v>0</v>
      </c>
      <c r="AY10" s="62">
        <f>IFERROR(__xludf.DUMMYFUNCTION("iferror(SUM(query(filter('Saline Comp Data Recording'!Y:Y,'Saline Comp Data Recording'!C:C=B10), ""Select Col1"")),""-"")"),5.0)</f>
        <v>5</v>
      </c>
      <c r="AZ10" s="62">
        <f>IFERROR(__xludf.DUMMYFUNCTION("iferror(SUM(query(filter('Saline Comp Data Recording'!Z:Z,'Saline Comp Data Recording'!C:C=B10), ""Select Col1"")),""-"")"),4.0)</f>
        <v>4</v>
      </c>
      <c r="BA10" s="63">
        <f t="shared" si="10"/>
        <v>0.8</v>
      </c>
      <c r="BB10" s="64">
        <f>IFERROR(__xludf.DUMMYFUNCTION("iferror(AVERAGE(query(filter('Saline Comp Data Recording'!Z:Z,'Saline Comp Data Recording'!C:C=B10), ""Select Col1"")),""0.00"")"),1.0)</f>
        <v>1</v>
      </c>
      <c r="BC10" s="65">
        <f>IFERROR(__xludf.DUMMYFUNCTION("iferror(MAX(query(filter('Saline Comp Data Recording'!Z:Z,'Saline Comp Data Recording'!C:C=B10), ""Select Col1"")),""-"")"),2.0)</f>
        <v>2</v>
      </c>
      <c r="BD10" s="62">
        <f>IFERROR(__xludf.DUMMYFUNCTION("iferror(SUM(query(filter('Saline Comp Data Recording'!AA:AA,'Saline Comp Data Recording'!C:C=B10), ""Select Col1"")),""-"")"),3.0)</f>
        <v>3</v>
      </c>
      <c r="BE10" s="62">
        <f>IFERROR(__xludf.DUMMYFUNCTION("iferror(SUM(query(filter('Saline Comp Data Recording'!AB:AB,'Saline Comp Data Recording'!C:C=B10), ""Select Col1"")),""-"")"),3.0)</f>
        <v>3</v>
      </c>
      <c r="BF10" s="63">
        <f t="shared" si="11"/>
        <v>1</v>
      </c>
      <c r="BG10" s="64">
        <f>IFERROR(__xludf.DUMMYFUNCTION("iferror(AVERAGE(query(filter('Saline Comp Data Recording'!AB:AB,'Saline Comp Data Recording'!C:C=B10), ""Select Col1"")),""0.00"")"),0.75)</f>
        <v>0.75</v>
      </c>
      <c r="BH10" s="65">
        <f>IFERROR(__xludf.DUMMYFUNCTION("iferror(MAX(query(filter('Saline Comp Data Recording'!AB:AB,'Saline Comp Data Recording'!C:C=B10), ""Select Col1"")),""-"")"),1.0)</f>
        <v>1</v>
      </c>
      <c r="BI10" s="62">
        <f>IFERROR(__xludf.DUMMYFUNCTION("iferror(SUM(query(filter('Saline Comp Data Recording'!AC:AC,'Saline Comp Data Recording'!C:C=B10), ""Select Col1"")),""-"")"),0.0)</f>
        <v>0</v>
      </c>
      <c r="BJ10" s="62">
        <f>IFERROR(__xludf.DUMMYFUNCTION("iferror(SUM(query(filter('Saline Comp Data Recording'!AD:AD,'Saline Comp Data Recording'!C:C=B10), ""Select Col1"")),""-"")"),0.0)</f>
        <v>0</v>
      </c>
      <c r="BK10" s="63" t="str">
        <f t="shared" si="12"/>
        <v>-</v>
      </c>
      <c r="BL10" s="64">
        <f>IFERROR(__xludf.DUMMYFUNCTION("iferror(AVERAGE(query(filter('Saline Comp Data Recording'!AD:AD,'Saline Comp Data Recording'!C:C=B10), ""Select Col1"")),""0.00"")"),0.0)</f>
        <v>0</v>
      </c>
      <c r="BM10" s="65">
        <f>IFERROR(__xludf.DUMMYFUNCTION("iferror(MAX(query(filter('Saline Comp Data Recording'!AD:AD,'Saline Comp Data Recording'!C:C=B10), ""Select Col1"")),""-"")"),0.0)</f>
        <v>0</v>
      </c>
      <c r="BN10" s="66" t="str">
        <f>IFERROR(__xludf.DUMMYFUNCTION("if(countif(query(filter('Saline Comp Data Recording'!AE:AE,'Saline Comp Data Recording'!C:C=B10), ""Select Col1""),""TRUE"")=0,""0"",countif(query(filter('Saline Comp Data Recording'!AE:AE,'Saline Comp Data Recording'!C:C=B10), ""Select Col1""),""TRUE""))"&amp;" &amp; ""/"" &amp; if(COUNTA(query(ifna(filter('Saline Comp Data Recording'!AE:AE,'Saline Comp Data Recording'!C:C=B10),""""), ""Select Col1""))=0,""0"",COUNTA(query(ifna(filter('Saline Comp Data Recording'!AE:AE,'Saline Comp Data Recording'!C:C=B10),""""), ""Sel"&amp;"ect Col1"")))"),"1/4")</f>
        <v>1/4</v>
      </c>
      <c r="BO10" s="67" t="str">
        <f>IFERROR(__xludf.DUMMYFUNCTION("if(countif(query(filter('Saline Comp Data Recording'!AF:AF,'Saline Comp Data Recording'!C:C=B10), ""Select Col1""),""TRUE"")=0,""0"",countif(query(filter('Saline Comp Data Recording'!AF:AF,'Saline Comp Data Recording'!C:C=B10), ""Select Col1""),""TRUE""))"&amp;" &amp; ""/"" &amp; if(COUNTA(query(ifna(filter('Saline Comp Data Recording'!AF:AF,'Saline Comp Data Recording'!C:C=B10),""""), ""Select Col1""))=0,""0"",COUNTA(query(ifna(filter('Saline Comp Data Recording'!AF:AF,'Saline Comp Data Recording'!C:C=B10),""""), ""Sel"&amp;"ect Col1"")))"),"1/4")</f>
        <v>1/4</v>
      </c>
      <c r="BP10" s="60" t="str">
        <f>IFERROR(__xludf.DUMMYFUNCTION("if(countif(query(filter('Saline Comp Data Recording'!AI:AI,'Saline Comp Data Recording'!C:C=B10), ""Select Col1""),""TRUE"")=0,""0"",countif(query(filter('Saline Comp Data Recording'!AI:AI,'Saline Comp Data Recording'!C:C=B10), ""Select Col1""),""TRUE""))"&amp;" &amp; ""/"" &amp; if(COUNTA(query(ifna(filter('Saline Comp Data Recording'!AI:AI,'Saline Comp Data Recording'!C:C=B10),""""), ""Select Col1""))=0,""0"",COUNTA(query(ifna(filter('Saline Comp Data Recording'!AI:AI,'Saline Comp Data Recording'!C:C=B10),""""), ""Sel"&amp;"ect Col1"")))"),"0/4")</f>
        <v>0/4</v>
      </c>
      <c r="BQ10" s="55">
        <f>IFERROR(__xludf.DUMMYFUNCTION("iferror(average(query(filter('Saline Comp Data Recording'!AG:AG,'Saline Comp Data Recording'!C:C=B10), ""Select Col1"")),""-"")"),4.25)</f>
        <v>4.25</v>
      </c>
      <c r="BR10" s="69">
        <f>IFERROR(__xludf.DUMMYFUNCTION("iferror(average(query(filter('Saline Comp Data Recording'!AH:AH,'Saline Comp Data Recording'!C:C=B10), ""Select Col1"")),""-"")"),1.75)</f>
        <v>1.75</v>
      </c>
      <c r="BS10" s="70">
        <f>IFERROR(__xludf.DUMMYFUNCTION("iferror(AVERAGE(query(filter('Saline Comp Data Recording'!AK:AK,'Saline Comp Data Recording'!C:C=B10), ""Select Col1"")),""-"")"),31.0)</f>
        <v>31</v>
      </c>
      <c r="BT10" s="70">
        <f>IFERROR(__xludf.DUMMYFUNCTION("iferror(AVERAGE(query(filter('Saline Comp Data Recording'!AL:AL,'Saline Comp Data Recording'!C:C=B10), ""Select Col1"")),""-"")"),25.5)</f>
        <v>25.5</v>
      </c>
      <c r="BU10" s="71">
        <f>IFERROR(__xludf.DUMMYFUNCTION("iferror(max(query(filter('Saline Comp Data Recording'!AK:AK,'Saline Comp Data Recording'!C:C=B10), ""Select Col1"")),""-"")"),58.0)</f>
        <v>58</v>
      </c>
      <c r="BV10" s="72">
        <f>IFERROR(__xludf.DUMMYFUNCTION("iferror(MIN(query(filter('Saline Comp Data Recording'!AK:AK,'Saline Comp Data Recording'!C:C=B10), ""Select Col1"")),""-"")"),5.0)</f>
        <v>5</v>
      </c>
      <c r="BW10" s="73" t="str">
        <f>IFERROR(__xludf.DUMMYFUNCTION("iferror(if(DIVIDE(COUNTIF(query(filter('Saline Comp Data Recording'!P:P,'Saline Comp Data Recording'!C:C=B10), ""Select Col1""),TRUE),COUNTA(query(ifna(filter('Saline Comp Data Recording'!P:P,'Saline Comp Data Recording'!C:C=B10),""""), ""Select Col1"")))"&amp;"&gt;=(0.5),""1"",""0""),""-"")"),"0")</f>
        <v>0</v>
      </c>
      <c r="BX10" s="59" t="str">
        <f>IFERROR(__xludf.DUMMYFUNCTION("iferror(if(countif(query(filter('Saline Comp Data Recording'!Q:Q,'Saline Comp Data Recording'!C:C=B10), ""Select Col1""),TRUE)/COUNTA(query(ifna(filter('Saline Comp Data Recording'!Q:Q,'Saline Comp Data Recording'!C:C=B10),""""), ""Select Col1""))&gt;=(0.5),"&amp;"""1"",""0""),""-"")"),"0")</f>
        <v>0</v>
      </c>
      <c r="BY10" s="74" t="str">
        <f>IFERROR(__xludf.DUMMYFUNCTION("iferror(if(DIVIDE(COUNTIF(query(filter('Saline Comp Data Recording'!AE:AE,'Saline Comp Data Recording'!C:C=B10), ""Select Col1""),TRUE),COUNTA(query(ifna(filter('Saline Comp Data Recording'!AE:AE,'Saline Comp Data Recording'!C:C=B10),""""), ""Select Col1"&amp;""")))&gt;=(0.5),""1"",""0""),""-"")"),"0")</f>
        <v>0</v>
      </c>
      <c r="BZ10" s="59" t="str">
        <f>IFERROR(__xludf.DUMMYFUNCTION("iferror(if(countif(query(filter('Saline Comp Data Recording'!AF:AF,'Saline Comp Data Recording'!C:C=B10), ""Select Col1""),TRUE)/COUNTA(query(ifna(filter('Saline Comp Data Recording'!AF:AF,'Saline Comp Data Recording'!C:C=B10),""""), ""Select Col1""))&gt;=(0"&amp;".5),""1"",""0""),""-"")"),"0")</f>
        <v>0</v>
      </c>
      <c r="CA10" s="74" t="str">
        <f>IFERROR(__xludf.DUMMYFUNCTION("iferror(if(DIVIDE(countif(query(filter('Saline Comp Data Recording'!R:R,'Saline Comp Data Recording'!C:C=B10), ""Select Col1""),TRUE),COUNTA(query(ifna(filter('Saline Comp Data Recording'!R:R,'Saline Comp Data Recording'!C:C=B10),""""), ""Select Col1"")))"&amp;"&gt;=(0.5),""1"",""0""),""-"")"),"1")</f>
        <v>1</v>
      </c>
    </row>
    <row r="11">
      <c r="A11" s="51" t="s">
        <v>523</v>
      </c>
      <c r="B11" s="51">
        <v>4779.0</v>
      </c>
      <c r="C11" s="52" t="str">
        <f>IFERROR(__xludf.DUMMYFUNCTION("if(countif(query(filter('Saline Comp Data Recording'!R:R,'Saline Comp Data Recording'!C:C=B11), ""Select Col1""),""TRUE"")=0,""0"",countif(query(filter('Saline Comp Data Recording'!R:R,'Saline Comp Data Recording'!C:C=B11), ""Select Col1""),""TRUE"")) &amp; "&amp;"""/"" &amp; if(COUNTA(query(ifna(filter('Saline Comp Data Recording'!R:R,'Saline Comp Data Recording'!C:C=B11),""""), ""Select Col1""))=0,""0"",COUNTA(query(ifna(filter('Saline Comp Data Recording'!R:R,'Saline Comp Data Recording'!C:C=B11),""""), ""Select Col"&amp;"1"")))"),"2/6")</f>
        <v>2/6</v>
      </c>
      <c r="D11" s="53">
        <f>IFERROR(__xludf.DUMMYFUNCTION("iferror(SUM(query(filter('Saline Comp Data Recording'!D:D,'Saline Comp Data Recording'!C:C=B11), ""Select Col1"")),""-"")"),5.0)</f>
        <v>5</v>
      </c>
      <c r="E11" s="53">
        <f>IFERROR(__xludf.DUMMYFUNCTION("iferror(SUM(query(filter('Saline Comp Data Recording'!E:E,'Saline Comp Data Recording'!C:C=B11), ""Select Col1"")),""-"")"),2.0)</f>
        <v>2</v>
      </c>
      <c r="F11" s="54">
        <f t="shared" si="1"/>
        <v>0.4</v>
      </c>
      <c r="G11" s="55">
        <f>IFERROR(__xludf.DUMMYFUNCTION("iferror(AVERAGE(query(filter('Saline Comp Data Recording'!E:E,'Saline Comp Data Recording'!C:C=B11), ""Select Col1"")),""0.00"")"),0.3333333333333333)</f>
        <v>0.3333333333</v>
      </c>
      <c r="H11" s="53">
        <f>IFERROR(__xludf.DUMMYFUNCTION("iferror(MAX(query(filter('Saline Comp Data Recording'!E:E,'Saline Comp Data Recording'!C:C=B11), ""Select Col1"")),""-"")"),1.0)</f>
        <v>1</v>
      </c>
      <c r="I11" s="56">
        <f>IFERROR(__xludf.DUMMYFUNCTION("iferror(SUM(query(filter('Saline Comp Data Recording'!F:F,'Saline Comp Data Recording'!C:C=B11), ""Select Col1"")),""-"")"),0.0)</f>
        <v>0</v>
      </c>
      <c r="J11" s="57">
        <f>IFERROR(__xludf.DUMMYFUNCTION("iferror(SUM(query(filter('Saline Comp Data Recording'!G:G,'Saline Comp Data Recording'!C:C=B11), ""Select Col1"")),""-"")"),0.0)</f>
        <v>0</v>
      </c>
      <c r="K11" s="54" t="str">
        <f t="shared" si="2"/>
        <v>-</v>
      </c>
      <c r="L11" s="55">
        <f>IFERROR(__xludf.DUMMYFUNCTION("iferror(AVERAGE(query(filter('Saline Comp Data Recording'!G:G,'Saline Comp Data Recording'!C:C=B11), ""Select Col1"")),""0.00"")"),0.0)</f>
        <v>0</v>
      </c>
      <c r="M11" s="53">
        <f>IFERROR(__xludf.DUMMYFUNCTION("iferror(MAX(query(filter('Saline Comp Data Recording'!G:G,'Saline Comp Data Recording'!C:C=B11), ""Select Col1"")),""-"")"),0.0)</f>
        <v>0</v>
      </c>
      <c r="N11" s="58">
        <f>IFERROR(__xludf.DUMMYFUNCTION("iferror(SUM(query(filter('Saline Comp Data Recording'!H:H,'Saline Comp Data Recording'!C:C=B11), ""Select Col1"")),""-"")"),2.0)</f>
        <v>2</v>
      </c>
      <c r="O11" s="59">
        <f>IFERROR(__xludf.DUMMYFUNCTION("iferror(SUM(query(filter('Saline Comp Data Recording'!I:I,'Saline Comp Data Recording'!C:C=B11), ""Select Col1"")),""-"")"),2.0)</f>
        <v>2</v>
      </c>
      <c r="P11" s="54">
        <f t="shared" si="3"/>
        <v>1</v>
      </c>
      <c r="Q11" s="55">
        <f>IFERROR(__xludf.DUMMYFUNCTION("iferror(AVERAGE(query(filter('Saline Comp Data Recording'!I:I,'Saline Comp Data Recording'!C:C=B11), ""Select Col1"")),""0.00"")"),0.3333333333333333)</f>
        <v>0.3333333333</v>
      </c>
      <c r="R11" s="53">
        <f>IFERROR(__xludf.DUMMYFUNCTION("iferror(MAX(query(filter('Saline Comp Data Recording'!I:I,'Saline Comp Data Recording'!C:C=B11), ""Select Col1"")),""-"")"),1.0)</f>
        <v>1</v>
      </c>
      <c r="S11" s="58">
        <f>IFERROR(__xludf.DUMMYFUNCTION("iferror(SUM(query(filter('Saline Comp Data Recording'!J:J,'Saline Comp Data Recording'!C:C=B11), ""Select Col1"")),""-"")"),2.0)</f>
        <v>2</v>
      </c>
      <c r="T11" s="59">
        <f>IFERROR(__xludf.DUMMYFUNCTION("iferror(SUM(query(filter('Saline Comp Data Recording'!K:K,'Saline Comp Data Recording'!C:C=B11), ""Select Col1"")),""-"")"),1.0)</f>
        <v>1</v>
      </c>
      <c r="U11" s="54">
        <f t="shared" si="4"/>
        <v>0.5</v>
      </c>
      <c r="V11" s="55">
        <f>IFERROR(__xludf.DUMMYFUNCTION("iferror(AVERAGE(query(filter('Saline Comp Data Recording'!K:K,'Saline Comp Data Recording'!C:C=B11), ""Select Col1"")),""-"")"),0.16666666666666666)</f>
        <v>0.1666666667</v>
      </c>
      <c r="W11" s="52">
        <f>IFERROR(__xludf.DUMMYFUNCTION("iferror(MAX(query(filter('Saline Comp Data Recording'!K:K,'Saline Comp Data Recording'!C:C=B11), ""Select Col1"")),""-"")"),1.0)</f>
        <v>1</v>
      </c>
      <c r="X11" s="59">
        <f>IFERROR(__xludf.DUMMYFUNCTION("iferror(SUM(query(filter('Saline Comp Data Recording'!L:L,'Saline Comp Data Recording'!C:C=B11), ""Select Col1"")),""-"")"),0.0)</f>
        <v>0</v>
      </c>
      <c r="Y11" s="59">
        <f>IFERROR(__xludf.DUMMYFUNCTION("iferror(SUM(query(filter('Saline Comp Data Recording'!M:M,'Saline Comp Data Recording'!C:C=B11), ""Select Col1"")),""-"")"),0.0)</f>
        <v>0</v>
      </c>
      <c r="Z11" s="54" t="str">
        <f t="shared" si="5"/>
        <v>-</v>
      </c>
      <c r="AA11" s="55">
        <f>IFERROR(__xludf.DUMMYFUNCTION("iferror(AVERAGE(query(filter('Saline Comp Data Recording'!M:M,'Saline Comp Data Recording'!C:C=B11), ""Select Col1"")),""0.00"")"),0.0)</f>
        <v>0</v>
      </c>
      <c r="AB11" s="52">
        <f>IFERROR(__xludf.DUMMYFUNCTION("iferror(MAX(query(filter('Saline Comp Data Recording'!M:M,'Saline Comp Data Recording'!C:C=B11), ""Select Col1"")),""-"")"),0.0)</f>
        <v>0</v>
      </c>
      <c r="AC11" s="59">
        <f>IFERROR(__xludf.DUMMYFUNCTION("iferror(SUM(query(filter('Saline Comp Data Recording'!N:N,'Saline Comp Data Recording'!C:C=B11), ""Select Col1"")),""-"")"),0.0)</f>
        <v>0</v>
      </c>
      <c r="AD11" s="59">
        <f>IFERROR(__xludf.DUMMYFUNCTION("iferror(SUM(query(filter('Saline Comp Data Recording'!O:O,'Saline Comp Data Recording'!C:C=B11), ""Select Col1"")),""-"")"),0.0)</f>
        <v>0</v>
      </c>
      <c r="AE11" s="54" t="str">
        <f t="shared" si="6"/>
        <v>-</v>
      </c>
      <c r="AF11" s="55">
        <f>IFERROR(__xludf.DUMMYFUNCTION("iferror(AVERAGE(query(filter('Saline Comp Data Recording'!O:O,'Saline Comp Data Recording'!C:C=B11), ""Select Col1"")),""0.00"")"),0.0)</f>
        <v>0</v>
      </c>
      <c r="AG11" s="59">
        <f>IFERROR(__xludf.DUMMYFUNCTION("iferror(MAX(query(filter('Saline Comp Data Recording'!O:O,'Saline Comp Data Recording'!C:C=B11), ""Select Col1"")),""-"")"),0.0)</f>
        <v>0</v>
      </c>
      <c r="AH11" s="58" t="str">
        <f>IFERROR(__xludf.DUMMYFUNCTION("if(countif(query(filter('Saline Comp Data Recording'!P:P,'Saline Comp Data Recording'!C:C=B11), ""Select Col1""),TRUE)=0,""0"",countif(query(filter('Saline Comp Data Recording'!P:P,'Saline Comp Data Recording'!C:C=B11), ""Select Col1""),TRUE)) &amp; ""/"" &amp; i"&amp;"f(COUNTA(query(ifna(filter('Saline Comp Data Recording'!P:P,'Saline Comp Data Recording'!C:C=B11),""""), ""Select Col1""))=0,""0"",COUNTA(query(ifna(filter('Saline Comp Data Recording'!P:P,'Saline Comp Data Recording'!C:C=B11),""""), ""Select Col1"")))"),"0/6")</f>
        <v>0/6</v>
      </c>
      <c r="AI11" s="60" t="str">
        <f>IFERROR(__xludf.DUMMYFUNCTION("if(countif(query(filter('Saline Comp Data Recording'!Q:Q,'Saline Comp Data Recording'!C:C=B11), ""Select Col1""),TRUE)=0,""0"",countif(query(filter('Saline Comp Data Recording'!Q:Q,'Saline Comp Data Recording'!C:C=B11), ""Select Col1""),TRUE)) &amp; ""/"" &amp; i"&amp;"f(COUNTA(query(ifna(filter('Saline Comp Data Recording'!Q:Q,'Saline Comp Data Recording'!C:C=B11),""""), ""Select Col1""))=0,""0"",COUNTA(query(ifna(filter('Saline Comp Data Recording'!Q:Q,'Saline Comp Data Recording'!C:C=B11),""""), ""Select Col1"")))"),"2/6")</f>
        <v>2/6</v>
      </c>
      <c r="AJ11" s="59">
        <f>IFERROR(__xludf.DUMMYFUNCTION("iferror(SUM(query(filter('Saline Comp Data Recording'!S:S,'Saline Comp Data Recording'!C:C=B11), ""Select Col1"")),""-"")"),15.0)</f>
        <v>15</v>
      </c>
      <c r="AK11" s="59">
        <f>IFERROR(__xludf.DUMMYFUNCTION("iferror(SUM(query(filter('Saline Comp Data Recording'!T:T,'Saline Comp Data Recording'!C:C=B11), ""Select Col1"")),""-"")"),11.0)</f>
        <v>11</v>
      </c>
      <c r="AL11" s="54">
        <f t="shared" si="7"/>
        <v>0.7333333333</v>
      </c>
      <c r="AM11" s="55">
        <f>IFERROR(__xludf.DUMMYFUNCTION("iferror(AVERAGE(query(filter('Saline Comp Data Recording'!T:T,'Saline Comp Data Recording'!C:C=B11), ""Select Col1"")),""0.00"")"),1.8333333333333333)</f>
        <v>1.833333333</v>
      </c>
      <c r="AN11" s="61">
        <f>IFERROR(__xludf.DUMMYFUNCTION("iferror(MAX(query(filter('Saline Comp Data Recording'!T:T,'Saline Comp Data Recording'!C:C=B11), ""Select Col1"")),""-"")"),3.0)</f>
        <v>3</v>
      </c>
      <c r="AO11" s="62">
        <f>IFERROR(__xludf.DUMMYFUNCTION("iferror(SUM(query(filter('Saline Comp Data Recording'!U:U,'Saline Comp Data Recording'!C:C=B11), ""Select Col1"")),""-"")"),7.0)</f>
        <v>7</v>
      </c>
      <c r="AP11" s="62">
        <f>IFERROR(__xludf.DUMMYFUNCTION("iferror(SUM(query(filter('Saline Comp Data Recording'!V:V,'Saline Comp Data Recording'!C:C=B11), ""Select Col1"")),""-"")"),6.0)</f>
        <v>6</v>
      </c>
      <c r="AQ11" s="63">
        <f t="shared" si="8"/>
        <v>0.8571428571</v>
      </c>
      <c r="AR11" s="64">
        <f>IFERROR(__xludf.DUMMYFUNCTION("iferror(AVERAGE(query(filter('Saline Comp Data Recording'!V:V,'Saline Comp Data Recording'!C:C=B11), ""Select Col1"")),""0.00"")"),1.0)</f>
        <v>1</v>
      </c>
      <c r="AS11" s="65">
        <f>IFERROR(__xludf.DUMMYFUNCTION("iferror(MAX(query(filter('Saline Comp Data Recording'!V:V,'Saline Comp Data Recording'!C:C=B11), ""Select Col1"")),""-"")"),2.0)</f>
        <v>2</v>
      </c>
      <c r="AT11" s="62">
        <f>IFERROR(__xludf.DUMMYFUNCTION("iferror(SUM(query(filter('Saline Comp Data Recording'!W:W,'Saline Comp Data Recording'!C:C=B11), ""Select Col1"")),""-"")"),3.0)</f>
        <v>3</v>
      </c>
      <c r="AU11" s="62">
        <f>IFERROR(__xludf.DUMMYFUNCTION("iferror(SUM(query(filter('Saline Comp Data Recording'!X:X,'Saline Comp Data Recording'!C:C=B11), ""Select Col1"")),""-"")"),3.0)</f>
        <v>3</v>
      </c>
      <c r="AV11" s="63">
        <f t="shared" si="9"/>
        <v>1</v>
      </c>
      <c r="AW11" s="64">
        <f>IFERROR(__xludf.DUMMYFUNCTION("iferror(AVERAGE(query(filter('Saline Comp Data Recording'!X:X,'Saline Comp Data Recording'!C:C=B11), ""Select Col1"")),""0.00"")"),0.5)</f>
        <v>0.5</v>
      </c>
      <c r="AX11" s="65">
        <f>IFERROR(__xludf.DUMMYFUNCTION("iferror(MAX(query(filter('Saline Comp Data Recording'!X:X,'Saline Comp Data Recording'!C:C=B11), ""Select Col1"")),""-"")"),2.0)</f>
        <v>2</v>
      </c>
      <c r="AY11" s="62">
        <f>IFERROR(__xludf.DUMMYFUNCTION("iferror(SUM(query(filter('Saline Comp Data Recording'!Y:Y,'Saline Comp Data Recording'!C:C=B11), ""Select Col1"")),""-"")"),3.0)</f>
        <v>3</v>
      </c>
      <c r="AZ11" s="62">
        <f>IFERROR(__xludf.DUMMYFUNCTION("iferror(SUM(query(filter('Saline Comp Data Recording'!Z:Z,'Saline Comp Data Recording'!C:C=B11), ""Select Col1"")),""-"")"),2.0)</f>
        <v>2</v>
      </c>
      <c r="BA11" s="63">
        <f t="shared" si="10"/>
        <v>0.6666666667</v>
      </c>
      <c r="BB11" s="64">
        <f>IFERROR(__xludf.DUMMYFUNCTION("iferror(AVERAGE(query(filter('Saline Comp Data Recording'!Z:Z,'Saline Comp Data Recording'!C:C=B11), ""Select Col1"")),""0.00"")"),0.3333333333333333)</f>
        <v>0.3333333333</v>
      </c>
      <c r="BC11" s="65">
        <f>IFERROR(__xludf.DUMMYFUNCTION("iferror(MAX(query(filter('Saline Comp Data Recording'!Z:Z,'Saline Comp Data Recording'!C:C=B11), ""Select Col1"")),""-"")"),1.0)</f>
        <v>1</v>
      </c>
      <c r="BD11" s="62">
        <f>IFERROR(__xludf.DUMMYFUNCTION("iferror(SUM(query(filter('Saline Comp Data Recording'!AA:AA,'Saline Comp Data Recording'!C:C=B11), ""Select Col1"")),""-"")"),0.0)</f>
        <v>0</v>
      </c>
      <c r="BE11" s="62">
        <f>IFERROR(__xludf.DUMMYFUNCTION("iferror(SUM(query(filter('Saline Comp Data Recording'!AB:AB,'Saline Comp Data Recording'!C:C=B11), ""Select Col1"")),""-"")"),0.0)</f>
        <v>0</v>
      </c>
      <c r="BF11" s="63" t="str">
        <f t="shared" si="11"/>
        <v>-</v>
      </c>
      <c r="BG11" s="64">
        <f>IFERROR(__xludf.DUMMYFUNCTION("iferror(AVERAGE(query(filter('Saline Comp Data Recording'!AB:AB,'Saline Comp Data Recording'!C:C=B11), ""Select Col1"")),""0.00"")"),0.0)</f>
        <v>0</v>
      </c>
      <c r="BH11" s="65">
        <f>IFERROR(__xludf.DUMMYFUNCTION("iferror(MAX(query(filter('Saline Comp Data Recording'!AB:AB,'Saline Comp Data Recording'!C:C=B11), ""Select Col1"")),""-"")"),0.0)</f>
        <v>0</v>
      </c>
      <c r="BI11" s="62">
        <f>IFERROR(__xludf.DUMMYFUNCTION("iferror(SUM(query(filter('Saline Comp Data Recording'!AC:AC,'Saline Comp Data Recording'!C:C=B11), ""Select Col1"")),""-"")"),0.0)</f>
        <v>0</v>
      </c>
      <c r="BJ11" s="62">
        <f>IFERROR(__xludf.DUMMYFUNCTION("iferror(SUM(query(filter('Saline Comp Data Recording'!AD:AD,'Saline Comp Data Recording'!C:C=B11), ""Select Col1"")),""-"")"),0.0)</f>
        <v>0</v>
      </c>
      <c r="BK11" s="63" t="str">
        <f t="shared" si="12"/>
        <v>-</v>
      </c>
      <c r="BL11" s="64">
        <f>IFERROR(__xludf.DUMMYFUNCTION("iferror(AVERAGE(query(filter('Saline Comp Data Recording'!AD:AD,'Saline Comp Data Recording'!C:C=B11), ""Select Col1"")),""0.00"")"),0.0)</f>
        <v>0</v>
      </c>
      <c r="BM11" s="65">
        <f>IFERROR(__xludf.DUMMYFUNCTION("iferror(MAX(query(filter('Saline Comp Data Recording'!AD:AD,'Saline Comp Data Recording'!C:C=B11), ""Select Col1"")),""-"")"),0.0)</f>
        <v>0</v>
      </c>
      <c r="BN11" s="66" t="str">
        <f>IFERROR(__xludf.DUMMYFUNCTION("if(countif(query(filter('Saline Comp Data Recording'!AE:AE,'Saline Comp Data Recording'!C:C=B11), ""Select Col1""),""TRUE"")=0,""0"",countif(query(filter('Saline Comp Data Recording'!AE:AE,'Saline Comp Data Recording'!C:C=B11), ""Select Col1""),""TRUE""))"&amp;" &amp; ""/"" &amp; if(COUNTA(query(ifna(filter('Saline Comp Data Recording'!AE:AE,'Saline Comp Data Recording'!C:C=B11),""""), ""Select Col1""))=0,""0"",COUNTA(query(ifna(filter('Saline Comp Data Recording'!AE:AE,'Saline Comp Data Recording'!C:C=B11),""""), ""Sel"&amp;"ect Col1"")))"),"0/6")</f>
        <v>0/6</v>
      </c>
      <c r="BO11" s="67" t="str">
        <f>IFERROR(__xludf.DUMMYFUNCTION("if(countif(query(filter('Saline Comp Data Recording'!AF:AF,'Saline Comp Data Recording'!C:C=B11), ""Select Col1""),""TRUE"")=0,""0"",countif(query(filter('Saline Comp Data Recording'!AF:AF,'Saline Comp Data Recording'!C:C=B11), ""Select Col1""),""TRUE""))"&amp;" &amp; ""/"" &amp; if(COUNTA(query(ifna(filter('Saline Comp Data Recording'!AF:AF,'Saline Comp Data Recording'!C:C=B11),""""), ""Select Col1""))=0,""0"",COUNTA(query(ifna(filter('Saline Comp Data Recording'!AF:AF,'Saline Comp Data Recording'!C:C=B11),""""), ""Sel"&amp;"ect Col1"")))"),"2/6")</f>
        <v>2/6</v>
      </c>
      <c r="BP11" s="60" t="str">
        <f>IFERROR(__xludf.DUMMYFUNCTION("if(countif(query(filter('Saline Comp Data Recording'!AI:AI,'Saline Comp Data Recording'!C:C=B11), ""Select Col1""),""TRUE"")=0,""0"",countif(query(filter('Saline Comp Data Recording'!AI:AI,'Saline Comp Data Recording'!C:C=B11), ""Select Col1""),""TRUE""))"&amp;" &amp; ""/"" &amp; if(COUNTA(query(ifna(filter('Saline Comp Data Recording'!AI:AI,'Saline Comp Data Recording'!C:C=B11),""""), ""Select Col1""))=0,""0"",COUNTA(query(ifna(filter('Saline Comp Data Recording'!AI:AI,'Saline Comp Data Recording'!C:C=B11),""""), ""Sel"&amp;"ect Col1"")))"),"1/6")</f>
        <v>1/6</v>
      </c>
      <c r="BQ11" s="55">
        <f>IFERROR(__xludf.DUMMYFUNCTION("iferror(average(query(filter('Saline Comp Data Recording'!AG:AG,'Saline Comp Data Recording'!C:C=B11), ""Select Col1"")),""-"")"),2.6666666666666665)</f>
        <v>2.666666667</v>
      </c>
      <c r="BR11" s="69">
        <f>IFERROR(__xludf.DUMMYFUNCTION("iferror(average(query(filter('Saline Comp Data Recording'!AH:AH,'Saline Comp Data Recording'!C:C=B11), ""Select Col1"")),""-"")"),2.0)</f>
        <v>2</v>
      </c>
      <c r="BS11" s="70">
        <f>IFERROR(__xludf.DUMMYFUNCTION("iferror(AVERAGE(query(filter('Saline Comp Data Recording'!AK:AK,'Saline Comp Data Recording'!C:C=B11), ""Select Col1"")),""-"")"),19.833333333333332)</f>
        <v>19.83333333</v>
      </c>
      <c r="BT11" s="70">
        <f>IFERROR(__xludf.DUMMYFUNCTION("iferror(AVERAGE(query(filter('Saline Comp Data Recording'!AL:AL,'Saline Comp Data Recording'!C:C=B11), ""Select Col1"")),""-"")"),19.833333333333332)</f>
        <v>19.83333333</v>
      </c>
      <c r="BU11" s="71">
        <f>IFERROR(__xludf.DUMMYFUNCTION("iferror(max(query(filter('Saline Comp Data Recording'!AK:AK,'Saline Comp Data Recording'!C:C=B11), ""Select Col1"")),""-"")"),26.0)</f>
        <v>26</v>
      </c>
      <c r="BV11" s="72">
        <f>IFERROR(__xludf.DUMMYFUNCTION("iferror(MIN(query(filter('Saline Comp Data Recording'!AK:AK,'Saline Comp Data Recording'!C:C=B11), ""Select Col1"")),""-"")"),16.0)</f>
        <v>16</v>
      </c>
      <c r="BW11" s="73" t="str">
        <f>IFERROR(__xludf.DUMMYFUNCTION("iferror(if(DIVIDE(COUNTIF(query(filter('Saline Comp Data Recording'!P:P,'Saline Comp Data Recording'!C:C=B11), ""Select Col1""),TRUE),COUNTA(query(ifna(filter('Saline Comp Data Recording'!P:P,'Saline Comp Data Recording'!C:C=B11),""""), ""Select Col1"")))"&amp;"&gt;=(0.5),""1"",""0""),""-"")"),"0")</f>
        <v>0</v>
      </c>
      <c r="BX11" s="59" t="str">
        <f>IFERROR(__xludf.DUMMYFUNCTION("iferror(if(countif(query(filter('Saline Comp Data Recording'!Q:Q,'Saline Comp Data Recording'!C:C=B11), ""Select Col1""),TRUE)/COUNTA(query(ifna(filter('Saline Comp Data Recording'!Q:Q,'Saline Comp Data Recording'!C:C=B11),""""), ""Select Col1""))&gt;=(0.5),"&amp;"""1"",""0""),""-"")"),"0")</f>
        <v>0</v>
      </c>
      <c r="BY11" s="74" t="str">
        <f>IFERROR(__xludf.DUMMYFUNCTION("iferror(if(DIVIDE(COUNTIF(query(filter('Saline Comp Data Recording'!AE:AE,'Saline Comp Data Recording'!C:C=B11), ""Select Col1""),TRUE),COUNTA(query(ifna(filter('Saline Comp Data Recording'!AE:AE,'Saline Comp Data Recording'!C:C=B11),""""), ""Select Col1"&amp;""")))&gt;=(0.5),""1"",""0""),""-"")"),"0")</f>
        <v>0</v>
      </c>
      <c r="BZ11" s="59" t="str">
        <f>IFERROR(__xludf.DUMMYFUNCTION("iferror(if(countif(query(filter('Saline Comp Data Recording'!AF:AF,'Saline Comp Data Recording'!C:C=B11), ""Select Col1""),TRUE)/COUNTA(query(ifna(filter('Saline Comp Data Recording'!AF:AF,'Saline Comp Data Recording'!C:C=B11),""""), ""Select Col1""))&gt;=(0"&amp;".5),""1"",""0""),""-"")"),"0")</f>
        <v>0</v>
      </c>
      <c r="CA11" s="74" t="str">
        <f>IFERROR(__xludf.DUMMYFUNCTION("iferror(if(DIVIDE(countif(query(filter('Saline Comp Data Recording'!R:R,'Saline Comp Data Recording'!C:C=B11), ""Select Col1""),TRUE),COUNTA(query(ifna(filter('Saline Comp Data Recording'!R:R,'Saline Comp Data Recording'!C:C=B11),""""), ""Select Col1"")))"&amp;"&gt;=(0.5),""1"",""0""),""-"")"),"0")</f>
        <v>0</v>
      </c>
    </row>
    <row r="12">
      <c r="A12" s="51" t="s">
        <v>50</v>
      </c>
      <c r="B12" s="51">
        <v>3322.0</v>
      </c>
      <c r="C12" s="52" t="str">
        <f>IFERROR(__xludf.DUMMYFUNCTION("if(countif(query(filter('Saline Comp Data Recording'!R:R,'Saline Comp Data Recording'!C:C=B12), ""Select Col1""),""TRUE"")=0,""0"",countif(query(filter('Saline Comp Data Recording'!R:R,'Saline Comp Data Recording'!C:C=B12), ""Select Col1""),""TRUE"")) &amp; "&amp;"""/"" &amp; if(COUNTA(query(ifna(filter('Saline Comp Data Recording'!R:R,'Saline Comp Data Recording'!C:C=B12),""""), ""Select Col1""))=0,""0"",COUNTA(query(ifna(filter('Saline Comp Data Recording'!R:R,'Saline Comp Data Recording'!C:C=B12),""""), ""Select Col"&amp;"1"")))"),"5/6")</f>
        <v>5/6</v>
      </c>
      <c r="D12" s="53">
        <f>IFERROR(__xludf.DUMMYFUNCTION("iferror(SUM(query(filter('Saline Comp Data Recording'!D:D,'Saline Comp Data Recording'!C:C=B12), ""Select Col1"")),""-"")"),0.0)</f>
        <v>0</v>
      </c>
      <c r="E12" s="53">
        <f>IFERROR(__xludf.DUMMYFUNCTION("iferror(SUM(query(filter('Saline Comp Data Recording'!E:E,'Saline Comp Data Recording'!C:C=B12), ""Select Col1"")),""-"")"),0.0)</f>
        <v>0</v>
      </c>
      <c r="F12" s="54" t="str">
        <f t="shared" si="1"/>
        <v>-</v>
      </c>
      <c r="G12" s="55">
        <f>IFERROR(__xludf.DUMMYFUNCTION("iferror(AVERAGE(query(filter('Saline Comp Data Recording'!E:E,'Saline Comp Data Recording'!C:C=B12), ""Select Col1"")),""0.00"")"),0.0)</f>
        <v>0</v>
      </c>
      <c r="H12" s="53">
        <f>IFERROR(__xludf.DUMMYFUNCTION("iferror(MAX(query(filter('Saline Comp Data Recording'!E:E,'Saline Comp Data Recording'!C:C=B12), ""Select Col1"")),""-"")"),0.0)</f>
        <v>0</v>
      </c>
      <c r="I12" s="56">
        <f>IFERROR(__xludf.DUMMYFUNCTION("iferror(SUM(query(filter('Saline Comp Data Recording'!F:F,'Saline Comp Data Recording'!C:C=B12), ""Select Col1"")),""-"")"),5.0)</f>
        <v>5</v>
      </c>
      <c r="J12" s="57">
        <f>IFERROR(__xludf.DUMMYFUNCTION("iferror(SUM(query(filter('Saline Comp Data Recording'!G:G,'Saline Comp Data Recording'!C:C=B12), ""Select Col1"")),""-"")"),4.0)</f>
        <v>4</v>
      </c>
      <c r="K12" s="54">
        <f t="shared" si="2"/>
        <v>0.8</v>
      </c>
      <c r="L12" s="55">
        <f>IFERROR(__xludf.DUMMYFUNCTION("iferror(AVERAGE(query(filter('Saline Comp Data Recording'!G:G,'Saline Comp Data Recording'!C:C=B12), ""Select Col1"")),""0.00"")"),0.6666666666666666)</f>
        <v>0.6666666667</v>
      </c>
      <c r="M12" s="53">
        <f>IFERROR(__xludf.DUMMYFUNCTION("iferror(MAX(query(filter('Saline Comp Data Recording'!G:G,'Saline Comp Data Recording'!C:C=B12), ""Select Col1"")),""-"")"),1.0)</f>
        <v>1</v>
      </c>
      <c r="N12" s="58">
        <f>IFERROR(__xludf.DUMMYFUNCTION("iferror(SUM(query(filter('Saline Comp Data Recording'!H:H,'Saline Comp Data Recording'!C:C=B12), ""Select Col1"")),""-"")"),1.0)</f>
        <v>1</v>
      </c>
      <c r="O12" s="59">
        <f>IFERROR(__xludf.DUMMYFUNCTION("iferror(SUM(query(filter('Saline Comp Data Recording'!I:I,'Saline Comp Data Recording'!C:C=B12), ""Select Col1"")),""-"")"),1.0)</f>
        <v>1</v>
      </c>
      <c r="P12" s="54">
        <f t="shared" si="3"/>
        <v>1</v>
      </c>
      <c r="Q12" s="55">
        <f>IFERROR(__xludf.DUMMYFUNCTION("iferror(AVERAGE(query(filter('Saline Comp Data Recording'!I:I,'Saline Comp Data Recording'!C:C=B12), ""Select Col1"")),""0.00"")"),0.16666666666666666)</f>
        <v>0.1666666667</v>
      </c>
      <c r="R12" s="53">
        <f>IFERROR(__xludf.DUMMYFUNCTION("iferror(MAX(query(filter('Saline Comp Data Recording'!I:I,'Saline Comp Data Recording'!C:C=B12), ""Select Col1"")),""-"")"),1.0)</f>
        <v>1</v>
      </c>
      <c r="S12" s="58">
        <f>IFERROR(__xludf.DUMMYFUNCTION("iferror(SUM(query(filter('Saline Comp Data Recording'!J:J,'Saline Comp Data Recording'!C:C=B12), ""Select Col1"")),""-"")"),0.0)</f>
        <v>0</v>
      </c>
      <c r="T12" s="59">
        <f>IFERROR(__xludf.DUMMYFUNCTION("iferror(SUM(query(filter('Saline Comp Data Recording'!K:K,'Saline Comp Data Recording'!C:C=B12), ""Select Col1"")),""-"")"),0.0)</f>
        <v>0</v>
      </c>
      <c r="U12" s="54" t="str">
        <f t="shared" si="4"/>
        <v>-</v>
      </c>
      <c r="V12" s="55">
        <f>IFERROR(__xludf.DUMMYFUNCTION("iferror(AVERAGE(query(filter('Saline Comp Data Recording'!K:K,'Saline Comp Data Recording'!C:C=B12), ""Select Col1"")),""-"")"),0.0)</f>
        <v>0</v>
      </c>
      <c r="W12" s="52">
        <f>IFERROR(__xludf.DUMMYFUNCTION("iferror(MAX(query(filter('Saline Comp Data Recording'!K:K,'Saline Comp Data Recording'!C:C=B12), ""Select Col1"")),""-"")"),0.0)</f>
        <v>0</v>
      </c>
      <c r="X12" s="59">
        <f>IFERROR(__xludf.DUMMYFUNCTION("iferror(SUM(query(filter('Saline Comp Data Recording'!L:L,'Saline Comp Data Recording'!C:C=B12), ""Select Col1"")),""-"")"),0.0)</f>
        <v>0</v>
      </c>
      <c r="Y12" s="59">
        <f>IFERROR(__xludf.DUMMYFUNCTION("iferror(SUM(query(filter('Saline Comp Data Recording'!M:M,'Saline Comp Data Recording'!C:C=B12), ""Select Col1"")),""-"")"),0.0)</f>
        <v>0</v>
      </c>
      <c r="Z12" s="54" t="str">
        <f t="shared" si="5"/>
        <v>-</v>
      </c>
      <c r="AA12" s="55">
        <f>IFERROR(__xludf.DUMMYFUNCTION("iferror(AVERAGE(query(filter('Saline Comp Data Recording'!M:M,'Saline Comp Data Recording'!C:C=B12), ""Select Col1"")),""0.00"")"),0.0)</f>
        <v>0</v>
      </c>
      <c r="AB12" s="52">
        <f>IFERROR(__xludf.DUMMYFUNCTION("iferror(MAX(query(filter('Saline Comp Data Recording'!M:M,'Saline Comp Data Recording'!C:C=B12), ""Select Col1"")),""-"")"),0.0)</f>
        <v>0</v>
      </c>
      <c r="AC12" s="59">
        <f>IFERROR(__xludf.DUMMYFUNCTION("iferror(SUM(query(filter('Saline Comp Data Recording'!N:N,'Saline Comp Data Recording'!C:C=B12), ""Select Col1"")),""-"")"),0.0)</f>
        <v>0</v>
      </c>
      <c r="AD12" s="59">
        <f>IFERROR(__xludf.DUMMYFUNCTION("iferror(SUM(query(filter('Saline Comp Data Recording'!O:O,'Saline Comp Data Recording'!C:C=B12), ""Select Col1"")),""-"")"),0.0)</f>
        <v>0</v>
      </c>
      <c r="AE12" s="54" t="str">
        <f t="shared" si="6"/>
        <v>-</v>
      </c>
      <c r="AF12" s="55">
        <f>IFERROR(__xludf.DUMMYFUNCTION("iferror(AVERAGE(query(filter('Saline Comp Data Recording'!O:O,'Saline Comp Data Recording'!C:C=B12), ""Select Col1"")),""0.00"")"),0.0)</f>
        <v>0</v>
      </c>
      <c r="AG12" s="59">
        <f>IFERROR(__xludf.DUMMYFUNCTION("iferror(MAX(query(filter('Saline Comp Data Recording'!O:O,'Saline Comp Data Recording'!C:C=B12), ""Select Col1"")),""-"")"),0.0)</f>
        <v>0</v>
      </c>
      <c r="AH12" s="58" t="str">
        <f>IFERROR(__xludf.DUMMYFUNCTION("if(countif(query(filter('Saline Comp Data Recording'!P:P,'Saline Comp Data Recording'!C:C=B12), ""Select Col1""),TRUE)=0,""0"",countif(query(filter('Saline Comp Data Recording'!P:P,'Saline Comp Data Recording'!C:C=B12), ""Select Col1""),TRUE)) &amp; ""/"" &amp; i"&amp;"f(COUNTA(query(ifna(filter('Saline Comp Data Recording'!P:P,'Saline Comp Data Recording'!C:C=B12),""""), ""Select Col1""))=0,""0"",COUNTA(query(ifna(filter('Saline Comp Data Recording'!P:P,'Saline Comp Data Recording'!C:C=B12),""""), ""Select Col1"")))"),"3/6")</f>
        <v>3/6</v>
      </c>
      <c r="AI12" s="60" t="str">
        <f>IFERROR(__xludf.DUMMYFUNCTION("if(countif(query(filter('Saline Comp Data Recording'!Q:Q,'Saline Comp Data Recording'!C:C=B12), ""Select Col1""),TRUE)=0,""0"",countif(query(filter('Saline Comp Data Recording'!Q:Q,'Saline Comp Data Recording'!C:C=B12), ""Select Col1""),TRUE)) &amp; ""/"" &amp; i"&amp;"f(COUNTA(query(ifna(filter('Saline Comp Data Recording'!Q:Q,'Saline Comp Data Recording'!C:C=B12),""""), ""Select Col1""))=0,""0"",COUNTA(query(ifna(filter('Saline Comp Data Recording'!Q:Q,'Saline Comp Data Recording'!C:C=B12),""""), ""Select Col1"")))"),"4/6")</f>
        <v>4/6</v>
      </c>
      <c r="AJ12" s="59">
        <f>IFERROR(__xludf.DUMMYFUNCTION("iferror(SUM(query(filter('Saline Comp Data Recording'!S:S,'Saline Comp Data Recording'!C:C=B12), ""Select Col1"")),""-"")"),0.0)</f>
        <v>0</v>
      </c>
      <c r="AK12" s="59">
        <f>IFERROR(__xludf.DUMMYFUNCTION("iferror(SUM(query(filter('Saline Comp Data Recording'!T:T,'Saline Comp Data Recording'!C:C=B12), ""Select Col1"")),""-"")"),0.0)</f>
        <v>0</v>
      </c>
      <c r="AL12" s="54" t="str">
        <f t="shared" si="7"/>
        <v>-</v>
      </c>
      <c r="AM12" s="55">
        <f>IFERROR(__xludf.DUMMYFUNCTION("iferror(AVERAGE(query(filter('Saline Comp Data Recording'!T:T,'Saline Comp Data Recording'!C:C=B12), ""Select Col1"")),""0.00"")"),0.0)</f>
        <v>0</v>
      </c>
      <c r="AN12" s="61">
        <f>IFERROR(__xludf.DUMMYFUNCTION("iferror(MAX(query(filter('Saline Comp Data Recording'!T:T,'Saline Comp Data Recording'!C:C=B12), ""Select Col1"")),""-"")"),0.0)</f>
        <v>0</v>
      </c>
      <c r="AO12" s="62">
        <f>IFERROR(__xludf.DUMMYFUNCTION("iferror(SUM(query(filter('Saline Comp Data Recording'!U:U,'Saline Comp Data Recording'!C:C=B12), ""Select Col1"")),""-"")"),6.0)</f>
        <v>6</v>
      </c>
      <c r="AP12" s="62">
        <f>IFERROR(__xludf.DUMMYFUNCTION("iferror(SUM(query(filter('Saline Comp Data Recording'!V:V,'Saline Comp Data Recording'!C:C=B12), ""Select Col1"")),""-"")"),6.0)</f>
        <v>6</v>
      </c>
      <c r="AQ12" s="63">
        <f t="shared" si="8"/>
        <v>1</v>
      </c>
      <c r="AR12" s="64">
        <f>IFERROR(__xludf.DUMMYFUNCTION("iferror(AVERAGE(query(filter('Saline Comp Data Recording'!V:V,'Saline Comp Data Recording'!C:C=B12), ""Select Col1"")),""0.00"")"),1.0)</f>
        <v>1</v>
      </c>
      <c r="AS12" s="65">
        <f>IFERROR(__xludf.DUMMYFUNCTION("iferror(MAX(query(filter('Saline Comp Data Recording'!V:V,'Saline Comp Data Recording'!C:C=B12), ""Select Col1"")),""-"")"),2.0)</f>
        <v>2</v>
      </c>
      <c r="AT12" s="62">
        <f>IFERROR(__xludf.DUMMYFUNCTION("iferror(SUM(query(filter('Saline Comp Data Recording'!W:W,'Saline Comp Data Recording'!C:C=B12), ""Select Col1"")),""-"")"),0.0)</f>
        <v>0</v>
      </c>
      <c r="AU12" s="62">
        <f>IFERROR(__xludf.DUMMYFUNCTION("iferror(SUM(query(filter('Saline Comp Data Recording'!X:X,'Saline Comp Data Recording'!C:C=B12), ""Select Col1"")),""-"")"),0.0)</f>
        <v>0</v>
      </c>
      <c r="AV12" s="63" t="str">
        <f t="shared" si="9"/>
        <v>-</v>
      </c>
      <c r="AW12" s="64">
        <f>IFERROR(__xludf.DUMMYFUNCTION("iferror(AVERAGE(query(filter('Saline Comp Data Recording'!X:X,'Saline Comp Data Recording'!C:C=B12), ""Select Col1"")),""0.00"")"),0.0)</f>
        <v>0</v>
      </c>
      <c r="AX12" s="65">
        <f>IFERROR(__xludf.DUMMYFUNCTION("iferror(MAX(query(filter('Saline Comp Data Recording'!X:X,'Saline Comp Data Recording'!C:C=B12), ""Select Col1"")),""-"")"),0.0)</f>
        <v>0</v>
      </c>
      <c r="AY12" s="62">
        <f>IFERROR(__xludf.DUMMYFUNCTION("iferror(SUM(query(filter('Saline Comp Data Recording'!Y:Y,'Saline Comp Data Recording'!C:C=B12), ""Select Col1"")),""-"")"),2.0)</f>
        <v>2</v>
      </c>
      <c r="AZ12" s="62">
        <f>IFERROR(__xludf.DUMMYFUNCTION("iferror(SUM(query(filter('Saline Comp Data Recording'!Z:Z,'Saline Comp Data Recording'!C:C=B12), ""Select Col1"")),""-"")"),1.0)</f>
        <v>1</v>
      </c>
      <c r="BA12" s="63">
        <f t="shared" si="10"/>
        <v>0.5</v>
      </c>
      <c r="BB12" s="64">
        <f>IFERROR(__xludf.DUMMYFUNCTION("iferror(AVERAGE(query(filter('Saline Comp Data Recording'!Z:Z,'Saline Comp Data Recording'!C:C=B12), ""Select Col1"")),""0.00"")"),0.16666666666666666)</f>
        <v>0.1666666667</v>
      </c>
      <c r="BC12" s="65">
        <f>IFERROR(__xludf.DUMMYFUNCTION("iferror(MAX(query(filter('Saline Comp Data Recording'!Z:Z,'Saline Comp Data Recording'!C:C=B12), ""Select Col1"")),""-"")"),1.0)</f>
        <v>1</v>
      </c>
      <c r="BD12" s="62">
        <f>IFERROR(__xludf.DUMMYFUNCTION("iferror(SUM(query(filter('Saline Comp Data Recording'!AA:AA,'Saline Comp Data Recording'!C:C=B12), ""Select Col1"")),""-"")"),3.0)</f>
        <v>3</v>
      </c>
      <c r="BE12" s="62">
        <f>IFERROR(__xludf.DUMMYFUNCTION("iferror(SUM(query(filter('Saline Comp Data Recording'!AB:AB,'Saline Comp Data Recording'!C:C=B12), ""Select Col1"")),""-"")"),2.0)</f>
        <v>2</v>
      </c>
      <c r="BF12" s="63">
        <f t="shared" si="11"/>
        <v>0.6666666667</v>
      </c>
      <c r="BG12" s="64">
        <f>IFERROR(__xludf.DUMMYFUNCTION("iferror(AVERAGE(query(filter('Saline Comp Data Recording'!AB:AB,'Saline Comp Data Recording'!C:C=B12), ""Select Col1"")),""0.00"")"),0.3333333333333333)</f>
        <v>0.3333333333</v>
      </c>
      <c r="BH12" s="65">
        <f>IFERROR(__xludf.DUMMYFUNCTION("iferror(MAX(query(filter('Saline Comp Data Recording'!AB:AB,'Saline Comp Data Recording'!C:C=B12), ""Select Col1"")),""-"")"),1.0)</f>
        <v>1</v>
      </c>
      <c r="BI12" s="62">
        <f>IFERROR(__xludf.DUMMYFUNCTION("iferror(SUM(query(filter('Saline Comp Data Recording'!AC:AC,'Saline Comp Data Recording'!C:C=B12), ""Select Col1"")),""-"")"),5.0)</f>
        <v>5</v>
      </c>
      <c r="BJ12" s="62">
        <f>IFERROR(__xludf.DUMMYFUNCTION("iferror(SUM(query(filter('Saline Comp Data Recording'!AD:AD,'Saline Comp Data Recording'!C:C=B12), ""Select Col1"")),""-"")"),5.0)</f>
        <v>5</v>
      </c>
      <c r="BK12" s="63">
        <f t="shared" si="12"/>
        <v>1</v>
      </c>
      <c r="BL12" s="64">
        <f>IFERROR(__xludf.DUMMYFUNCTION("iferror(AVERAGE(query(filter('Saline Comp Data Recording'!AD:AD,'Saline Comp Data Recording'!C:C=B12), ""Select Col1"")),""0.00"")"),0.8333333333333334)</f>
        <v>0.8333333333</v>
      </c>
      <c r="BM12" s="65">
        <f>IFERROR(__xludf.DUMMYFUNCTION("iferror(MAX(query(filter('Saline Comp Data Recording'!AD:AD,'Saline Comp Data Recording'!C:C=B12), ""Select Col1"")),""-"")"),4.0)</f>
        <v>4</v>
      </c>
      <c r="BN12" s="66" t="str">
        <f>IFERROR(__xludf.DUMMYFUNCTION("if(countif(query(filter('Saline Comp Data Recording'!AE:AE,'Saline Comp Data Recording'!C:C=B12), ""Select Col1""),""TRUE"")=0,""0"",countif(query(filter('Saline Comp Data Recording'!AE:AE,'Saline Comp Data Recording'!C:C=B12), ""Select Col1""),""TRUE""))"&amp;" &amp; ""/"" &amp; if(COUNTA(query(ifna(filter('Saline Comp Data Recording'!AE:AE,'Saline Comp Data Recording'!C:C=B12),""""), ""Select Col1""))=0,""0"",COUNTA(query(ifna(filter('Saline Comp Data Recording'!AE:AE,'Saline Comp Data Recording'!C:C=B12),""""), ""Sel"&amp;"ect Col1"")))"),"3/6")</f>
        <v>3/6</v>
      </c>
      <c r="BO12" s="67" t="str">
        <f>IFERROR(__xludf.DUMMYFUNCTION("if(countif(query(filter('Saline Comp Data Recording'!AF:AF,'Saline Comp Data Recording'!C:C=B12), ""Select Col1""),""TRUE"")=0,""0"",countif(query(filter('Saline Comp Data Recording'!AF:AF,'Saline Comp Data Recording'!C:C=B12), ""Select Col1""),""TRUE""))"&amp;" &amp; ""/"" &amp; if(COUNTA(query(ifna(filter('Saline Comp Data Recording'!AF:AF,'Saline Comp Data Recording'!C:C=B12),""""), ""Select Col1""))=0,""0"",COUNTA(query(ifna(filter('Saline Comp Data Recording'!AF:AF,'Saline Comp Data Recording'!C:C=B12),""""), ""Sel"&amp;"ect Col1"")))"),"4/6")</f>
        <v>4/6</v>
      </c>
      <c r="BP12" s="60" t="str">
        <f>IFERROR(__xludf.DUMMYFUNCTION("if(countif(query(filter('Saline Comp Data Recording'!AI:AI,'Saline Comp Data Recording'!C:C=B12), ""Select Col1""),""TRUE"")=0,""0"",countif(query(filter('Saline Comp Data Recording'!AI:AI,'Saline Comp Data Recording'!C:C=B12), ""Select Col1""),""TRUE""))"&amp;" &amp; ""/"" &amp; if(COUNTA(query(ifna(filter('Saline Comp Data Recording'!AI:AI,'Saline Comp Data Recording'!C:C=B12),""""), ""Select Col1""))=0,""0"",COUNTA(query(ifna(filter('Saline Comp Data Recording'!AI:AI,'Saline Comp Data Recording'!C:C=B12),""""), ""Sel"&amp;"ect Col1"")))"),"0/6")</f>
        <v>0/6</v>
      </c>
      <c r="BQ12" s="55">
        <f>IFERROR(__xludf.DUMMYFUNCTION("iferror(average(query(filter('Saline Comp Data Recording'!AG:AG,'Saline Comp Data Recording'!C:C=B12), ""Select Col1"")),""-"")"),2.3333333333333335)</f>
        <v>2.333333333</v>
      </c>
      <c r="BR12" s="69">
        <f>IFERROR(__xludf.DUMMYFUNCTION("iferror(average(query(filter('Saline Comp Data Recording'!AH:AH,'Saline Comp Data Recording'!C:C=B12), ""Select Col1"")),""-"")"),1.0)</f>
        <v>1</v>
      </c>
      <c r="BS12" s="70">
        <f>IFERROR(__xludf.DUMMYFUNCTION("iferror(AVERAGE(query(filter('Saline Comp Data Recording'!AK:AK,'Saline Comp Data Recording'!C:C=B12), ""Select Col1"")),""-"")"),23.166666666666668)</f>
        <v>23.16666667</v>
      </c>
      <c r="BT12" s="70">
        <f>IFERROR(__xludf.DUMMYFUNCTION("iferror(AVERAGE(query(filter('Saline Comp Data Recording'!AL:AL,'Saline Comp Data Recording'!C:C=B12), ""Select Col1"")),""-"")"),12.166666666666666)</f>
        <v>12.16666667</v>
      </c>
      <c r="BU12" s="71">
        <f>IFERROR(__xludf.DUMMYFUNCTION("iferror(max(query(filter('Saline Comp Data Recording'!AK:AK,'Saline Comp Data Recording'!C:C=B12), ""Select Col1"")),""-"")"),40.0)</f>
        <v>40</v>
      </c>
      <c r="BV12" s="72">
        <f>IFERROR(__xludf.DUMMYFUNCTION("iferror(MIN(query(filter('Saline Comp Data Recording'!AK:AK,'Saline Comp Data Recording'!C:C=B12), ""Select Col1"")),""-"")"),7.0)</f>
        <v>7</v>
      </c>
      <c r="BW12" s="73" t="str">
        <f>IFERROR(__xludf.DUMMYFUNCTION("iferror(if(DIVIDE(COUNTIF(query(filter('Saline Comp Data Recording'!P:P,'Saline Comp Data Recording'!C:C=B12), ""Select Col1""),TRUE),COUNTA(query(ifna(filter('Saline Comp Data Recording'!P:P,'Saline Comp Data Recording'!C:C=B12),""""), ""Select Col1"")))"&amp;"&gt;=(0.5),""1"",""0""),""-"")"),"1")</f>
        <v>1</v>
      </c>
      <c r="BX12" s="59" t="str">
        <f>IFERROR(__xludf.DUMMYFUNCTION("iferror(if(countif(query(filter('Saline Comp Data Recording'!Q:Q,'Saline Comp Data Recording'!C:C=B12), ""Select Col1""),TRUE)/COUNTA(query(ifna(filter('Saline Comp Data Recording'!Q:Q,'Saline Comp Data Recording'!C:C=B12),""""), ""Select Col1""))&gt;=(0.5),"&amp;"""1"",""0""),""-"")"),"1")</f>
        <v>1</v>
      </c>
      <c r="BY12" s="74" t="str">
        <f>IFERROR(__xludf.DUMMYFUNCTION("iferror(if(DIVIDE(COUNTIF(query(filter('Saline Comp Data Recording'!AE:AE,'Saline Comp Data Recording'!C:C=B12), ""Select Col1""),TRUE),COUNTA(query(ifna(filter('Saline Comp Data Recording'!AE:AE,'Saline Comp Data Recording'!C:C=B12),""""), ""Select Col1"&amp;""")))&gt;=(0.5),""1"",""0""),""-"")"),"1")</f>
        <v>1</v>
      </c>
      <c r="BZ12" s="59" t="str">
        <f>IFERROR(__xludf.DUMMYFUNCTION("iferror(if(countif(query(filter('Saline Comp Data Recording'!AF:AF,'Saline Comp Data Recording'!C:C=B12), ""Select Col1""),TRUE)/COUNTA(query(ifna(filter('Saline Comp Data Recording'!AF:AF,'Saline Comp Data Recording'!C:C=B12),""""), ""Select Col1""))&gt;=(0"&amp;".5),""1"",""0""),""-"")"),"1")</f>
        <v>1</v>
      </c>
      <c r="CA12" s="74" t="str">
        <f>IFERROR(__xludf.DUMMYFUNCTION("iferror(if(DIVIDE(countif(query(filter('Saline Comp Data Recording'!R:R,'Saline Comp Data Recording'!C:C=B12), ""Select Col1""),TRUE),COUNTA(query(ifna(filter('Saline Comp Data Recording'!R:R,'Saline Comp Data Recording'!C:C=B12),""""), ""Select Col1"")))"&amp;"&gt;=(0.5),""1"",""0""),""-"")"),"1")</f>
        <v>1</v>
      </c>
    </row>
    <row r="13">
      <c r="A13" s="51" t="s">
        <v>524</v>
      </c>
      <c r="B13" s="51">
        <v>302.0</v>
      </c>
      <c r="C13" s="52" t="str">
        <f>IFERROR(__xludf.DUMMYFUNCTION("if(countif(query(filter('Saline Comp Data Recording'!R:R,'Saline Comp Data Recording'!C:C=B13), ""Select Col1""),""TRUE"")=0,""0"",countif(query(filter('Saline Comp Data Recording'!R:R,'Saline Comp Data Recording'!C:C=B13), ""Select Col1""),""TRUE"")) &amp; "&amp;"""/"" &amp; if(COUNTA(query(ifna(filter('Saline Comp Data Recording'!R:R,'Saline Comp Data Recording'!C:C=B13),""""), ""Select Col1""))=0,""0"",COUNTA(query(ifna(filter('Saline Comp Data Recording'!R:R,'Saline Comp Data Recording'!C:C=B13),""""), ""Select Col"&amp;"1"")))"),"5/6")</f>
        <v>5/6</v>
      </c>
      <c r="D13" s="53">
        <f>IFERROR(__xludf.DUMMYFUNCTION("iferror(SUM(query(filter('Saline Comp Data Recording'!D:D,'Saline Comp Data Recording'!C:C=B13), ""Select Col1"")),""-"")"),5.0)</f>
        <v>5</v>
      </c>
      <c r="E13" s="53">
        <f>IFERROR(__xludf.DUMMYFUNCTION("iferror(SUM(query(filter('Saline Comp Data Recording'!E:E,'Saline Comp Data Recording'!C:C=B13), ""Select Col1"")),""-"")"),1.0)</f>
        <v>1</v>
      </c>
      <c r="F13" s="54">
        <f t="shared" si="1"/>
        <v>0.2</v>
      </c>
      <c r="G13" s="55">
        <f>IFERROR(__xludf.DUMMYFUNCTION("iferror(AVERAGE(query(filter('Saline Comp Data Recording'!E:E,'Saline Comp Data Recording'!C:C=B13), ""Select Col1"")),""0.00"")"),0.16666666666666666)</f>
        <v>0.1666666667</v>
      </c>
      <c r="H13" s="53">
        <f>IFERROR(__xludf.DUMMYFUNCTION("iferror(MAX(query(filter('Saline Comp Data Recording'!E:E,'Saline Comp Data Recording'!C:C=B13), ""Select Col1"")),""-"")"),1.0)</f>
        <v>1</v>
      </c>
      <c r="I13" s="56">
        <f>IFERROR(__xludf.DUMMYFUNCTION("iferror(SUM(query(filter('Saline Comp Data Recording'!F:F,'Saline Comp Data Recording'!C:C=B13), ""Select Col1"")),""-"")"),0.0)</f>
        <v>0</v>
      </c>
      <c r="J13" s="57">
        <f>IFERROR(__xludf.DUMMYFUNCTION("iferror(SUM(query(filter('Saline Comp Data Recording'!G:G,'Saline Comp Data Recording'!C:C=B13), ""Select Col1"")),""-"")"),0.0)</f>
        <v>0</v>
      </c>
      <c r="K13" s="54" t="str">
        <f t="shared" si="2"/>
        <v>-</v>
      </c>
      <c r="L13" s="55">
        <f>IFERROR(__xludf.DUMMYFUNCTION("iferror(AVERAGE(query(filter('Saline Comp Data Recording'!G:G,'Saline Comp Data Recording'!C:C=B13), ""Select Col1"")),""0.00"")"),0.0)</f>
        <v>0</v>
      </c>
      <c r="M13" s="53">
        <f>IFERROR(__xludf.DUMMYFUNCTION("iferror(MAX(query(filter('Saline Comp Data Recording'!G:G,'Saline Comp Data Recording'!C:C=B13), ""Select Col1"")),""-"")"),0.0)</f>
        <v>0</v>
      </c>
      <c r="N13" s="58">
        <f>IFERROR(__xludf.DUMMYFUNCTION("iferror(SUM(query(filter('Saline Comp Data Recording'!H:H,'Saline Comp Data Recording'!C:C=B13), ""Select Col1"")),""-"")"),0.0)</f>
        <v>0</v>
      </c>
      <c r="O13" s="59">
        <f>IFERROR(__xludf.DUMMYFUNCTION("iferror(SUM(query(filter('Saline Comp Data Recording'!I:I,'Saline Comp Data Recording'!C:C=B13), ""Select Col1"")),""-"")"),0.0)</f>
        <v>0</v>
      </c>
      <c r="P13" s="54" t="str">
        <f t="shared" si="3"/>
        <v>-</v>
      </c>
      <c r="Q13" s="55">
        <f>IFERROR(__xludf.DUMMYFUNCTION("iferror(AVERAGE(query(filter('Saline Comp Data Recording'!I:I,'Saline Comp Data Recording'!C:C=B13), ""Select Col1"")),""0.00"")"),0.0)</f>
        <v>0</v>
      </c>
      <c r="R13" s="53">
        <f>IFERROR(__xludf.DUMMYFUNCTION("iferror(MAX(query(filter('Saline Comp Data Recording'!I:I,'Saline Comp Data Recording'!C:C=B13), ""Select Col1"")),""-"")"),0.0)</f>
        <v>0</v>
      </c>
      <c r="S13" s="58">
        <f>IFERROR(__xludf.DUMMYFUNCTION("iferror(SUM(query(filter('Saline Comp Data Recording'!J:J,'Saline Comp Data Recording'!C:C=B13), ""Select Col1"")),""-"")"),0.0)</f>
        <v>0</v>
      </c>
      <c r="T13" s="59">
        <f>IFERROR(__xludf.DUMMYFUNCTION("iferror(SUM(query(filter('Saline Comp Data Recording'!K:K,'Saline Comp Data Recording'!C:C=B13), ""Select Col1"")),""-"")"),0.0)</f>
        <v>0</v>
      </c>
      <c r="U13" s="54" t="str">
        <f t="shared" si="4"/>
        <v>-</v>
      </c>
      <c r="V13" s="55">
        <f>IFERROR(__xludf.DUMMYFUNCTION("iferror(AVERAGE(query(filter('Saline Comp Data Recording'!K:K,'Saline Comp Data Recording'!C:C=B13), ""Select Col1"")),""-"")"),0.0)</f>
        <v>0</v>
      </c>
      <c r="W13" s="52">
        <f>IFERROR(__xludf.DUMMYFUNCTION("iferror(MAX(query(filter('Saline Comp Data Recording'!K:K,'Saline Comp Data Recording'!C:C=B13), ""Select Col1"")),""-"")"),0.0)</f>
        <v>0</v>
      </c>
      <c r="X13" s="59">
        <f>IFERROR(__xludf.DUMMYFUNCTION("iferror(SUM(query(filter('Saline Comp Data Recording'!L:L,'Saline Comp Data Recording'!C:C=B13), ""Select Col1"")),""-"")"),0.0)</f>
        <v>0</v>
      </c>
      <c r="Y13" s="59">
        <f>IFERROR(__xludf.DUMMYFUNCTION("iferror(SUM(query(filter('Saline Comp Data Recording'!M:M,'Saline Comp Data Recording'!C:C=B13), ""Select Col1"")),""-"")"),0.0)</f>
        <v>0</v>
      </c>
      <c r="Z13" s="54" t="str">
        <f t="shared" si="5"/>
        <v>-</v>
      </c>
      <c r="AA13" s="55">
        <f>IFERROR(__xludf.DUMMYFUNCTION("iferror(AVERAGE(query(filter('Saline Comp Data Recording'!M:M,'Saline Comp Data Recording'!C:C=B13), ""Select Col1"")),""0.00"")"),0.0)</f>
        <v>0</v>
      </c>
      <c r="AB13" s="52">
        <f>IFERROR(__xludf.DUMMYFUNCTION("iferror(MAX(query(filter('Saline Comp Data Recording'!M:M,'Saline Comp Data Recording'!C:C=B13), ""Select Col1"")),""-"")"),0.0)</f>
        <v>0</v>
      </c>
      <c r="AC13" s="59">
        <f>IFERROR(__xludf.DUMMYFUNCTION("iferror(SUM(query(filter('Saline Comp Data Recording'!N:N,'Saline Comp Data Recording'!C:C=B13), ""Select Col1"")),""-"")"),0.0)</f>
        <v>0</v>
      </c>
      <c r="AD13" s="59">
        <f>IFERROR(__xludf.DUMMYFUNCTION("iferror(SUM(query(filter('Saline Comp Data Recording'!O:O,'Saline Comp Data Recording'!C:C=B13), ""Select Col1"")),""-"")"),0.0)</f>
        <v>0</v>
      </c>
      <c r="AE13" s="54" t="str">
        <f t="shared" si="6"/>
        <v>-</v>
      </c>
      <c r="AF13" s="55">
        <f>IFERROR(__xludf.DUMMYFUNCTION("iferror(AVERAGE(query(filter('Saline Comp Data Recording'!O:O,'Saline Comp Data Recording'!C:C=B13), ""Select Col1"")),""0.00"")"),0.0)</f>
        <v>0</v>
      </c>
      <c r="AG13" s="59">
        <f>IFERROR(__xludf.DUMMYFUNCTION("iferror(MAX(query(filter('Saline Comp Data Recording'!O:O,'Saline Comp Data Recording'!C:C=B13), ""Select Col1"")),""-"")"),0.0)</f>
        <v>0</v>
      </c>
      <c r="AH13" s="58" t="str">
        <f>IFERROR(__xludf.DUMMYFUNCTION("if(countif(query(filter('Saline Comp Data Recording'!P:P,'Saline Comp Data Recording'!C:C=B13), ""Select Col1""),TRUE)=0,""0"",countif(query(filter('Saline Comp Data Recording'!P:P,'Saline Comp Data Recording'!C:C=B13), ""Select Col1""),TRUE)) &amp; ""/"" &amp; i"&amp;"f(COUNTA(query(ifna(filter('Saline Comp Data Recording'!P:P,'Saline Comp Data Recording'!C:C=B13),""""), ""Select Col1""))=0,""0"",COUNTA(query(ifna(filter('Saline Comp Data Recording'!P:P,'Saline Comp Data Recording'!C:C=B13),""""), ""Select Col1"")))"),"4/6")</f>
        <v>4/6</v>
      </c>
      <c r="AI13" s="60" t="str">
        <f>IFERROR(__xludf.DUMMYFUNCTION("if(countif(query(filter('Saline Comp Data Recording'!Q:Q,'Saline Comp Data Recording'!C:C=B13), ""Select Col1""),TRUE)=0,""0"",countif(query(filter('Saline Comp Data Recording'!Q:Q,'Saline Comp Data Recording'!C:C=B13), ""Select Col1""),TRUE)) &amp; ""/"" &amp; i"&amp;"f(COUNTA(query(ifna(filter('Saline Comp Data Recording'!Q:Q,'Saline Comp Data Recording'!C:C=B13),""""), ""Select Col1""))=0,""0"",COUNTA(query(ifna(filter('Saline Comp Data Recording'!Q:Q,'Saline Comp Data Recording'!C:C=B13),""""), ""Select Col1"")))"),"4/6")</f>
        <v>4/6</v>
      </c>
      <c r="AJ13" s="59">
        <f>IFERROR(__xludf.DUMMYFUNCTION("iferror(SUM(query(filter('Saline Comp Data Recording'!S:S,'Saline Comp Data Recording'!C:C=B13), ""Select Col1"")),""-"")"),16.0)</f>
        <v>16</v>
      </c>
      <c r="AK13" s="59">
        <f>IFERROR(__xludf.DUMMYFUNCTION("iferror(SUM(query(filter('Saline Comp Data Recording'!T:T,'Saline Comp Data Recording'!C:C=B13), ""Select Col1"")),""-"")"),14.0)</f>
        <v>14</v>
      </c>
      <c r="AL13" s="54">
        <f t="shared" si="7"/>
        <v>0.875</v>
      </c>
      <c r="AM13" s="55">
        <f>IFERROR(__xludf.DUMMYFUNCTION("iferror(AVERAGE(query(filter('Saline Comp Data Recording'!T:T,'Saline Comp Data Recording'!C:C=B13), ""Select Col1"")),""0.00"")"),2.3333333333333335)</f>
        <v>2.333333333</v>
      </c>
      <c r="AN13" s="61">
        <f>IFERROR(__xludf.DUMMYFUNCTION("iferror(MAX(query(filter('Saline Comp Data Recording'!T:T,'Saline Comp Data Recording'!C:C=B13), ""Select Col1"")),""-"")"),4.0)</f>
        <v>4</v>
      </c>
      <c r="AO13" s="62">
        <f>IFERROR(__xludf.DUMMYFUNCTION("iferror(SUM(query(filter('Saline Comp Data Recording'!U:U,'Saline Comp Data Recording'!C:C=B13), ""Select Col1"")),""-"")"),6.0)</f>
        <v>6</v>
      </c>
      <c r="AP13" s="62">
        <f>IFERROR(__xludf.DUMMYFUNCTION("iferror(SUM(query(filter('Saline Comp Data Recording'!V:V,'Saline Comp Data Recording'!C:C=B13), ""Select Col1"")),""-"")"),5.0)</f>
        <v>5</v>
      </c>
      <c r="AQ13" s="63">
        <f t="shared" si="8"/>
        <v>0.8333333333</v>
      </c>
      <c r="AR13" s="64">
        <f>IFERROR(__xludf.DUMMYFUNCTION("iferror(AVERAGE(query(filter('Saline Comp Data Recording'!V:V,'Saline Comp Data Recording'!C:C=B13), ""Select Col1"")),""0.00"")"),0.8333333333333334)</f>
        <v>0.8333333333</v>
      </c>
      <c r="AS13" s="65">
        <f>IFERROR(__xludf.DUMMYFUNCTION("iferror(MAX(query(filter('Saline Comp Data Recording'!V:V,'Saline Comp Data Recording'!C:C=B13), ""Select Col1"")),""-"")"),2.0)</f>
        <v>2</v>
      </c>
      <c r="AT13" s="62">
        <f>IFERROR(__xludf.DUMMYFUNCTION("iferror(SUM(query(filter('Saline Comp Data Recording'!W:W,'Saline Comp Data Recording'!C:C=B13), ""Select Col1"")),""-"")"),1.0)</f>
        <v>1</v>
      </c>
      <c r="AU13" s="62">
        <f>IFERROR(__xludf.DUMMYFUNCTION("iferror(SUM(query(filter('Saline Comp Data Recording'!X:X,'Saline Comp Data Recording'!C:C=B13), ""Select Col1"")),""-"")"),1.0)</f>
        <v>1</v>
      </c>
      <c r="AV13" s="63">
        <f t="shared" si="9"/>
        <v>1</v>
      </c>
      <c r="AW13" s="64">
        <f>IFERROR(__xludf.DUMMYFUNCTION("iferror(AVERAGE(query(filter('Saline Comp Data Recording'!X:X,'Saline Comp Data Recording'!C:C=B13), ""Select Col1"")),""0.00"")"),0.16666666666666666)</f>
        <v>0.1666666667</v>
      </c>
      <c r="AX13" s="65">
        <f>IFERROR(__xludf.DUMMYFUNCTION("iferror(MAX(query(filter('Saline Comp Data Recording'!X:X,'Saline Comp Data Recording'!C:C=B13), ""Select Col1"")),""-"")"),1.0)</f>
        <v>1</v>
      </c>
      <c r="AY13" s="62">
        <f>IFERROR(__xludf.DUMMYFUNCTION("iferror(SUM(query(filter('Saline Comp Data Recording'!Y:Y,'Saline Comp Data Recording'!C:C=B13), ""Select Col1"")),""-"")"),4.0)</f>
        <v>4</v>
      </c>
      <c r="AZ13" s="62">
        <f>IFERROR(__xludf.DUMMYFUNCTION("iferror(SUM(query(filter('Saline Comp Data Recording'!Z:Z,'Saline Comp Data Recording'!C:C=B13), ""Select Col1"")),""-"")"),3.0)</f>
        <v>3</v>
      </c>
      <c r="BA13" s="63">
        <f t="shared" si="10"/>
        <v>0.75</v>
      </c>
      <c r="BB13" s="64">
        <f>IFERROR(__xludf.DUMMYFUNCTION("iferror(AVERAGE(query(filter('Saline Comp Data Recording'!Z:Z,'Saline Comp Data Recording'!C:C=B13), ""Select Col1"")),""0.00"")"),0.5)</f>
        <v>0.5</v>
      </c>
      <c r="BC13" s="65">
        <f>IFERROR(__xludf.DUMMYFUNCTION("iferror(MAX(query(filter('Saline Comp Data Recording'!Z:Z,'Saline Comp Data Recording'!C:C=B13), ""Select Col1"")),""-"")"),1.0)</f>
        <v>1</v>
      </c>
      <c r="BD13" s="62">
        <f>IFERROR(__xludf.DUMMYFUNCTION("iferror(SUM(query(filter('Saline Comp Data Recording'!AA:AA,'Saline Comp Data Recording'!C:C=B13), ""Select Col1"")),""-"")"),1.0)</f>
        <v>1</v>
      </c>
      <c r="BE13" s="62">
        <f>IFERROR(__xludf.DUMMYFUNCTION("iferror(SUM(query(filter('Saline Comp Data Recording'!AB:AB,'Saline Comp Data Recording'!C:C=B13), ""Select Col1"")),""-"")"),1.0)</f>
        <v>1</v>
      </c>
      <c r="BF13" s="63">
        <f t="shared" si="11"/>
        <v>1</v>
      </c>
      <c r="BG13" s="64">
        <f>IFERROR(__xludf.DUMMYFUNCTION("iferror(AVERAGE(query(filter('Saline Comp Data Recording'!AB:AB,'Saline Comp Data Recording'!C:C=B13), ""Select Col1"")),""0.00"")"),0.16666666666666666)</f>
        <v>0.1666666667</v>
      </c>
      <c r="BH13" s="65">
        <f>IFERROR(__xludf.DUMMYFUNCTION("iferror(MAX(query(filter('Saline Comp Data Recording'!AB:AB,'Saline Comp Data Recording'!C:C=B13), ""Select Col1"")),""-"")"),1.0)</f>
        <v>1</v>
      </c>
      <c r="BI13" s="62">
        <f>IFERROR(__xludf.DUMMYFUNCTION("iferror(SUM(query(filter('Saline Comp Data Recording'!AC:AC,'Saline Comp Data Recording'!C:C=B13), ""Select Col1"")),""-"")"),0.0)</f>
        <v>0</v>
      </c>
      <c r="BJ13" s="62">
        <f>IFERROR(__xludf.DUMMYFUNCTION("iferror(SUM(query(filter('Saline Comp Data Recording'!AD:AD,'Saline Comp Data Recording'!C:C=B13), ""Select Col1"")),""-"")"),0.0)</f>
        <v>0</v>
      </c>
      <c r="BK13" s="63" t="str">
        <f t="shared" si="12"/>
        <v>-</v>
      </c>
      <c r="BL13" s="64">
        <f>IFERROR(__xludf.DUMMYFUNCTION("iferror(AVERAGE(query(filter('Saline Comp Data Recording'!AD:AD,'Saline Comp Data Recording'!C:C=B13), ""Select Col1"")),""0.00"")"),0.0)</f>
        <v>0</v>
      </c>
      <c r="BM13" s="65">
        <f>IFERROR(__xludf.DUMMYFUNCTION("iferror(MAX(query(filter('Saline Comp Data Recording'!AD:AD,'Saline Comp Data Recording'!C:C=B13), ""Select Col1"")),""-"")"),0.0)</f>
        <v>0</v>
      </c>
      <c r="BN13" s="66" t="str">
        <f>IFERROR(__xludf.DUMMYFUNCTION("if(countif(query(filter('Saline Comp Data Recording'!AE:AE,'Saline Comp Data Recording'!C:C=B13), ""Select Col1""),""TRUE"")=0,""0"",countif(query(filter('Saline Comp Data Recording'!AE:AE,'Saline Comp Data Recording'!C:C=B13), ""Select Col1""),""TRUE""))"&amp;" &amp; ""/"" &amp; if(COUNTA(query(ifna(filter('Saline Comp Data Recording'!AE:AE,'Saline Comp Data Recording'!C:C=B13),""""), ""Select Col1""))=0,""0"",COUNTA(query(ifna(filter('Saline Comp Data Recording'!AE:AE,'Saline Comp Data Recording'!C:C=B13),""""), ""Sel"&amp;"ect Col1"")))"),"4/6")</f>
        <v>4/6</v>
      </c>
      <c r="BO13" s="67" t="str">
        <f>IFERROR(__xludf.DUMMYFUNCTION("if(countif(query(filter('Saline Comp Data Recording'!AF:AF,'Saline Comp Data Recording'!C:C=B13), ""Select Col1""),""TRUE"")=0,""0"",countif(query(filter('Saline Comp Data Recording'!AF:AF,'Saline Comp Data Recording'!C:C=B13), ""Select Col1""),""TRUE""))"&amp;" &amp; ""/"" &amp; if(COUNTA(query(ifna(filter('Saline Comp Data Recording'!AF:AF,'Saline Comp Data Recording'!C:C=B13),""""), ""Select Col1""))=0,""0"",COUNTA(query(ifna(filter('Saline Comp Data Recording'!AF:AF,'Saline Comp Data Recording'!C:C=B13),""""), ""Sel"&amp;"ect Col1"")))"),"4/6")</f>
        <v>4/6</v>
      </c>
      <c r="BP13" s="60" t="str">
        <f>IFERROR(__xludf.DUMMYFUNCTION("if(countif(query(filter('Saline Comp Data Recording'!AI:AI,'Saline Comp Data Recording'!C:C=B13), ""Select Col1""),""TRUE"")=0,""0"",countif(query(filter('Saline Comp Data Recording'!AI:AI,'Saline Comp Data Recording'!C:C=B13), ""Select Col1""),""TRUE""))"&amp;" &amp; ""/"" &amp; if(COUNTA(query(ifna(filter('Saline Comp Data Recording'!AI:AI,'Saline Comp Data Recording'!C:C=B13),""""), ""Select Col1""))=0,""0"",COUNTA(query(ifna(filter('Saline Comp Data Recording'!AI:AI,'Saline Comp Data Recording'!C:C=B13),""""), ""Sel"&amp;"ect Col1"")))"),"1/6")</f>
        <v>1/6</v>
      </c>
      <c r="BQ13" s="55">
        <f>IFERROR(__xludf.DUMMYFUNCTION("iferror(average(query(filter('Saline Comp Data Recording'!AG:AG,'Saline Comp Data Recording'!C:C=B13), ""Select Col1"")),""-"")"),3.5)</f>
        <v>3.5</v>
      </c>
      <c r="BR13" s="69">
        <f>IFERROR(__xludf.DUMMYFUNCTION("iferror(average(query(filter('Saline Comp Data Recording'!AH:AH,'Saline Comp Data Recording'!C:C=B13), ""Select Col1"")),""-"")"),1.0)</f>
        <v>1</v>
      </c>
      <c r="BS13" s="70">
        <f>IFERROR(__xludf.DUMMYFUNCTION("iferror(AVERAGE(query(filter('Saline Comp Data Recording'!AK:AK,'Saline Comp Data Recording'!C:C=B13), ""Select Col1"")),""-"")"),35.666666666666664)</f>
        <v>35.66666667</v>
      </c>
      <c r="BT13" s="70">
        <f>IFERROR(__xludf.DUMMYFUNCTION("iferror(AVERAGE(query(filter('Saline Comp Data Recording'!AL:AL,'Saline Comp Data Recording'!C:C=B13), ""Select Col1"")),""-"")"),21.0)</f>
        <v>21</v>
      </c>
      <c r="BU13" s="71">
        <f>IFERROR(__xludf.DUMMYFUNCTION("iferror(max(query(filter('Saline Comp Data Recording'!AK:AK,'Saline Comp Data Recording'!C:C=B13), ""Select Col1"")),""-"")"),54.0)</f>
        <v>54</v>
      </c>
      <c r="BV13" s="72">
        <f>IFERROR(__xludf.DUMMYFUNCTION("iferror(MIN(query(filter('Saline Comp Data Recording'!AK:AK,'Saline Comp Data Recording'!C:C=B13), ""Select Col1"")),""-"")"),21.0)</f>
        <v>21</v>
      </c>
      <c r="BW13" s="73" t="str">
        <f>IFERROR(__xludf.DUMMYFUNCTION("iferror(if(DIVIDE(COUNTIF(query(filter('Saline Comp Data Recording'!P:P,'Saline Comp Data Recording'!C:C=B13), ""Select Col1""),TRUE),COUNTA(query(ifna(filter('Saline Comp Data Recording'!P:P,'Saline Comp Data Recording'!C:C=B13),""""), ""Select Col1"")))"&amp;"&gt;=(0.5),""1"",""0""),""-"")"),"1")</f>
        <v>1</v>
      </c>
      <c r="BX13" s="59" t="str">
        <f>IFERROR(__xludf.DUMMYFUNCTION("iferror(if(countif(query(filter('Saline Comp Data Recording'!Q:Q,'Saline Comp Data Recording'!C:C=B13), ""Select Col1""),TRUE)/COUNTA(query(ifna(filter('Saline Comp Data Recording'!Q:Q,'Saline Comp Data Recording'!C:C=B13),""""), ""Select Col1""))&gt;=(0.5),"&amp;"""1"",""0""),""-"")"),"1")</f>
        <v>1</v>
      </c>
      <c r="BY13" s="74" t="str">
        <f>IFERROR(__xludf.DUMMYFUNCTION("iferror(if(DIVIDE(COUNTIF(query(filter('Saline Comp Data Recording'!AE:AE,'Saline Comp Data Recording'!C:C=B13), ""Select Col1""),TRUE),COUNTA(query(ifna(filter('Saline Comp Data Recording'!AE:AE,'Saline Comp Data Recording'!C:C=B13),""""), ""Select Col1"&amp;""")))&gt;=(0.5),""1"",""0""),""-"")"),"1")</f>
        <v>1</v>
      </c>
      <c r="BZ13" s="59" t="str">
        <f>IFERROR(__xludf.DUMMYFUNCTION("iferror(if(countif(query(filter('Saline Comp Data Recording'!AF:AF,'Saline Comp Data Recording'!C:C=B13), ""Select Col1""),TRUE)/COUNTA(query(ifna(filter('Saline Comp Data Recording'!AF:AF,'Saline Comp Data Recording'!C:C=B13),""""), ""Select Col1""))&gt;=(0"&amp;".5),""1"",""0""),""-"")"),"1")</f>
        <v>1</v>
      </c>
      <c r="CA13" s="74" t="str">
        <f>IFERROR(__xludf.DUMMYFUNCTION("iferror(if(DIVIDE(countif(query(filter('Saline Comp Data Recording'!R:R,'Saline Comp Data Recording'!C:C=B13), ""Select Col1""),TRUE),COUNTA(query(ifna(filter('Saline Comp Data Recording'!R:R,'Saline Comp Data Recording'!C:C=B13),""""), ""Select Col1"")))"&amp;"&gt;=(0.5),""1"",""0""),""-"")"),"1")</f>
        <v>1</v>
      </c>
    </row>
    <row r="14">
      <c r="A14" s="51" t="s">
        <v>525</v>
      </c>
      <c r="B14" s="51">
        <v>2832.0</v>
      </c>
      <c r="C14" s="52" t="str">
        <f>IFERROR(__xludf.DUMMYFUNCTION("if(countif(query(filter('Saline Comp Data Recording'!R:R,'Saline Comp Data Recording'!C:C=B14), ""Select Col1""),""TRUE"")=0,""0"",countif(query(filter('Saline Comp Data Recording'!R:R,'Saline Comp Data Recording'!C:C=B14), ""Select Col1""),""TRUE"")) &amp; "&amp;"""/"" &amp; if(COUNTA(query(ifna(filter('Saline Comp Data Recording'!R:R,'Saline Comp Data Recording'!C:C=B14),""""), ""Select Col1""))=0,""0"",COUNTA(query(ifna(filter('Saline Comp Data Recording'!R:R,'Saline Comp Data Recording'!C:C=B14),""""), ""Select Col"&amp;"1"")))"),"5/6")</f>
        <v>5/6</v>
      </c>
      <c r="D14" s="53">
        <f>IFERROR(__xludf.DUMMYFUNCTION("iferror(SUM(query(filter('Saline Comp Data Recording'!D:D,'Saline Comp Data Recording'!C:C=B14), ""Select Col1"")),""-"")"),0.0)</f>
        <v>0</v>
      </c>
      <c r="E14" s="53">
        <f>IFERROR(__xludf.DUMMYFUNCTION("iferror(SUM(query(filter('Saline Comp Data Recording'!E:E,'Saline Comp Data Recording'!C:C=B14), ""Select Col1"")),""-"")"),0.0)</f>
        <v>0</v>
      </c>
      <c r="F14" s="54" t="str">
        <f t="shared" si="1"/>
        <v>-</v>
      </c>
      <c r="G14" s="55">
        <f>IFERROR(__xludf.DUMMYFUNCTION("iferror(AVERAGE(query(filter('Saline Comp Data Recording'!E:E,'Saline Comp Data Recording'!C:C=B14), ""Select Col1"")),""0.00"")"),0.0)</f>
        <v>0</v>
      </c>
      <c r="H14" s="53">
        <f>IFERROR(__xludf.DUMMYFUNCTION("iferror(MAX(query(filter('Saline Comp Data Recording'!E:E,'Saline Comp Data Recording'!C:C=B14), ""Select Col1"")),""-"")"),0.0)</f>
        <v>0</v>
      </c>
      <c r="I14" s="56">
        <f>IFERROR(__xludf.DUMMYFUNCTION("iferror(SUM(query(filter('Saline Comp Data Recording'!F:F,'Saline Comp Data Recording'!C:C=B14), ""Select Col1"")),""-"")"),0.0)</f>
        <v>0</v>
      </c>
      <c r="J14" s="57">
        <f>IFERROR(__xludf.DUMMYFUNCTION("iferror(SUM(query(filter('Saline Comp Data Recording'!G:G,'Saline Comp Data Recording'!C:C=B14), ""Select Col1"")),""-"")"),0.0)</f>
        <v>0</v>
      </c>
      <c r="K14" s="54" t="str">
        <f t="shared" si="2"/>
        <v>-</v>
      </c>
      <c r="L14" s="55">
        <f>IFERROR(__xludf.DUMMYFUNCTION("iferror(AVERAGE(query(filter('Saline Comp Data Recording'!G:G,'Saline Comp Data Recording'!C:C=B14), ""Select Col1"")),""0.00"")"),0.0)</f>
        <v>0</v>
      </c>
      <c r="M14" s="53">
        <f>IFERROR(__xludf.DUMMYFUNCTION("iferror(MAX(query(filter('Saline Comp Data Recording'!G:G,'Saline Comp Data Recording'!C:C=B14), ""Select Col1"")),""-"")"),0.0)</f>
        <v>0</v>
      </c>
      <c r="N14" s="58">
        <f>IFERROR(__xludf.DUMMYFUNCTION("iferror(SUM(query(filter('Saline Comp Data Recording'!H:H,'Saline Comp Data Recording'!C:C=B14), ""Select Col1"")),""-"")"),0.0)</f>
        <v>0</v>
      </c>
      <c r="O14" s="59">
        <f>IFERROR(__xludf.DUMMYFUNCTION("iferror(SUM(query(filter('Saline Comp Data Recording'!I:I,'Saline Comp Data Recording'!C:C=B14), ""Select Col1"")),""-"")"),0.0)</f>
        <v>0</v>
      </c>
      <c r="P14" s="54" t="str">
        <f t="shared" si="3"/>
        <v>-</v>
      </c>
      <c r="Q14" s="55">
        <f>IFERROR(__xludf.DUMMYFUNCTION("iferror(AVERAGE(query(filter('Saline Comp Data Recording'!I:I,'Saline Comp Data Recording'!C:C=B14), ""Select Col1"")),""0.00"")"),0.0)</f>
        <v>0</v>
      </c>
      <c r="R14" s="53">
        <f>IFERROR(__xludf.DUMMYFUNCTION("iferror(MAX(query(filter('Saline Comp Data Recording'!I:I,'Saline Comp Data Recording'!C:C=B14), ""Select Col1"")),""-"")"),0.0)</f>
        <v>0</v>
      </c>
      <c r="S14" s="58">
        <f>IFERROR(__xludf.DUMMYFUNCTION("iferror(SUM(query(filter('Saline Comp Data Recording'!J:J,'Saline Comp Data Recording'!C:C=B14), ""Select Col1"")),""-"")"),4.0)</f>
        <v>4</v>
      </c>
      <c r="T14" s="59">
        <f>IFERROR(__xludf.DUMMYFUNCTION("iferror(SUM(query(filter('Saline Comp Data Recording'!K:K,'Saline Comp Data Recording'!C:C=B14), ""Select Col1"")),""-"")"),4.0)</f>
        <v>4</v>
      </c>
      <c r="U14" s="54">
        <f t="shared" si="4"/>
        <v>1</v>
      </c>
      <c r="V14" s="55">
        <f>IFERROR(__xludf.DUMMYFUNCTION("iferror(AVERAGE(query(filter('Saline Comp Data Recording'!K:K,'Saline Comp Data Recording'!C:C=B14), ""Select Col1"")),""-"")"),0.6666666666666666)</f>
        <v>0.6666666667</v>
      </c>
      <c r="W14" s="52">
        <f>IFERROR(__xludf.DUMMYFUNCTION("iferror(MAX(query(filter('Saline Comp Data Recording'!K:K,'Saline Comp Data Recording'!C:C=B14), ""Select Col1"")),""-"")"),1.0)</f>
        <v>1</v>
      </c>
      <c r="X14" s="59">
        <f>IFERROR(__xludf.DUMMYFUNCTION("iferror(SUM(query(filter('Saline Comp Data Recording'!L:L,'Saline Comp Data Recording'!C:C=B14), ""Select Col1"")),""-"")"),1.0)</f>
        <v>1</v>
      </c>
      <c r="Y14" s="59">
        <f>IFERROR(__xludf.DUMMYFUNCTION("iferror(SUM(query(filter('Saline Comp Data Recording'!M:M,'Saline Comp Data Recording'!C:C=B14), ""Select Col1"")),""-"")"),1.0)</f>
        <v>1</v>
      </c>
      <c r="Z14" s="54">
        <f t="shared" si="5"/>
        <v>1</v>
      </c>
      <c r="AA14" s="55">
        <f>IFERROR(__xludf.DUMMYFUNCTION("iferror(AVERAGE(query(filter('Saline Comp Data Recording'!M:M,'Saline Comp Data Recording'!C:C=B14), ""Select Col1"")),""0.00"")"),0.16666666666666666)</f>
        <v>0.1666666667</v>
      </c>
      <c r="AB14" s="52">
        <f>IFERROR(__xludf.DUMMYFUNCTION("iferror(MAX(query(filter('Saline Comp Data Recording'!M:M,'Saline Comp Data Recording'!C:C=B14), ""Select Col1"")),""-"")"),1.0)</f>
        <v>1</v>
      </c>
      <c r="AC14" s="59">
        <f>IFERROR(__xludf.DUMMYFUNCTION("iferror(SUM(query(filter('Saline Comp Data Recording'!N:N,'Saline Comp Data Recording'!C:C=B14), ""Select Col1"")),""-"")"),0.0)</f>
        <v>0</v>
      </c>
      <c r="AD14" s="59">
        <f>IFERROR(__xludf.DUMMYFUNCTION("iferror(SUM(query(filter('Saline Comp Data Recording'!O:O,'Saline Comp Data Recording'!C:C=B14), ""Select Col1"")),""-"")"),0.0)</f>
        <v>0</v>
      </c>
      <c r="AE14" s="54" t="str">
        <f t="shared" si="6"/>
        <v>-</v>
      </c>
      <c r="AF14" s="55">
        <f>IFERROR(__xludf.DUMMYFUNCTION("iferror(AVERAGE(query(filter('Saline Comp Data Recording'!O:O,'Saline Comp Data Recording'!C:C=B14), ""Select Col1"")),""0.00"")"),0.0)</f>
        <v>0</v>
      </c>
      <c r="AG14" s="59">
        <f>IFERROR(__xludf.DUMMYFUNCTION("iferror(MAX(query(filter('Saline Comp Data Recording'!O:O,'Saline Comp Data Recording'!C:C=B14), ""Select Col1"")),""-"")"),0.0)</f>
        <v>0</v>
      </c>
      <c r="AH14" s="58" t="str">
        <f>IFERROR(__xludf.DUMMYFUNCTION("if(countif(query(filter('Saline Comp Data Recording'!P:P,'Saline Comp Data Recording'!C:C=B14), ""Select Col1""),TRUE)=0,""0"",countif(query(filter('Saline Comp Data Recording'!P:P,'Saline Comp Data Recording'!C:C=B14), ""Select Col1""),TRUE)) &amp; ""/"" &amp; i"&amp;"f(COUNTA(query(ifna(filter('Saline Comp Data Recording'!P:P,'Saline Comp Data Recording'!C:C=B14),""""), ""Select Col1""))=0,""0"",COUNTA(query(ifna(filter('Saline Comp Data Recording'!P:P,'Saline Comp Data Recording'!C:C=B14),""""), ""Select Col1"")))"),"1/6")</f>
        <v>1/6</v>
      </c>
      <c r="AI14" s="60" t="str">
        <f>IFERROR(__xludf.DUMMYFUNCTION("if(countif(query(filter('Saline Comp Data Recording'!Q:Q,'Saline Comp Data Recording'!C:C=B14), ""Select Col1""),TRUE)=0,""0"",countif(query(filter('Saline Comp Data Recording'!Q:Q,'Saline Comp Data Recording'!C:C=B14), ""Select Col1""),TRUE)) &amp; ""/"" &amp; i"&amp;"f(COUNTA(query(ifna(filter('Saline Comp Data Recording'!Q:Q,'Saline Comp Data Recording'!C:C=B14),""""), ""Select Col1""))=0,""0"",COUNTA(query(ifna(filter('Saline Comp Data Recording'!Q:Q,'Saline Comp Data Recording'!C:C=B14),""""), ""Select Col1"")))"),"0/6")</f>
        <v>0/6</v>
      </c>
      <c r="AJ14" s="59">
        <f>IFERROR(__xludf.DUMMYFUNCTION("iferror(SUM(query(filter('Saline Comp Data Recording'!S:S,'Saline Comp Data Recording'!C:C=B14), ""Select Col1"")),""-"")"),21.0)</f>
        <v>21</v>
      </c>
      <c r="AK14" s="59">
        <f>IFERROR(__xludf.DUMMYFUNCTION("iferror(SUM(query(filter('Saline Comp Data Recording'!T:T,'Saline Comp Data Recording'!C:C=B14), ""Select Col1"")),""-"")"),18.0)</f>
        <v>18</v>
      </c>
      <c r="AL14" s="54">
        <f t="shared" si="7"/>
        <v>0.8571428571</v>
      </c>
      <c r="AM14" s="55">
        <f>IFERROR(__xludf.DUMMYFUNCTION("iferror(AVERAGE(query(filter('Saline Comp Data Recording'!T:T,'Saline Comp Data Recording'!C:C=B14), ""Select Col1"")),""0.00"")"),3.0)</f>
        <v>3</v>
      </c>
      <c r="AN14" s="61">
        <f>IFERROR(__xludf.DUMMYFUNCTION("iferror(MAX(query(filter('Saline Comp Data Recording'!T:T,'Saline Comp Data Recording'!C:C=B14), ""Select Col1"")),""-"")"),5.0)</f>
        <v>5</v>
      </c>
      <c r="AO14" s="62">
        <f>IFERROR(__xludf.DUMMYFUNCTION("iferror(SUM(query(filter('Saline Comp Data Recording'!U:U,'Saline Comp Data Recording'!C:C=B14), ""Select Col1"")),""-"")"),6.0)</f>
        <v>6</v>
      </c>
      <c r="AP14" s="62">
        <f>IFERROR(__xludf.DUMMYFUNCTION("iferror(SUM(query(filter('Saline Comp Data Recording'!V:V,'Saline Comp Data Recording'!C:C=B14), ""Select Col1"")),""-"")"),5.0)</f>
        <v>5</v>
      </c>
      <c r="AQ14" s="63">
        <f t="shared" si="8"/>
        <v>0.8333333333</v>
      </c>
      <c r="AR14" s="64">
        <f>IFERROR(__xludf.DUMMYFUNCTION("iferror(AVERAGE(query(filter('Saline Comp Data Recording'!V:V,'Saline Comp Data Recording'!C:C=B14), ""Select Col1"")),""0.00"")"),0.8333333333333334)</f>
        <v>0.8333333333</v>
      </c>
      <c r="AS14" s="65">
        <f>IFERROR(__xludf.DUMMYFUNCTION("iferror(MAX(query(filter('Saline Comp Data Recording'!V:V,'Saline Comp Data Recording'!C:C=B14), ""Select Col1"")),""-"")"),3.0)</f>
        <v>3</v>
      </c>
      <c r="AT14" s="62">
        <f>IFERROR(__xludf.DUMMYFUNCTION("iferror(SUM(query(filter('Saline Comp Data Recording'!W:W,'Saline Comp Data Recording'!C:C=B14), ""Select Col1"")),""-"")"),3.0)</f>
        <v>3</v>
      </c>
      <c r="AU14" s="62">
        <f>IFERROR(__xludf.DUMMYFUNCTION("iferror(SUM(query(filter('Saline Comp Data Recording'!X:X,'Saline Comp Data Recording'!C:C=B14), ""Select Col1"")),""-"")"),3.0)</f>
        <v>3</v>
      </c>
      <c r="AV14" s="63">
        <f t="shared" si="9"/>
        <v>1</v>
      </c>
      <c r="AW14" s="64">
        <f>IFERROR(__xludf.DUMMYFUNCTION("iferror(AVERAGE(query(filter('Saline Comp Data Recording'!X:X,'Saline Comp Data Recording'!C:C=B14), ""Select Col1"")),""0.00"")"),0.5)</f>
        <v>0.5</v>
      </c>
      <c r="AX14" s="65">
        <f>IFERROR(__xludf.DUMMYFUNCTION("iferror(MAX(query(filter('Saline Comp Data Recording'!X:X,'Saline Comp Data Recording'!C:C=B14), ""Select Col1"")),""-"")"),1.0)</f>
        <v>1</v>
      </c>
      <c r="AY14" s="62">
        <f>IFERROR(__xludf.DUMMYFUNCTION("iferror(SUM(query(filter('Saline Comp Data Recording'!Y:Y,'Saline Comp Data Recording'!C:C=B14), ""Select Col1"")),""-"")"),2.0)</f>
        <v>2</v>
      </c>
      <c r="AZ14" s="62">
        <f>IFERROR(__xludf.DUMMYFUNCTION("iferror(SUM(query(filter('Saline Comp Data Recording'!Z:Z,'Saline Comp Data Recording'!C:C=B14), ""Select Col1"")),""-"")"),2.0)</f>
        <v>2</v>
      </c>
      <c r="BA14" s="63">
        <f t="shared" si="10"/>
        <v>1</v>
      </c>
      <c r="BB14" s="64">
        <f>IFERROR(__xludf.DUMMYFUNCTION("iferror(AVERAGE(query(filter('Saline Comp Data Recording'!Z:Z,'Saline Comp Data Recording'!C:C=B14), ""Select Col1"")),""0.00"")"),0.3333333333333333)</f>
        <v>0.3333333333</v>
      </c>
      <c r="BC14" s="65">
        <f>IFERROR(__xludf.DUMMYFUNCTION("iferror(MAX(query(filter('Saline Comp Data Recording'!Z:Z,'Saline Comp Data Recording'!C:C=B14), ""Select Col1"")),""-"")"),1.0)</f>
        <v>1</v>
      </c>
      <c r="BD14" s="62">
        <f>IFERROR(__xludf.DUMMYFUNCTION("iferror(SUM(query(filter('Saline Comp Data Recording'!AA:AA,'Saline Comp Data Recording'!C:C=B14), ""Select Col1"")),""-"")"),0.0)</f>
        <v>0</v>
      </c>
      <c r="BE14" s="62">
        <f>IFERROR(__xludf.DUMMYFUNCTION("iferror(SUM(query(filter('Saline Comp Data Recording'!AB:AB,'Saline Comp Data Recording'!C:C=B14), ""Select Col1"")),""-"")"),0.0)</f>
        <v>0</v>
      </c>
      <c r="BF14" s="63" t="str">
        <f t="shared" si="11"/>
        <v>-</v>
      </c>
      <c r="BG14" s="64">
        <f>IFERROR(__xludf.DUMMYFUNCTION("iferror(AVERAGE(query(filter('Saline Comp Data Recording'!AB:AB,'Saline Comp Data Recording'!C:C=B14), ""Select Col1"")),""0.00"")"),0.0)</f>
        <v>0</v>
      </c>
      <c r="BH14" s="65">
        <f>IFERROR(__xludf.DUMMYFUNCTION("iferror(MAX(query(filter('Saline Comp Data Recording'!AB:AB,'Saline Comp Data Recording'!C:C=B14), ""Select Col1"")),""-"")"),0.0)</f>
        <v>0</v>
      </c>
      <c r="BI14" s="62">
        <f>IFERROR(__xludf.DUMMYFUNCTION("iferror(SUM(query(filter('Saline Comp Data Recording'!AC:AC,'Saline Comp Data Recording'!C:C=B14), ""Select Col1"")),""-"")"),0.0)</f>
        <v>0</v>
      </c>
      <c r="BJ14" s="62">
        <f>IFERROR(__xludf.DUMMYFUNCTION("iferror(SUM(query(filter('Saline Comp Data Recording'!AD:AD,'Saline Comp Data Recording'!C:C=B14), ""Select Col1"")),""-"")"),0.0)</f>
        <v>0</v>
      </c>
      <c r="BK14" s="63" t="str">
        <f t="shared" si="12"/>
        <v>-</v>
      </c>
      <c r="BL14" s="64">
        <f>IFERROR(__xludf.DUMMYFUNCTION("iferror(AVERAGE(query(filter('Saline Comp Data Recording'!AD:AD,'Saline Comp Data Recording'!C:C=B14), ""Select Col1"")),""0.00"")"),0.0)</f>
        <v>0</v>
      </c>
      <c r="BM14" s="65">
        <f>IFERROR(__xludf.DUMMYFUNCTION("iferror(MAX(query(filter('Saline Comp Data Recording'!AD:AD,'Saline Comp Data Recording'!C:C=B14), ""Select Col1"")),""-"")"),0.0)</f>
        <v>0</v>
      </c>
      <c r="BN14" s="66" t="str">
        <f>IFERROR(__xludf.DUMMYFUNCTION("if(countif(query(filter('Saline Comp Data Recording'!AE:AE,'Saline Comp Data Recording'!C:C=B14), ""Select Col1""),""TRUE"")=0,""0"",countif(query(filter('Saline Comp Data Recording'!AE:AE,'Saline Comp Data Recording'!C:C=B14), ""Select Col1""),""TRUE""))"&amp;" &amp; ""/"" &amp; if(COUNTA(query(ifna(filter('Saline Comp Data Recording'!AE:AE,'Saline Comp Data Recording'!C:C=B14),""""), ""Select Col1""))=0,""0"",COUNTA(query(ifna(filter('Saline Comp Data Recording'!AE:AE,'Saline Comp Data Recording'!C:C=B14),""""), ""Sel"&amp;"ect Col1"")))"),"1/6")</f>
        <v>1/6</v>
      </c>
      <c r="BO14" s="67" t="str">
        <f>IFERROR(__xludf.DUMMYFUNCTION("if(countif(query(filter('Saline Comp Data Recording'!AF:AF,'Saline Comp Data Recording'!C:C=B14), ""Select Col1""),""TRUE"")=0,""0"",countif(query(filter('Saline Comp Data Recording'!AF:AF,'Saline Comp Data Recording'!C:C=B14), ""Select Col1""),""TRUE""))"&amp;" &amp; ""/"" &amp; if(COUNTA(query(ifna(filter('Saline Comp Data Recording'!AF:AF,'Saline Comp Data Recording'!C:C=B14),""""), ""Select Col1""))=0,""0"",COUNTA(query(ifna(filter('Saline Comp Data Recording'!AF:AF,'Saline Comp Data Recording'!C:C=B14),""""), ""Sel"&amp;"ect Col1"")))"),"0/6")</f>
        <v>0/6</v>
      </c>
      <c r="BP14" s="60" t="str">
        <f>IFERROR(__xludf.DUMMYFUNCTION("if(countif(query(filter('Saline Comp Data Recording'!AI:AI,'Saline Comp Data Recording'!C:C=B14), ""Select Col1""),""TRUE"")=0,""0"",countif(query(filter('Saline Comp Data Recording'!AI:AI,'Saline Comp Data Recording'!C:C=B14), ""Select Col1""),""TRUE""))"&amp;" &amp; ""/"" &amp; if(COUNTA(query(ifna(filter('Saline Comp Data Recording'!AI:AI,'Saline Comp Data Recording'!C:C=B14),""""), ""Select Col1""))=0,""0"",COUNTA(query(ifna(filter('Saline Comp Data Recording'!AI:AI,'Saline Comp Data Recording'!C:C=B14),""""), ""Sel"&amp;"ect Col1"")))"),"0/6")</f>
        <v>0/6</v>
      </c>
      <c r="BQ14" s="55">
        <f>IFERROR(__xludf.DUMMYFUNCTION("iferror(average(query(filter('Saline Comp Data Recording'!AG:AG,'Saline Comp Data Recording'!C:C=B14), ""Select Col1"")),""-"")"),3.0)</f>
        <v>3</v>
      </c>
      <c r="BR14" s="69">
        <f>IFERROR(__xludf.DUMMYFUNCTION("iferror(average(query(filter('Saline Comp Data Recording'!AH:AH,'Saline Comp Data Recording'!C:C=B14), ""Select Col1"")),""-"")"),1.0)</f>
        <v>1</v>
      </c>
      <c r="BS14" s="70">
        <f>IFERROR(__xludf.DUMMYFUNCTION("iferror(AVERAGE(query(filter('Saline Comp Data Recording'!AK:AK,'Saline Comp Data Recording'!C:C=B14), ""Select Col1"")),""-"")"),29.666666666666668)</f>
        <v>29.66666667</v>
      </c>
      <c r="BT14" s="70">
        <f>IFERROR(__xludf.DUMMYFUNCTION("iferror(AVERAGE(query(filter('Saline Comp Data Recording'!AL:AL,'Saline Comp Data Recording'!C:C=B14), ""Select Col1"")),""-"")"),27.333333333333332)</f>
        <v>27.33333333</v>
      </c>
      <c r="BU14" s="71">
        <f>IFERROR(__xludf.DUMMYFUNCTION("iferror(max(query(filter('Saline Comp Data Recording'!AK:AK,'Saline Comp Data Recording'!C:C=B14), ""Select Col1"")),""-"")"),39.0)</f>
        <v>39</v>
      </c>
      <c r="BV14" s="72">
        <f>IFERROR(__xludf.DUMMYFUNCTION("iferror(MIN(query(filter('Saline Comp Data Recording'!AK:AK,'Saline Comp Data Recording'!C:C=B14), ""Select Col1"")),""-"")"),23.0)</f>
        <v>23</v>
      </c>
      <c r="BW14" s="73" t="str">
        <f>IFERROR(__xludf.DUMMYFUNCTION("iferror(if(DIVIDE(COUNTIF(query(filter('Saline Comp Data Recording'!P:P,'Saline Comp Data Recording'!C:C=B14), ""Select Col1""),TRUE),COUNTA(query(ifna(filter('Saline Comp Data Recording'!P:P,'Saline Comp Data Recording'!C:C=B14),""""), ""Select Col1"")))"&amp;"&gt;=(0.5),""1"",""0""),""-"")"),"0")</f>
        <v>0</v>
      </c>
      <c r="BX14" s="59" t="str">
        <f>IFERROR(__xludf.DUMMYFUNCTION("iferror(if(countif(query(filter('Saline Comp Data Recording'!Q:Q,'Saline Comp Data Recording'!C:C=B14), ""Select Col1""),TRUE)/COUNTA(query(ifna(filter('Saline Comp Data Recording'!Q:Q,'Saline Comp Data Recording'!C:C=B14),""""), ""Select Col1""))&gt;=(0.5),"&amp;"""1"",""0""),""-"")"),"0")</f>
        <v>0</v>
      </c>
      <c r="BY14" s="74" t="str">
        <f>IFERROR(__xludf.DUMMYFUNCTION("iferror(if(DIVIDE(COUNTIF(query(filter('Saline Comp Data Recording'!AE:AE,'Saline Comp Data Recording'!C:C=B14), ""Select Col1""),TRUE),COUNTA(query(ifna(filter('Saline Comp Data Recording'!AE:AE,'Saline Comp Data Recording'!C:C=B14),""""), ""Select Col1"&amp;""")))&gt;=(0.5),""1"",""0""),""-"")"),"0")</f>
        <v>0</v>
      </c>
      <c r="BZ14" s="59" t="str">
        <f>IFERROR(__xludf.DUMMYFUNCTION("iferror(if(countif(query(filter('Saline Comp Data Recording'!AF:AF,'Saline Comp Data Recording'!C:C=B14), ""Select Col1""),TRUE)/COUNTA(query(ifna(filter('Saline Comp Data Recording'!AF:AF,'Saline Comp Data Recording'!C:C=B14),""""), ""Select Col1""))&gt;=(0"&amp;".5),""1"",""0""),""-"")"),"0")</f>
        <v>0</v>
      </c>
      <c r="CA14" s="74" t="str">
        <f>IFERROR(__xludf.DUMMYFUNCTION("iferror(if(DIVIDE(countif(query(filter('Saline Comp Data Recording'!R:R,'Saline Comp Data Recording'!C:C=B14), ""Select Col1""),TRUE),COUNTA(query(ifna(filter('Saline Comp Data Recording'!R:R,'Saline Comp Data Recording'!C:C=B14),""""), ""Select Col1"")))"&amp;"&gt;=(0.5),""1"",""0""),""-"")"),"1")</f>
        <v>1</v>
      </c>
    </row>
    <row r="15">
      <c r="A15" s="51" t="s">
        <v>526</v>
      </c>
      <c r="B15" s="51">
        <v>9992.0</v>
      </c>
      <c r="C15" s="52" t="str">
        <f>IFERROR(__xludf.DUMMYFUNCTION("if(countif(query(filter('Saline Comp Data Recording'!R:R,'Saline Comp Data Recording'!C:C=B15), ""Select Col1""),""TRUE"")=0,""0"",countif(query(filter('Saline Comp Data Recording'!R:R,'Saline Comp Data Recording'!C:C=B15), ""Select Col1""),""TRUE"")) &amp; "&amp;"""/"" &amp; if(COUNTA(query(ifna(filter('Saline Comp Data Recording'!R:R,'Saline Comp Data Recording'!C:C=B15),""""), ""Select Col1""))=0,""0"",COUNTA(query(ifna(filter('Saline Comp Data Recording'!R:R,'Saline Comp Data Recording'!C:C=B15),""""), ""Select Col"&amp;"1"")))"),"5/5")</f>
        <v>5/5</v>
      </c>
      <c r="D15" s="53">
        <f>IFERROR(__xludf.DUMMYFUNCTION("iferror(SUM(query(filter('Saline Comp Data Recording'!D:D,'Saline Comp Data Recording'!C:C=B15), ""Select Col1"")),""-"")"),5.0)</f>
        <v>5</v>
      </c>
      <c r="E15" s="53">
        <f>IFERROR(__xludf.DUMMYFUNCTION("iferror(SUM(query(filter('Saline Comp Data Recording'!E:E,'Saline Comp Data Recording'!C:C=B15), ""Select Col1"")),""-"")"),4.0)</f>
        <v>4</v>
      </c>
      <c r="F15" s="54">
        <f t="shared" si="1"/>
        <v>0.8</v>
      </c>
      <c r="G15" s="55">
        <f>IFERROR(__xludf.DUMMYFUNCTION("iferror(AVERAGE(query(filter('Saline Comp Data Recording'!E:E,'Saline Comp Data Recording'!C:C=B15), ""Select Col1"")),""0.00"")"),0.8)</f>
        <v>0.8</v>
      </c>
      <c r="H15" s="53">
        <f>IFERROR(__xludf.DUMMYFUNCTION("iferror(MAX(query(filter('Saline Comp Data Recording'!E:E,'Saline Comp Data Recording'!C:C=B15), ""Select Col1"")),""-"")"),1.0)</f>
        <v>1</v>
      </c>
      <c r="I15" s="56">
        <f>IFERROR(__xludf.DUMMYFUNCTION("iferror(SUM(query(filter('Saline Comp Data Recording'!F:F,'Saline Comp Data Recording'!C:C=B15), ""Select Col1"")),""-"")"),0.0)</f>
        <v>0</v>
      </c>
      <c r="J15" s="57">
        <f>IFERROR(__xludf.DUMMYFUNCTION("iferror(SUM(query(filter('Saline Comp Data Recording'!G:G,'Saline Comp Data Recording'!C:C=B15), ""Select Col1"")),""-"")"),0.0)</f>
        <v>0</v>
      </c>
      <c r="K15" s="54" t="str">
        <f t="shared" si="2"/>
        <v>-</v>
      </c>
      <c r="L15" s="55">
        <f>IFERROR(__xludf.DUMMYFUNCTION("iferror(AVERAGE(query(filter('Saline Comp Data Recording'!G:G,'Saline Comp Data Recording'!C:C=B15), ""Select Col1"")),""0.00"")"),0.0)</f>
        <v>0</v>
      </c>
      <c r="M15" s="53">
        <f>IFERROR(__xludf.DUMMYFUNCTION("iferror(MAX(query(filter('Saline Comp Data Recording'!G:G,'Saline Comp Data Recording'!C:C=B15), ""Select Col1"")),""-"")"),0.0)</f>
        <v>0</v>
      </c>
      <c r="N15" s="58">
        <f>IFERROR(__xludf.DUMMYFUNCTION("iferror(SUM(query(filter('Saline Comp Data Recording'!H:H,'Saline Comp Data Recording'!C:C=B15), ""Select Col1"")),""-"")"),0.0)</f>
        <v>0</v>
      </c>
      <c r="O15" s="59">
        <f>IFERROR(__xludf.DUMMYFUNCTION("iferror(SUM(query(filter('Saline Comp Data Recording'!I:I,'Saline Comp Data Recording'!C:C=B15), ""Select Col1"")),""-"")"),0.0)</f>
        <v>0</v>
      </c>
      <c r="P15" s="54" t="str">
        <f t="shared" si="3"/>
        <v>-</v>
      </c>
      <c r="Q15" s="55">
        <f>IFERROR(__xludf.DUMMYFUNCTION("iferror(AVERAGE(query(filter('Saline Comp Data Recording'!I:I,'Saline Comp Data Recording'!C:C=B15), ""Select Col1"")),""0.00"")"),0.0)</f>
        <v>0</v>
      </c>
      <c r="R15" s="53">
        <f>IFERROR(__xludf.DUMMYFUNCTION("iferror(MAX(query(filter('Saline Comp Data Recording'!I:I,'Saline Comp Data Recording'!C:C=B15), ""Select Col1"")),""-"")"),0.0)</f>
        <v>0</v>
      </c>
      <c r="S15" s="58">
        <f>IFERROR(__xludf.DUMMYFUNCTION("iferror(SUM(query(filter('Saline Comp Data Recording'!J:J,'Saline Comp Data Recording'!C:C=B15), ""Select Col1"")),""-"")"),0.0)</f>
        <v>0</v>
      </c>
      <c r="T15" s="59">
        <f>IFERROR(__xludf.DUMMYFUNCTION("iferror(SUM(query(filter('Saline Comp Data Recording'!K:K,'Saline Comp Data Recording'!C:C=B15), ""Select Col1"")),""-"")"),0.0)</f>
        <v>0</v>
      </c>
      <c r="U15" s="54" t="str">
        <f t="shared" si="4"/>
        <v>-</v>
      </c>
      <c r="V15" s="55">
        <f>IFERROR(__xludf.DUMMYFUNCTION("iferror(AVERAGE(query(filter('Saline Comp Data Recording'!K:K,'Saline Comp Data Recording'!C:C=B15), ""Select Col1"")),""-"")"),0.0)</f>
        <v>0</v>
      </c>
      <c r="W15" s="52">
        <f>IFERROR(__xludf.DUMMYFUNCTION("iferror(MAX(query(filter('Saline Comp Data Recording'!K:K,'Saline Comp Data Recording'!C:C=B15), ""Select Col1"")),""-"")"),0.0)</f>
        <v>0</v>
      </c>
      <c r="X15" s="59">
        <f>IFERROR(__xludf.DUMMYFUNCTION("iferror(SUM(query(filter('Saline Comp Data Recording'!L:L,'Saline Comp Data Recording'!C:C=B15), ""Select Col1"")),""-"")"),0.0)</f>
        <v>0</v>
      </c>
      <c r="Y15" s="59">
        <f>IFERROR(__xludf.DUMMYFUNCTION("iferror(SUM(query(filter('Saline Comp Data Recording'!M:M,'Saline Comp Data Recording'!C:C=B15), ""Select Col1"")),""-"")"),0.0)</f>
        <v>0</v>
      </c>
      <c r="Z15" s="54" t="str">
        <f t="shared" si="5"/>
        <v>-</v>
      </c>
      <c r="AA15" s="55">
        <f>IFERROR(__xludf.DUMMYFUNCTION("iferror(AVERAGE(query(filter('Saline Comp Data Recording'!M:M,'Saline Comp Data Recording'!C:C=B15), ""Select Col1"")),""0.00"")"),0.0)</f>
        <v>0</v>
      </c>
      <c r="AB15" s="52">
        <f>IFERROR(__xludf.DUMMYFUNCTION("iferror(MAX(query(filter('Saline Comp Data Recording'!M:M,'Saline Comp Data Recording'!C:C=B15), ""Select Col1"")),""-"")"),0.0)</f>
        <v>0</v>
      </c>
      <c r="AC15" s="59">
        <f>IFERROR(__xludf.DUMMYFUNCTION("iferror(SUM(query(filter('Saline Comp Data Recording'!N:N,'Saline Comp Data Recording'!C:C=B15), ""Select Col1"")),""-"")"),0.0)</f>
        <v>0</v>
      </c>
      <c r="AD15" s="59">
        <f>IFERROR(__xludf.DUMMYFUNCTION("iferror(SUM(query(filter('Saline Comp Data Recording'!O:O,'Saline Comp Data Recording'!C:C=B15), ""Select Col1"")),""-"")"),0.0)</f>
        <v>0</v>
      </c>
      <c r="AE15" s="54" t="str">
        <f t="shared" si="6"/>
        <v>-</v>
      </c>
      <c r="AF15" s="55">
        <f>IFERROR(__xludf.DUMMYFUNCTION("iferror(AVERAGE(query(filter('Saline Comp Data Recording'!O:O,'Saline Comp Data Recording'!C:C=B15), ""Select Col1"")),""0.00"")"),0.0)</f>
        <v>0</v>
      </c>
      <c r="AG15" s="59">
        <f>IFERROR(__xludf.DUMMYFUNCTION("iferror(MAX(query(filter('Saline Comp Data Recording'!O:O,'Saline Comp Data Recording'!C:C=B15), ""Select Col1"")),""-"")"),0.0)</f>
        <v>0</v>
      </c>
      <c r="AH15" s="58" t="str">
        <f>IFERROR(__xludf.DUMMYFUNCTION("if(countif(query(filter('Saline Comp Data Recording'!P:P,'Saline Comp Data Recording'!C:C=B15), ""Select Col1""),TRUE)=0,""0"",countif(query(filter('Saline Comp Data Recording'!P:P,'Saline Comp Data Recording'!C:C=B15), ""Select Col1""),TRUE)) &amp; ""/"" &amp; i"&amp;"f(COUNTA(query(ifna(filter('Saline Comp Data Recording'!P:P,'Saline Comp Data Recording'!C:C=B15),""""), ""Select Col1""))=0,""0"",COUNTA(query(ifna(filter('Saline Comp Data Recording'!P:P,'Saline Comp Data Recording'!C:C=B15),""""), ""Select Col1"")))"),"3/5")</f>
        <v>3/5</v>
      </c>
      <c r="AI15" s="60" t="str">
        <f>IFERROR(__xludf.DUMMYFUNCTION("if(countif(query(filter('Saline Comp Data Recording'!Q:Q,'Saline Comp Data Recording'!C:C=B15), ""Select Col1""),TRUE)=0,""0"",countif(query(filter('Saline Comp Data Recording'!Q:Q,'Saline Comp Data Recording'!C:C=B15), ""Select Col1""),TRUE)) &amp; ""/"" &amp; i"&amp;"f(COUNTA(query(ifna(filter('Saline Comp Data Recording'!Q:Q,'Saline Comp Data Recording'!C:C=B15),""""), ""Select Col1""))=0,""0"",COUNTA(query(ifna(filter('Saline Comp Data Recording'!Q:Q,'Saline Comp Data Recording'!C:C=B15),""""), ""Select Col1"")))"),"3/5")</f>
        <v>3/5</v>
      </c>
      <c r="AJ15" s="59">
        <f>IFERROR(__xludf.DUMMYFUNCTION("iferror(SUM(query(filter('Saline Comp Data Recording'!S:S,'Saline Comp Data Recording'!C:C=B15), ""Select Col1"")),""-"")"),12.0)</f>
        <v>12</v>
      </c>
      <c r="AK15" s="59">
        <f>IFERROR(__xludf.DUMMYFUNCTION("iferror(SUM(query(filter('Saline Comp Data Recording'!T:T,'Saline Comp Data Recording'!C:C=B15), ""Select Col1"")),""-"")"),11.0)</f>
        <v>11</v>
      </c>
      <c r="AL15" s="54">
        <f t="shared" si="7"/>
        <v>0.9166666667</v>
      </c>
      <c r="AM15" s="55">
        <f>IFERROR(__xludf.DUMMYFUNCTION("iferror(AVERAGE(query(filter('Saline Comp Data Recording'!T:T,'Saline Comp Data Recording'!C:C=B15), ""Select Col1"")),""0.00"")"),2.2)</f>
        <v>2.2</v>
      </c>
      <c r="AN15" s="61">
        <f>IFERROR(__xludf.DUMMYFUNCTION("iferror(MAX(query(filter('Saline Comp Data Recording'!T:T,'Saline Comp Data Recording'!C:C=B15), ""Select Col1"")),""-"")"),3.0)</f>
        <v>3</v>
      </c>
      <c r="AO15" s="62">
        <f>IFERROR(__xludf.DUMMYFUNCTION("iferror(SUM(query(filter('Saline Comp Data Recording'!U:U,'Saline Comp Data Recording'!C:C=B15), ""Select Col1"")),""-"")"),4.0)</f>
        <v>4</v>
      </c>
      <c r="AP15" s="62">
        <f>IFERROR(__xludf.DUMMYFUNCTION("iferror(SUM(query(filter('Saline Comp Data Recording'!V:V,'Saline Comp Data Recording'!C:C=B15), ""Select Col1"")),""-"")"),4.0)</f>
        <v>4</v>
      </c>
      <c r="AQ15" s="63">
        <f t="shared" si="8"/>
        <v>1</v>
      </c>
      <c r="AR15" s="64">
        <f>IFERROR(__xludf.DUMMYFUNCTION("iferror(AVERAGE(query(filter('Saline Comp Data Recording'!V:V,'Saline Comp Data Recording'!C:C=B15), ""Select Col1"")),""0.00"")"),0.8)</f>
        <v>0.8</v>
      </c>
      <c r="AS15" s="65">
        <f>IFERROR(__xludf.DUMMYFUNCTION("iferror(MAX(query(filter('Saline Comp Data Recording'!V:V,'Saline Comp Data Recording'!C:C=B15), ""Select Col1"")),""-"")"),2.0)</f>
        <v>2</v>
      </c>
      <c r="AT15" s="62">
        <f>IFERROR(__xludf.DUMMYFUNCTION("iferror(SUM(query(filter('Saline Comp Data Recording'!W:W,'Saline Comp Data Recording'!C:C=B15), ""Select Col1"")),""-"")"),2.0)</f>
        <v>2</v>
      </c>
      <c r="AU15" s="62">
        <f>IFERROR(__xludf.DUMMYFUNCTION("iferror(SUM(query(filter('Saline Comp Data Recording'!X:X,'Saline Comp Data Recording'!C:C=B15), ""Select Col1"")),""-"")"),2.0)</f>
        <v>2</v>
      </c>
      <c r="AV15" s="63">
        <f t="shared" si="9"/>
        <v>1</v>
      </c>
      <c r="AW15" s="64">
        <f>IFERROR(__xludf.DUMMYFUNCTION("iferror(AVERAGE(query(filter('Saline Comp Data Recording'!X:X,'Saline Comp Data Recording'!C:C=B15), ""Select Col1"")),""0.00"")"),0.4)</f>
        <v>0.4</v>
      </c>
      <c r="AX15" s="65">
        <f>IFERROR(__xludf.DUMMYFUNCTION("iferror(MAX(query(filter('Saline Comp Data Recording'!X:X,'Saline Comp Data Recording'!C:C=B15), ""Select Col1"")),""-"")"),1.0)</f>
        <v>1</v>
      </c>
      <c r="AY15" s="62">
        <f>IFERROR(__xludf.DUMMYFUNCTION("iferror(SUM(query(filter('Saline Comp Data Recording'!Y:Y,'Saline Comp Data Recording'!C:C=B15), ""Select Col1"")),""-"")"),4.0)</f>
        <v>4</v>
      </c>
      <c r="AZ15" s="62">
        <f>IFERROR(__xludf.DUMMYFUNCTION("iferror(SUM(query(filter('Saline Comp Data Recording'!Z:Z,'Saline Comp Data Recording'!C:C=B15), ""Select Col1"")),""-"")"),4.0)</f>
        <v>4</v>
      </c>
      <c r="BA15" s="63">
        <f t="shared" si="10"/>
        <v>1</v>
      </c>
      <c r="BB15" s="64">
        <f>IFERROR(__xludf.DUMMYFUNCTION("iferror(AVERAGE(query(filter('Saline Comp Data Recording'!Z:Z,'Saline Comp Data Recording'!C:C=B15), ""Select Col1"")),""0.00"")"),0.8)</f>
        <v>0.8</v>
      </c>
      <c r="BC15" s="65">
        <f>IFERROR(__xludf.DUMMYFUNCTION("iferror(MAX(query(filter('Saline Comp Data Recording'!Z:Z,'Saline Comp Data Recording'!C:C=B15), ""Select Col1"")),""-"")"),2.0)</f>
        <v>2</v>
      </c>
      <c r="BD15" s="62">
        <f>IFERROR(__xludf.DUMMYFUNCTION("iferror(SUM(query(filter('Saline Comp Data Recording'!AA:AA,'Saline Comp Data Recording'!C:C=B15), ""Select Col1"")),""-"")"),1.0)</f>
        <v>1</v>
      </c>
      <c r="BE15" s="62">
        <f>IFERROR(__xludf.DUMMYFUNCTION("iferror(SUM(query(filter('Saline Comp Data Recording'!AB:AB,'Saline Comp Data Recording'!C:C=B15), ""Select Col1"")),""-"")"),1.0)</f>
        <v>1</v>
      </c>
      <c r="BF15" s="63">
        <f t="shared" si="11"/>
        <v>1</v>
      </c>
      <c r="BG15" s="64">
        <f>IFERROR(__xludf.DUMMYFUNCTION("iferror(AVERAGE(query(filter('Saline Comp Data Recording'!AB:AB,'Saline Comp Data Recording'!C:C=B15), ""Select Col1"")),""0.00"")"),0.2)</f>
        <v>0.2</v>
      </c>
      <c r="BH15" s="65">
        <f>IFERROR(__xludf.DUMMYFUNCTION("iferror(MAX(query(filter('Saline Comp Data Recording'!AB:AB,'Saline Comp Data Recording'!C:C=B15), ""Select Col1"")),""-"")"),1.0)</f>
        <v>1</v>
      </c>
      <c r="BI15" s="62">
        <f>IFERROR(__xludf.DUMMYFUNCTION("iferror(SUM(query(filter('Saline Comp Data Recording'!AC:AC,'Saline Comp Data Recording'!C:C=B15), ""Select Col1"")),""-"")"),2.0)</f>
        <v>2</v>
      </c>
      <c r="BJ15" s="62">
        <f>IFERROR(__xludf.DUMMYFUNCTION("iferror(SUM(query(filter('Saline Comp Data Recording'!AD:AD,'Saline Comp Data Recording'!C:C=B15), ""Select Col1"")),""-"")"),2.0)</f>
        <v>2</v>
      </c>
      <c r="BK15" s="63">
        <f t="shared" si="12"/>
        <v>1</v>
      </c>
      <c r="BL15" s="64">
        <f>IFERROR(__xludf.DUMMYFUNCTION("iferror(AVERAGE(query(filter('Saline Comp Data Recording'!AD:AD,'Saline Comp Data Recording'!C:C=B15), ""Select Col1"")),""0.00"")"),0.4)</f>
        <v>0.4</v>
      </c>
      <c r="BM15" s="65">
        <f>IFERROR(__xludf.DUMMYFUNCTION("iferror(MAX(query(filter('Saline Comp Data Recording'!AD:AD,'Saline Comp Data Recording'!C:C=B15), ""Select Col1"")),""-"")"),2.0)</f>
        <v>2</v>
      </c>
      <c r="BN15" s="66" t="str">
        <f>IFERROR(__xludf.DUMMYFUNCTION("if(countif(query(filter('Saline Comp Data Recording'!AE:AE,'Saline Comp Data Recording'!C:C=B15), ""Select Col1""),""TRUE"")=0,""0"",countif(query(filter('Saline Comp Data Recording'!AE:AE,'Saline Comp Data Recording'!C:C=B15), ""Select Col1""),""TRUE""))"&amp;" &amp; ""/"" &amp; if(COUNTA(query(ifna(filter('Saline Comp Data Recording'!AE:AE,'Saline Comp Data Recording'!C:C=B15),""""), ""Select Col1""))=0,""0"",COUNTA(query(ifna(filter('Saline Comp Data Recording'!AE:AE,'Saline Comp Data Recording'!C:C=B15),""""), ""Sel"&amp;"ect Col1"")))"),"3/5")</f>
        <v>3/5</v>
      </c>
      <c r="BO15" s="67" t="str">
        <f>IFERROR(__xludf.DUMMYFUNCTION("if(countif(query(filter('Saline Comp Data Recording'!AF:AF,'Saline Comp Data Recording'!C:C=B15), ""Select Col1""),""TRUE"")=0,""0"",countif(query(filter('Saline Comp Data Recording'!AF:AF,'Saline Comp Data Recording'!C:C=B15), ""Select Col1""),""TRUE""))"&amp;" &amp; ""/"" &amp; if(COUNTA(query(ifna(filter('Saline Comp Data Recording'!AF:AF,'Saline Comp Data Recording'!C:C=B15),""""), ""Select Col1""))=0,""0"",COUNTA(query(ifna(filter('Saline Comp Data Recording'!AF:AF,'Saline Comp Data Recording'!C:C=B15),""""), ""Sel"&amp;"ect Col1"")))"),"3/5")</f>
        <v>3/5</v>
      </c>
      <c r="BP15" s="60" t="str">
        <f>IFERROR(__xludf.DUMMYFUNCTION("if(countif(query(filter('Saline Comp Data Recording'!AI:AI,'Saline Comp Data Recording'!C:C=B15), ""Select Col1""),""TRUE"")=0,""0"",countif(query(filter('Saline Comp Data Recording'!AI:AI,'Saline Comp Data Recording'!C:C=B15), ""Select Col1""),""TRUE""))"&amp;" &amp; ""/"" &amp; if(COUNTA(query(ifna(filter('Saline Comp Data Recording'!AI:AI,'Saline Comp Data Recording'!C:C=B15),""""), ""Select Col1""))=0,""0"",COUNTA(query(ifna(filter('Saline Comp Data Recording'!AI:AI,'Saline Comp Data Recording'!C:C=B15),""""), ""Sel"&amp;"ect Col1"")))"),"0/5")</f>
        <v>0/5</v>
      </c>
      <c r="BQ15" s="55">
        <f>IFERROR(__xludf.DUMMYFUNCTION("iferror(average(query(filter('Saline Comp Data Recording'!AG:AG,'Saline Comp Data Recording'!C:C=B15), ""Select Col1"")),""-"")"),3.4)</f>
        <v>3.4</v>
      </c>
      <c r="BR15" s="69">
        <f>IFERROR(__xludf.DUMMYFUNCTION("iferror(average(query(filter('Saline Comp Data Recording'!AH:AH,'Saline Comp Data Recording'!C:C=B15), ""Select Col1"")),""-"")"),1.0)</f>
        <v>1</v>
      </c>
      <c r="BS15" s="70">
        <f>IFERROR(__xludf.DUMMYFUNCTION("iferror(AVERAGE(query(filter('Saline Comp Data Recording'!AK:AK,'Saline Comp Data Recording'!C:C=B15), ""Select Col1"")),""-"")"),39.0)</f>
        <v>39</v>
      </c>
      <c r="BT15" s="70">
        <f>IFERROR(__xludf.DUMMYFUNCTION("iferror(AVERAGE(query(filter('Saline Comp Data Recording'!AL:AL,'Saline Comp Data Recording'!C:C=B15), ""Select Col1"")),""-"")"),27.4)</f>
        <v>27.4</v>
      </c>
      <c r="BU15" s="71">
        <f>IFERROR(__xludf.DUMMYFUNCTION("iferror(max(query(filter('Saline Comp Data Recording'!AK:AK,'Saline Comp Data Recording'!C:C=B15), ""Select Col1"")),""-"")"),55.0)</f>
        <v>55</v>
      </c>
      <c r="BV15" s="72">
        <f>IFERROR(__xludf.DUMMYFUNCTION("iferror(MIN(query(filter('Saline Comp Data Recording'!AK:AK,'Saline Comp Data Recording'!C:C=B15), ""Select Col1"")),""-"")"),19.0)</f>
        <v>19</v>
      </c>
      <c r="BW15" s="73" t="str">
        <f>IFERROR(__xludf.DUMMYFUNCTION("iferror(if(DIVIDE(COUNTIF(query(filter('Saline Comp Data Recording'!P:P,'Saline Comp Data Recording'!C:C=B15), ""Select Col1""),TRUE),COUNTA(query(ifna(filter('Saline Comp Data Recording'!P:P,'Saline Comp Data Recording'!C:C=B15),""""), ""Select Col1"")))"&amp;"&gt;=(0.5),""1"",""0""),""-"")"),"1")</f>
        <v>1</v>
      </c>
      <c r="BX15" s="59" t="str">
        <f>IFERROR(__xludf.DUMMYFUNCTION("iferror(if(countif(query(filter('Saline Comp Data Recording'!Q:Q,'Saline Comp Data Recording'!C:C=B15), ""Select Col1""),TRUE)/COUNTA(query(ifna(filter('Saline Comp Data Recording'!Q:Q,'Saline Comp Data Recording'!C:C=B15),""""), ""Select Col1""))&gt;=(0.5),"&amp;"""1"",""0""),""-"")"),"1")</f>
        <v>1</v>
      </c>
      <c r="BY15" s="74" t="str">
        <f>IFERROR(__xludf.DUMMYFUNCTION("iferror(if(DIVIDE(COUNTIF(query(filter('Saline Comp Data Recording'!AE:AE,'Saline Comp Data Recording'!C:C=B15), ""Select Col1""),TRUE),COUNTA(query(ifna(filter('Saline Comp Data Recording'!AE:AE,'Saline Comp Data Recording'!C:C=B15),""""), ""Select Col1"&amp;""")))&gt;=(0.5),""1"",""0""),""-"")"),"1")</f>
        <v>1</v>
      </c>
      <c r="BZ15" s="59" t="str">
        <f>IFERROR(__xludf.DUMMYFUNCTION("iferror(if(countif(query(filter('Saline Comp Data Recording'!AF:AF,'Saline Comp Data Recording'!C:C=B15), ""Select Col1""),TRUE)/COUNTA(query(ifna(filter('Saline Comp Data Recording'!AF:AF,'Saline Comp Data Recording'!C:C=B15),""""), ""Select Col1""))&gt;=(0"&amp;".5),""1"",""0""),""-"")"),"1")</f>
        <v>1</v>
      </c>
      <c r="CA15" s="74" t="str">
        <f>IFERROR(__xludf.DUMMYFUNCTION("iferror(if(DIVIDE(countif(query(filter('Saline Comp Data Recording'!R:R,'Saline Comp Data Recording'!C:C=B15), ""Select Col1""),TRUE),COUNTA(query(ifna(filter('Saline Comp Data Recording'!R:R,'Saline Comp Data Recording'!C:C=B15),""""), ""Select Col1"")))"&amp;"&gt;=(0.5),""1"",""0""),""-"")"),"1")</f>
        <v>1</v>
      </c>
    </row>
    <row r="16">
      <c r="A16" s="51" t="s">
        <v>527</v>
      </c>
      <c r="B16" s="51">
        <v>27.0</v>
      </c>
      <c r="C16" s="52" t="str">
        <f>IFERROR(__xludf.DUMMYFUNCTION("if(countif(query(filter('Saline Comp Data Recording'!R:R,'Saline Comp Data Recording'!C:C=B16), ""Select Col1""),""TRUE"")=0,""0"",countif(query(filter('Saline Comp Data Recording'!R:R,'Saline Comp Data Recording'!C:C=B16), ""Select Col1""),""TRUE"")) &amp; "&amp;"""/"" &amp; if(COUNTA(query(ifna(filter('Saline Comp Data Recording'!R:R,'Saline Comp Data Recording'!C:C=B16),""""), ""Select Col1""))=0,""0"",COUNTA(query(ifna(filter('Saline Comp Data Recording'!R:R,'Saline Comp Data Recording'!C:C=B16),""""), ""Select Col"&amp;"1"")))"),"4/5")</f>
        <v>4/5</v>
      </c>
      <c r="D16" s="53">
        <f>IFERROR(__xludf.DUMMYFUNCTION("iferror(SUM(query(filter('Saline Comp Data Recording'!D:D,'Saline Comp Data Recording'!C:C=B16), ""Select Col1"")),""-"")"),2.0)</f>
        <v>2</v>
      </c>
      <c r="E16" s="53">
        <f>IFERROR(__xludf.DUMMYFUNCTION("iferror(SUM(query(filter('Saline Comp Data Recording'!E:E,'Saline Comp Data Recording'!C:C=B16), ""Select Col1"")),""-"")"),2.0)</f>
        <v>2</v>
      </c>
      <c r="F16" s="54">
        <f t="shared" si="1"/>
        <v>1</v>
      </c>
      <c r="G16" s="55">
        <f>IFERROR(__xludf.DUMMYFUNCTION("iferror(AVERAGE(query(filter('Saline Comp Data Recording'!E:E,'Saline Comp Data Recording'!C:C=B16), ""Select Col1"")),""0.00"")"),0.4)</f>
        <v>0.4</v>
      </c>
      <c r="H16" s="53">
        <f>IFERROR(__xludf.DUMMYFUNCTION("iferror(MAX(query(filter('Saline Comp Data Recording'!E:E,'Saline Comp Data Recording'!C:C=B16), ""Select Col1"")),""-"")"),1.0)</f>
        <v>1</v>
      </c>
      <c r="I16" s="56">
        <f>IFERROR(__xludf.DUMMYFUNCTION("iferror(SUM(query(filter('Saline Comp Data Recording'!F:F,'Saline Comp Data Recording'!C:C=B16), ""Select Col1"")),""-"")"),0.0)</f>
        <v>0</v>
      </c>
      <c r="J16" s="57">
        <f>IFERROR(__xludf.DUMMYFUNCTION("iferror(SUM(query(filter('Saline Comp Data Recording'!G:G,'Saline Comp Data Recording'!C:C=B16), ""Select Col1"")),""-"")"),0.0)</f>
        <v>0</v>
      </c>
      <c r="K16" s="54" t="str">
        <f t="shared" si="2"/>
        <v>-</v>
      </c>
      <c r="L16" s="55">
        <f>IFERROR(__xludf.DUMMYFUNCTION("iferror(AVERAGE(query(filter('Saline Comp Data Recording'!G:G,'Saline Comp Data Recording'!C:C=B16), ""Select Col1"")),""0.00"")"),0.0)</f>
        <v>0</v>
      </c>
      <c r="M16" s="53">
        <f>IFERROR(__xludf.DUMMYFUNCTION("iferror(MAX(query(filter('Saline Comp Data Recording'!G:G,'Saline Comp Data Recording'!C:C=B16), ""Select Col1"")),""-"")"),0.0)</f>
        <v>0</v>
      </c>
      <c r="N16" s="58">
        <f>IFERROR(__xludf.DUMMYFUNCTION("iferror(SUM(query(filter('Saline Comp Data Recording'!H:H,'Saline Comp Data Recording'!C:C=B16), ""Select Col1"")),""-"")"),1.0)</f>
        <v>1</v>
      </c>
      <c r="O16" s="59">
        <f>IFERROR(__xludf.DUMMYFUNCTION("iferror(SUM(query(filter('Saline Comp Data Recording'!I:I,'Saline Comp Data Recording'!C:C=B16), ""Select Col1"")),""-"")"),1.0)</f>
        <v>1</v>
      </c>
      <c r="P16" s="54">
        <f t="shared" si="3"/>
        <v>1</v>
      </c>
      <c r="Q16" s="55">
        <f>IFERROR(__xludf.DUMMYFUNCTION("iferror(AVERAGE(query(filter('Saline Comp Data Recording'!I:I,'Saline Comp Data Recording'!C:C=B16), ""Select Col1"")),""0.00"")"),0.2)</f>
        <v>0.2</v>
      </c>
      <c r="R16" s="53">
        <f>IFERROR(__xludf.DUMMYFUNCTION("iferror(MAX(query(filter('Saline Comp Data Recording'!I:I,'Saline Comp Data Recording'!C:C=B16), ""Select Col1"")),""-"")"),1.0)</f>
        <v>1</v>
      </c>
      <c r="S16" s="58">
        <f>IFERROR(__xludf.DUMMYFUNCTION("iferror(SUM(query(filter('Saline Comp Data Recording'!J:J,'Saline Comp Data Recording'!C:C=B16), ""Select Col1"")),""-"")"),0.0)</f>
        <v>0</v>
      </c>
      <c r="T16" s="59">
        <f>IFERROR(__xludf.DUMMYFUNCTION("iferror(SUM(query(filter('Saline Comp Data Recording'!K:K,'Saline Comp Data Recording'!C:C=B16), ""Select Col1"")),""-"")"),0.0)</f>
        <v>0</v>
      </c>
      <c r="U16" s="54" t="str">
        <f t="shared" si="4"/>
        <v>-</v>
      </c>
      <c r="V16" s="55">
        <f>IFERROR(__xludf.DUMMYFUNCTION("iferror(AVERAGE(query(filter('Saline Comp Data Recording'!K:K,'Saline Comp Data Recording'!C:C=B16), ""Select Col1"")),""-"")"),0.0)</f>
        <v>0</v>
      </c>
      <c r="W16" s="52">
        <f>IFERROR(__xludf.DUMMYFUNCTION("iferror(MAX(query(filter('Saline Comp Data Recording'!K:K,'Saline Comp Data Recording'!C:C=B16), ""Select Col1"")),""-"")"),0.0)</f>
        <v>0</v>
      </c>
      <c r="X16" s="59">
        <f>IFERROR(__xludf.DUMMYFUNCTION("iferror(SUM(query(filter('Saline Comp Data Recording'!L:L,'Saline Comp Data Recording'!C:C=B16), ""Select Col1"")),""-"")"),0.0)</f>
        <v>0</v>
      </c>
      <c r="Y16" s="59">
        <f>IFERROR(__xludf.DUMMYFUNCTION("iferror(SUM(query(filter('Saline Comp Data Recording'!M:M,'Saline Comp Data Recording'!C:C=B16), ""Select Col1"")),""-"")"),0.0)</f>
        <v>0</v>
      </c>
      <c r="Z16" s="54" t="str">
        <f t="shared" si="5"/>
        <v>-</v>
      </c>
      <c r="AA16" s="55">
        <f>IFERROR(__xludf.DUMMYFUNCTION("iferror(AVERAGE(query(filter('Saline Comp Data Recording'!M:M,'Saline Comp Data Recording'!C:C=B16), ""Select Col1"")),""0.00"")"),0.0)</f>
        <v>0</v>
      </c>
      <c r="AB16" s="52">
        <f>IFERROR(__xludf.DUMMYFUNCTION("iferror(MAX(query(filter('Saline Comp Data Recording'!M:M,'Saline Comp Data Recording'!C:C=B16), ""Select Col1"")),""-"")"),0.0)</f>
        <v>0</v>
      </c>
      <c r="AC16" s="59">
        <f>IFERROR(__xludf.DUMMYFUNCTION("iferror(SUM(query(filter('Saline Comp Data Recording'!N:N,'Saline Comp Data Recording'!C:C=B16), ""Select Col1"")),""-"")"),6.0)</f>
        <v>6</v>
      </c>
      <c r="AD16" s="59">
        <f>IFERROR(__xludf.DUMMYFUNCTION("iferror(SUM(query(filter('Saline Comp Data Recording'!O:O,'Saline Comp Data Recording'!C:C=B16), ""Select Col1"")),""-"")"),5.0)</f>
        <v>5</v>
      </c>
      <c r="AE16" s="54">
        <f t="shared" si="6"/>
        <v>0.8333333333</v>
      </c>
      <c r="AF16" s="55">
        <f>IFERROR(__xludf.DUMMYFUNCTION("iferror(AVERAGE(query(filter('Saline Comp Data Recording'!O:O,'Saline Comp Data Recording'!C:C=B16), ""Select Col1"")),""0.00"")"),1.0)</f>
        <v>1</v>
      </c>
      <c r="AG16" s="59">
        <f>IFERROR(__xludf.DUMMYFUNCTION("iferror(MAX(query(filter('Saline Comp Data Recording'!O:O,'Saline Comp Data Recording'!C:C=B16), ""Select Col1"")),""-"")"),2.0)</f>
        <v>2</v>
      </c>
      <c r="AH16" s="58" t="str">
        <f>IFERROR(__xludf.DUMMYFUNCTION("if(countif(query(filter('Saline Comp Data Recording'!P:P,'Saline Comp Data Recording'!C:C=B16), ""Select Col1""),TRUE)=0,""0"",countif(query(filter('Saline Comp Data Recording'!P:P,'Saline Comp Data Recording'!C:C=B16), ""Select Col1""),TRUE)) &amp; ""/"" &amp; i"&amp;"f(COUNTA(query(ifna(filter('Saline Comp Data Recording'!P:P,'Saline Comp Data Recording'!C:C=B16),""""), ""Select Col1""))=0,""0"",COUNTA(query(ifna(filter('Saline Comp Data Recording'!P:P,'Saline Comp Data Recording'!C:C=B16),""""), ""Select Col1"")))"),"2/5")</f>
        <v>2/5</v>
      </c>
      <c r="AI16" s="60" t="str">
        <f>IFERROR(__xludf.DUMMYFUNCTION("if(countif(query(filter('Saline Comp Data Recording'!Q:Q,'Saline Comp Data Recording'!C:C=B16), ""Select Col1""),TRUE)=0,""0"",countif(query(filter('Saline Comp Data Recording'!Q:Q,'Saline Comp Data Recording'!C:C=B16), ""Select Col1""),TRUE)) &amp; ""/"" &amp; i"&amp;"f(COUNTA(query(ifna(filter('Saline Comp Data Recording'!Q:Q,'Saline Comp Data Recording'!C:C=B16),""""), ""Select Col1""))=0,""0"",COUNTA(query(ifna(filter('Saline Comp Data Recording'!Q:Q,'Saline Comp Data Recording'!C:C=B16),""""), ""Select Col1"")))"),"0/5")</f>
        <v>0/5</v>
      </c>
      <c r="AJ16" s="59">
        <f>IFERROR(__xludf.DUMMYFUNCTION("iferror(SUM(query(filter('Saline Comp Data Recording'!S:S,'Saline Comp Data Recording'!C:C=B16), ""Select Col1"")),""-"")"),6.0)</f>
        <v>6</v>
      </c>
      <c r="AK16" s="59">
        <f>IFERROR(__xludf.DUMMYFUNCTION("iferror(SUM(query(filter('Saline Comp Data Recording'!T:T,'Saline Comp Data Recording'!C:C=B16), ""Select Col1"")),""-"")"),6.0)</f>
        <v>6</v>
      </c>
      <c r="AL16" s="54">
        <f t="shared" si="7"/>
        <v>1</v>
      </c>
      <c r="AM16" s="55">
        <f>IFERROR(__xludf.DUMMYFUNCTION("iferror(AVERAGE(query(filter('Saline Comp Data Recording'!T:T,'Saline Comp Data Recording'!C:C=B16), ""Select Col1"")),""0.00"")"),1.2)</f>
        <v>1.2</v>
      </c>
      <c r="AN16" s="61">
        <f>IFERROR(__xludf.DUMMYFUNCTION("iferror(MAX(query(filter('Saline Comp Data Recording'!T:T,'Saline Comp Data Recording'!C:C=B16), ""Select Col1"")),""-"")"),2.0)</f>
        <v>2</v>
      </c>
      <c r="AO16" s="62">
        <f>IFERROR(__xludf.DUMMYFUNCTION("iferror(SUM(query(filter('Saline Comp Data Recording'!U:U,'Saline Comp Data Recording'!C:C=B16), ""Select Col1"")),""-"")"),3.0)</f>
        <v>3</v>
      </c>
      <c r="AP16" s="62">
        <f>IFERROR(__xludf.DUMMYFUNCTION("iferror(SUM(query(filter('Saline Comp Data Recording'!V:V,'Saline Comp Data Recording'!C:C=B16), ""Select Col1"")),""-"")"),3.0)</f>
        <v>3</v>
      </c>
      <c r="AQ16" s="63">
        <f t="shared" si="8"/>
        <v>1</v>
      </c>
      <c r="AR16" s="64">
        <f>IFERROR(__xludf.DUMMYFUNCTION("iferror(AVERAGE(query(filter('Saline Comp Data Recording'!V:V,'Saline Comp Data Recording'!C:C=B16), ""Select Col1"")),""0.00"")"),0.6)</f>
        <v>0.6</v>
      </c>
      <c r="AS16" s="65">
        <f>IFERROR(__xludf.DUMMYFUNCTION("iferror(MAX(query(filter('Saline Comp Data Recording'!V:V,'Saline Comp Data Recording'!C:C=B16), ""Select Col1"")),""-"")"),2.0)</f>
        <v>2</v>
      </c>
      <c r="AT16" s="62">
        <f>IFERROR(__xludf.DUMMYFUNCTION("iferror(SUM(query(filter('Saline Comp Data Recording'!W:W,'Saline Comp Data Recording'!C:C=B16), ""Select Col1"")),""-"")"),2.0)</f>
        <v>2</v>
      </c>
      <c r="AU16" s="62">
        <f>IFERROR(__xludf.DUMMYFUNCTION("iferror(SUM(query(filter('Saline Comp Data Recording'!X:X,'Saline Comp Data Recording'!C:C=B16), ""Select Col1"")),""-"")"),2.0)</f>
        <v>2</v>
      </c>
      <c r="AV16" s="63">
        <f t="shared" si="9"/>
        <v>1</v>
      </c>
      <c r="AW16" s="64">
        <f>IFERROR(__xludf.DUMMYFUNCTION("iferror(AVERAGE(query(filter('Saline Comp Data Recording'!X:X,'Saline Comp Data Recording'!C:C=B16), ""Select Col1"")),""0.00"")"),0.4)</f>
        <v>0.4</v>
      </c>
      <c r="AX16" s="65">
        <f>IFERROR(__xludf.DUMMYFUNCTION("iferror(MAX(query(filter('Saline Comp Data Recording'!X:X,'Saline Comp Data Recording'!C:C=B16), ""Select Col1"")),""-"")"),1.0)</f>
        <v>1</v>
      </c>
      <c r="AY16" s="62">
        <f>IFERROR(__xludf.DUMMYFUNCTION("iferror(SUM(query(filter('Saline Comp Data Recording'!Y:Y,'Saline Comp Data Recording'!C:C=B16), ""Select Col1"")),""-"")"),4.0)</f>
        <v>4</v>
      </c>
      <c r="AZ16" s="62">
        <f>IFERROR(__xludf.DUMMYFUNCTION("iferror(SUM(query(filter('Saline Comp Data Recording'!Z:Z,'Saline Comp Data Recording'!C:C=B16), ""Select Col1"")),""-"")"),4.0)</f>
        <v>4</v>
      </c>
      <c r="BA16" s="63">
        <f t="shared" si="10"/>
        <v>1</v>
      </c>
      <c r="BB16" s="64">
        <f>IFERROR(__xludf.DUMMYFUNCTION("iferror(AVERAGE(query(filter('Saline Comp Data Recording'!Z:Z,'Saline Comp Data Recording'!C:C=B16), ""Select Col1"")),""0.00"")"),0.8)</f>
        <v>0.8</v>
      </c>
      <c r="BC16" s="65">
        <f>IFERROR(__xludf.DUMMYFUNCTION("iferror(MAX(query(filter('Saline Comp Data Recording'!Z:Z,'Saline Comp Data Recording'!C:C=B16), ""Select Col1"")),""-"")"),2.0)</f>
        <v>2</v>
      </c>
      <c r="BD16" s="62">
        <f>IFERROR(__xludf.DUMMYFUNCTION("iferror(SUM(query(filter('Saline Comp Data Recording'!AA:AA,'Saline Comp Data Recording'!C:C=B16), ""Select Col1"")),""-"")"),3.0)</f>
        <v>3</v>
      </c>
      <c r="BE16" s="62">
        <f>IFERROR(__xludf.DUMMYFUNCTION("iferror(SUM(query(filter('Saline Comp Data Recording'!AB:AB,'Saline Comp Data Recording'!C:C=B16), ""Select Col1"")),""-"")"),3.0)</f>
        <v>3</v>
      </c>
      <c r="BF16" s="63">
        <f t="shared" si="11"/>
        <v>1</v>
      </c>
      <c r="BG16" s="64">
        <f>IFERROR(__xludf.DUMMYFUNCTION("iferror(AVERAGE(query(filter('Saline Comp Data Recording'!AB:AB,'Saline Comp Data Recording'!C:C=B16), ""Select Col1"")),""0.00"")"),0.6)</f>
        <v>0.6</v>
      </c>
      <c r="BH16" s="65">
        <f>IFERROR(__xludf.DUMMYFUNCTION("iferror(MAX(query(filter('Saline Comp Data Recording'!AB:AB,'Saline Comp Data Recording'!C:C=B16), ""Select Col1"")),""-"")"),2.0)</f>
        <v>2</v>
      </c>
      <c r="BI16" s="62">
        <f>IFERROR(__xludf.DUMMYFUNCTION("iferror(SUM(query(filter('Saline Comp Data Recording'!AC:AC,'Saline Comp Data Recording'!C:C=B16), ""Select Col1"")),""-"")"),3.0)</f>
        <v>3</v>
      </c>
      <c r="BJ16" s="62">
        <f>IFERROR(__xludf.DUMMYFUNCTION("iferror(SUM(query(filter('Saline Comp Data Recording'!AD:AD,'Saline Comp Data Recording'!C:C=B16), ""Select Col1"")),""-"")"),3.0)</f>
        <v>3</v>
      </c>
      <c r="BK16" s="63">
        <f t="shared" si="12"/>
        <v>1</v>
      </c>
      <c r="BL16" s="64">
        <f>IFERROR(__xludf.DUMMYFUNCTION("iferror(AVERAGE(query(filter('Saline Comp Data Recording'!AD:AD,'Saline Comp Data Recording'!C:C=B16), ""Select Col1"")),""0.00"")"),0.6)</f>
        <v>0.6</v>
      </c>
      <c r="BM16" s="65">
        <f>IFERROR(__xludf.DUMMYFUNCTION("iferror(MAX(query(filter('Saline Comp Data Recording'!AD:AD,'Saline Comp Data Recording'!C:C=B16), ""Select Col1"")),""-"")"),2.0)</f>
        <v>2</v>
      </c>
      <c r="BN16" s="66" t="str">
        <f>IFERROR(__xludf.DUMMYFUNCTION("if(countif(query(filter('Saline Comp Data Recording'!AE:AE,'Saline Comp Data Recording'!C:C=B16), ""Select Col1""),""TRUE"")=0,""0"",countif(query(filter('Saline Comp Data Recording'!AE:AE,'Saline Comp Data Recording'!C:C=B16), ""Select Col1""),""TRUE""))"&amp;" &amp; ""/"" &amp; if(COUNTA(query(ifna(filter('Saline Comp Data Recording'!AE:AE,'Saline Comp Data Recording'!C:C=B16),""""), ""Select Col1""))=0,""0"",COUNTA(query(ifna(filter('Saline Comp Data Recording'!AE:AE,'Saline Comp Data Recording'!C:C=B16),""""), ""Sel"&amp;"ect Col1"")))"),"2/5")</f>
        <v>2/5</v>
      </c>
      <c r="BO16" s="67" t="str">
        <f>IFERROR(__xludf.DUMMYFUNCTION("if(countif(query(filter('Saline Comp Data Recording'!AF:AF,'Saline Comp Data Recording'!C:C=B16), ""Select Col1""),""TRUE"")=0,""0"",countif(query(filter('Saline Comp Data Recording'!AF:AF,'Saline Comp Data Recording'!C:C=B16), ""Select Col1""),""TRUE""))"&amp;" &amp; ""/"" &amp; if(COUNTA(query(ifna(filter('Saline Comp Data Recording'!AF:AF,'Saline Comp Data Recording'!C:C=B16),""""), ""Select Col1""))=0,""0"",COUNTA(query(ifna(filter('Saline Comp Data Recording'!AF:AF,'Saline Comp Data Recording'!C:C=B16),""""), ""Sel"&amp;"ect Col1"")))"),"0/5")</f>
        <v>0/5</v>
      </c>
      <c r="BP16" s="60" t="str">
        <f>IFERROR(__xludf.DUMMYFUNCTION("if(countif(query(filter('Saline Comp Data Recording'!AI:AI,'Saline Comp Data Recording'!C:C=B16), ""Select Col1""),""TRUE"")=0,""0"",countif(query(filter('Saline Comp Data Recording'!AI:AI,'Saline Comp Data Recording'!C:C=B16), ""Select Col1""),""TRUE""))"&amp;" &amp; ""/"" &amp; if(COUNTA(query(ifna(filter('Saline Comp Data Recording'!AI:AI,'Saline Comp Data Recording'!C:C=B16),""""), ""Select Col1""))=0,""0"",COUNTA(query(ifna(filter('Saline Comp Data Recording'!AI:AI,'Saline Comp Data Recording'!C:C=B16),""""), ""Sel"&amp;"ect Col1"")))"),"0/5")</f>
        <v>0/5</v>
      </c>
      <c r="BQ16" s="55">
        <f>IFERROR(__xludf.DUMMYFUNCTION("iferror(average(query(filter('Saline Comp Data Recording'!AG:AG,'Saline Comp Data Recording'!C:C=B16), ""Select Col1"")),""-"")"),2.8)</f>
        <v>2.8</v>
      </c>
      <c r="BR16" s="69">
        <f>IFERROR(__xludf.DUMMYFUNCTION("iferror(average(query(filter('Saline Comp Data Recording'!AH:AH,'Saline Comp Data Recording'!C:C=B16), ""Select Col1"")),""-"")"),0.4)</f>
        <v>0.4</v>
      </c>
      <c r="BS16" s="70">
        <f>IFERROR(__xludf.DUMMYFUNCTION("iferror(AVERAGE(query(filter('Saline Comp Data Recording'!AK:AK,'Saline Comp Data Recording'!C:C=B16), ""Select Col1"")),""-"")"),29.6)</f>
        <v>29.6</v>
      </c>
      <c r="BT16" s="70">
        <f>IFERROR(__xludf.DUMMYFUNCTION("iferror(AVERAGE(query(filter('Saline Comp Data Recording'!AL:AL,'Saline Comp Data Recording'!C:C=B16), ""Select Col1"")),""-"")"),24.0)</f>
        <v>24</v>
      </c>
      <c r="BU16" s="71">
        <f>IFERROR(__xludf.DUMMYFUNCTION("iferror(max(query(filter('Saline Comp Data Recording'!AK:AK,'Saline Comp Data Recording'!C:C=B16), ""Select Col1"")),""-"")"),47.0)</f>
        <v>47</v>
      </c>
      <c r="BV16" s="72">
        <f>IFERROR(__xludf.DUMMYFUNCTION("iferror(MIN(query(filter('Saline Comp Data Recording'!AK:AK,'Saline Comp Data Recording'!C:C=B16), ""Select Col1"")),""-"")"),17.0)</f>
        <v>17</v>
      </c>
      <c r="BW16" s="73" t="str">
        <f>IFERROR(__xludf.DUMMYFUNCTION("iferror(if(DIVIDE(COUNTIF(query(filter('Saline Comp Data Recording'!P:P,'Saline Comp Data Recording'!C:C=B16), ""Select Col1""),TRUE),COUNTA(query(ifna(filter('Saline Comp Data Recording'!P:P,'Saline Comp Data Recording'!C:C=B16),""""), ""Select Col1"")))"&amp;"&gt;=(0.5),""1"",""0""),""-"")"),"0")</f>
        <v>0</v>
      </c>
      <c r="BX16" s="59" t="str">
        <f>IFERROR(__xludf.DUMMYFUNCTION("iferror(if(countif(query(filter('Saline Comp Data Recording'!Q:Q,'Saline Comp Data Recording'!C:C=B16), ""Select Col1""),TRUE)/COUNTA(query(ifna(filter('Saline Comp Data Recording'!Q:Q,'Saline Comp Data Recording'!C:C=B16),""""), ""Select Col1""))&gt;=(0.5),"&amp;"""1"",""0""),""-"")"),"0")</f>
        <v>0</v>
      </c>
      <c r="BY16" s="74" t="str">
        <f>IFERROR(__xludf.DUMMYFUNCTION("iferror(if(DIVIDE(COUNTIF(query(filter('Saline Comp Data Recording'!AE:AE,'Saline Comp Data Recording'!C:C=B16), ""Select Col1""),TRUE),COUNTA(query(ifna(filter('Saline Comp Data Recording'!AE:AE,'Saline Comp Data Recording'!C:C=B16),""""), ""Select Col1"&amp;""")))&gt;=(0.5),""1"",""0""),""-"")"),"0")</f>
        <v>0</v>
      </c>
      <c r="BZ16" s="59" t="str">
        <f>IFERROR(__xludf.DUMMYFUNCTION("iferror(if(countif(query(filter('Saline Comp Data Recording'!AF:AF,'Saline Comp Data Recording'!C:C=B16), ""Select Col1""),TRUE)/COUNTA(query(ifna(filter('Saline Comp Data Recording'!AF:AF,'Saline Comp Data Recording'!C:C=B16),""""), ""Select Col1""))&gt;=(0"&amp;".5),""1"",""0""),""-"")"),"0")</f>
        <v>0</v>
      </c>
      <c r="CA16" s="74" t="str">
        <f>IFERROR(__xludf.DUMMYFUNCTION("iferror(if(DIVIDE(countif(query(filter('Saline Comp Data Recording'!R:R,'Saline Comp Data Recording'!C:C=B16), ""Select Col1""),TRUE),COUNTA(query(ifna(filter('Saline Comp Data Recording'!R:R,'Saline Comp Data Recording'!C:C=B16),""""), ""Select Col1"")))"&amp;"&gt;=(0.5),""1"",""0""),""-"")"),"1")</f>
        <v>1</v>
      </c>
    </row>
    <row r="17">
      <c r="A17" s="51" t="s">
        <v>528</v>
      </c>
      <c r="B17" s="51">
        <v>2137.0</v>
      </c>
      <c r="C17" s="52" t="str">
        <f>IFERROR(__xludf.DUMMYFUNCTION("if(countif(query(filter('Saline Comp Data Recording'!R:R,'Saline Comp Data Recording'!C:C=B17), ""Select Col1""),""TRUE"")=0,""0"",countif(query(filter('Saline Comp Data Recording'!R:R,'Saline Comp Data Recording'!C:C=B17), ""Select Col1""),""TRUE"")) &amp; "&amp;"""/"" &amp; if(COUNTA(query(ifna(filter('Saline Comp Data Recording'!R:R,'Saline Comp Data Recording'!C:C=B17),""""), ""Select Col1""))=0,""0"",COUNTA(query(ifna(filter('Saline Comp Data Recording'!R:R,'Saline Comp Data Recording'!C:C=B17),""""), ""Select Col"&amp;"1"")))"),"2/5")</f>
        <v>2/5</v>
      </c>
      <c r="D17" s="53">
        <f>IFERROR(__xludf.DUMMYFUNCTION("iferror(SUM(query(filter('Saline Comp Data Recording'!D:D,'Saline Comp Data Recording'!C:C=B17), ""Select Col1"")),""-"")"),1.0)</f>
        <v>1</v>
      </c>
      <c r="E17" s="53">
        <f>IFERROR(__xludf.DUMMYFUNCTION("iferror(SUM(query(filter('Saline Comp Data Recording'!E:E,'Saline Comp Data Recording'!C:C=B17), ""Select Col1"")),""-"")"),1.0)</f>
        <v>1</v>
      </c>
      <c r="F17" s="54">
        <f t="shared" si="1"/>
        <v>1</v>
      </c>
      <c r="G17" s="55">
        <f>IFERROR(__xludf.DUMMYFUNCTION("iferror(AVERAGE(query(filter('Saline Comp Data Recording'!E:E,'Saline Comp Data Recording'!C:C=B17), ""Select Col1"")),""0.00"")"),0.2)</f>
        <v>0.2</v>
      </c>
      <c r="H17" s="53">
        <f>IFERROR(__xludf.DUMMYFUNCTION("iferror(MAX(query(filter('Saline Comp Data Recording'!E:E,'Saline Comp Data Recording'!C:C=B17), ""Select Col1"")),""-"")"),1.0)</f>
        <v>1</v>
      </c>
      <c r="I17" s="56">
        <f>IFERROR(__xludf.DUMMYFUNCTION("iferror(SUM(query(filter('Saline Comp Data Recording'!F:F,'Saline Comp Data Recording'!C:C=B17), ""Select Col1"")),""-"")"),0.0)</f>
        <v>0</v>
      </c>
      <c r="J17" s="57">
        <f>IFERROR(__xludf.DUMMYFUNCTION("iferror(SUM(query(filter('Saline Comp Data Recording'!G:G,'Saline Comp Data Recording'!C:C=B17), ""Select Col1"")),""-"")"),0.0)</f>
        <v>0</v>
      </c>
      <c r="K17" s="54" t="str">
        <f t="shared" si="2"/>
        <v>-</v>
      </c>
      <c r="L17" s="55">
        <f>IFERROR(__xludf.DUMMYFUNCTION("iferror(AVERAGE(query(filter('Saline Comp Data Recording'!G:G,'Saline Comp Data Recording'!C:C=B17), ""Select Col1"")),""0.00"")"),0.0)</f>
        <v>0</v>
      </c>
      <c r="M17" s="53">
        <f>IFERROR(__xludf.DUMMYFUNCTION("iferror(MAX(query(filter('Saline Comp Data Recording'!G:G,'Saline Comp Data Recording'!C:C=B17), ""Select Col1"")),""-"")"),0.0)</f>
        <v>0</v>
      </c>
      <c r="N17" s="58">
        <f>IFERROR(__xludf.DUMMYFUNCTION("iferror(SUM(query(filter('Saline Comp Data Recording'!H:H,'Saline Comp Data Recording'!C:C=B17), ""Select Col1"")),""-"")"),1.0)</f>
        <v>1</v>
      </c>
      <c r="O17" s="59">
        <f>IFERROR(__xludf.DUMMYFUNCTION("iferror(SUM(query(filter('Saline Comp Data Recording'!I:I,'Saline Comp Data Recording'!C:C=B17), ""Select Col1"")),""-"")"),1.0)</f>
        <v>1</v>
      </c>
      <c r="P17" s="54">
        <f t="shared" si="3"/>
        <v>1</v>
      </c>
      <c r="Q17" s="55">
        <f>IFERROR(__xludf.DUMMYFUNCTION("iferror(AVERAGE(query(filter('Saline Comp Data Recording'!I:I,'Saline Comp Data Recording'!C:C=B17), ""Select Col1"")),""0.00"")"),0.2)</f>
        <v>0.2</v>
      </c>
      <c r="R17" s="53">
        <f>IFERROR(__xludf.DUMMYFUNCTION("iferror(MAX(query(filter('Saline Comp Data Recording'!I:I,'Saline Comp Data Recording'!C:C=B17), ""Select Col1"")),""-"")"),1.0)</f>
        <v>1</v>
      </c>
      <c r="S17" s="58">
        <f>IFERROR(__xludf.DUMMYFUNCTION("iferror(SUM(query(filter('Saline Comp Data Recording'!J:J,'Saline Comp Data Recording'!C:C=B17), ""Select Col1"")),""-"")"),3.0)</f>
        <v>3</v>
      </c>
      <c r="T17" s="59">
        <f>IFERROR(__xludf.DUMMYFUNCTION("iferror(SUM(query(filter('Saline Comp Data Recording'!K:K,'Saline Comp Data Recording'!C:C=B17), ""Select Col1"")),""-"")"),3.0)</f>
        <v>3</v>
      </c>
      <c r="U17" s="54">
        <f t="shared" si="4"/>
        <v>1</v>
      </c>
      <c r="V17" s="55">
        <f>IFERROR(__xludf.DUMMYFUNCTION("iferror(AVERAGE(query(filter('Saline Comp Data Recording'!K:K,'Saline Comp Data Recording'!C:C=B17), ""Select Col1"")),""-"")"),0.6)</f>
        <v>0.6</v>
      </c>
      <c r="W17" s="52">
        <f>IFERROR(__xludf.DUMMYFUNCTION("iferror(MAX(query(filter('Saline Comp Data Recording'!K:K,'Saline Comp Data Recording'!C:C=B17), ""Select Col1"")),""-"")"),1.0)</f>
        <v>1</v>
      </c>
      <c r="X17" s="59">
        <f>IFERROR(__xludf.DUMMYFUNCTION("iferror(SUM(query(filter('Saline Comp Data Recording'!L:L,'Saline Comp Data Recording'!C:C=B17), ""Select Col1"")),""-"")"),0.0)</f>
        <v>0</v>
      </c>
      <c r="Y17" s="59">
        <f>IFERROR(__xludf.DUMMYFUNCTION("iferror(SUM(query(filter('Saline Comp Data Recording'!M:M,'Saline Comp Data Recording'!C:C=B17), ""Select Col1"")),""-"")"),0.0)</f>
        <v>0</v>
      </c>
      <c r="Z17" s="54" t="str">
        <f t="shared" si="5"/>
        <v>-</v>
      </c>
      <c r="AA17" s="55">
        <f>IFERROR(__xludf.DUMMYFUNCTION("iferror(AVERAGE(query(filter('Saline Comp Data Recording'!M:M,'Saline Comp Data Recording'!C:C=B17), ""Select Col1"")),""0.00"")"),0.0)</f>
        <v>0</v>
      </c>
      <c r="AB17" s="52">
        <f>IFERROR(__xludf.DUMMYFUNCTION("iferror(MAX(query(filter('Saline Comp Data Recording'!M:M,'Saline Comp Data Recording'!C:C=B17), ""Select Col1"")),""-"")"),0.0)</f>
        <v>0</v>
      </c>
      <c r="AC17" s="59">
        <f>IFERROR(__xludf.DUMMYFUNCTION("iferror(SUM(query(filter('Saline Comp Data Recording'!N:N,'Saline Comp Data Recording'!C:C=B17), ""Select Col1"")),""-"")"),0.0)</f>
        <v>0</v>
      </c>
      <c r="AD17" s="59">
        <f>IFERROR(__xludf.DUMMYFUNCTION("iferror(SUM(query(filter('Saline Comp Data Recording'!O:O,'Saline Comp Data Recording'!C:C=B17), ""Select Col1"")),""-"")"),0.0)</f>
        <v>0</v>
      </c>
      <c r="AE17" s="54" t="str">
        <f t="shared" si="6"/>
        <v>-</v>
      </c>
      <c r="AF17" s="55">
        <f>IFERROR(__xludf.DUMMYFUNCTION("iferror(AVERAGE(query(filter('Saline Comp Data Recording'!O:O,'Saline Comp Data Recording'!C:C=B17), ""Select Col1"")),""0.00"")"),0.0)</f>
        <v>0</v>
      </c>
      <c r="AG17" s="59">
        <f>IFERROR(__xludf.DUMMYFUNCTION("iferror(MAX(query(filter('Saline Comp Data Recording'!O:O,'Saline Comp Data Recording'!C:C=B17), ""Select Col1"")),""-"")"),0.0)</f>
        <v>0</v>
      </c>
      <c r="AH17" s="58" t="str">
        <f>IFERROR(__xludf.DUMMYFUNCTION("if(countif(query(filter('Saline Comp Data Recording'!P:P,'Saline Comp Data Recording'!C:C=B17), ""Select Col1""),TRUE)=0,""0"",countif(query(filter('Saline Comp Data Recording'!P:P,'Saline Comp Data Recording'!C:C=B17), ""Select Col1""),TRUE)) &amp; ""/"" &amp; i"&amp;"f(COUNTA(query(ifna(filter('Saline Comp Data Recording'!P:P,'Saline Comp Data Recording'!C:C=B17),""""), ""Select Col1""))=0,""0"",COUNTA(query(ifna(filter('Saline Comp Data Recording'!P:P,'Saline Comp Data Recording'!C:C=B17),""""), ""Select Col1"")))"),"2/5")</f>
        <v>2/5</v>
      </c>
      <c r="AI17" s="60" t="str">
        <f>IFERROR(__xludf.DUMMYFUNCTION("if(countif(query(filter('Saline Comp Data Recording'!Q:Q,'Saline Comp Data Recording'!C:C=B17), ""Select Col1""),TRUE)=0,""0"",countif(query(filter('Saline Comp Data Recording'!Q:Q,'Saline Comp Data Recording'!C:C=B17), ""Select Col1""),TRUE)) &amp; ""/"" &amp; i"&amp;"f(COUNTA(query(ifna(filter('Saline Comp Data Recording'!Q:Q,'Saline Comp Data Recording'!C:C=B17),""""), ""Select Col1""))=0,""0"",COUNTA(query(ifna(filter('Saline Comp Data Recording'!Q:Q,'Saline Comp Data Recording'!C:C=B17),""""), ""Select Col1"")))"),"3/5")</f>
        <v>3/5</v>
      </c>
      <c r="AJ17" s="59">
        <f>IFERROR(__xludf.DUMMYFUNCTION("iferror(SUM(query(filter('Saline Comp Data Recording'!S:S,'Saline Comp Data Recording'!C:C=B17), ""Select Col1"")),""-"")"),8.0)</f>
        <v>8</v>
      </c>
      <c r="AK17" s="59">
        <f>IFERROR(__xludf.DUMMYFUNCTION("iferror(SUM(query(filter('Saline Comp Data Recording'!T:T,'Saline Comp Data Recording'!C:C=B17), ""Select Col1"")),""-"")"),8.0)</f>
        <v>8</v>
      </c>
      <c r="AL17" s="54">
        <f t="shared" si="7"/>
        <v>1</v>
      </c>
      <c r="AM17" s="55">
        <f>IFERROR(__xludf.DUMMYFUNCTION("iferror(AVERAGE(query(filter('Saline Comp Data Recording'!T:T,'Saline Comp Data Recording'!C:C=B17), ""Select Col1"")),""0.00"")"),1.6)</f>
        <v>1.6</v>
      </c>
      <c r="AN17" s="61">
        <f>IFERROR(__xludf.DUMMYFUNCTION("iferror(MAX(query(filter('Saline Comp Data Recording'!T:T,'Saline Comp Data Recording'!C:C=B17), ""Select Col1"")),""-"")"),3.0)</f>
        <v>3</v>
      </c>
      <c r="AO17" s="62">
        <f>IFERROR(__xludf.DUMMYFUNCTION("iferror(SUM(query(filter('Saline Comp Data Recording'!U:U,'Saline Comp Data Recording'!C:C=B17), ""Select Col1"")),""-"")"),6.0)</f>
        <v>6</v>
      </c>
      <c r="AP17" s="62">
        <f>IFERROR(__xludf.DUMMYFUNCTION("iferror(SUM(query(filter('Saline Comp Data Recording'!V:V,'Saline Comp Data Recording'!C:C=B17), ""Select Col1"")),""-"")"),3.0)</f>
        <v>3</v>
      </c>
      <c r="AQ17" s="63">
        <f t="shared" si="8"/>
        <v>0.5</v>
      </c>
      <c r="AR17" s="64">
        <f>IFERROR(__xludf.DUMMYFUNCTION("iferror(AVERAGE(query(filter('Saline Comp Data Recording'!V:V,'Saline Comp Data Recording'!C:C=B17), ""Select Col1"")),""0.00"")"),0.6)</f>
        <v>0.6</v>
      </c>
      <c r="AS17" s="65">
        <f>IFERROR(__xludf.DUMMYFUNCTION("iferror(MAX(query(filter('Saline Comp Data Recording'!V:V,'Saline Comp Data Recording'!C:C=B17), ""Select Col1"")),""-"")"),2.0)</f>
        <v>2</v>
      </c>
      <c r="AT17" s="62">
        <f>IFERROR(__xludf.DUMMYFUNCTION("iferror(SUM(query(filter('Saline Comp Data Recording'!W:W,'Saline Comp Data Recording'!C:C=B17), ""Select Col1"")),""-"")"),0.0)</f>
        <v>0</v>
      </c>
      <c r="AU17" s="62">
        <f>IFERROR(__xludf.DUMMYFUNCTION("iferror(SUM(query(filter('Saline Comp Data Recording'!X:X,'Saline Comp Data Recording'!C:C=B17), ""Select Col1"")),""-"")"),0.0)</f>
        <v>0</v>
      </c>
      <c r="AV17" s="63" t="str">
        <f t="shared" si="9"/>
        <v>-</v>
      </c>
      <c r="AW17" s="64">
        <f>IFERROR(__xludf.DUMMYFUNCTION("iferror(AVERAGE(query(filter('Saline Comp Data Recording'!X:X,'Saline Comp Data Recording'!C:C=B17), ""Select Col1"")),""0.00"")"),0.0)</f>
        <v>0</v>
      </c>
      <c r="AX17" s="65">
        <f>IFERROR(__xludf.DUMMYFUNCTION("iferror(MAX(query(filter('Saline Comp Data Recording'!X:X,'Saline Comp Data Recording'!C:C=B17), ""Select Col1"")),""-"")"),0.0)</f>
        <v>0</v>
      </c>
      <c r="AY17" s="62">
        <f>IFERROR(__xludf.DUMMYFUNCTION("iferror(SUM(query(filter('Saline Comp Data Recording'!Y:Y,'Saline Comp Data Recording'!C:C=B17), ""Select Col1"")),""-"")"),2.0)</f>
        <v>2</v>
      </c>
      <c r="AZ17" s="62">
        <f>IFERROR(__xludf.DUMMYFUNCTION("iferror(SUM(query(filter('Saline Comp Data Recording'!Z:Z,'Saline Comp Data Recording'!C:C=B17), ""Select Col1"")),""-"")"),2.0)</f>
        <v>2</v>
      </c>
      <c r="BA17" s="63">
        <f t="shared" si="10"/>
        <v>1</v>
      </c>
      <c r="BB17" s="64">
        <f>IFERROR(__xludf.DUMMYFUNCTION("iferror(AVERAGE(query(filter('Saline Comp Data Recording'!Z:Z,'Saline Comp Data Recording'!C:C=B17), ""Select Col1"")),""0.00"")"),0.4)</f>
        <v>0.4</v>
      </c>
      <c r="BC17" s="65">
        <f>IFERROR(__xludf.DUMMYFUNCTION("iferror(MAX(query(filter('Saline Comp Data Recording'!Z:Z,'Saline Comp Data Recording'!C:C=B17), ""Select Col1"")),""-"")"),1.0)</f>
        <v>1</v>
      </c>
      <c r="BD17" s="62">
        <f>IFERROR(__xludf.DUMMYFUNCTION("iferror(SUM(query(filter('Saline Comp Data Recording'!AA:AA,'Saline Comp Data Recording'!C:C=B17), ""Select Col1"")),""-"")"),0.0)</f>
        <v>0</v>
      </c>
      <c r="BE17" s="62">
        <f>IFERROR(__xludf.DUMMYFUNCTION("iferror(SUM(query(filter('Saline Comp Data Recording'!AB:AB,'Saline Comp Data Recording'!C:C=B17), ""Select Col1"")),""-"")"),0.0)</f>
        <v>0</v>
      </c>
      <c r="BF17" s="63" t="str">
        <f t="shared" si="11"/>
        <v>-</v>
      </c>
      <c r="BG17" s="64">
        <f>IFERROR(__xludf.DUMMYFUNCTION("iferror(AVERAGE(query(filter('Saline Comp Data Recording'!AB:AB,'Saline Comp Data Recording'!C:C=B17), ""Select Col1"")),""0.00"")"),0.0)</f>
        <v>0</v>
      </c>
      <c r="BH17" s="65">
        <f>IFERROR(__xludf.DUMMYFUNCTION("iferror(MAX(query(filter('Saline Comp Data Recording'!AB:AB,'Saline Comp Data Recording'!C:C=B17), ""Select Col1"")),""-"")"),0.0)</f>
        <v>0</v>
      </c>
      <c r="BI17" s="62">
        <f>IFERROR(__xludf.DUMMYFUNCTION("iferror(SUM(query(filter('Saline Comp Data Recording'!AC:AC,'Saline Comp Data Recording'!C:C=B17), ""Select Col1"")),""-"")"),1.0)</f>
        <v>1</v>
      </c>
      <c r="BJ17" s="62">
        <f>IFERROR(__xludf.DUMMYFUNCTION("iferror(SUM(query(filter('Saline Comp Data Recording'!AD:AD,'Saline Comp Data Recording'!C:C=B17), ""Select Col1"")),""-"")"),1.0)</f>
        <v>1</v>
      </c>
      <c r="BK17" s="63">
        <f t="shared" si="12"/>
        <v>1</v>
      </c>
      <c r="BL17" s="64">
        <f>IFERROR(__xludf.DUMMYFUNCTION("iferror(AVERAGE(query(filter('Saline Comp Data Recording'!AD:AD,'Saline Comp Data Recording'!C:C=B17), ""Select Col1"")),""0.00"")"),0.2)</f>
        <v>0.2</v>
      </c>
      <c r="BM17" s="65">
        <f>IFERROR(__xludf.DUMMYFUNCTION("iferror(MAX(query(filter('Saline Comp Data Recording'!AD:AD,'Saline Comp Data Recording'!C:C=B17), ""Select Col1"")),""-"")"),1.0)</f>
        <v>1</v>
      </c>
      <c r="BN17" s="66" t="str">
        <f>IFERROR(__xludf.DUMMYFUNCTION("if(countif(query(filter('Saline Comp Data Recording'!AE:AE,'Saline Comp Data Recording'!C:C=B17), ""Select Col1""),""TRUE"")=0,""0"",countif(query(filter('Saline Comp Data Recording'!AE:AE,'Saline Comp Data Recording'!C:C=B17), ""Select Col1""),""TRUE""))"&amp;" &amp; ""/"" &amp; if(COUNTA(query(ifna(filter('Saline Comp Data Recording'!AE:AE,'Saline Comp Data Recording'!C:C=B17),""""), ""Select Col1""))=0,""0"",COUNTA(query(ifna(filter('Saline Comp Data Recording'!AE:AE,'Saline Comp Data Recording'!C:C=B17),""""), ""Sel"&amp;"ect Col1"")))"),"2/5")</f>
        <v>2/5</v>
      </c>
      <c r="BO17" s="67" t="str">
        <f>IFERROR(__xludf.DUMMYFUNCTION("if(countif(query(filter('Saline Comp Data Recording'!AF:AF,'Saline Comp Data Recording'!C:C=B17), ""Select Col1""),""TRUE"")=0,""0"",countif(query(filter('Saline Comp Data Recording'!AF:AF,'Saline Comp Data Recording'!C:C=B17), ""Select Col1""),""TRUE""))"&amp;" &amp; ""/"" &amp; if(COUNTA(query(ifna(filter('Saline Comp Data Recording'!AF:AF,'Saline Comp Data Recording'!C:C=B17),""""), ""Select Col1""))=0,""0"",COUNTA(query(ifna(filter('Saline Comp Data Recording'!AF:AF,'Saline Comp Data Recording'!C:C=B17),""""), ""Sel"&amp;"ect Col1"")))"),"3/5")</f>
        <v>3/5</v>
      </c>
      <c r="BP17" s="60" t="str">
        <f>IFERROR(__xludf.DUMMYFUNCTION("if(countif(query(filter('Saline Comp Data Recording'!AI:AI,'Saline Comp Data Recording'!C:C=B17), ""Select Col1""),""TRUE"")=0,""0"",countif(query(filter('Saline Comp Data Recording'!AI:AI,'Saline Comp Data Recording'!C:C=B17), ""Select Col1""),""TRUE""))"&amp;" &amp; ""/"" &amp; if(COUNTA(query(ifna(filter('Saline Comp Data Recording'!AI:AI,'Saline Comp Data Recording'!C:C=B17),""""), ""Select Col1""))=0,""0"",COUNTA(query(ifna(filter('Saline Comp Data Recording'!AI:AI,'Saline Comp Data Recording'!C:C=B17),""""), ""Sel"&amp;"ect Col1"")))"),"0/5")</f>
        <v>0/5</v>
      </c>
      <c r="BQ17" s="55">
        <f>IFERROR(__xludf.DUMMYFUNCTION("iferror(average(query(filter('Saline Comp Data Recording'!AG:AG,'Saline Comp Data Recording'!C:C=B17), ""Select Col1"")),""-"")"),2.4)</f>
        <v>2.4</v>
      </c>
      <c r="BR17" s="69">
        <f>IFERROR(__xludf.DUMMYFUNCTION("iferror(average(query(filter('Saline Comp Data Recording'!AH:AH,'Saline Comp Data Recording'!C:C=B17), ""Select Col1"")),""-"")"),0.6)</f>
        <v>0.6</v>
      </c>
      <c r="BS17" s="70">
        <f>IFERROR(__xludf.DUMMYFUNCTION("iferror(AVERAGE(query(filter('Saline Comp Data Recording'!AK:AK,'Saline Comp Data Recording'!C:C=B17), ""Select Col1"")),""-"")"),27.6)</f>
        <v>27.6</v>
      </c>
      <c r="BT17" s="70">
        <f>IFERROR(__xludf.DUMMYFUNCTION("iferror(AVERAGE(query(filter('Saline Comp Data Recording'!AL:AL,'Saline Comp Data Recording'!C:C=B17), ""Select Col1"")),""-"")"),18.8)</f>
        <v>18.8</v>
      </c>
      <c r="BU17" s="71">
        <f>IFERROR(__xludf.DUMMYFUNCTION("iferror(max(query(filter('Saline Comp Data Recording'!AK:AK,'Saline Comp Data Recording'!C:C=B17), ""Select Col1"")),""-"")"),44.0)</f>
        <v>44</v>
      </c>
      <c r="BV17" s="72">
        <f>IFERROR(__xludf.DUMMYFUNCTION("iferror(MIN(query(filter('Saline Comp Data Recording'!AK:AK,'Saline Comp Data Recording'!C:C=B17), ""Select Col1"")),""-"")"),10.0)</f>
        <v>10</v>
      </c>
      <c r="BW17" s="73" t="str">
        <f>IFERROR(__xludf.DUMMYFUNCTION("iferror(if(DIVIDE(COUNTIF(query(filter('Saline Comp Data Recording'!P:P,'Saline Comp Data Recording'!C:C=B17), ""Select Col1""),TRUE),COUNTA(query(ifna(filter('Saline Comp Data Recording'!P:P,'Saline Comp Data Recording'!C:C=B17),""""), ""Select Col1"")))"&amp;"&gt;=(0.5),""1"",""0""),""-"")"),"0")</f>
        <v>0</v>
      </c>
      <c r="BX17" s="59" t="str">
        <f>IFERROR(__xludf.DUMMYFUNCTION("iferror(if(countif(query(filter('Saline Comp Data Recording'!Q:Q,'Saline Comp Data Recording'!C:C=B17), ""Select Col1""),TRUE)/COUNTA(query(ifna(filter('Saline Comp Data Recording'!Q:Q,'Saline Comp Data Recording'!C:C=B17),""""), ""Select Col1""))&gt;=(0.5),"&amp;"""1"",""0""),""-"")"),"1")</f>
        <v>1</v>
      </c>
      <c r="BY17" s="74" t="str">
        <f>IFERROR(__xludf.DUMMYFUNCTION("iferror(if(DIVIDE(COUNTIF(query(filter('Saline Comp Data Recording'!AE:AE,'Saline Comp Data Recording'!C:C=B17), ""Select Col1""),TRUE),COUNTA(query(ifna(filter('Saline Comp Data Recording'!AE:AE,'Saline Comp Data Recording'!C:C=B17),""""), ""Select Col1"&amp;""")))&gt;=(0.5),""1"",""0""),""-"")"),"0")</f>
        <v>0</v>
      </c>
      <c r="BZ17" s="59" t="str">
        <f>IFERROR(__xludf.DUMMYFUNCTION("iferror(if(countif(query(filter('Saline Comp Data Recording'!AF:AF,'Saline Comp Data Recording'!C:C=B17), ""Select Col1""),TRUE)/COUNTA(query(ifna(filter('Saline Comp Data Recording'!AF:AF,'Saline Comp Data Recording'!C:C=B17),""""), ""Select Col1""))&gt;=(0"&amp;".5),""1"",""0""),""-"")"),"1")</f>
        <v>1</v>
      </c>
      <c r="CA17" s="74" t="str">
        <f>IFERROR(__xludf.DUMMYFUNCTION("iferror(if(DIVIDE(countif(query(filter('Saline Comp Data Recording'!R:R,'Saline Comp Data Recording'!C:C=B17), ""Select Col1""),TRUE),COUNTA(query(ifna(filter('Saline Comp Data Recording'!R:R,'Saline Comp Data Recording'!C:C=B17),""""), ""Select Col1"")))"&amp;"&gt;=(0.5),""1"",""0""),""-"")"),"0")</f>
        <v>0</v>
      </c>
    </row>
    <row r="18">
      <c r="A18" s="51" t="s">
        <v>529</v>
      </c>
      <c r="B18" s="51">
        <v>3536.0</v>
      </c>
      <c r="C18" s="52" t="str">
        <f>IFERROR(__xludf.DUMMYFUNCTION("if(countif(query(filter('Saline Comp Data Recording'!R:R,'Saline Comp Data Recording'!C:C=B18), ""Select Col1""),""TRUE"")=0,""0"",countif(query(filter('Saline Comp Data Recording'!R:R,'Saline Comp Data Recording'!C:C=B18), ""Select Col1""),""TRUE"")) &amp; "&amp;"""/"" &amp; if(COUNTA(query(ifna(filter('Saline Comp Data Recording'!R:R,'Saline Comp Data Recording'!C:C=B18),""""), ""Select Col1""))=0,""0"",COUNTA(query(ifna(filter('Saline Comp Data Recording'!R:R,'Saline Comp Data Recording'!C:C=B18),""""), ""Select Col"&amp;"1"")))"),"3/6")</f>
        <v>3/6</v>
      </c>
      <c r="D18" s="53">
        <f>IFERROR(__xludf.DUMMYFUNCTION("iferror(SUM(query(filter('Saline Comp Data Recording'!D:D,'Saline Comp Data Recording'!C:C=B18), ""Select Col1"")),""-"")"),4.0)</f>
        <v>4</v>
      </c>
      <c r="E18" s="53">
        <f>IFERROR(__xludf.DUMMYFUNCTION("iferror(SUM(query(filter('Saline Comp Data Recording'!E:E,'Saline Comp Data Recording'!C:C=B18), ""Select Col1"")),""-"")"),4.0)</f>
        <v>4</v>
      </c>
      <c r="F18" s="54">
        <f t="shared" si="1"/>
        <v>1</v>
      </c>
      <c r="G18" s="55">
        <f>IFERROR(__xludf.DUMMYFUNCTION("iferror(AVERAGE(query(filter('Saline Comp Data Recording'!E:E,'Saline Comp Data Recording'!C:C=B18), ""Select Col1"")),""0.00"")"),0.6666666666666666)</f>
        <v>0.6666666667</v>
      </c>
      <c r="H18" s="53">
        <f>IFERROR(__xludf.DUMMYFUNCTION("iferror(MAX(query(filter('Saline Comp Data Recording'!E:E,'Saline Comp Data Recording'!C:C=B18), ""Select Col1"")),""-"")"),1.0)</f>
        <v>1</v>
      </c>
      <c r="I18" s="56">
        <f>IFERROR(__xludf.DUMMYFUNCTION("iferror(SUM(query(filter('Saline Comp Data Recording'!F:F,'Saline Comp Data Recording'!C:C=B18), ""Select Col1"")),""-"")"),0.0)</f>
        <v>0</v>
      </c>
      <c r="J18" s="57">
        <f>IFERROR(__xludf.DUMMYFUNCTION("iferror(SUM(query(filter('Saline Comp Data Recording'!G:G,'Saline Comp Data Recording'!C:C=B18), ""Select Col1"")),""-"")"),0.0)</f>
        <v>0</v>
      </c>
      <c r="K18" s="54" t="str">
        <f t="shared" si="2"/>
        <v>-</v>
      </c>
      <c r="L18" s="55">
        <f>IFERROR(__xludf.DUMMYFUNCTION("iferror(AVERAGE(query(filter('Saline Comp Data Recording'!G:G,'Saline Comp Data Recording'!C:C=B18), ""Select Col1"")),""0.00"")"),0.0)</f>
        <v>0</v>
      </c>
      <c r="M18" s="53">
        <f>IFERROR(__xludf.DUMMYFUNCTION("iferror(MAX(query(filter('Saline Comp Data Recording'!G:G,'Saline Comp Data Recording'!C:C=B18), ""Select Col1"")),""-"")"),0.0)</f>
        <v>0</v>
      </c>
      <c r="N18" s="58">
        <f>IFERROR(__xludf.DUMMYFUNCTION("iferror(SUM(query(filter('Saline Comp Data Recording'!H:H,'Saline Comp Data Recording'!C:C=B18), ""Select Col1"")),""-"")"),0.0)</f>
        <v>0</v>
      </c>
      <c r="O18" s="59">
        <f>IFERROR(__xludf.DUMMYFUNCTION("iferror(SUM(query(filter('Saline Comp Data Recording'!I:I,'Saline Comp Data Recording'!C:C=B18), ""Select Col1"")),""-"")"),0.0)</f>
        <v>0</v>
      </c>
      <c r="P18" s="54" t="str">
        <f t="shared" si="3"/>
        <v>-</v>
      </c>
      <c r="Q18" s="55">
        <f>IFERROR(__xludf.DUMMYFUNCTION("iferror(AVERAGE(query(filter('Saline Comp Data Recording'!I:I,'Saline Comp Data Recording'!C:C=B18), ""Select Col1"")),""0.00"")"),0.0)</f>
        <v>0</v>
      </c>
      <c r="R18" s="53">
        <f>IFERROR(__xludf.DUMMYFUNCTION("iferror(MAX(query(filter('Saline Comp Data Recording'!I:I,'Saline Comp Data Recording'!C:C=B18), ""Select Col1"")),""-"")"),0.0)</f>
        <v>0</v>
      </c>
      <c r="S18" s="58">
        <f>IFERROR(__xludf.DUMMYFUNCTION("iferror(SUM(query(filter('Saline Comp Data Recording'!J:J,'Saline Comp Data Recording'!C:C=B18), ""Select Col1"")),""-"")"),3.0)</f>
        <v>3</v>
      </c>
      <c r="T18" s="59">
        <f>IFERROR(__xludf.DUMMYFUNCTION("iferror(SUM(query(filter('Saline Comp Data Recording'!K:K,'Saline Comp Data Recording'!C:C=B18), ""Select Col1"")),""-"")"),2.0)</f>
        <v>2</v>
      </c>
      <c r="U18" s="54">
        <f t="shared" si="4"/>
        <v>0.6666666667</v>
      </c>
      <c r="V18" s="55">
        <f>IFERROR(__xludf.DUMMYFUNCTION("iferror(AVERAGE(query(filter('Saline Comp Data Recording'!K:K,'Saline Comp Data Recording'!C:C=B18), ""Select Col1"")),""-"")"),0.3333333333333333)</f>
        <v>0.3333333333</v>
      </c>
      <c r="W18" s="52">
        <f>IFERROR(__xludf.DUMMYFUNCTION("iferror(MAX(query(filter('Saline Comp Data Recording'!K:K,'Saline Comp Data Recording'!C:C=B18), ""Select Col1"")),""-"")"),1.0)</f>
        <v>1</v>
      </c>
      <c r="X18" s="59">
        <f>IFERROR(__xludf.DUMMYFUNCTION("iferror(SUM(query(filter('Saline Comp Data Recording'!L:L,'Saline Comp Data Recording'!C:C=B18), ""Select Col1"")),""-"")"),0.0)</f>
        <v>0</v>
      </c>
      <c r="Y18" s="59">
        <f>IFERROR(__xludf.DUMMYFUNCTION("iferror(SUM(query(filter('Saline Comp Data Recording'!M:M,'Saline Comp Data Recording'!C:C=B18), ""Select Col1"")),""-"")"),0.0)</f>
        <v>0</v>
      </c>
      <c r="Z18" s="54" t="str">
        <f t="shared" si="5"/>
        <v>-</v>
      </c>
      <c r="AA18" s="55">
        <f>IFERROR(__xludf.DUMMYFUNCTION("iferror(AVERAGE(query(filter('Saline Comp Data Recording'!M:M,'Saline Comp Data Recording'!C:C=B18), ""Select Col1"")),""0.00"")"),0.0)</f>
        <v>0</v>
      </c>
      <c r="AB18" s="52">
        <f>IFERROR(__xludf.DUMMYFUNCTION("iferror(MAX(query(filter('Saline Comp Data Recording'!M:M,'Saline Comp Data Recording'!C:C=B18), ""Select Col1"")),""-"")"),0.0)</f>
        <v>0</v>
      </c>
      <c r="AC18" s="59">
        <f>IFERROR(__xludf.DUMMYFUNCTION("iferror(SUM(query(filter('Saline Comp Data Recording'!N:N,'Saline Comp Data Recording'!C:C=B18), ""Select Col1"")),""-"")"),0.0)</f>
        <v>0</v>
      </c>
      <c r="AD18" s="59">
        <f>IFERROR(__xludf.DUMMYFUNCTION("iferror(SUM(query(filter('Saline Comp Data Recording'!O:O,'Saline Comp Data Recording'!C:C=B18), ""Select Col1"")),""-"")"),0.0)</f>
        <v>0</v>
      </c>
      <c r="AE18" s="54" t="str">
        <f t="shared" si="6"/>
        <v>-</v>
      </c>
      <c r="AF18" s="55">
        <f>IFERROR(__xludf.DUMMYFUNCTION("iferror(AVERAGE(query(filter('Saline Comp Data Recording'!O:O,'Saline Comp Data Recording'!C:C=B18), ""Select Col1"")),""0.00"")"),0.0)</f>
        <v>0</v>
      </c>
      <c r="AG18" s="59">
        <f>IFERROR(__xludf.DUMMYFUNCTION("iferror(MAX(query(filter('Saline Comp Data Recording'!O:O,'Saline Comp Data Recording'!C:C=B18), ""Select Col1"")),""-"")"),0.0)</f>
        <v>0</v>
      </c>
      <c r="AH18" s="58" t="str">
        <f>IFERROR(__xludf.DUMMYFUNCTION("if(countif(query(filter('Saline Comp Data Recording'!P:P,'Saline Comp Data Recording'!C:C=B18), ""Select Col1""),TRUE)=0,""0"",countif(query(filter('Saline Comp Data Recording'!P:P,'Saline Comp Data Recording'!C:C=B18), ""Select Col1""),TRUE)) &amp; ""/"" &amp; i"&amp;"f(COUNTA(query(ifna(filter('Saline Comp Data Recording'!P:P,'Saline Comp Data Recording'!C:C=B18),""""), ""Select Col1""))=0,""0"",COUNTA(query(ifna(filter('Saline Comp Data Recording'!P:P,'Saline Comp Data Recording'!C:C=B18),""""), ""Select Col1"")))"),"1/6")</f>
        <v>1/6</v>
      </c>
      <c r="AI18" s="60" t="str">
        <f>IFERROR(__xludf.DUMMYFUNCTION("if(countif(query(filter('Saline Comp Data Recording'!Q:Q,'Saline Comp Data Recording'!C:C=B18), ""Select Col1""),TRUE)=0,""0"",countif(query(filter('Saline Comp Data Recording'!Q:Q,'Saline Comp Data Recording'!C:C=B18), ""Select Col1""),TRUE)) &amp; ""/"" &amp; i"&amp;"f(COUNTA(query(ifna(filter('Saline Comp Data Recording'!Q:Q,'Saline Comp Data Recording'!C:C=B18),""""), ""Select Col1""))=0,""0"",COUNTA(query(ifna(filter('Saline Comp Data Recording'!Q:Q,'Saline Comp Data Recording'!C:C=B18),""""), ""Select Col1"")))"),"1/6")</f>
        <v>1/6</v>
      </c>
      <c r="AJ18" s="59">
        <f>IFERROR(__xludf.DUMMYFUNCTION("iferror(SUM(query(filter('Saline Comp Data Recording'!S:S,'Saline Comp Data Recording'!C:C=B18), ""Select Col1"")),""-"")"),10.0)</f>
        <v>10</v>
      </c>
      <c r="AK18" s="59">
        <f>IFERROR(__xludf.DUMMYFUNCTION("iferror(SUM(query(filter('Saline Comp Data Recording'!T:T,'Saline Comp Data Recording'!C:C=B18), ""Select Col1"")),""-"")"),10.0)</f>
        <v>10</v>
      </c>
      <c r="AL18" s="54">
        <f t="shared" si="7"/>
        <v>1</v>
      </c>
      <c r="AM18" s="55">
        <f>IFERROR(__xludf.DUMMYFUNCTION("iferror(AVERAGE(query(filter('Saline Comp Data Recording'!T:T,'Saline Comp Data Recording'!C:C=B18), ""Select Col1"")),""0.00"")"),1.6666666666666667)</f>
        <v>1.666666667</v>
      </c>
      <c r="AN18" s="61">
        <f>IFERROR(__xludf.DUMMYFUNCTION("iferror(MAX(query(filter('Saline Comp Data Recording'!T:T,'Saline Comp Data Recording'!C:C=B18), ""Select Col1"")),""-"")"),4.0)</f>
        <v>4</v>
      </c>
      <c r="AO18" s="62">
        <f>IFERROR(__xludf.DUMMYFUNCTION("iferror(SUM(query(filter('Saline Comp Data Recording'!U:U,'Saline Comp Data Recording'!C:C=B18), ""Select Col1"")),""-"")"),3.0)</f>
        <v>3</v>
      </c>
      <c r="AP18" s="62">
        <f>IFERROR(__xludf.DUMMYFUNCTION("iferror(SUM(query(filter('Saline Comp Data Recording'!V:V,'Saline Comp Data Recording'!C:C=B18), ""Select Col1"")),""-"")"),3.0)</f>
        <v>3</v>
      </c>
      <c r="AQ18" s="63">
        <f t="shared" si="8"/>
        <v>1</v>
      </c>
      <c r="AR18" s="64">
        <f>IFERROR(__xludf.DUMMYFUNCTION("iferror(AVERAGE(query(filter('Saline Comp Data Recording'!V:V,'Saline Comp Data Recording'!C:C=B18), ""Select Col1"")),""0.00"")"),0.5)</f>
        <v>0.5</v>
      </c>
      <c r="AS18" s="65">
        <f>IFERROR(__xludf.DUMMYFUNCTION("iferror(MAX(query(filter('Saline Comp Data Recording'!V:V,'Saline Comp Data Recording'!C:C=B18), ""Select Col1"")),""-"")"),3.0)</f>
        <v>3</v>
      </c>
      <c r="AT18" s="62">
        <f>IFERROR(__xludf.DUMMYFUNCTION("iferror(SUM(query(filter('Saline Comp Data Recording'!W:W,'Saline Comp Data Recording'!C:C=B18), ""Select Col1"")),""-"")"),2.0)</f>
        <v>2</v>
      </c>
      <c r="AU18" s="62">
        <f>IFERROR(__xludf.DUMMYFUNCTION("iferror(SUM(query(filter('Saline Comp Data Recording'!X:X,'Saline Comp Data Recording'!C:C=B18), ""Select Col1"")),""-"")"),2.0)</f>
        <v>2</v>
      </c>
      <c r="AV18" s="63">
        <f t="shared" si="9"/>
        <v>1</v>
      </c>
      <c r="AW18" s="64">
        <f>IFERROR(__xludf.DUMMYFUNCTION("iferror(AVERAGE(query(filter('Saline Comp Data Recording'!X:X,'Saline Comp Data Recording'!C:C=B18), ""Select Col1"")),""0.00"")"),0.3333333333333333)</f>
        <v>0.3333333333</v>
      </c>
      <c r="AX18" s="65">
        <f>IFERROR(__xludf.DUMMYFUNCTION("iferror(MAX(query(filter('Saline Comp Data Recording'!X:X,'Saline Comp Data Recording'!C:C=B18), ""Select Col1"")),""-"")"),2.0)</f>
        <v>2</v>
      </c>
      <c r="AY18" s="62">
        <f>IFERROR(__xludf.DUMMYFUNCTION("iferror(SUM(query(filter('Saline Comp Data Recording'!Y:Y,'Saline Comp Data Recording'!C:C=B18), ""Select Col1"")),""-"")"),4.0)</f>
        <v>4</v>
      </c>
      <c r="AZ18" s="62">
        <f>IFERROR(__xludf.DUMMYFUNCTION("iferror(SUM(query(filter('Saline Comp Data Recording'!Z:Z,'Saline Comp Data Recording'!C:C=B18), ""Select Col1"")),""-"")"),4.0)</f>
        <v>4</v>
      </c>
      <c r="BA18" s="63">
        <f t="shared" si="10"/>
        <v>1</v>
      </c>
      <c r="BB18" s="64">
        <f>IFERROR(__xludf.DUMMYFUNCTION("iferror(AVERAGE(query(filter('Saline Comp Data Recording'!Z:Z,'Saline Comp Data Recording'!C:C=B18), ""Select Col1"")),""0.00"")"),0.6666666666666666)</f>
        <v>0.6666666667</v>
      </c>
      <c r="BC18" s="65">
        <f>IFERROR(__xludf.DUMMYFUNCTION("iferror(MAX(query(filter('Saline Comp Data Recording'!Z:Z,'Saline Comp Data Recording'!C:C=B18), ""Select Col1"")),""-"")"),2.0)</f>
        <v>2</v>
      </c>
      <c r="BD18" s="62">
        <f>IFERROR(__xludf.DUMMYFUNCTION("iferror(SUM(query(filter('Saline Comp Data Recording'!AA:AA,'Saline Comp Data Recording'!C:C=B18), ""Select Col1"")),""-"")"),2.0)</f>
        <v>2</v>
      </c>
      <c r="BE18" s="62">
        <f>IFERROR(__xludf.DUMMYFUNCTION("iferror(SUM(query(filter('Saline Comp Data Recording'!AB:AB,'Saline Comp Data Recording'!C:C=B18), ""Select Col1"")),""-"")"),2.0)</f>
        <v>2</v>
      </c>
      <c r="BF18" s="63">
        <f t="shared" si="11"/>
        <v>1</v>
      </c>
      <c r="BG18" s="64">
        <f>IFERROR(__xludf.DUMMYFUNCTION("iferror(AVERAGE(query(filter('Saline Comp Data Recording'!AB:AB,'Saline Comp Data Recording'!C:C=B18), ""Select Col1"")),""0.00"")"),0.3333333333333333)</f>
        <v>0.3333333333</v>
      </c>
      <c r="BH18" s="65">
        <f>IFERROR(__xludf.DUMMYFUNCTION("iferror(MAX(query(filter('Saline Comp Data Recording'!AB:AB,'Saline Comp Data Recording'!C:C=B18), ""Select Col1"")),""-"")"),1.0)</f>
        <v>1</v>
      </c>
      <c r="BI18" s="62">
        <f>IFERROR(__xludf.DUMMYFUNCTION("iferror(SUM(query(filter('Saline Comp Data Recording'!AC:AC,'Saline Comp Data Recording'!C:C=B18), ""Select Col1"")),""-"")"),0.0)</f>
        <v>0</v>
      </c>
      <c r="BJ18" s="62">
        <f>IFERROR(__xludf.DUMMYFUNCTION("iferror(SUM(query(filter('Saline Comp Data Recording'!AD:AD,'Saline Comp Data Recording'!C:C=B18), ""Select Col1"")),""-"")"),0.0)</f>
        <v>0</v>
      </c>
      <c r="BK18" s="63" t="str">
        <f t="shared" si="12"/>
        <v>-</v>
      </c>
      <c r="BL18" s="64">
        <f>IFERROR(__xludf.DUMMYFUNCTION("iferror(AVERAGE(query(filter('Saline Comp Data Recording'!AD:AD,'Saline Comp Data Recording'!C:C=B18), ""Select Col1"")),""0.00"")"),0.0)</f>
        <v>0</v>
      </c>
      <c r="BM18" s="65">
        <f>IFERROR(__xludf.DUMMYFUNCTION("iferror(MAX(query(filter('Saline Comp Data Recording'!AD:AD,'Saline Comp Data Recording'!C:C=B18), ""Select Col1"")),""-"")"),0.0)</f>
        <v>0</v>
      </c>
      <c r="BN18" s="66" t="str">
        <f>IFERROR(__xludf.DUMMYFUNCTION("if(countif(query(filter('Saline Comp Data Recording'!AE:AE,'Saline Comp Data Recording'!C:C=B18), ""Select Col1""),""TRUE"")=0,""0"",countif(query(filter('Saline Comp Data Recording'!AE:AE,'Saline Comp Data Recording'!C:C=B18), ""Select Col1""),""TRUE""))"&amp;" &amp; ""/"" &amp; if(COUNTA(query(ifna(filter('Saline Comp Data Recording'!AE:AE,'Saline Comp Data Recording'!C:C=B18),""""), ""Select Col1""))=0,""0"",COUNTA(query(ifna(filter('Saline Comp Data Recording'!AE:AE,'Saline Comp Data Recording'!C:C=B18),""""), ""Sel"&amp;"ect Col1"")))"),"1/6")</f>
        <v>1/6</v>
      </c>
      <c r="BO18" s="67" t="str">
        <f>IFERROR(__xludf.DUMMYFUNCTION("if(countif(query(filter('Saline Comp Data Recording'!AF:AF,'Saline Comp Data Recording'!C:C=B18), ""Select Col1""),""TRUE"")=0,""0"",countif(query(filter('Saline Comp Data Recording'!AF:AF,'Saline Comp Data Recording'!C:C=B18), ""Select Col1""),""TRUE""))"&amp;" &amp; ""/"" &amp; if(COUNTA(query(ifna(filter('Saline Comp Data Recording'!AF:AF,'Saline Comp Data Recording'!C:C=B18),""""), ""Select Col1""))=0,""0"",COUNTA(query(ifna(filter('Saline Comp Data Recording'!AF:AF,'Saline Comp Data Recording'!C:C=B18),""""), ""Sel"&amp;"ect Col1"")))"),"1/6")</f>
        <v>1/6</v>
      </c>
      <c r="BP18" s="60" t="str">
        <f>IFERROR(__xludf.DUMMYFUNCTION("if(countif(query(filter('Saline Comp Data Recording'!AI:AI,'Saline Comp Data Recording'!C:C=B18), ""Select Col1""),""TRUE"")=0,""0"",countif(query(filter('Saline Comp Data Recording'!AI:AI,'Saline Comp Data Recording'!C:C=B18), ""Select Col1""),""TRUE""))"&amp;" &amp; ""/"" &amp; if(COUNTA(query(ifna(filter('Saline Comp Data Recording'!AI:AI,'Saline Comp Data Recording'!C:C=B18),""""), ""Select Col1""))=0,""0"",COUNTA(query(ifna(filter('Saline Comp Data Recording'!AI:AI,'Saline Comp Data Recording'!C:C=B18),""""), ""Sel"&amp;"ect Col1"")))"),"0/6")</f>
        <v>0/6</v>
      </c>
      <c r="BQ18" s="55">
        <f>IFERROR(__xludf.DUMMYFUNCTION("iferror(average(query(filter('Saline Comp Data Recording'!AG:AG,'Saline Comp Data Recording'!C:C=B18), ""Select Col1"")),""-"")"),4.0)</f>
        <v>4</v>
      </c>
      <c r="BR18" s="69">
        <f>IFERROR(__xludf.DUMMYFUNCTION("iferror(average(query(filter('Saline Comp Data Recording'!AH:AH,'Saline Comp Data Recording'!C:C=B18), ""Select Col1"")),""-"")"),1.5)</f>
        <v>1.5</v>
      </c>
      <c r="BS18" s="70">
        <f>IFERROR(__xludf.DUMMYFUNCTION("iferror(AVERAGE(query(filter('Saline Comp Data Recording'!AK:AK,'Saline Comp Data Recording'!C:C=B18), ""Select Col1"")),""-"")"),26.0)</f>
        <v>26</v>
      </c>
      <c r="BT18" s="70">
        <f>IFERROR(__xludf.DUMMYFUNCTION("iferror(AVERAGE(query(filter('Saline Comp Data Recording'!AL:AL,'Saline Comp Data Recording'!C:C=B18), ""Select Col1"")),""-"")"),22.333333333333332)</f>
        <v>22.33333333</v>
      </c>
      <c r="BU18" s="71">
        <f>IFERROR(__xludf.DUMMYFUNCTION("iferror(max(query(filter('Saline Comp Data Recording'!AK:AK,'Saline Comp Data Recording'!C:C=B18), ""Select Col1"")),""-"")"),56.0)</f>
        <v>56</v>
      </c>
      <c r="BV18" s="72">
        <f>IFERROR(__xludf.DUMMYFUNCTION("iferror(MIN(query(filter('Saline Comp Data Recording'!AK:AK,'Saline Comp Data Recording'!C:C=B18), ""Select Col1"")),""-"")"),5.0)</f>
        <v>5</v>
      </c>
      <c r="BW18" s="73" t="str">
        <f>IFERROR(__xludf.DUMMYFUNCTION("iferror(if(DIVIDE(COUNTIF(query(filter('Saline Comp Data Recording'!P:P,'Saline Comp Data Recording'!C:C=B18), ""Select Col1""),TRUE),COUNTA(query(ifna(filter('Saline Comp Data Recording'!P:P,'Saline Comp Data Recording'!C:C=B18),""""), ""Select Col1"")))"&amp;"&gt;=(0.5),""1"",""0""),""-"")"),"0")</f>
        <v>0</v>
      </c>
      <c r="BX18" s="59" t="str">
        <f>IFERROR(__xludf.DUMMYFUNCTION("iferror(if(countif(query(filter('Saline Comp Data Recording'!Q:Q,'Saline Comp Data Recording'!C:C=B18), ""Select Col1""),TRUE)/COUNTA(query(ifna(filter('Saline Comp Data Recording'!Q:Q,'Saline Comp Data Recording'!C:C=B18),""""), ""Select Col1""))&gt;=(0.5),"&amp;"""1"",""0""),""-"")"),"0")</f>
        <v>0</v>
      </c>
      <c r="BY18" s="74" t="str">
        <f>IFERROR(__xludf.DUMMYFUNCTION("iferror(if(DIVIDE(COUNTIF(query(filter('Saline Comp Data Recording'!AE:AE,'Saline Comp Data Recording'!C:C=B18), ""Select Col1""),TRUE),COUNTA(query(ifna(filter('Saline Comp Data Recording'!AE:AE,'Saline Comp Data Recording'!C:C=B18),""""), ""Select Col1"&amp;""")))&gt;=(0.5),""1"",""0""),""-"")"),"0")</f>
        <v>0</v>
      </c>
      <c r="BZ18" s="59" t="str">
        <f>IFERROR(__xludf.DUMMYFUNCTION("iferror(if(countif(query(filter('Saline Comp Data Recording'!AF:AF,'Saline Comp Data Recording'!C:C=B18), ""Select Col1""),TRUE)/COUNTA(query(ifna(filter('Saline Comp Data Recording'!AF:AF,'Saline Comp Data Recording'!C:C=B18),""""), ""Select Col1""))&gt;=(0"&amp;".5),""1"",""0""),""-"")"),"0")</f>
        <v>0</v>
      </c>
      <c r="CA18" s="74" t="str">
        <f>IFERROR(__xludf.DUMMYFUNCTION("iferror(if(DIVIDE(countif(query(filter('Saline Comp Data Recording'!R:R,'Saline Comp Data Recording'!C:C=B18), ""Select Col1""),TRUE),COUNTA(query(ifna(filter('Saline Comp Data Recording'!R:R,'Saline Comp Data Recording'!C:C=B18),""""), ""Select Col1"")))"&amp;"&gt;=(0.5),""1"",""0""),""-"")"),"1")</f>
        <v>1</v>
      </c>
    </row>
    <row r="19">
      <c r="A19" s="51" t="s">
        <v>530</v>
      </c>
      <c r="B19" s="51">
        <v>3641.0</v>
      </c>
      <c r="C19" s="52" t="str">
        <f>IFERROR(__xludf.DUMMYFUNCTION("if(countif(query(filter('Saline Comp Data Recording'!R:R,'Saline Comp Data Recording'!C:C=B19), ""Select Col1""),""TRUE"")=0,""0"",countif(query(filter('Saline Comp Data Recording'!R:R,'Saline Comp Data Recording'!C:C=B19), ""Select Col1""),""TRUE"")) &amp; "&amp;"""/"" &amp; if(COUNTA(query(ifna(filter('Saline Comp Data Recording'!R:R,'Saline Comp Data Recording'!C:C=B19),""""), ""Select Col1""))=0,""0"",COUNTA(query(ifna(filter('Saline Comp Data Recording'!R:R,'Saline Comp Data Recording'!C:C=B19),""""), ""Select Col"&amp;"1"")))"),"1/6")</f>
        <v>1/6</v>
      </c>
      <c r="D19" s="53">
        <f>IFERROR(__xludf.DUMMYFUNCTION("iferror(SUM(query(filter('Saline Comp Data Recording'!D:D,'Saline Comp Data Recording'!C:C=B19), ""Select Col1"")),""-"")"),2.0)</f>
        <v>2</v>
      </c>
      <c r="E19" s="53">
        <f>IFERROR(__xludf.DUMMYFUNCTION("iferror(SUM(query(filter('Saline Comp Data Recording'!E:E,'Saline Comp Data Recording'!C:C=B19), ""Select Col1"")),""-"")"),2.0)</f>
        <v>2</v>
      </c>
      <c r="F19" s="54">
        <f t="shared" si="1"/>
        <v>1</v>
      </c>
      <c r="G19" s="55">
        <f>IFERROR(__xludf.DUMMYFUNCTION("iferror(AVERAGE(query(filter('Saline Comp Data Recording'!E:E,'Saline Comp Data Recording'!C:C=B19), ""Select Col1"")),""0.00"")"),0.3333333333333333)</f>
        <v>0.3333333333</v>
      </c>
      <c r="H19" s="53">
        <f>IFERROR(__xludf.DUMMYFUNCTION("iferror(MAX(query(filter('Saline Comp Data Recording'!E:E,'Saline Comp Data Recording'!C:C=B19), ""Select Col1"")),""-"")"),1.0)</f>
        <v>1</v>
      </c>
      <c r="I19" s="56">
        <f>IFERROR(__xludf.DUMMYFUNCTION("iferror(SUM(query(filter('Saline Comp Data Recording'!F:F,'Saline Comp Data Recording'!C:C=B19), ""Select Col1"")),""-"")"),2.0)</f>
        <v>2</v>
      </c>
      <c r="J19" s="57">
        <f>IFERROR(__xludf.DUMMYFUNCTION("iferror(SUM(query(filter('Saline Comp Data Recording'!G:G,'Saline Comp Data Recording'!C:C=B19), ""Select Col1"")),""-"")"),2.0)</f>
        <v>2</v>
      </c>
      <c r="K19" s="54">
        <f t="shared" si="2"/>
        <v>1</v>
      </c>
      <c r="L19" s="55">
        <f>IFERROR(__xludf.DUMMYFUNCTION("iferror(AVERAGE(query(filter('Saline Comp Data Recording'!G:G,'Saline Comp Data Recording'!C:C=B19), ""Select Col1"")),""0.00"")"),0.3333333333333333)</f>
        <v>0.3333333333</v>
      </c>
      <c r="M19" s="53">
        <f>IFERROR(__xludf.DUMMYFUNCTION("iferror(MAX(query(filter('Saline Comp Data Recording'!G:G,'Saline Comp Data Recording'!C:C=B19), ""Select Col1"")),""-"")"),1.0)</f>
        <v>1</v>
      </c>
      <c r="N19" s="58">
        <f>IFERROR(__xludf.DUMMYFUNCTION("iferror(SUM(query(filter('Saline Comp Data Recording'!H:H,'Saline Comp Data Recording'!C:C=B19), ""Select Col1"")),""-"")"),0.0)</f>
        <v>0</v>
      </c>
      <c r="O19" s="59">
        <f>IFERROR(__xludf.DUMMYFUNCTION("iferror(SUM(query(filter('Saline Comp Data Recording'!I:I,'Saline Comp Data Recording'!C:C=B19), ""Select Col1"")),""-"")"),0.0)</f>
        <v>0</v>
      </c>
      <c r="P19" s="54" t="str">
        <f t="shared" si="3"/>
        <v>-</v>
      </c>
      <c r="Q19" s="55">
        <f>IFERROR(__xludf.DUMMYFUNCTION("iferror(AVERAGE(query(filter('Saline Comp Data Recording'!I:I,'Saline Comp Data Recording'!C:C=B19), ""Select Col1"")),""0.00"")"),0.0)</f>
        <v>0</v>
      </c>
      <c r="R19" s="53">
        <f>IFERROR(__xludf.DUMMYFUNCTION("iferror(MAX(query(filter('Saline Comp Data Recording'!I:I,'Saline Comp Data Recording'!C:C=B19), ""Select Col1"")),""-"")"),0.0)</f>
        <v>0</v>
      </c>
      <c r="S19" s="58">
        <f>IFERROR(__xludf.DUMMYFUNCTION("iferror(SUM(query(filter('Saline Comp Data Recording'!J:J,'Saline Comp Data Recording'!C:C=B19), ""Select Col1"")),""-"")"),0.0)</f>
        <v>0</v>
      </c>
      <c r="T19" s="59">
        <f>IFERROR(__xludf.DUMMYFUNCTION("iferror(SUM(query(filter('Saline Comp Data Recording'!K:K,'Saline Comp Data Recording'!C:C=B19), ""Select Col1"")),""-"")"),0.0)</f>
        <v>0</v>
      </c>
      <c r="U19" s="54" t="str">
        <f t="shared" si="4"/>
        <v>-</v>
      </c>
      <c r="V19" s="55">
        <f>IFERROR(__xludf.DUMMYFUNCTION("iferror(AVERAGE(query(filter('Saline Comp Data Recording'!K:K,'Saline Comp Data Recording'!C:C=B19), ""Select Col1"")),""-"")"),0.0)</f>
        <v>0</v>
      </c>
      <c r="W19" s="52">
        <f>IFERROR(__xludf.DUMMYFUNCTION("iferror(MAX(query(filter('Saline Comp Data Recording'!K:K,'Saline Comp Data Recording'!C:C=B19), ""Select Col1"")),""-"")"),0.0)</f>
        <v>0</v>
      </c>
      <c r="X19" s="59">
        <f>IFERROR(__xludf.DUMMYFUNCTION("iferror(SUM(query(filter('Saline Comp Data Recording'!L:L,'Saline Comp Data Recording'!C:C=B19), ""Select Col1"")),""-"")"),0.0)</f>
        <v>0</v>
      </c>
      <c r="Y19" s="59">
        <f>IFERROR(__xludf.DUMMYFUNCTION("iferror(SUM(query(filter('Saline Comp Data Recording'!M:M,'Saline Comp Data Recording'!C:C=B19), ""Select Col1"")),""-"")"),0.0)</f>
        <v>0</v>
      </c>
      <c r="Z19" s="54" t="str">
        <f t="shared" si="5"/>
        <v>-</v>
      </c>
      <c r="AA19" s="55">
        <f>IFERROR(__xludf.DUMMYFUNCTION("iferror(AVERAGE(query(filter('Saline Comp Data Recording'!M:M,'Saline Comp Data Recording'!C:C=B19), ""Select Col1"")),""0.00"")"),0.0)</f>
        <v>0</v>
      </c>
      <c r="AB19" s="52">
        <f>IFERROR(__xludf.DUMMYFUNCTION("iferror(MAX(query(filter('Saline Comp Data Recording'!M:M,'Saline Comp Data Recording'!C:C=B19), ""Select Col1"")),""-"")"),0.0)</f>
        <v>0</v>
      </c>
      <c r="AC19" s="59">
        <f>IFERROR(__xludf.DUMMYFUNCTION("iferror(SUM(query(filter('Saline Comp Data Recording'!N:N,'Saline Comp Data Recording'!C:C=B19), ""Select Col1"")),""-"")"),0.0)</f>
        <v>0</v>
      </c>
      <c r="AD19" s="59">
        <f>IFERROR(__xludf.DUMMYFUNCTION("iferror(SUM(query(filter('Saline Comp Data Recording'!O:O,'Saline Comp Data Recording'!C:C=B19), ""Select Col1"")),""-"")"),0.0)</f>
        <v>0</v>
      </c>
      <c r="AE19" s="54" t="str">
        <f t="shared" si="6"/>
        <v>-</v>
      </c>
      <c r="AF19" s="55">
        <f>IFERROR(__xludf.DUMMYFUNCTION("iferror(AVERAGE(query(filter('Saline Comp Data Recording'!O:O,'Saline Comp Data Recording'!C:C=B19), ""Select Col1"")),""0.00"")"),0.0)</f>
        <v>0</v>
      </c>
      <c r="AG19" s="59">
        <f>IFERROR(__xludf.DUMMYFUNCTION("iferror(MAX(query(filter('Saline Comp Data Recording'!O:O,'Saline Comp Data Recording'!C:C=B19), ""Select Col1"")),""-"")"),0.0)</f>
        <v>0</v>
      </c>
      <c r="AH19" s="58" t="str">
        <f>IFERROR(__xludf.DUMMYFUNCTION("if(countif(query(filter('Saline Comp Data Recording'!P:P,'Saline Comp Data Recording'!C:C=B19), ""Select Col1""),TRUE)=0,""0"",countif(query(filter('Saline Comp Data Recording'!P:P,'Saline Comp Data Recording'!C:C=B19), ""Select Col1""),TRUE)) &amp; ""/"" &amp; i"&amp;"f(COUNTA(query(ifna(filter('Saline Comp Data Recording'!P:P,'Saline Comp Data Recording'!C:C=B19),""""), ""Select Col1""))=0,""0"",COUNTA(query(ifna(filter('Saline Comp Data Recording'!P:P,'Saline Comp Data Recording'!C:C=B19),""""), ""Select Col1"")))"),"2/6")</f>
        <v>2/6</v>
      </c>
      <c r="AI19" s="60" t="str">
        <f>IFERROR(__xludf.DUMMYFUNCTION("if(countif(query(filter('Saline Comp Data Recording'!Q:Q,'Saline Comp Data Recording'!C:C=B19), ""Select Col1""),TRUE)=0,""0"",countif(query(filter('Saline Comp Data Recording'!Q:Q,'Saline Comp Data Recording'!C:C=B19), ""Select Col1""),TRUE)) &amp; ""/"" &amp; i"&amp;"f(COUNTA(query(ifna(filter('Saline Comp Data Recording'!Q:Q,'Saline Comp Data Recording'!C:C=B19),""""), ""Select Col1""))=0,""0"",COUNTA(query(ifna(filter('Saline Comp Data Recording'!Q:Q,'Saline Comp Data Recording'!C:C=B19),""""), ""Select Col1"")))"),"1/6")</f>
        <v>1/6</v>
      </c>
      <c r="AJ19" s="59">
        <f>IFERROR(__xludf.DUMMYFUNCTION("iferror(SUM(query(filter('Saline Comp Data Recording'!S:S,'Saline Comp Data Recording'!C:C=B19), ""Select Col1"")),""-"")"),4.0)</f>
        <v>4</v>
      </c>
      <c r="AK19" s="59">
        <f>IFERROR(__xludf.DUMMYFUNCTION("iferror(SUM(query(filter('Saline Comp Data Recording'!T:T,'Saline Comp Data Recording'!C:C=B19), ""Select Col1"")),""-"")"),4.0)</f>
        <v>4</v>
      </c>
      <c r="AL19" s="54">
        <f t="shared" si="7"/>
        <v>1</v>
      </c>
      <c r="AM19" s="55">
        <f>IFERROR(__xludf.DUMMYFUNCTION("iferror(AVERAGE(query(filter('Saline Comp Data Recording'!T:T,'Saline Comp Data Recording'!C:C=B19), ""Select Col1"")),""0.00"")"),0.6666666666666666)</f>
        <v>0.6666666667</v>
      </c>
      <c r="AN19" s="61">
        <f>IFERROR(__xludf.DUMMYFUNCTION("iferror(MAX(query(filter('Saline Comp Data Recording'!T:T,'Saline Comp Data Recording'!C:C=B19), ""Select Col1"")),""-"")"),1.0)</f>
        <v>1</v>
      </c>
      <c r="AO19" s="62">
        <f>IFERROR(__xludf.DUMMYFUNCTION("iferror(SUM(query(filter('Saline Comp Data Recording'!U:U,'Saline Comp Data Recording'!C:C=B19), ""Select Col1"")),""-"")"),3.0)</f>
        <v>3</v>
      </c>
      <c r="AP19" s="62">
        <f>IFERROR(__xludf.DUMMYFUNCTION("iferror(SUM(query(filter('Saline Comp Data Recording'!V:V,'Saline Comp Data Recording'!C:C=B19), ""Select Col1"")),""-"")"),3.0)</f>
        <v>3</v>
      </c>
      <c r="AQ19" s="63">
        <f t="shared" si="8"/>
        <v>1</v>
      </c>
      <c r="AR19" s="64">
        <f>IFERROR(__xludf.DUMMYFUNCTION("iferror(AVERAGE(query(filter('Saline Comp Data Recording'!V:V,'Saline Comp Data Recording'!C:C=B19), ""Select Col1"")),""0.00"")"),0.5)</f>
        <v>0.5</v>
      </c>
      <c r="AS19" s="65">
        <f>IFERROR(__xludf.DUMMYFUNCTION("iferror(MAX(query(filter('Saline Comp Data Recording'!V:V,'Saline Comp Data Recording'!C:C=B19), ""Select Col1"")),""-"")"),3.0)</f>
        <v>3</v>
      </c>
      <c r="AT19" s="62">
        <f>IFERROR(__xludf.DUMMYFUNCTION("iferror(SUM(query(filter('Saline Comp Data Recording'!W:W,'Saline Comp Data Recording'!C:C=B19), ""Select Col1"")),""-"")"),4.0)</f>
        <v>4</v>
      </c>
      <c r="AU19" s="62">
        <f>IFERROR(__xludf.DUMMYFUNCTION("iferror(SUM(query(filter('Saline Comp Data Recording'!X:X,'Saline Comp Data Recording'!C:C=B19), ""Select Col1"")),""-"")"),4.0)</f>
        <v>4</v>
      </c>
      <c r="AV19" s="63">
        <f t="shared" si="9"/>
        <v>1</v>
      </c>
      <c r="AW19" s="64">
        <f>IFERROR(__xludf.DUMMYFUNCTION("iferror(AVERAGE(query(filter('Saline Comp Data Recording'!X:X,'Saline Comp Data Recording'!C:C=B19), ""Select Col1"")),""0.00"")"),0.6666666666666666)</f>
        <v>0.6666666667</v>
      </c>
      <c r="AX19" s="65">
        <f>IFERROR(__xludf.DUMMYFUNCTION("iferror(MAX(query(filter('Saline Comp Data Recording'!X:X,'Saline Comp Data Recording'!C:C=B19), ""Select Col1"")),""-"")"),2.0)</f>
        <v>2</v>
      </c>
      <c r="AY19" s="62">
        <f>IFERROR(__xludf.DUMMYFUNCTION("iferror(SUM(query(filter('Saline Comp Data Recording'!Y:Y,'Saline Comp Data Recording'!C:C=B19), ""Select Col1"")),""-"")"),4.0)</f>
        <v>4</v>
      </c>
      <c r="AZ19" s="62">
        <f>IFERROR(__xludf.DUMMYFUNCTION("iferror(SUM(query(filter('Saline Comp Data Recording'!Z:Z,'Saline Comp Data Recording'!C:C=B19), ""Select Col1"")),""-"")"),2.0)</f>
        <v>2</v>
      </c>
      <c r="BA19" s="63">
        <f t="shared" si="10"/>
        <v>0.5</v>
      </c>
      <c r="BB19" s="64">
        <f>IFERROR(__xludf.DUMMYFUNCTION("iferror(AVERAGE(query(filter('Saline Comp Data Recording'!Z:Z,'Saline Comp Data Recording'!C:C=B19), ""Select Col1"")),""0.00"")"),0.3333333333333333)</f>
        <v>0.3333333333</v>
      </c>
      <c r="BC19" s="65">
        <f>IFERROR(__xludf.DUMMYFUNCTION("iferror(MAX(query(filter('Saline Comp Data Recording'!Z:Z,'Saline Comp Data Recording'!C:C=B19), ""Select Col1"")),""-"")"),1.0)</f>
        <v>1</v>
      </c>
      <c r="BD19" s="62">
        <f>IFERROR(__xludf.DUMMYFUNCTION("iferror(SUM(query(filter('Saline Comp Data Recording'!AA:AA,'Saline Comp Data Recording'!C:C=B19), ""Select Col1"")),""-"")"),0.0)</f>
        <v>0</v>
      </c>
      <c r="BE19" s="62">
        <f>IFERROR(__xludf.DUMMYFUNCTION("iferror(SUM(query(filter('Saline Comp Data Recording'!AB:AB,'Saline Comp Data Recording'!C:C=B19), ""Select Col1"")),""-"")"),0.0)</f>
        <v>0</v>
      </c>
      <c r="BF19" s="63" t="str">
        <f t="shared" si="11"/>
        <v>-</v>
      </c>
      <c r="BG19" s="64">
        <f>IFERROR(__xludf.DUMMYFUNCTION("iferror(AVERAGE(query(filter('Saline Comp Data Recording'!AB:AB,'Saline Comp Data Recording'!C:C=B19), ""Select Col1"")),""0.00"")"),0.0)</f>
        <v>0</v>
      </c>
      <c r="BH19" s="65">
        <f>IFERROR(__xludf.DUMMYFUNCTION("iferror(MAX(query(filter('Saline Comp Data Recording'!AB:AB,'Saline Comp Data Recording'!C:C=B19), ""Select Col1"")),""-"")"),0.0)</f>
        <v>0</v>
      </c>
      <c r="BI19" s="62">
        <f>IFERROR(__xludf.DUMMYFUNCTION("iferror(SUM(query(filter('Saline Comp Data Recording'!AC:AC,'Saline Comp Data Recording'!C:C=B19), ""Select Col1"")),""-"")"),0.0)</f>
        <v>0</v>
      </c>
      <c r="BJ19" s="62">
        <f>IFERROR(__xludf.DUMMYFUNCTION("iferror(SUM(query(filter('Saline Comp Data Recording'!AD:AD,'Saline Comp Data Recording'!C:C=B19), ""Select Col1"")),""-"")"),0.0)</f>
        <v>0</v>
      </c>
      <c r="BK19" s="63" t="str">
        <f t="shared" si="12"/>
        <v>-</v>
      </c>
      <c r="BL19" s="64">
        <f>IFERROR(__xludf.DUMMYFUNCTION("iferror(AVERAGE(query(filter('Saline Comp Data Recording'!AD:AD,'Saline Comp Data Recording'!C:C=B19), ""Select Col1"")),""0.00"")"),0.0)</f>
        <v>0</v>
      </c>
      <c r="BM19" s="65">
        <f>IFERROR(__xludf.DUMMYFUNCTION("iferror(MAX(query(filter('Saline Comp Data Recording'!AD:AD,'Saline Comp Data Recording'!C:C=B19), ""Select Col1"")),""-"")"),0.0)</f>
        <v>0</v>
      </c>
      <c r="BN19" s="66" t="str">
        <f>IFERROR(__xludf.DUMMYFUNCTION("if(countif(query(filter('Saline Comp Data Recording'!AE:AE,'Saline Comp Data Recording'!C:C=B19), ""Select Col1""),""TRUE"")=0,""0"",countif(query(filter('Saline Comp Data Recording'!AE:AE,'Saline Comp Data Recording'!C:C=B19), ""Select Col1""),""TRUE""))"&amp;" &amp; ""/"" &amp; if(COUNTA(query(ifna(filter('Saline Comp Data Recording'!AE:AE,'Saline Comp Data Recording'!C:C=B19),""""), ""Select Col1""))=0,""0"",COUNTA(query(ifna(filter('Saline Comp Data Recording'!AE:AE,'Saline Comp Data Recording'!C:C=B19),""""), ""Sel"&amp;"ect Col1"")))"),"2/6")</f>
        <v>2/6</v>
      </c>
      <c r="BO19" s="67" t="str">
        <f>IFERROR(__xludf.DUMMYFUNCTION("if(countif(query(filter('Saline Comp Data Recording'!AF:AF,'Saline Comp Data Recording'!C:C=B19), ""Select Col1""),""TRUE"")=0,""0"",countif(query(filter('Saline Comp Data Recording'!AF:AF,'Saline Comp Data Recording'!C:C=B19), ""Select Col1""),""TRUE""))"&amp;" &amp; ""/"" &amp; if(COUNTA(query(ifna(filter('Saline Comp Data Recording'!AF:AF,'Saline Comp Data Recording'!C:C=B19),""""), ""Select Col1""))=0,""0"",COUNTA(query(ifna(filter('Saline Comp Data Recording'!AF:AF,'Saline Comp Data Recording'!C:C=B19),""""), ""Sel"&amp;"ect Col1"")))"),"1/6")</f>
        <v>1/6</v>
      </c>
      <c r="BP19" s="60" t="str">
        <f>IFERROR(__xludf.DUMMYFUNCTION("if(countif(query(filter('Saline Comp Data Recording'!AI:AI,'Saline Comp Data Recording'!C:C=B19), ""Select Col1""),""TRUE"")=0,""0"",countif(query(filter('Saline Comp Data Recording'!AI:AI,'Saline Comp Data Recording'!C:C=B19), ""Select Col1""),""TRUE""))"&amp;" &amp; ""/"" &amp; if(COUNTA(query(ifna(filter('Saline Comp Data Recording'!AI:AI,'Saline Comp Data Recording'!C:C=B19),""""), ""Select Col1""))=0,""0"",COUNTA(query(ifna(filter('Saline Comp Data Recording'!AI:AI,'Saline Comp Data Recording'!C:C=B19),""""), ""Sel"&amp;"ect Col1"")))"),"2/6")</f>
        <v>2/6</v>
      </c>
      <c r="BQ19" s="55">
        <f>IFERROR(__xludf.DUMMYFUNCTION("iferror(average(query(filter('Saline Comp Data Recording'!AG:AG,'Saline Comp Data Recording'!C:C=B19), ""Select Col1"")),""-"")"),1.3333333333333333)</f>
        <v>1.333333333</v>
      </c>
      <c r="BR19" s="69">
        <f>IFERROR(__xludf.DUMMYFUNCTION("iferror(average(query(filter('Saline Comp Data Recording'!AH:AH,'Saline Comp Data Recording'!C:C=B19), ""Select Col1"")),""-"")"),0.6666666666666666)</f>
        <v>0.6666666667</v>
      </c>
      <c r="BS19" s="70">
        <f>IFERROR(__xludf.DUMMYFUNCTION("iferror(AVERAGE(query(filter('Saline Comp Data Recording'!AK:AK,'Saline Comp Data Recording'!C:C=B19), ""Select Col1"")),""-"")"),16.333333333333332)</f>
        <v>16.33333333</v>
      </c>
      <c r="BT19" s="70">
        <f>IFERROR(__xludf.DUMMYFUNCTION("iferror(AVERAGE(query(filter('Saline Comp Data Recording'!AL:AL,'Saline Comp Data Recording'!C:C=B19), ""Select Col1"")),""-"")"),11.666666666666666)</f>
        <v>11.66666667</v>
      </c>
      <c r="BU19" s="71">
        <f>IFERROR(__xludf.DUMMYFUNCTION("iferror(max(query(filter('Saline Comp Data Recording'!AK:AK,'Saline Comp Data Recording'!C:C=B19), ""Select Col1"")),""-"")"),39.0)</f>
        <v>39</v>
      </c>
      <c r="BV19" s="72">
        <f>IFERROR(__xludf.DUMMYFUNCTION("iferror(MIN(query(filter('Saline Comp Data Recording'!AK:AK,'Saline Comp Data Recording'!C:C=B19), ""Select Col1"")),""-"")"),0.0)</f>
        <v>0</v>
      </c>
      <c r="BW19" s="73" t="str">
        <f>IFERROR(__xludf.DUMMYFUNCTION("iferror(if(DIVIDE(COUNTIF(query(filter('Saline Comp Data Recording'!P:P,'Saline Comp Data Recording'!C:C=B19), ""Select Col1""),TRUE),COUNTA(query(ifna(filter('Saline Comp Data Recording'!P:P,'Saline Comp Data Recording'!C:C=B19),""""), ""Select Col1"")))"&amp;"&gt;=(0.5),""1"",""0""),""-"")"),"0")</f>
        <v>0</v>
      </c>
      <c r="BX19" s="59" t="str">
        <f>IFERROR(__xludf.DUMMYFUNCTION("iferror(if(countif(query(filter('Saline Comp Data Recording'!Q:Q,'Saline Comp Data Recording'!C:C=B19), ""Select Col1""),TRUE)/COUNTA(query(ifna(filter('Saline Comp Data Recording'!Q:Q,'Saline Comp Data Recording'!C:C=B19),""""), ""Select Col1""))&gt;=(0.5),"&amp;"""1"",""0""),""-"")"),"0")</f>
        <v>0</v>
      </c>
      <c r="BY19" s="74" t="str">
        <f>IFERROR(__xludf.DUMMYFUNCTION("iferror(if(DIVIDE(COUNTIF(query(filter('Saline Comp Data Recording'!AE:AE,'Saline Comp Data Recording'!C:C=B19), ""Select Col1""),TRUE),COUNTA(query(ifna(filter('Saline Comp Data Recording'!AE:AE,'Saline Comp Data Recording'!C:C=B19),""""), ""Select Col1"&amp;""")))&gt;=(0.5),""1"",""0""),""-"")"),"0")</f>
        <v>0</v>
      </c>
      <c r="BZ19" s="59" t="str">
        <f>IFERROR(__xludf.DUMMYFUNCTION("iferror(if(countif(query(filter('Saline Comp Data Recording'!AF:AF,'Saline Comp Data Recording'!C:C=B19), ""Select Col1""),TRUE)/COUNTA(query(ifna(filter('Saline Comp Data Recording'!AF:AF,'Saline Comp Data Recording'!C:C=B19),""""), ""Select Col1""))&gt;=(0"&amp;".5),""1"",""0""),""-"")"),"0")</f>
        <v>0</v>
      </c>
      <c r="CA19" s="74" t="str">
        <f>IFERROR(__xludf.DUMMYFUNCTION("iferror(if(DIVIDE(countif(query(filter('Saline Comp Data Recording'!R:R,'Saline Comp Data Recording'!C:C=B19), ""Select Col1""),TRUE),COUNTA(query(ifna(filter('Saline Comp Data Recording'!R:R,'Saline Comp Data Recording'!C:C=B19),""""), ""Select Col1"")))"&amp;"&gt;=(0.5),""1"",""0""),""-"")"),"0")</f>
        <v>0</v>
      </c>
    </row>
    <row r="20">
      <c r="A20" s="51" t="s">
        <v>531</v>
      </c>
      <c r="B20" s="51">
        <v>5907.0</v>
      </c>
      <c r="C20" s="52" t="str">
        <f>IFERROR(__xludf.DUMMYFUNCTION("if(countif(query(filter('Saline Comp Data Recording'!R:R,'Saline Comp Data Recording'!C:C=B20), ""Select Col1""),""TRUE"")=0,""0"",countif(query(filter('Saline Comp Data Recording'!R:R,'Saline Comp Data Recording'!C:C=B20), ""Select Col1""),""TRUE"")) &amp; "&amp;"""/"" &amp; if(COUNTA(query(ifna(filter('Saline Comp Data Recording'!R:R,'Saline Comp Data Recording'!C:C=B20),""""), ""Select Col1""))=0,""0"",COUNTA(query(ifna(filter('Saline Comp Data Recording'!R:R,'Saline Comp Data Recording'!C:C=B20),""""), ""Select Col"&amp;"1"")))"),"1/3")</f>
        <v>1/3</v>
      </c>
      <c r="D20" s="53">
        <f>IFERROR(__xludf.DUMMYFUNCTION("iferror(SUM(query(filter('Saline Comp Data Recording'!D:D,'Saline Comp Data Recording'!C:C=B20), ""Select Col1"")),""-"")"),0.0)</f>
        <v>0</v>
      </c>
      <c r="E20" s="53">
        <f>IFERROR(__xludf.DUMMYFUNCTION("iferror(SUM(query(filter('Saline Comp Data Recording'!E:E,'Saline Comp Data Recording'!C:C=B20), ""Select Col1"")),""-"")"),0.0)</f>
        <v>0</v>
      </c>
      <c r="F20" s="54" t="str">
        <f t="shared" si="1"/>
        <v>-</v>
      </c>
      <c r="G20" s="55">
        <f>IFERROR(__xludf.DUMMYFUNCTION("iferror(AVERAGE(query(filter('Saline Comp Data Recording'!E:E,'Saline Comp Data Recording'!C:C=B20), ""Select Col1"")),""0.00"")"),0.0)</f>
        <v>0</v>
      </c>
      <c r="H20" s="53">
        <f>IFERROR(__xludf.DUMMYFUNCTION("iferror(MAX(query(filter('Saline Comp Data Recording'!E:E,'Saline Comp Data Recording'!C:C=B20), ""Select Col1"")),""-"")"),0.0)</f>
        <v>0</v>
      </c>
      <c r="I20" s="56">
        <f>IFERROR(__xludf.DUMMYFUNCTION("iferror(SUM(query(filter('Saline Comp Data Recording'!F:F,'Saline Comp Data Recording'!C:C=B20), ""Select Col1"")),""-"")"),0.0)</f>
        <v>0</v>
      </c>
      <c r="J20" s="57">
        <f>IFERROR(__xludf.DUMMYFUNCTION("iferror(SUM(query(filter('Saline Comp Data Recording'!G:G,'Saline Comp Data Recording'!C:C=B20), ""Select Col1"")),""-"")"),0.0)</f>
        <v>0</v>
      </c>
      <c r="K20" s="54" t="str">
        <f t="shared" si="2"/>
        <v>-</v>
      </c>
      <c r="L20" s="55">
        <f>IFERROR(__xludf.DUMMYFUNCTION("iferror(AVERAGE(query(filter('Saline Comp Data Recording'!G:G,'Saline Comp Data Recording'!C:C=B20), ""Select Col1"")),""0.00"")"),0.0)</f>
        <v>0</v>
      </c>
      <c r="M20" s="53">
        <f>IFERROR(__xludf.DUMMYFUNCTION("iferror(MAX(query(filter('Saline Comp Data Recording'!G:G,'Saline Comp Data Recording'!C:C=B20), ""Select Col1"")),""-"")"),0.0)</f>
        <v>0</v>
      </c>
      <c r="N20" s="58">
        <f>IFERROR(__xludf.DUMMYFUNCTION("iferror(SUM(query(filter('Saline Comp Data Recording'!H:H,'Saline Comp Data Recording'!C:C=B20), ""Select Col1"")),""-"")"),0.0)</f>
        <v>0</v>
      </c>
      <c r="O20" s="59">
        <f>IFERROR(__xludf.DUMMYFUNCTION("iferror(SUM(query(filter('Saline Comp Data Recording'!I:I,'Saline Comp Data Recording'!C:C=B20), ""Select Col1"")),""-"")"),0.0)</f>
        <v>0</v>
      </c>
      <c r="P20" s="54" t="str">
        <f t="shared" si="3"/>
        <v>-</v>
      </c>
      <c r="Q20" s="55">
        <f>IFERROR(__xludf.DUMMYFUNCTION("iferror(AVERAGE(query(filter('Saline Comp Data Recording'!I:I,'Saline Comp Data Recording'!C:C=B20), ""Select Col1"")),""0.00"")"),0.0)</f>
        <v>0</v>
      </c>
      <c r="R20" s="53">
        <f>IFERROR(__xludf.DUMMYFUNCTION("iferror(MAX(query(filter('Saline Comp Data Recording'!I:I,'Saline Comp Data Recording'!C:C=B20), ""Select Col1"")),""-"")"),0.0)</f>
        <v>0</v>
      </c>
      <c r="S20" s="58">
        <f>IFERROR(__xludf.DUMMYFUNCTION("iferror(SUM(query(filter('Saline Comp Data Recording'!J:J,'Saline Comp Data Recording'!C:C=B20), ""Select Col1"")),""-"")"),2.0)</f>
        <v>2</v>
      </c>
      <c r="T20" s="59">
        <f>IFERROR(__xludf.DUMMYFUNCTION("iferror(SUM(query(filter('Saline Comp Data Recording'!K:K,'Saline Comp Data Recording'!C:C=B20), ""Select Col1"")),""-"")"),2.0)</f>
        <v>2</v>
      </c>
      <c r="U20" s="54">
        <f t="shared" si="4"/>
        <v>1</v>
      </c>
      <c r="V20" s="55">
        <f>IFERROR(__xludf.DUMMYFUNCTION("iferror(AVERAGE(query(filter('Saline Comp Data Recording'!K:K,'Saline Comp Data Recording'!C:C=B20), ""Select Col1"")),""-"")"),0.6666666666666666)</f>
        <v>0.6666666667</v>
      </c>
      <c r="W20" s="52">
        <f>IFERROR(__xludf.DUMMYFUNCTION("iferror(MAX(query(filter('Saline Comp Data Recording'!K:K,'Saline Comp Data Recording'!C:C=B20), ""Select Col1"")),""-"")"),1.0)</f>
        <v>1</v>
      </c>
      <c r="X20" s="59">
        <f>IFERROR(__xludf.DUMMYFUNCTION("iferror(SUM(query(filter('Saline Comp Data Recording'!L:L,'Saline Comp Data Recording'!C:C=B20), ""Select Col1"")),""-"")"),0.0)</f>
        <v>0</v>
      </c>
      <c r="Y20" s="59">
        <f>IFERROR(__xludf.DUMMYFUNCTION("iferror(SUM(query(filter('Saline Comp Data Recording'!M:M,'Saline Comp Data Recording'!C:C=B20), ""Select Col1"")),""-"")"),0.0)</f>
        <v>0</v>
      </c>
      <c r="Z20" s="54" t="str">
        <f t="shared" si="5"/>
        <v>-</v>
      </c>
      <c r="AA20" s="55">
        <f>IFERROR(__xludf.DUMMYFUNCTION("iferror(AVERAGE(query(filter('Saline Comp Data Recording'!M:M,'Saline Comp Data Recording'!C:C=B20), ""Select Col1"")),""0.00"")"),0.0)</f>
        <v>0</v>
      </c>
      <c r="AB20" s="52">
        <f>IFERROR(__xludf.DUMMYFUNCTION("iferror(MAX(query(filter('Saline Comp Data Recording'!M:M,'Saline Comp Data Recording'!C:C=B20), ""Select Col1"")),""-"")"),0.0)</f>
        <v>0</v>
      </c>
      <c r="AC20" s="59">
        <f>IFERROR(__xludf.DUMMYFUNCTION("iferror(SUM(query(filter('Saline Comp Data Recording'!N:N,'Saline Comp Data Recording'!C:C=B20), ""Select Col1"")),""-"")"),0.0)</f>
        <v>0</v>
      </c>
      <c r="AD20" s="59">
        <f>IFERROR(__xludf.DUMMYFUNCTION("iferror(SUM(query(filter('Saline Comp Data Recording'!O:O,'Saline Comp Data Recording'!C:C=B20), ""Select Col1"")),""-"")"),0.0)</f>
        <v>0</v>
      </c>
      <c r="AE20" s="54" t="str">
        <f t="shared" si="6"/>
        <v>-</v>
      </c>
      <c r="AF20" s="55">
        <f>IFERROR(__xludf.DUMMYFUNCTION("iferror(AVERAGE(query(filter('Saline Comp Data Recording'!O:O,'Saline Comp Data Recording'!C:C=B20), ""Select Col1"")),""0.00"")"),0.0)</f>
        <v>0</v>
      </c>
      <c r="AG20" s="59">
        <f>IFERROR(__xludf.DUMMYFUNCTION("iferror(MAX(query(filter('Saline Comp Data Recording'!O:O,'Saline Comp Data Recording'!C:C=B20), ""Select Col1"")),""-"")"),0.0)</f>
        <v>0</v>
      </c>
      <c r="AH20" s="58" t="str">
        <f>IFERROR(__xludf.DUMMYFUNCTION("if(countif(query(filter('Saline Comp Data Recording'!P:P,'Saline Comp Data Recording'!C:C=B20), ""Select Col1""),TRUE)=0,""0"",countif(query(filter('Saline Comp Data Recording'!P:P,'Saline Comp Data Recording'!C:C=B20), ""Select Col1""),TRUE)) &amp; ""/"" &amp; i"&amp;"f(COUNTA(query(ifna(filter('Saline Comp Data Recording'!P:P,'Saline Comp Data Recording'!C:C=B20),""""), ""Select Col1""))=0,""0"",COUNTA(query(ifna(filter('Saline Comp Data Recording'!P:P,'Saline Comp Data Recording'!C:C=B20),""""), ""Select Col1"")))"),"2/3")</f>
        <v>2/3</v>
      </c>
      <c r="AI20" s="60" t="str">
        <f>IFERROR(__xludf.DUMMYFUNCTION("if(countif(query(filter('Saline Comp Data Recording'!Q:Q,'Saline Comp Data Recording'!C:C=B20), ""Select Col1""),TRUE)=0,""0"",countif(query(filter('Saline Comp Data Recording'!Q:Q,'Saline Comp Data Recording'!C:C=B20), ""Select Col1""),TRUE)) &amp; ""/"" &amp; i"&amp;"f(COUNTA(query(ifna(filter('Saline Comp Data Recording'!Q:Q,'Saline Comp Data Recording'!C:C=B20),""""), ""Select Col1""))=0,""0"",COUNTA(query(ifna(filter('Saline Comp Data Recording'!Q:Q,'Saline Comp Data Recording'!C:C=B20),""""), ""Select Col1"")))"),"2/3")</f>
        <v>2/3</v>
      </c>
      <c r="AJ20" s="59">
        <f>IFERROR(__xludf.DUMMYFUNCTION("iferror(SUM(query(filter('Saline Comp Data Recording'!S:S,'Saline Comp Data Recording'!C:C=B20), ""Select Col1"")),""-"")"),10.0)</f>
        <v>10</v>
      </c>
      <c r="AK20" s="59">
        <f>IFERROR(__xludf.DUMMYFUNCTION("iferror(SUM(query(filter('Saline Comp Data Recording'!T:T,'Saline Comp Data Recording'!C:C=B20), ""Select Col1"")),""-"")"),10.0)</f>
        <v>10</v>
      </c>
      <c r="AL20" s="54">
        <f t="shared" si="7"/>
        <v>1</v>
      </c>
      <c r="AM20" s="55">
        <f>IFERROR(__xludf.DUMMYFUNCTION("iferror(AVERAGE(query(filter('Saline Comp Data Recording'!T:T,'Saline Comp Data Recording'!C:C=B20), ""Select Col1"")),""0.00"")"),3.3333333333333335)</f>
        <v>3.333333333</v>
      </c>
      <c r="AN20" s="61">
        <f>IFERROR(__xludf.DUMMYFUNCTION("iferror(MAX(query(filter('Saline Comp Data Recording'!T:T,'Saline Comp Data Recording'!C:C=B20), ""Select Col1"")),""-"")"),4.0)</f>
        <v>4</v>
      </c>
      <c r="AO20" s="62">
        <f>IFERROR(__xludf.DUMMYFUNCTION("iferror(SUM(query(filter('Saline Comp Data Recording'!U:U,'Saline Comp Data Recording'!C:C=B20), ""Select Col1"")),""-"")"),2.0)</f>
        <v>2</v>
      </c>
      <c r="AP20" s="62">
        <f>IFERROR(__xludf.DUMMYFUNCTION("iferror(SUM(query(filter('Saline Comp Data Recording'!V:V,'Saline Comp Data Recording'!C:C=B20), ""Select Col1"")),""-"")"),1.0)</f>
        <v>1</v>
      </c>
      <c r="AQ20" s="63">
        <f t="shared" si="8"/>
        <v>0.5</v>
      </c>
      <c r="AR20" s="64">
        <f>IFERROR(__xludf.DUMMYFUNCTION("iferror(AVERAGE(query(filter('Saline Comp Data Recording'!V:V,'Saline Comp Data Recording'!C:C=B20), ""Select Col1"")),""0.00"")"),0.3333333333333333)</f>
        <v>0.3333333333</v>
      </c>
      <c r="AS20" s="65">
        <f>IFERROR(__xludf.DUMMYFUNCTION("iferror(MAX(query(filter('Saline Comp Data Recording'!V:V,'Saline Comp Data Recording'!C:C=B20), ""Select Col1"")),""-"")"),1.0)</f>
        <v>1</v>
      </c>
      <c r="AT20" s="62">
        <f>IFERROR(__xludf.DUMMYFUNCTION("iferror(SUM(query(filter('Saline Comp Data Recording'!W:W,'Saline Comp Data Recording'!C:C=B20), ""Select Col1"")),""-"")"),2.0)</f>
        <v>2</v>
      </c>
      <c r="AU20" s="62">
        <f>IFERROR(__xludf.DUMMYFUNCTION("iferror(SUM(query(filter('Saline Comp Data Recording'!X:X,'Saline Comp Data Recording'!C:C=B20), ""Select Col1"")),""-"")"),2.0)</f>
        <v>2</v>
      </c>
      <c r="AV20" s="63">
        <f t="shared" si="9"/>
        <v>1</v>
      </c>
      <c r="AW20" s="64">
        <f>IFERROR(__xludf.DUMMYFUNCTION("iferror(AVERAGE(query(filter('Saline Comp Data Recording'!X:X,'Saline Comp Data Recording'!C:C=B20), ""Select Col1"")),""0.00"")"),0.6666666666666666)</f>
        <v>0.6666666667</v>
      </c>
      <c r="AX20" s="65">
        <f>IFERROR(__xludf.DUMMYFUNCTION("iferror(MAX(query(filter('Saline Comp Data Recording'!X:X,'Saline Comp Data Recording'!C:C=B20), ""Select Col1"")),""-"")"),2.0)</f>
        <v>2</v>
      </c>
      <c r="AY20" s="62">
        <f>IFERROR(__xludf.DUMMYFUNCTION("iferror(SUM(query(filter('Saline Comp Data Recording'!Y:Y,'Saline Comp Data Recording'!C:C=B20), ""Select Col1"")),""-"")"),0.0)</f>
        <v>0</v>
      </c>
      <c r="AZ20" s="62">
        <f>IFERROR(__xludf.DUMMYFUNCTION("iferror(SUM(query(filter('Saline Comp Data Recording'!Z:Z,'Saline Comp Data Recording'!C:C=B20), ""Select Col1"")),""-"")"),0.0)</f>
        <v>0</v>
      </c>
      <c r="BA20" s="63" t="str">
        <f t="shared" si="10"/>
        <v>-</v>
      </c>
      <c r="BB20" s="64">
        <f>IFERROR(__xludf.DUMMYFUNCTION("iferror(AVERAGE(query(filter('Saline Comp Data Recording'!Z:Z,'Saline Comp Data Recording'!C:C=B20), ""Select Col1"")),""0.00"")"),0.0)</f>
        <v>0</v>
      </c>
      <c r="BC20" s="65">
        <f>IFERROR(__xludf.DUMMYFUNCTION("iferror(MAX(query(filter('Saline Comp Data Recording'!Z:Z,'Saline Comp Data Recording'!C:C=B20), ""Select Col1"")),""-"")"),0.0)</f>
        <v>0</v>
      </c>
      <c r="BD20" s="62">
        <f>IFERROR(__xludf.DUMMYFUNCTION("iferror(SUM(query(filter('Saline Comp Data Recording'!AA:AA,'Saline Comp Data Recording'!C:C=B20), ""Select Col1"")),""-"")"),0.0)</f>
        <v>0</v>
      </c>
      <c r="BE20" s="62">
        <f>IFERROR(__xludf.DUMMYFUNCTION("iferror(SUM(query(filter('Saline Comp Data Recording'!AB:AB,'Saline Comp Data Recording'!C:C=B20), ""Select Col1"")),""-"")"),0.0)</f>
        <v>0</v>
      </c>
      <c r="BF20" s="63" t="str">
        <f t="shared" si="11"/>
        <v>-</v>
      </c>
      <c r="BG20" s="64">
        <f>IFERROR(__xludf.DUMMYFUNCTION("iferror(AVERAGE(query(filter('Saline Comp Data Recording'!AB:AB,'Saline Comp Data Recording'!C:C=B20), ""Select Col1"")),""0.00"")"),0.0)</f>
        <v>0</v>
      </c>
      <c r="BH20" s="65">
        <f>IFERROR(__xludf.DUMMYFUNCTION("iferror(MAX(query(filter('Saline Comp Data Recording'!AB:AB,'Saline Comp Data Recording'!C:C=B20), ""Select Col1"")),""-"")"),0.0)</f>
        <v>0</v>
      </c>
      <c r="BI20" s="62">
        <f>IFERROR(__xludf.DUMMYFUNCTION("iferror(SUM(query(filter('Saline Comp Data Recording'!AC:AC,'Saline Comp Data Recording'!C:C=B20), ""Select Col1"")),""-"")"),0.0)</f>
        <v>0</v>
      </c>
      <c r="BJ20" s="62">
        <f>IFERROR(__xludf.DUMMYFUNCTION("iferror(SUM(query(filter('Saline Comp Data Recording'!AD:AD,'Saline Comp Data Recording'!C:C=B20), ""Select Col1"")),""-"")"),0.0)</f>
        <v>0</v>
      </c>
      <c r="BK20" s="63" t="str">
        <f t="shared" si="12"/>
        <v>-</v>
      </c>
      <c r="BL20" s="64">
        <f>IFERROR(__xludf.DUMMYFUNCTION("iferror(AVERAGE(query(filter('Saline Comp Data Recording'!AD:AD,'Saline Comp Data Recording'!C:C=B20), ""Select Col1"")),""0.00"")"),0.0)</f>
        <v>0</v>
      </c>
      <c r="BM20" s="65">
        <f>IFERROR(__xludf.DUMMYFUNCTION("iferror(MAX(query(filter('Saline Comp Data Recording'!AD:AD,'Saline Comp Data Recording'!C:C=B20), ""Select Col1"")),""-"")"),0.0)</f>
        <v>0</v>
      </c>
      <c r="BN20" s="66" t="str">
        <f>IFERROR(__xludf.DUMMYFUNCTION("if(countif(query(filter('Saline Comp Data Recording'!AE:AE,'Saline Comp Data Recording'!C:C=B20), ""Select Col1""),""TRUE"")=0,""0"",countif(query(filter('Saline Comp Data Recording'!AE:AE,'Saline Comp Data Recording'!C:C=B20), ""Select Col1""),""TRUE""))"&amp;" &amp; ""/"" &amp; if(COUNTA(query(ifna(filter('Saline Comp Data Recording'!AE:AE,'Saline Comp Data Recording'!C:C=B20),""""), ""Select Col1""))=0,""0"",COUNTA(query(ifna(filter('Saline Comp Data Recording'!AE:AE,'Saline Comp Data Recording'!C:C=B20),""""), ""Sel"&amp;"ect Col1"")))"),"2/3")</f>
        <v>2/3</v>
      </c>
      <c r="BO20" s="67" t="str">
        <f>IFERROR(__xludf.DUMMYFUNCTION("if(countif(query(filter('Saline Comp Data Recording'!AF:AF,'Saline Comp Data Recording'!C:C=B20), ""Select Col1""),""TRUE"")=0,""0"",countif(query(filter('Saline Comp Data Recording'!AF:AF,'Saline Comp Data Recording'!C:C=B20), ""Select Col1""),""TRUE""))"&amp;" &amp; ""/"" &amp; if(COUNTA(query(ifna(filter('Saline Comp Data Recording'!AF:AF,'Saline Comp Data Recording'!C:C=B20),""""), ""Select Col1""))=0,""0"",COUNTA(query(ifna(filter('Saline Comp Data Recording'!AF:AF,'Saline Comp Data Recording'!C:C=B20),""""), ""Sel"&amp;"ect Col1"")))"),"2/3")</f>
        <v>2/3</v>
      </c>
      <c r="BP20" s="60" t="str">
        <f>IFERROR(__xludf.DUMMYFUNCTION("if(countif(query(filter('Saline Comp Data Recording'!AI:AI,'Saline Comp Data Recording'!C:C=B20), ""Select Col1""),""TRUE"")=0,""0"",countif(query(filter('Saline Comp Data Recording'!AI:AI,'Saline Comp Data Recording'!C:C=B20), ""Select Col1""),""TRUE""))"&amp;" &amp; ""/"" &amp; if(COUNTA(query(ifna(filter('Saline Comp Data Recording'!AI:AI,'Saline Comp Data Recording'!C:C=B20),""""), ""Select Col1""))=0,""0"",COUNTA(query(ifna(filter('Saline Comp Data Recording'!AI:AI,'Saline Comp Data Recording'!C:C=B20),""""), ""Sel"&amp;"ect Col1"")))"),"0/3")</f>
        <v>0/3</v>
      </c>
      <c r="BQ20" s="55">
        <f>IFERROR(__xludf.DUMMYFUNCTION("iferror(average(query(filter('Saline Comp Data Recording'!AG:AG,'Saline Comp Data Recording'!C:C=B20), ""Select Col1"")),""-"")"),4.333333333333333)</f>
        <v>4.333333333</v>
      </c>
      <c r="BR20" s="69">
        <f>IFERROR(__xludf.DUMMYFUNCTION("iferror(average(query(filter('Saline Comp Data Recording'!AH:AH,'Saline Comp Data Recording'!C:C=B20), ""Select Col1"")),""-"")"),1.3333333333333333)</f>
        <v>1.333333333</v>
      </c>
      <c r="BS20" s="70">
        <f>IFERROR(__xludf.DUMMYFUNCTION("iferror(AVERAGE(query(filter('Saline Comp Data Recording'!AK:AK,'Saline Comp Data Recording'!C:C=B20), ""Select Col1"")),""-"")"),38.666666666666664)</f>
        <v>38.66666667</v>
      </c>
      <c r="BT20" s="70">
        <f>IFERROR(__xludf.DUMMYFUNCTION("iferror(AVERAGE(query(filter('Saline Comp Data Recording'!AL:AL,'Saline Comp Data Recording'!C:C=B20), ""Select Col1"")),""-"")"),24.0)</f>
        <v>24</v>
      </c>
      <c r="BU20" s="71">
        <f>IFERROR(__xludf.DUMMYFUNCTION("iferror(max(query(filter('Saline Comp Data Recording'!AK:AK,'Saline Comp Data Recording'!C:C=B20), ""Select Col1"")),""-"")"),55.0)</f>
        <v>55</v>
      </c>
      <c r="BV20" s="72">
        <f>IFERROR(__xludf.DUMMYFUNCTION("iferror(MIN(query(filter('Saline Comp Data Recording'!AK:AK,'Saline Comp Data Recording'!C:C=B20), ""Select Col1"")),""-"")"),16.0)</f>
        <v>16</v>
      </c>
      <c r="BW20" s="73" t="str">
        <f>IFERROR(__xludf.DUMMYFUNCTION("iferror(if(DIVIDE(COUNTIF(query(filter('Saline Comp Data Recording'!P:P,'Saline Comp Data Recording'!C:C=B20), ""Select Col1""),TRUE),COUNTA(query(ifna(filter('Saline Comp Data Recording'!P:P,'Saline Comp Data Recording'!C:C=B20),""""), ""Select Col1"")))"&amp;"&gt;=(0.5),""1"",""0""),""-"")"),"1")</f>
        <v>1</v>
      </c>
      <c r="BX20" s="59" t="str">
        <f>IFERROR(__xludf.DUMMYFUNCTION("iferror(if(countif(query(filter('Saline Comp Data Recording'!Q:Q,'Saline Comp Data Recording'!C:C=B20), ""Select Col1""),TRUE)/COUNTA(query(ifna(filter('Saline Comp Data Recording'!Q:Q,'Saline Comp Data Recording'!C:C=B20),""""), ""Select Col1""))&gt;=(0.5),"&amp;"""1"",""0""),""-"")"),"1")</f>
        <v>1</v>
      </c>
      <c r="BY20" s="74" t="str">
        <f>IFERROR(__xludf.DUMMYFUNCTION("iferror(if(DIVIDE(COUNTIF(query(filter('Saline Comp Data Recording'!AE:AE,'Saline Comp Data Recording'!C:C=B20), ""Select Col1""),TRUE),COUNTA(query(ifna(filter('Saline Comp Data Recording'!AE:AE,'Saline Comp Data Recording'!C:C=B20),""""), ""Select Col1"&amp;""")))&gt;=(0.5),""1"",""0""),""-"")"),"1")</f>
        <v>1</v>
      </c>
      <c r="BZ20" s="59" t="str">
        <f>IFERROR(__xludf.DUMMYFUNCTION("iferror(if(countif(query(filter('Saline Comp Data Recording'!AF:AF,'Saline Comp Data Recording'!C:C=B20), ""Select Col1""),TRUE)/COUNTA(query(ifna(filter('Saline Comp Data Recording'!AF:AF,'Saline Comp Data Recording'!C:C=B20),""""), ""Select Col1""))&gt;=(0"&amp;".5),""1"",""0""),""-"")"),"1")</f>
        <v>1</v>
      </c>
      <c r="CA20" s="74" t="str">
        <f>IFERROR(__xludf.DUMMYFUNCTION("iferror(if(DIVIDE(countif(query(filter('Saline Comp Data Recording'!R:R,'Saline Comp Data Recording'!C:C=B20), ""Select Col1""),TRUE),COUNTA(query(ifna(filter('Saline Comp Data Recording'!R:R,'Saline Comp Data Recording'!C:C=B20),""""), ""Select Col1"")))"&amp;"&gt;=(0.5),""1"",""0""),""-"")"),"0")</f>
        <v>0</v>
      </c>
    </row>
    <row r="21">
      <c r="A21" s="51" t="s">
        <v>532</v>
      </c>
      <c r="B21" s="51">
        <v>7769.0</v>
      </c>
      <c r="C21" s="52" t="str">
        <f>IFERROR(__xludf.DUMMYFUNCTION("if(countif(query(filter('Saline Comp Data Recording'!R:R,'Saline Comp Data Recording'!C:C=B21), ""Select Col1""),""TRUE"")=0,""0"",countif(query(filter('Saline Comp Data Recording'!R:R,'Saline Comp Data Recording'!C:C=B21), ""Select Col1""),""TRUE"")) &amp; "&amp;"""/"" &amp; if(COUNTA(query(ifna(filter('Saline Comp Data Recording'!R:R,'Saline Comp Data Recording'!C:C=B21),""""), ""Select Col1""))=0,""0"",COUNTA(query(ifna(filter('Saline Comp Data Recording'!R:R,'Saline Comp Data Recording'!C:C=B21),""""), ""Select Col"&amp;"1"")))"),"3/4")</f>
        <v>3/4</v>
      </c>
      <c r="D21" s="53">
        <f>IFERROR(__xludf.DUMMYFUNCTION("iferror(SUM(query(filter('Saline Comp Data Recording'!D:D,'Saline Comp Data Recording'!C:C=B21), ""Select Col1"")),""-"")"),4.0)</f>
        <v>4</v>
      </c>
      <c r="E21" s="53">
        <f>IFERROR(__xludf.DUMMYFUNCTION("iferror(SUM(query(filter('Saline Comp Data Recording'!E:E,'Saline Comp Data Recording'!C:C=B21), ""Select Col1"")),""-"")"),3.0)</f>
        <v>3</v>
      </c>
      <c r="F21" s="54">
        <f t="shared" si="1"/>
        <v>0.75</v>
      </c>
      <c r="G21" s="55">
        <f>IFERROR(__xludf.DUMMYFUNCTION("iferror(AVERAGE(query(filter('Saline Comp Data Recording'!E:E,'Saline Comp Data Recording'!C:C=B21), ""Select Col1"")),""0.00"")"),0.75)</f>
        <v>0.75</v>
      </c>
      <c r="H21" s="53">
        <f>IFERROR(__xludf.DUMMYFUNCTION("iferror(MAX(query(filter('Saline Comp Data Recording'!E:E,'Saline Comp Data Recording'!C:C=B21), ""Select Col1"")),""-"")"),1.0)</f>
        <v>1</v>
      </c>
      <c r="I21" s="56">
        <f>IFERROR(__xludf.DUMMYFUNCTION("iferror(SUM(query(filter('Saline Comp Data Recording'!F:F,'Saline Comp Data Recording'!C:C=B21), ""Select Col1"")),""-"")"),0.0)</f>
        <v>0</v>
      </c>
      <c r="J21" s="57">
        <f>IFERROR(__xludf.DUMMYFUNCTION("iferror(SUM(query(filter('Saline Comp Data Recording'!G:G,'Saline Comp Data Recording'!C:C=B21), ""Select Col1"")),""-"")"),0.0)</f>
        <v>0</v>
      </c>
      <c r="K21" s="54" t="str">
        <f t="shared" si="2"/>
        <v>-</v>
      </c>
      <c r="L21" s="55">
        <f>IFERROR(__xludf.DUMMYFUNCTION("iferror(AVERAGE(query(filter('Saline Comp Data Recording'!G:G,'Saline Comp Data Recording'!C:C=B21), ""Select Col1"")),""0.00"")"),0.0)</f>
        <v>0</v>
      </c>
      <c r="M21" s="53">
        <f>IFERROR(__xludf.DUMMYFUNCTION("iferror(MAX(query(filter('Saline Comp Data Recording'!G:G,'Saline Comp Data Recording'!C:C=B21), ""Select Col1"")),""-"")"),0.0)</f>
        <v>0</v>
      </c>
      <c r="N21" s="58">
        <f>IFERROR(__xludf.DUMMYFUNCTION("iferror(SUM(query(filter('Saline Comp Data Recording'!H:H,'Saline Comp Data Recording'!C:C=B21), ""Select Col1"")),""-"")"),0.0)</f>
        <v>0</v>
      </c>
      <c r="O21" s="59">
        <f>IFERROR(__xludf.DUMMYFUNCTION("iferror(SUM(query(filter('Saline Comp Data Recording'!I:I,'Saline Comp Data Recording'!C:C=B21), ""Select Col1"")),""-"")"),0.0)</f>
        <v>0</v>
      </c>
      <c r="P21" s="54" t="str">
        <f t="shared" si="3"/>
        <v>-</v>
      </c>
      <c r="Q21" s="55">
        <f>IFERROR(__xludf.DUMMYFUNCTION("iferror(AVERAGE(query(filter('Saline Comp Data Recording'!I:I,'Saline Comp Data Recording'!C:C=B21), ""Select Col1"")),""0.00"")"),0.0)</f>
        <v>0</v>
      </c>
      <c r="R21" s="53">
        <f>IFERROR(__xludf.DUMMYFUNCTION("iferror(MAX(query(filter('Saline Comp Data Recording'!I:I,'Saline Comp Data Recording'!C:C=B21), ""Select Col1"")),""-"")"),0.0)</f>
        <v>0</v>
      </c>
      <c r="S21" s="58">
        <f>IFERROR(__xludf.DUMMYFUNCTION("iferror(SUM(query(filter('Saline Comp Data Recording'!J:J,'Saline Comp Data Recording'!C:C=B21), ""Select Col1"")),""-"")"),0.0)</f>
        <v>0</v>
      </c>
      <c r="T21" s="59">
        <f>IFERROR(__xludf.DUMMYFUNCTION("iferror(SUM(query(filter('Saline Comp Data Recording'!K:K,'Saline Comp Data Recording'!C:C=B21), ""Select Col1"")),""-"")"),0.0)</f>
        <v>0</v>
      </c>
      <c r="U21" s="54" t="str">
        <f t="shared" si="4"/>
        <v>-</v>
      </c>
      <c r="V21" s="55">
        <f>IFERROR(__xludf.DUMMYFUNCTION("iferror(AVERAGE(query(filter('Saline Comp Data Recording'!K:K,'Saline Comp Data Recording'!C:C=B21), ""Select Col1"")),""-"")"),0.0)</f>
        <v>0</v>
      </c>
      <c r="W21" s="52">
        <f>IFERROR(__xludf.DUMMYFUNCTION("iferror(MAX(query(filter('Saline Comp Data Recording'!K:K,'Saline Comp Data Recording'!C:C=B21), ""Select Col1"")),""-"")"),0.0)</f>
        <v>0</v>
      </c>
      <c r="X21" s="59">
        <f>IFERROR(__xludf.DUMMYFUNCTION("iferror(SUM(query(filter('Saline Comp Data Recording'!L:L,'Saline Comp Data Recording'!C:C=B21), ""Select Col1"")),""-"")"),1.0)</f>
        <v>1</v>
      </c>
      <c r="Y21" s="59">
        <f>IFERROR(__xludf.DUMMYFUNCTION("iferror(SUM(query(filter('Saline Comp Data Recording'!M:M,'Saline Comp Data Recording'!C:C=B21), ""Select Col1"")),""-"")"),1.0)</f>
        <v>1</v>
      </c>
      <c r="Z21" s="54">
        <f t="shared" si="5"/>
        <v>1</v>
      </c>
      <c r="AA21" s="55">
        <f>IFERROR(__xludf.DUMMYFUNCTION("iferror(AVERAGE(query(filter('Saline Comp Data Recording'!M:M,'Saline Comp Data Recording'!C:C=B21), ""Select Col1"")),""0.00"")"),0.25)</f>
        <v>0.25</v>
      </c>
      <c r="AB21" s="52">
        <f>IFERROR(__xludf.DUMMYFUNCTION("iferror(MAX(query(filter('Saline Comp Data Recording'!M:M,'Saline Comp Data Recording'!C:C=B21), ""Select Col1"")),""-"")"),1.0)</f>
        <v>1</v>
      </c>
      <c r="AC21" s="59">
        <f>IFERROR(__xludf.DUMMYFUNCTION("iferror(SUM(query(filter('Saline Comp Data Recording'!N:N,'Saline Comp Data Recording'!C:C=B21), ""Select Col1"")),""-"")"),0.0)</f>
        <v>0</v>
      </c>
      <c r="AD21" s="59">
        <f>IFERROR(__xludf.DUMMYFUNCTION("iferror(SUM(query(filter('Saline Comp Data Recording'!O:O,'Saline Comp Data Recording'!C:C=B21), ""Select Col1"")),""-"")"),0.0)</f>
        <v>0</v>
      </c>
      <c r="AE21" s="54" t="str">
        <f t="shared" si="6"/>
        <v>-</v>
      </c>
      <c r="AF21" s="55">
        <f>IFERROR(__xludf.DUMMYFUNCTION("iferror(AVERAGE(query(filter('Saline Comp Data Recording'!O:O,'Saline Comp Data Recording'!C:C=B21), ""Select Col1"")),""0.00"")"),0.0)</f>
        <v>0</v>
      </c>
      <c r="AG21" s="59">
        <f>IFERROR(__xludf.DUMMYFUNCTION("iferror(MAX(query(filter('Saline Comp Data Recording'!O:O,'Saline Comp Data Recording'!C:C=B21), ""Select Col1"")),""-"")"),0.0)</f>
        <v>0</v>
      </c>
      <c r="AH21" s="58" t="str">
        <f>IFERROR(__xludf.DUMMYFUNCTION("if(countif(query(filter('Saline Comp Data Recording'!P:P,'Saline Comp Data Recording'!C:C=B21), ""Select Col1""),TRUE)=0,""0"",countif(query(filter('Saline Comp Data Recording'!P:P,'Saline Comp Data Recording'!C:C=B21), ""Select Col1""),TRUE)) &amp; ""/"" &amp; i"&amp;"f(COUNTA(query(ifna(filter('Saline Comp Data Recording'!P:P,'Saline Comp Data Recording'!C:C=B21),""""), ""Select Col1""))=0,""0"",COUNTA(query(ifna(filter('Saline Comp Data Recording'!P:P,'Saline Comp Data Recording'!C:C=B21),""""), ""Select Col1"")))"),"0/4")</f>
        <v>0/4</v>
      </c>
      <c r="AI21" s="60" t="str">
        <f>IFERROR(__xludf.DUMMYFUNCTION("if(countif(query(filter('Saline Comp Data Recording'!Q:Q,'Saline Comp Data Recording'!C:C=B21), ""Select Col1""),TRUE)=0,""0"",countif(query(filter('Saline Comp Data Recording'!Q:Q,'Saline Comp Data Recording'!C:C=B21), ""Select Col1""),TRUE)) &amp; ""/"" &amp; i"&amp;"f(COUNTA(query(ifna(filter('Saline Comp Data Recording'!Q:Q,'Saline Comp Data Recording'!C:C=B21),""""), ""Select Col1""))=0,""0"",COUNTA(query(ifna(filter('Saline Comp Data Recording'!Q:Q,'Saline Comp Data Recording'!C:C=B21),""""), ""Select Col1"")))"),"0/4")</f>
        <v>0/4</v>
      </c>
      <c r="AJ21" s="59">
        <f>IFERROR(__xludf.DUMMYFUNCTION("iferror(SUM(query(filter('Saline Comp Data Recording'!S:S,'Saline Comp Data Recording'!C:C=B21), ""Select Col1"")),""-"")"),11.0)</f>
        <v>11</v>
      </c>
      <c r="AK21" s="59">
        <f>IFERROR(__xludf.DUMMYFUNCTION("iferror(SUM(query(filter('Saline Comp Data Recording'!T:T,'Saline Comp Data Recording'!C:C=B21), ""Select Col1"")),""-"")"),9.0)</f>
        <v>9</v>
      </c>
      <c r="AL21" s="54">
        <f t="shared" si="7"/>
        <v>0.8181818182</v>
      </c>
      <c r="AM21" s="55">
        <f>IFERROR(__xludf.DUMMYFUNCTION("iferror(AVERAGE(query(filter('Saline Comp Data Recording'!T:T,'Saline Comp Data Recording'!C:C=B21), ""Select Col1"")),""0.00"")"),2.25)</f>
        <v>2.25</v>
      </c>
      <c r="AN21" s="61">
        <f>IFERROR(__xludf.DUMMYFUNCTION("iferror(MAX(query(filter('Saline Comp Data Recording'!T:T,'Saline Comp Data Recording'!C:C=B21), ""Select Col1"")),""-"")"),3.0)</f>
        <v>3</v>
      </c>
      <c r="AO21" s="62">
        <f>IFERROR(__xludf.DUMMYFUNCTION("iferror(SUM(query(filter('Saline Comp Data Recording'!U:U,'Saline Comp Data Recording'!C:C=B21), ""Select Col1"")),""-"")"),1.0)</f>
        <v>1</v>
      </c>
      <c r="AP21" s="62">
        <f>IFERROR(__xludf.DUMMYFUNCTION("iferror(SUM(query(filter('Saline Comp Data Recording'!V:V,'Saline Comp Data Recording'!C:C=B21), ""Select Col1"")),""-"")"),1.0)</f>
        <v>1</v>
      </c>
      <c r="AQ21" s="63">
        <f t="shared" si="8"/>
        <v>1</v>
      </c>
      <c r="AR21" s="64">
        <f>IFERROR(__xludf.DUMMYFUNCTION("iferror(AVERAGE(query(filter('Saline Comp Data Recording'!V:V,'Saline Comp Data Recording'!C:C=B21), ""Select Col1"")),""0.00"")"),0.25)</f>
        <v>0.25</v>
      </c>
      <c r="AS21" s="65">
        <f>IFERROR(__xludf.DUMMYFUNCTION("iferror(MAX(query(filter('Saline Comp Data Recording'!V:V,'Saline Comp Data Recording'!C:C=B21), ""Select Col1"")),""-"")"),1.0)</f>
        <v>1</v>
      </c>
      <c r="AT21" s="62">
        <f>IFERROR(__xludf.DUMMYFUNCTION("iferror(SUM(query(filter('Saline Comp Data Recording'!W:W,'Saline Comp Data Recording'!C:C=B21), ""Select Col1"")),""-"")"),1.0)</f>
        <v>1</v>
      </c>
      <c r="AU21" s="62">
        <f>IFERROR(__xludf.DUMMYFUNCTION("iferror(SUM(query(filter('Saline Comp Data Recording'!X:X,'Saline Comp Data Recording'!C:C=B21), ""Select Col1"")),""-"")"),1.0)</f>
        <v>1</v>
      </c>
      <c r="AV21" s="63">
        <f t="shared" si="9"/>
        <v>1</v>
      </c>
      <c r="AW21" s="64">
        <f>IFERROR(__xludf.DUMMYFUNCTION("iferror(AVERAGE(query(filter('Saline Comp Data Recording'!X:X,'Saline Comp Data Recording'!C:C=B21), ""Select Col1"")),""0.00"")"),0.25)</f>
        <v>0.25</v>
      </c>
      <c r="AX21" s="65">
        <f>IFERROR(__xludf.DUMMYFUNCTION("iferror(MAX(query(filter('Saline Comp Data Recording'!X:X,'Saline Comp Data Recording'!C:C=B21), ""Select Col1"")),""-"")"),1.0)</f>
        <v>1</v>
      </c>
      <c r="AY21" s="62">
        <f>IFERROR(__xludf.DUMMYFUNCTION("iferror(SUM(query(filter('Saline Comp Data Recording'!Y:Y,'Saline Comp Data Recording'!C:C=B21), ""Select Col1"")),""-"")"),3.0)</f>
        <v>3</v>
      </c>
      <c r="AZ21" s="62">
        <f>IFERROR(__xludf.DUMMYFUNCTION("iferror(SUM(query(filter('Saline Comp Data Recording'!Z:Z,'Saline Comp Data Recording'!C:C=B21), ""Select Col1"")),""-"")"),3.0)</f>
        <v>3</v>
      </c>
      <c r="BA21" s="63">
        <f t="shared" si="10"/>
        <v>1</v>
      </c>
      <c r="BB21" s="64">
        <f>IFERROR(__xludf.DUMMYFUNCTION("iferror(AVERAGE(query(filter('Saline Comp Data Recording'!Z:Z,'Saline Comp Data Recording'!C:C=B21), ""Select Col1"")),""0.00"")"),0.75)</f>
        <v>0.75</v>
      </c>
      <c r="BC21" s="65">
        <f>IFERROR(__xludf.DUMMYFUNCTION("iferror(MAX(query(filter('Saline Comp Data Recording'!Z:Z,'Saline Comp Data Recording'!C:C=B21), ""Select Col1"")),""-"")"),1.0)</f>
        <v>1</v>
      </c>
      <c r="BD21" s="62">
        <f>IFERROR(__xludf.DUMMYFUNCTION("iferror(SUM(query(filter('Saline Comp Data Recording'!AA:AA,'Saline Comp Data Recording'!C:C=B21), ""Select Col1"")),""-"")"),1.0)</f>
        <v>1</v>
      </c>
      <c r="BE21" s="62">
        <f>IFERROR(__xludf.DUMMYFUNCTION("iferror(SUM(query(filter('Saline Comp Data Recording'!AB:AB,'Saline Comp Data Recording'!C:C=B21), ""Select Col1"")),""-"")"),1.0)</f>
        <v>1</v>
      </c>
      <c r="BF21" s="63">
        <f t="shared" si="11"/>
        <v>1</v>
      </c>
      <c r="BG21" s="64">
        <f>IFERROR(__xludf.DUMMYFUNCTION("iferror(AVERAGE(query(filter('Saline Comp Data Recording'!AB:AB,'Saline Comp Data Recording'!C:C=B21), ""Select Col1"")),""0.00"")"),0.25)</f>
        <v>0.25</v>
      </c>
      <c r="BH21" s="65">
        <f>IFERROR(__xludf.DUMMYFUNCTION("iferror(MAX(query(filter('Saline Comp Data Recording'!AB:AB,'Saline Comp Data Recording'!C:C=B21), ""Select Col1"")),""-"")"),1.0)</f>
        <v>1</v>
      </c>
      <c r="BI21" s="62">
        <f>IFERROR(__xludf.DUMMYFUNCTION("iferror(SUM(query(filter('Saline Comp Data Recording'!AC:AC,'Saline Comp Data Recording'!C:C=B21), ""Select Col1"")),""-"")"),0.0)</f>
        <v>0</v>
      </c>
      <c r="BJ21" s="62">
        <f>IFERROR(__xludf.DUMMYFUNCTION("iferror(SUM(query(filter('Saline Comp Data Recording'!AD:AD,'Saline Comp Data Recording'!C:C=B21), ""Select Col1"")),""-"")"),0.0)</f>
        <v>0</v>
      </c>
      <c r="BK21" s="63" t="str">
        <f t="shared" si="12"/>
        <v>-</v>
      </c>
      <c r="BL21" s="64">
        <f>IFERROR(__xludf.DUMMYFUNCTION("iferror(AVERAGE(query(filter('Saline Comp Data Recording'!AD:AD,'Saline Comp Data Recording'!C:C=B21), ""Select Col1"")),""0.00"")"),0.0)</f>
        <v>0</v>
      </c>
      <c r="BM21" s="65">
        <f>IFERROR(__xludf.DUMMYFUNCTION("iferror(MAX(query(filter('Saline Comp Data Recording'!AD:AD,'Saline Comp Data Recording'!C:C=B21), ""Select Col1"")),""-"")"),0.0)</f>
        <v>0</v>
      </c>
      <c r="BN21" s="66" t="str">
        <f>IFERROR(__xludf.DUMMYFUNCTION("if(countif(query(filter('Saline Comp Data Recording'!AE:AE,'Saline Comp Data Recording'!C:C=B21), ""Select Col1""),""TRUE"")=0,""0"",countif(query(filter('Saline Comp Data Recording'!AE:AE,'Saline Comp Data Recording'!C:C=B21), ""Select Col1""),""TRUE""))"&amp;" &amp; ""/"" &amp; if(COUNTA(query(ifna(filter('Saline Comp Data Recording'!AE:AE,'Saline Comp Data Recording'!C:C=B21),""""), ""Select Col1""))=0,""0"",COUNTA(query(ifna(filter('Saline Comp Data Recording'!AE:AE,'Saline Comp Data Recording'!C:C=B21),""""), ""Sel"&amp;"ect Col1"")))"),"0/4")</f>
        <v>0/4</v>
      </c>
      <c r="BO21" s="67" t="str">
        <f>IFERROR(__xludf.DUMMYFUNCTION("if(countif(query(filter('Saline Comp Data Recording'!AF:AF,'Saline Comp Data Recording'!C:C=B21), ""Select Col1""),""TRUE"")=0,""0"",countif(query(filter('Saline Comp Data Recording'!AF:AF,'Saline Comp Data Recording'!C:C=B21), ""Select Col1""),""TRUE""))"&amp;" &amp; ""/"" &amp; if(COUNTA(query(ifna(filter('Saline Comp Data Recording'!AF:AF,'Saline Comp Data Recording'!C:C=B21),""""), ""Select Col1""))=0,""0"",COUNTA(query(ifna(filter('Saline Comp Data Recording'!AF:AF,'Saline Comp Data Recording'!C:C=B21),""""), ""Sel"&amp;"ect Col1"")))"),"0/4")</f>
        <v>0/4</v>
      </c>
      <c r="BP21" s="60" t="str">
        <f>IFERROR(__xludf.DUMMYFUNCTION("if(countif(query(filter('Saline Comp Data Recording'!AI:AI,'Saline Comp Data Recording'!C:C=B21), ""Select Col1""),""TRUE"")=0,""0"",countif(query(filter('Saline Comp Data Recording'!AI:AI,'Saline Comp Data Recording'!C:C=B21), ""Select Col1""),""TRUE""))"&amp;" &amp; ""/"" &amp; if(COUNTA(query(ifna(filter('Saline Comp Data Recording'!AI:AI,'Saline Comp Data Recording'!C:C=B21),""""), ""Select Col1""))=0,""0"",COUNTA(query(ifna(filter('Saline Comp Data Recording'!AI:AI,'Saline Comp Data Recording'!C:C=B21),""""), ""Sel"&amp;"ect Col1"")))"),"0/4")</f>
        <v>0/4</v>
      </c>
      <c r="BQ21" s="55">
        <f>IFERROR(__xludf.DUMMYFUNCTION("iferror(average(query(filter('Saline Comp Data Recording'!AG:AG,'Saline Comp Data Recording'!C:C=B21), ""Select Col1"")),""-"")"),3.25)</f>
        <v>3.25</v>
      </c>
      <c r="BR21" s="69">
        <f>IFERROR(__xludf.DUMMYFUNCTION("iferror(average(query(filter('Saline Comp Data Recording'!AH:AH,'Saline Comp Data Recording'!C:C=B21), ""Select Col1"")),""-"")"),1.75)</f>
        <v>1.75</v>
      </c>
      <c r="BS21" s="70">
        <f>IFERROR(__xludf.DUMMYFUNCTION("iferror(AVERAGE(query(filter('Saline Comp Data Recording'!AK:AK,'Saline Comp Data Recording'!C:C=B21), ""Select Col1"")),""-"")"),24.75)</f>
        <v>24.75</v>
      </c>
      <c r="BT21" s="70">
        <f>IFERROR(__xludf.DUMMYFUNCTION("iferror(AVERAGE(query(filter('Saline Comp Data Recording'!AL:AL,'Saline Comp Data Recording'!C:C=B21), ""Select Col1"")),""-"")"),24.75)</f>
        <v>24.75</v>
      </c>
      <c r="BU21" s="71">
        <f>IFERROR(__xludf.DUMMYFUNCTION("iferror(max(query(filter('Saline Comp Data Recording'!AK:AK,'Saline Comp Data Recording'!C:C=B21), ""Select Col1"")),""-"")"),30.0)</f>
        <v>30</v>
      </c>
      <c r="BV21" s="72">
        <f>IFERROR(__xludf.DUMMYFUNCTION("iferror(MIN(query(filter('Saline Comp Data Recording'!AK:AK,'Saline Comp Data Recording'!C:C=B21), ""Select Col1"")),""-"")"),16.0)</f>
        <v>16</v>
      </c>
      <c r="BW21" s="73" t="str">
        <f>IFERROR(__xludf.DUMMYFUNCTION("iferror(if(DIVIDE(COUNTIF(query(filter('Saline Comp Data Recording'!P:P,'Saline Comp Data Recording'!C:C=B21), ""Select Col1""),TRUE),COUNTA(query(ifna(filter('Saline Comp Data Recording'!P:P,'Saline Comp Data Recording'!C:C=B21),""""), ""Select Col1"")))"&amp;"&gt;=(0.5),""1"",""0""),""-"")"),"0")</f>
        <v>0</v>
      </c>
      <c r="BX21" s="59" t="str">
        <f>IFERROR(__xludf.DUMMYFUNCTION("iferror(if(countif(query(filter('Saline Comp Data Recording'!Q:Q,'Saline Comp Data Recording'!C:C=B21), ""Select Col1""),TRUE)/COUNTA(query(ifna(filter('Saline Comp Data Recording'!Q:Q,'Saline Comp Data Recording'!C:C=B21),""""), ""Select Col1""))&gt;=(0.5),"&amp;"""1"",""0""),""-"")"),"0")</f>
        <v>0</v>
      </c>
      <c r="BY21" s="74" t="str">
        <f>IFERROR(__xludf.DUMMYFUNCTION("iferror(if(DIVIDE(COUNTIF(query(filter('Saline Comp Data Recording'!AE:AE,'Saline Comp Data Recording'!C:C=B21), ""Select Col1""),TRUE),COUNTA(query(ifna(filter('Saline Comp Data Recording'!AE:AE,'Saline Comp Data Recording'!C:C=B21),""""), ""Select Col1"&amp;""")))&gt;=(0.5),""1"",""0""),""-"")"),"0")</f>
        <v>0</v>
      </c>
      <c r="BZ21" s="59" t="str">
        <f>IFERROR(__xludf.DUMMYFUNCTION("iferror(if(countif(query(filter('Saline Comp Data Recording'!AF:AF,'Saline Comp Data Recording'!C:C=B21), ""Select Col1""),TRUE)/COUNTA(query(ifna(filter('Saline Comp Data Recording'!AF:AF,'Saline Comp Data Recording'!C:C=B21),""""), ""Select Col1""))&gt;=(0"&amp;".5),""1"",""0""),""-"")"),"0")</f>
        <v>0</v>
      </c>
      <c r="CA21" s="74" t="str">
        <f>IFERROR(__xludf.DUMMYFUNCTION("iferror(if(DIVIDE(countif(query(filter('Saline Comp Data Recording'!R:R,'Saline Comp Data Recording'!C:C=B21), ""Select Col1""),TRUE),COUNTA(query(ifna(filter('Saline Comp Data Recording'!R:R,'Saline Comp Data Recording'!C:C=B21),""""), ""Select Col1"")))"&amp;"&gt;=(0.5),""1"",""0""),""-"")"),"1")</f>
        <v>1</v>
      </c>
    </row>
    <row r="22">
      <c r="A22" s="51" t="s">
        <v>533</v>
      </c>
      <c r="B22" s="51">
        <v>123.0</v>
      </c>
      <c r="C22" s="52" t="str">
        <f>IFERROR(__xludf.DUMMYFUNCTION("if(countif(query(filter('Saline Comp Data Recording'!R:R,'Saline Comp Data Recording'!C:C=B22), ""Select Col1""),""TRUE"")=0,""0"",countif(query(filter('Saline Comp Data Recording'!R:R,'Saline Comp Data Recording'!C:C=B22), ""Select Col1""),""TRUE"")) &amp; "&amp;"""/"" &amp; if(COUNTA(query(ifna(filter('Saline Comp Data Recording'!R:R,'Saline Comp Data Recording'!C:C=B22),""""), ""Select Col1""))=0,""0"",COUNTA(query(ifna(filter('Saline Comp Data Recording'!R:R,'Saline Comp Data Recording'!C:C=B22),""""), ""Select Col"&amp;"1"")))"),"3/4")</f>
        <v>3/4</v>
      </c>
      <c r="D22" s="53">
        <f>IFERROR(__xludf.DUMMYFUNCTION("iferror(SUM(query(filter('Saline Comp Data Recording'!D:D,'Saline Comp Data Recording'!C:C=B22), ""Select Col1"")),""-"")"),4.0)</f>
        <v>4</v>
      </c>
      <c r="E22" s="53">
        <f>IFERROR(__xludf.DUMMYFUNCTION("iferror(SUM(query(filter('Saline Comp Data Recording'!E:E,'Saline Comp Data Recording'!C:C=B22), ""Select Col1"")),""-"")"),4.0)</f>
        <v>4</v>
      </c>
      <c r="F22" s="54">
        <f t="shared" si="1"/>
        <v>1</v>
      </c>
      <c r="G22" s="55">
        <f>IFERROR(__xludf.DUMMYFUNCTION("iferror(AVERAGE(query(filter('Saline Comp Data Recording'!E:E,'Saline Comp Data Recording'!C:C=B22), ""Select Col1"")),""0.00"")"),1.0)</f>
        <v>1</v>
      </c>
      <c r="H22" s="53">
        <f>IFERROR(__xludf.DUMMYFUNCTION("iferror(MAX(query(filter('Saline Comp Data Recording'!E:E,'Saline Comp Data Recording'!C:C=B22), ""Select Col1"")),""-"")"),1.0)</f>
        <v>1</v>
      </c>
      <c r="I22" s="56">
        <f>IFERROR(__xludf.DUMMYFUNCTION("iferror(SUM(query(filter('Saline Comp Data Recording'!F:F,'Saline Comp Data Recording'!C:C=B22), ""Select Col1"")),""-"")"),0.0)</f>
        <v>0</v>
      </c>
      <c r="J22" s="57">
        <f>IFERROR(__xludf.DUMMYFUNCTION("iferror(SUM(query(filter('Saline Comp Data Recording'!G:G,'Saline Comp Data Recording'!C:C=B22), ""Select Col1"")),""-"")"),0.0)</f>
        <v>0</v>
      </c>
      <c r="K22" s="54" t="str">
        <f t="shared" si="2"/>
        <v>-</v>
      </c>
      <c r="L22" s="55">
        <f>IFERROR(__xludf.DUMMYFUNCTION("iferror(AVERAGE(query(filter('Saline Comp Data Recording'!G:G,'Saline Comp Data Recording'!C:C=B22), ""Select Col1"")),""0.00"")"),0.0)</f>
        <v>0</v>
      </c>
      <c r="M22" s="53">
        <f>IFERROR(__xludf.DUMMYFUNCTION("iferror(MAX(query(filter('Saline Comp Data Recording'!G:G,'Saline Comp Data Recording'!C:C=B22), ""Select Col1"")),""-"")"),0.0)</f>
        <v>0</v>
      </c>
      <c r="N22" s="58">
        <f>IFERROR(__xludf.DUMMYFUNCTION("iferror(SUM(query(filter('Saline Comp Data Recording'!H:H,'Saline Comp Data Recording'!C:C=B22), ""Select Col1"")),""-"")"),0.0)</f>
        <v>0</v>
      </c>
      <c r="O22" s="59">
        <f>IFERROR(__xludf.DUMMYFUNCTION("iferror(SUM(query(filter('Saline Comp Data Recording'!I:I,'Saline Comp Data Recording'!C:C=B22), ""Select Col1"")),""-"")"),0.0)</f>
        <v>0</v>
      </c>
      <c r="P22" s="54" t="str">
        <f t="shared" si="3"/>
        <v>-</v>
      </c>
      <c r="Q22" s="55">
        <f>IFERROR(__xludf.DUMMYFUNCTION("iferror(AVERAGE(query(filter('Saline Comp Data Recording'!I:I,'Saline Comp Data Recording'!C:C=B22), ""Select Col1"")),""0.00"")"),0.0)</f>
        <v>0</v>
      </c>
      <c r="R22" s="53">
        <f>IFERROR(__xludf.DUMMYFUNCTION("iferror(MAX(query(filter('Saline Comp Data Recording'!I:I,'Saline Comp Data Recording'!C:C=B22), ""Select Col1"")),""-"")"),0.0)</f>
        <v>0</v>
      </c>
      <c r="S22" s="58">
        <f>IFERROR(__xludf.DUMMYFUNCTION("iferror(SUM(query(filter('Saline Comp Data Recording'!J:J,'Saline Comp Data Recording'!C:C=B22), ""Select Col1"")),""-"")"),0.0)</f>
        <v>0</v>
      </c>
      <c r="T22" s="59">
        <f>IFERROR(__xludf.DUMMYFUNCTION("iferror(SUM(query(filter('Saline Comp Data Recording'!K:K,'Saline Comp Data Recording'!C:C=B22), ""Select Col1"")),""-"")"),0.0)</f>
        <v>0</v>
      </c>
      <c r="U22" s="54" t="str">
        <f t="shared" si="4"/>
        <v>-</v>
      </c>
      <c r="V22" s="55">
        <f>IFERROR(__xludf.DUMMYFUNCTION("iferror(AVERAGE(query(filter('Saline Comp Data Recording'!K:K,'Saline Comp Data Recording'!C:C=B22), ""Select Col1"")),""-"")"),0.0)</f>
        <v>0</v>
      </c>
      <c r="W22" s="52">
        <f>IFERROR(__xludf.DUMMYFUNCTION("iferror(MAX(query(filter('Saline Comp Data Recording'!K:K,'Saline Comp Data Recording'!C:C=B22), ""Select Col1"")),""-"")"),0.0)</f>
        <v>0</v>
      </c>
      <c r="X22" s="59">
        <f>IFERROR(__xludf.DUMMYFUNCTION("iferror(SUM(query(filter('Saline Comp Data Recording'!L:L,'Saline Comp Data Recording'!C:C=B22), ""Select Col1"")),""-"")"),0.0)</f>
        <v>0</v>
      </c>
      <c r="Y22" s="59">
        <f>IFERROR(__xludf.DUMMYFUNCTION("iferror(SUM(query(filter('Saline Comp Data Recording'!M:M,'Saline Comp Data Recording'!C:C=B22), ""Select Col1"")),""-"")"),0.0)</f>
        <v>0</v>
      </c>
      <c r="Z22" s="54" t="str">
        <f t="shared" si="5"/>
        <v>-</v>
      </c>
      <c r="AA22" s="55">
        <f>IFERROR(__xludf.DUMMYFUNCTION("iferror(AVERAGE(query(filter('Saline Comp Data Recording'!M:M,'Saline Comp Data Recording'!C:C=B22), ""Select Col1"")),""0.00"")"),0.0)</f>
        <v>0</v>
      </c>
      <c r="AB22" s="52">
        <f>IFERROR(__xludf.DUMMYFUNCTION("iferror(MAX(query(filter('Saline Comp Data Recording'!M:M,'Saline Comp Data Recording'!C:C=B22), ""Select Col1"")),""-"")"),0.0)</f>
        <v>0</v>
      </c>
      <c r="AC22" s="59">
        <f>IFERROR(__xludf.DUMMYFUNCTION("iferror(SUM(query(filter('Saline Comp Data Recording'!N:N,'Saline Comp Data Recording'!C:C=B22), ""Select Col1"")),""-"")"),0.0)</f>
        <v>0</v>
      </c>
      <c r="AD22" s="59">
        <f>IFERROR(__xludf.DUMMYFUNCTION("iferror(SUM(query(filter('Saline Comp Data Recording'!O:O,'Saline Comp Data Recording'!C:C=B22), ""Select Col1"")),""-"")"),0.0)</f>
        <v>0</v>
      </c>
      <c r="AE22" s="54" t="str">
        <f t="shared" si="6"/>
        <v>-</v>
      </c>
      <c r="AF22" s="55">
        <f>IFERROR(__xludf.DUMMYFUNCTION("iferror(AVERAGE(query(filter('Saline Comp Data Recording'!O:O,'Saline Comp Data Recording'!C:C=B22), ""Select Col1"")),""0.00"")"),0.0)</f>
        <v>0</v>
      </c>
      <c r="AG22" s="59">
        <f>IFERROR(__xludf.DUMMYFUNCTION("iferror(MAX(query(filter('Saline Comp Data Recording'!O:O,'Saline Comp Data Recording'!C:C=B22), ""Select Col1"")),""-"")"),0.0)</f>
        <v>0</v>
      </c>
      <c r="AH22" s="58" t="str">
        <f>IFERROR(__xludf.DUMMYFUNCTION("if(countif(query(filter('Saline Comp Data Recording'!P:P,'Saline Comp Data Recording'!C:C=B22), ""Select Col1""),TRUE)=0,""0"",countif(query(filter('Saline Comp Data Recording'!P:P,'Saline Comp Data Recording'!C:C=B22), ""Select Col1""),TRUE)) &amp; ""/"" &amp; i"&amp;"f(COUNTA(query(ifna(filter('Saline Comp Data Recording'!P:P,'Saline Comp Data Recording'!C:C=B22),""""), ""Select Col1""))=0,""0"",COUNTA(query(ifna(filter('Saline Comp Data Recording'!P:P,'Saline Comp Data Recording'!C:C=B22),""""), ""Select Col1"")))"),"0/4")</f>
        <v>0/4</v>
      </c>
      <c r="AI22" s="60" t="str">
        <f>IFERROR(__xludf.DUMMYFUNCTION("if(countif(query(filter('Saline Comp Data Recording'!Q:Q,'Saline Comp Data Recording'!C:C=B22), ""Select Col1""),TRUE)=0,""0"",countif(query(filter('Saline Comp Data Recording'!Q:Q,'Saline Comp Data Recording'!C:C=B22), ""Select Col1""),TRUE)) &amp; ""/"" &amp; i"&amp;"f(COUNTA(query(ifna(filter('Saline Comp Data Recording'!Q:Q,'Saline Comp Data Recording'!C:C=B22),""""), ""Select Col1""))=0,""0"",COUNTA(query(ifna(filter('Saline Comp Data Recording'!Q:Q,'Saline Comp Data Recording'!C:C=B22),""""), ""Select Col1"")))"),"0/4")</f>
        <v>0/4</v>
      </c>
      <c r="AJ22" s="59">
        <f>IFERROR(__xludf.DUMMYFUNCTION("iferror(SUM(query(filter('Saline Comp Data Recording'!S:S,'Saline Comp Data Recording'!C:C=B22), ""Select Col1"")),""-"")"),5.0)</f>
        <v>5</v>
      </c>
      <c r="AK22" s="59">
        <f>IFERROR(__xludf.DUMMYFUNCTION("iferror(SUM(query(filter('Saline Comp Data Recording'!T:T,'Saline Comp Data Recording'!C:C=B22), ""Select Col1"")),""-"")"),5.0)</f>
        <v>5</v>
      </c>
      <c r="AL22" s="54">
        <f t="shared" si="7"/>
        <v>1</v>
      </c>
      <c r="AM22" s="55">
        <f>IFERROR(__xludf.DUMMYFUNCTION("iferror(AVERAGE(query(filter('Saline Comp Data Recording'!T:T,'Saline Comp Data Recording'!C:C=B22), ""Select Col1"")),""0.00"")"),1.25)</f>
        <v>1.25</v>
      </c>
      <c r="AN22" s="61">
        <f>IFERROR(__xludf.DUMMYFUNCTION("iferror(MAX(query(filter('Saline Comp Data Recording'!T:T,'Saline Comp Data Recording'!C:C=B22), ""Select Col1"")),""-"")"),3.0)</f>
        <v>3</v>
      </c>
      <c r="AO22" s="62">
        <f>IFERROR(__xludf.DUMMYFUNCTION("iferror(SUM(query(filter('Saline Comp Data Recording'!U:U,'Saline Comp Data Recording'!C:C=B22), ""Select Col1"")),""-"")"),2.0)</f>
        <v>2</v>
      </c>
      <c r="AP22" s="62">
        <f>IFERROR(__xludf.DUMMYFUNCTION("iferror(SUM(query(filter('Saline Comp Data Recording'!V:V,'Saline Comp Data Recording'!C:C=B22), ""Select Col1"")),""-"")"),1.0)</f>
        <v>1</v>
      </c>
      <c r="AQ22" s="63">
        <f t="shared" si="8"/>
        <v>0.5</v>
      </c>
      <c r="AR22" s="64">
        <f>IFERROR(__xludf.DUMMYFUNCTION("iferror(AVERAGE(query(filter('Saline Comp Data Recording'!V:V,'Saline Comp Data Recording'!C:C=B22), ""Select Col1"")),""0.00"")"),0.25)</f>
        <v>0.25</v>
      </c>
      <c r="AS22" s="65">
        <f>IFERROR(__xludf.DUMMYFUNCTION("iferror(MAX(query(filter('Saline Comp Data Recording'!V:V,'Saline Comp Data Recording'!C:C=B22), ""Select Col1"")),""-"")"),1.0)</f>
        <v>1</v>
      </c>
      <c r="AT22" s="62">
        <f>IFERROR(__xludf.DUMMYFUNCTION("iferror(SUM(query(filter('Saline Comp Data Recording'!W:W,'Saline Comp Data Recording'!C:C=B22), ""Select Col1"")),""-"")"),1.0)</f>
        <v>1</v>
      </c>
      <c r="AU22" s="62">
        <f>IFERROR(__xludf.DUMMYFUNCTION("iferror(SUM(query(filter('Saline Comp Data Recording'!X:X,'Saline Comp Data Recording'!C:C=B22), ""Select Col1"")),""-"")"),1.0)</f>
        <v>1</v>
      </c>
      <c r="AV22" s="63">
        <f t="shared" si="9"/>
        <v>1</v>
      </c>
      <c r="AW22" s="64">
        <f>IFERROR(__xludf.DUMMYFUNCTION("iferror(AVERAGE(query(filter('Saline Comp Data Recording'!X:X,'Saline Comp Data Recording'!C:C=B22), ""Select Col1"")),""0.00"")"),0.25)</f>
        <v>0.25</v>
      </c>
      <c r="AX22" s="65">
        <f>IFERROR(__xludf.DUMMYFUNCTION("iferror(MAX(query(filter('Saline Comp Data Recording'!X:X,'Saline Comp Data Recording'!C:C=B22), ""Select Col1"")),""-"")"),1.0)</f>
        <v>1</v>
      </c>
      <c r="AY22" s="62">
        <f>IFERROR(__xludf.DUMMYFUNCTION("iferror(SUM(query(filter('Saline Comp Data Recording'!Y:Y,'Saline Comp Data Recording'!C:C=B22), ""Select Col1"")),""-"")"),3.0)</f>
        <v>3</v>
      </c>
      <c r="AZ22" s="62">
        <f>IFERROR(__xludf.DUMMYFUNCTION("iferror(SUM(query(filter('Saline Comp Data Recording'!Z:Z,'Saline Comp Data Recording'!C:C=B22), ""Select Col1"")),""-"")"),2.0)</f>
        <v>2</v>
      </c>
      <c r="BA22" s="63">
        <f t="shared" si="10"/>
        <v>0.6666666667</v>
      </c>
      <c r="BB22" s="64">
        <f>IFERROR(__xludf.DUMMYFUNCTION("iferror(AVERAGE(query(filter('Saline Comp Data Recording'!Z:Z,'Saline Comp Data Recording'!C:C=B22), ""Select Col1"")),""0.00"")"),0.5)</f>
        <v>0.5</v>
      </c>
      <c r="BC22" s="65">
        <f>IFERROR(__xludf.DUMMYFUNCTION("iferror(MAX(query(filter('Saline Comp Data Recording'!Z:Z,'Saline Comp Data Recording'!C:C=B22), ""Select Col1"")),""-"")"),1.0)</f>
        <v>1</v>
      </c>
      <c r="BD22" s="62">
        <f>IFERROR(__xludf.DUMMYFUNCTION("iferror(SUM(query(filter('Saline Comp Data Recording'!AA:AA,'Saline Comp Data Recording'!C:C=B22), ""Select Col1"")),""-"")"),1.0)</f>
        <v>1</v>
      </c>
      <c r="BE22" s="62">
        <f>IFERROR(__xludf.DUMMYFUNCTION("iferror(SUM(query(filter('Saline Comp Data Recording'!AB:AB,'Saline Comp Data Recording'!C:C=B22), ""Select Col1"")),""-"")"),1.0)</f>
        <v>1</v>
      </c>
      <c r="BF22" s="63">
        <f t="shared" si="11"/>
        <v>1</v>
      </c>
      <c r="BG22" s="64">
        <f>IFERROR(__xludf.DUMMYFUNCTION("iferror(AVERAGE(query(filter('Saline Comp Data Recording'!AB:AB,'Saline Comp Data Recording'!C:C=B22), ""Select Col1"")),""0.00"")"),0.25)</f>
        <v>0.25</v>
      </c>
      <c r="BH22" s="65">
        <f>IFERROR(__xludf.DUMMYFUNCTION("iferror(MAX(query(filter('Saline Comp Data Recording'!AB:AB,'Saline Comp Data Recording'!C:C=B22), ""Select Col1"")),""-"")"),1.0)</f>
        <v>1</v>
      </c>
      <c r="BI22" s="62">
        <f>IFERROR(__xludf.DUMMYFUNCTION("iferror(SUM(query(filter('Saline Comp Data Recording'!AC:AC,'Saline Comp Data Recording'!C:C=B22), ""Select Col1"")),""-"")"),0.0)</f>
        <v>0</v>
      </c>
      <c r="BJ22" s="62">
        <f>IFERROR(__xludf.DUMMYFUNCTION("iferror(SUM(query(filter('Saline Comp Data Recording'!AD:AD,'Saline Comp Data Recording'!C:C=B22), ""Select Col1"")),""-"")"),0.0)</f>
        <v>0</v>
      </c>
      <c r="BK22" s="63" t="str">
        <f t="shared" si="12"/>
        <v>-</v>
      </c>
      <c r="BL22" s="64">
        <f>IFERROR(__xludf.DUMMYFUNCTION("iferror(AVERAGE(query(filter('Saline Comp Data Recording'!AD:AD,'Saline Comp Data Recording'!C:C=B22), ""Select Col1"")),""0.00"")"),0.0)</f>
        <v>0</v>
      </c>
      <c r="BM22" s="65">
        <f>IFERROR(__xludf.DUMMYFUNCTION("iferror(MAX(query(filter('Saline Comp Data Recording'!AD:AD,'Saline Comp Data Recording'!C:C=B22), ""Select Col1"")),""-"")"),0.0)</f>
        <v>0</v>
      </c>
      <c r="BN22" s="66" t="str">
        <f>IFERROR(__xludf.DUMMYFUNCTION("if(countif(query(filter('Saline Comp Data Recording'!AE:AE,'Saline Comp Data Recording'!C:C=B22), ""Select Col1""),""TRUE"")=0,""0"",countif(query(filter('Saline Comp Data Recording'!AE:AE,'Saline Comp Data Recording'!C:C=B22), ""Select Col1""),""TRUE""))"&amp;" &amp; ""/"" &amp; if(COUNTA(query(ifna(filter('Saline Comp Data Recording'!AE:AE,'Saline Comp Data Recording'!C:C=B22),""""), ""Select Col1""))=0,""0"",COUNTA(query(ifna(filter('Saline Comp Data Recording'!AE:AE,'Saline Comp Data Recording'!C:C=B22),""""), ""Sel"&amp;"ect Col1"")))"),"0/4")</f>
        <v>0/4</v>
      </c>
      <c r="BO22" s="67" t="str">
        <f>IFERROR(__xludf.DUMMYFUNCTION("if(countif(query(filter('Saline Comp Data Recording'!AF:AF,'Saline Comp Data Recording'!C:C=B22), ""Select Col1""),""TRUE"")=0,""0"",countif(query(filter('Saline Comp Data Recording'!AF:AF,'Saline Comp Data Recording'!C:C=B22), ""Select Col1""),""TRUE""))"&amp;" &amp; ""/"" &amp; if(COUNTA(query(ifna(filter('Saline Comp Data Recording'!AF:AF,'Saline Comp Data Recording'!C:C=B22),""""), ""Select Col1""))=0,""0"",COUNTA(query(ifna(filter('Saline Comp Data Recording'!AF:AF,'Saline Comp Data Recording'!C:C=B22),""""), ""Sel"&amp;"ect Col1"")))"),"0/4")</f>
        <v>0/4</v>
      </c>
      <c r="BP22" s="60" t="str">
        <f>IFERROR(__xludf.DUMMYFUNCTION("if(countif(query(filter('Saline Comp Data Recording'!AI:AI,'Saline Comp Data Recording'!C:C=B22), ""Select Col1""),""TRUE"")=0,""0"",countif(query(filter('Saline Comp Data Recording'!AI:AI,'Saline Comp Data Recording'!C:C=B22), ""Select Col1""),""TRUE""))"&amp;" &amp; ""/"" &amp; if(COUNTA(query(ifna(filter('Saline Comp Data Recording'!AI:AI,'Saline Comp Data Recording'!C:C=B22),""""), ""Select Col1""))=0,""0"",COUNTA(query(ifna(filter('Saline Comp Data Recording'!AI:AI,'Saline Comp Data Recording'!C:C=B22),""""), ""Sel"&amp;"ect Col1"")))"),"1/4")</f>
        <v>1/4</v>
      </c>
      <c r="BQ22" s="55">
        <f>IFERROR(__xludf.DUMMYFUNCTION("iferror(average(query(filter('Saline Comp Data Recording'!AG:AG,'Saline Comp Data Recording'!C:C=B22), ""Select Col1"")),""-"")"),2.75)</f>
        <v>2.75</v>
      </c>
      <c r="BR22" s="69">
        <f>IFERROR(__xludf.DUMMYFUNCTION("iferror(average(query(filter('Saline Comp Data Recording'!AH:AH,'Saline Comp Data Recording'!C:C=B22), ""Select Col1"")),""-"")"),0.25)</f>
        <v>0.25</v>
      </c>
      <c r="BS22" s="70">
        <f>IFERROR(__xludf.DUMMYFUNCTION("iferror(AVERAGE(query(filter('Saline Comp Data Recording'!AK:AK,'Saline Comp Data Recording'!C:C=B22), ""Select Col1"")),""-"")"),19.0)</f>
        <v>19</v>
      </c>
      <c r="BT22" s="70">
        <f>IFERROR(__xludf.DUMMYFUNCTION("iferror(AVERAGE(query(filter('Saline Comp Data Recording'!AL:AL,'Saline Comp Data Recording'!C:C=B22), ""Select Col1"")),""-"")"),19.0)</f>
        <v>19</v>
      </c>
      <c r="BU22" s="71">
        <f>IFERROR(__xludf.DUMMYFUNCTION("iferror(max(query(filter('Saline Comp Data Recording'!AK:AK,'Saline Comp Data Recording'!C:C=B22), ""Select Col1"")),""-"")"),24.0)</f>
        <v>24</v>
      </c>
      <c r="BV22" s="72">
        <f>IFERROR(__xludf.DUMMYFUNCTION("iferror(MIN(query(filter('Saline Comp Data Recording'!AK:AK,'Saline Comp Data Recording'!C:C=B22), ""Select Col1"")),""-"")"),16.0)</f>
        <v>16</v>
      </c>
      <c r="BW22" s="73" t="str">
        <f>IFERROR(__xludf.DUMMYFUNCTION("iferror(if(DIVIDE(COUNTIF(query(filter('Saline Comp Data Recording'!P:P,'Saline Comp Data Recording'!C:C=B22), ""Select Col1""),TRUE),COUNTA(query(ifna(filter('Saline Comp Data Recording'!P:P,'Saline Comp Data Recording'!C:C=B22),""""), ""Select Col1"")))"&amp;"&gt;=(0.5),""1"",""0""),""-"")"),"0")</f>
        <v>0</v>
      </c>
      <c r="BX22" s="59" t="str">
        <f>IFERROR(__xludf.DUMMYFUNCTION("iferror(if(countif(query(filter('Saline Comp Data Recording'!Q:Q,'Saline Comp Data Recording'!C:C=B22), ""Select Col1""),TRUE)/COUNTA(query(ifna(filter('Saline Comp Data Recording'!Q:Q,'Saline Comp Data Recording'!C:C=B22),""""), ""Select Col1""))&gt;=(0.5),"&amp;"""1"",""0""),""-"")"),"0")</f>
        <v>0</v>
      </c>
      <c r="BY22" s="74" t="str">
        <f>IFERROR(__xludf.DUMMYFUNCTION("iferror(if(DIVIDE(COUNTIF(query(filter('Saline Comp Data Recording'!AE:AE,'Saline Comp Data Recording'!C:C=B22), ""Select Col1""),TRUE),COUNTA(query(ifna(filter('Saline Comp Data Recording'!AE:AE,'Saline Comp Data Recording'!C:C=B22),""""), ""Select Col1"&amp;""")))&gt;=(0.5),""1"",""0""),""-"")"),"0")</f>
        <v>0</v>
      </c>
      <c r="BZ22" s="59" t="str">
        <f>IFERROR(__xludf.DUMMYFUNCTION("iferror(if(countif(query(filter('Saline Comp Data Recording'!AF:AF,'Saline Comp Data Recording'!C:C=B22), ""Select Col1""),TRUE)/COUNTA(query(ifna(filter('Saline Comp Data Recording'!AF:AF,'Saline Comp Data Recording'!C:C=B22),""""), ""Select Col1""))&gt;=(0"&amp;".5),""1"",""0""),""-"")"),"0")</f>
        <v>0</v>
      </c>
      <c r="CA22" s="74" t="str">
        <f>IFERROR(__xludf.DUMMYFUNCTION("iferror(if(DIVIDE(countif(query(filter('Saline Comp Data Recording'!R:R,'Saline Comp Data Recording'!C:C=B22), ""Select Col1""),TRUE),COUNTA(query(ifna(filter('Saline Comp Data Recording'!R:R,'Saline Comp Data Recording'!C:C=B22),""""), ""Select Col1"")))"&amp;"&gt;=(0.5),""1"",""0""),""-"")"),"1")</f>
        <v>1</v>
      </c>
    </row>
    <row r="23">
      <c r="A23" s="51" t="s">
        <v>534</v>
      </c>
      <c r="B23" s="51">
        <v>7491.0</v>
      </c>
      <c r="C23" s="52" t="str">
        <f>IFERROR(__xludf.DUMMYFUNCTION("if(countif(query(filter('Saline Comp Data Recording'!R:R,'Saline Comp Data Recording'!C:C=B23), ""Select Col1""),""TRUE"")=0,""0"",countif(query(filter('Saline Comp Data Recording'!R:R,'Saline Comp Data Recording'!C:C=B23), ""Select Col1""),""TRUE"")) &amp; "&amp;"""/"" &amp; if(COUNTA(query(ifna(filter('Saline Comp Data Recording'!R:R,'Saline Comp Data Recording'!C:C=B23),""""), ""Select Col1""))=0,""0"",COUNTA(query(ifna(filter('Saline Comp Data Recording'!R:R,'Saline Comp Data Recording'!C:C=B23),""""), ""Select Col"&amp;"1"")))"),"4/5")</f>
        <v>4/5</v>
      </c>
      <c r="D23" s="53">
        <f>IFERROR(__xludf.DUMMYFUNCTION("iferror(SUM(query(filter('Saline Comp Data Recording'!D:D,'Saline Comp Data Recording'!C:C=B23), ""Select Col1"")),""-"")"),0.0)</f>
        <v>0</v>
      </c>
      <c r="E23" s="53">
        <f>IFERROR(__xludf.DUMMYFUNCTION("iferror(SUM(query(filter('Saline Comp Data Recording'!E:E,'Saline Comp Data Recording'!C:C=B23), ""Select Col1"")),""-"")"),0.0)</f>
        <v>0</v>
      </c>
      <c r="F23" s="54" t="str">
        <f t="shared" si="1"/>
        <v>-</v>
      </c>
      <c r="G23" s="55">
        <f>IFERROR(__xludf.DUMMYFUNCTION("iferror(AVERAGE(query(filter('Saline Comp Data Recording'!E:E,'Saline Comp Data Recording'!C:C=B23), ""Select Col1"")),""0.00"")"),0.0)</f>
        <v>0</v>
      </c>
      <c r="H23" s="53">
        <f>IFERROR(__xludf.DUMMYFUNCTION("iferror(MAX(query(filter('Saline Comp Data Recording'!E:E,'Saline Comp Data Recording'!C:C=B23), ""Select Col1"")),""-"")"),0.0)</f>
        <v>0</v>
      </c>
      <c r="I23" s="56">
        <f>IFERROR(__xludf.DUMMYFUNCTION("iferror(SUM(query(filter('Saline Comp Data Recording'!F:F,'Saline Comp Data Recording'!C:C=B23), ""Select Col1"")),""-"")"),0.0)</f>
        <v>0</v>
      </c>
      <c r="J23" s="57">
        <f>IFERROR(__xludf.DUMMYFUNCTION("iferror(SUM(query(filter('Saline Comp Data Recording'!G:G,'Saline Comp Data Recording'!C:C=B23), ""Select Col1"")),""-"")"),0.0)</f>
        <v>0</v>
      </c>
      <c r="K23" s="54" t="str">
        <f t="shared" si="2"/>
        <v>-</v>
      </c>
      <c r="L23" s="55">
        <f>IFERROR(__xludf.DUMMYFUNCTION("iferror(AVERAGE(query(filter('Saline Comp Data Recording'!G:G,'Saline Comp Data Recording'!C:C=B23), ""Select Col1"")),""0.00"")"),0.0)</f>
        <v>0</v>
      </c>
      <c r="M23" s="53">
        <f>IFERROR(__xludf.DUMMYFUNCTION("iferror(MAX(query(filter('Saline Comp Data Recording'!G:G,'Saline Comp Data Recording'!C:C=B23), ""Select Col1"")),""-"")"),0.0)</f>
        <v>0</v>
      </c>
      <c r="N23" s="58">
        <f>IFERROR(__xludf.DUMMYFUNCTION("iferror(SUM(query(filter('Saline Comp Data Recording'!H:H,'Saline Comp Data Recording'!C:C=B23), ""Select Col1"")),""-"")"),0.0)</f>
        <v>0</v>
      </c>
      <c r="O23" s="59">
        <f>IFERROR(__xludf.DUMMYFUNCTION("iferror(SUM(query(filter('Saline Comp Data Recording'!I:I,'Saline Comp Data Recording'!C:C=B23), ""Select Col1"")),""-"")"),0.0)</f>
        <v>0</v>
      </c>
      <c r="P23" s="54" t="str">
        <f t="shared" si="3"/>
        <v>-</v>
      </c>
      <c r="Q23" s="55">
        <f>IFERROR(__xludf.DUMMYFUNCTION("iferror(AVERAGE(query(filter('Saline Comp Data Recording'!I:I,'Saline Comp Data Recording'!C:C=B23), ""Select Col1"")),""0.00"")"),0.0)</f>
        <v>0</v>
      </c>
      <c r="R23" s="53">
        <f>IFERROR(__xludf.DUMMYFUNCTION("iferror(MAX(query(filter('Saline Comp Data Recording'!I:I,'Saline Comp Data Recording'!C:C=B23), ""Select Col1"")),""-"")"),0.0)</f>
        <v>0</v>
      </c>
      <c r="S23" s="58">
        <f>IFERROR(__xludf.DUMMYFUNCTION("iferror(SUM(query(filter('Saline Comp Data Recording'!J:J,'Saline Comp Data Recording'!C:C=B23), ""Select Col1"")),""-"")"),3.0)</f>
        <v>3</v>
      </c>
      <c r="T23" s="59">
        <f>IFERROR(__xludf.DUMMYFUNCTION("iferror(SUM(query(filter('Saline Comp Data Recording'!K:K,'Saline Comp Data Recording'!C:C=B23), ""Select Col1"")),""-"")"),3.0)</f>
        <v>3</v>
      </c>
      <c r="U23" s="54">
        <f t="shared" si="4"/>
        <v>1</v>
      </c>
      <c r="V23" s="55">
        <f>IFERROR(__xludf.DUMMYFUNCTION("iferror(AVERAGE(query(filter('Saline Comp Data Recording'!K:K,'Saline Comp Data Recording'!C:C=B23), ""Select Col1"")),""-"")"),0.6)</f>
        <v>0.6</v>
      </c>
      <c r="W23" s="52">
        <f>IFERROR(__xludf.DUMMYFUNCTION("iferror(MAX(query(filter('Saline Comp Data Recording'!K:K,'Saline Comp Data Recording'!C:C=B23), ""Select Col1"")),""-"")"),1.0)</f>
        <v>1</v>
      </c>
      <c r="X23" s="59">
        <f>IFERROR(__xludf.DUMMYFUNCTION("iferror(SUM(query(filter('Saline Comp Data Recording'!L:L,'Saline Comp Data Recording'!C:C=B23), ""Select Col1"")),""-"")"),1.0)</f>
        <v>1</v>
      </c>
      <c r="Y23" s="59">
        <f>IFERROR(__xludf.DUMMYFUNCTION("iferror(SUM(query(filter('Saline Comp Data Recording'!M:M,'Saline Comp Data Recording'!C:C=B23), ""Select Col1"")),""-"")"),1.0)</f>
        <v>1</v>
      </c>
      <c r="Z23" s="54">
        <f t="shared" si="5"/>
        <v>1</v>
      </c>
      <c r="AA23" s="55">
        <f>IFERROR(__xludf.DUMMYFUNCTION("iferror(AVERAGE(query(filter('Saline Comp Data Recording'!M:M,'Saline Comp Data Recording'!C:C=B23), ""Select Col1"")),""0.00"")"),0.2)</f>
        <v>0.2</v>
      </c>
      <c r="AB23" s="52">
        <f>IFERROR(__xludf.DUMMYFUNCTION("iferror(MAX(query(filter('Saline Comp Data Recording'!M:M,'Saline Comp Data Recording'!C:C=B23), ""Select Col1"")),""-"")"),1.0)</f>
        <v>1</v>
      </c>
      <c r="AC23" s="59">
        <f>IFERROR(__xludf.DUMMYFUNCTION("iferror(SUM(query(filter('Saline Comp Data Recording'!N:N,'Saline Comp Data Recording'!C:C=B23), ""Select Col1"")),""-"")"),1.0)</f>
        <v>1</v>
      </c>
      <c r="AD23" s="59">
        <f>IFERROR(__xludf.DUMMYFUNCTION("iferror(SUM(query(filter('Saline Comp Data Recording'!O:O,'Saline Comp Data Recording'!C:C=B23), ""Select Col1"")),""-"")"),1.0)</f>
        <v>1</v>
      </c>
      <c r="AE23" s="54">
        <f t="shared" si="6"/>
        <v>1</v>
      </c>
      <c r="AF23" s="55">
        <f>IFERROR(__xludf.DUMMYFUNCTION("iferror(AVERAGE(query(filter('Saline Comp Data Recording'!O:O,'Saline Comp Data Recording'!C:C=B23), ""Select Col1"")),""0.00"")"),0.2)</f>
        <v>0.2</v>
      </c>
      <c r="AG23" s="59">
        <f>IFERROR(__xludf.DUMMYFUNCTION("iferror(MAX(query(filter('Saline Comp Data Recording'!O:O,'Saline Comp Data Recording'!C:C=B23), ""Select Col1"")),""-"")"),1.0)</f>
        <v>1</v>
      </c>
      <c r="AH23" s="58" t="str">
        <f>IFERROR(__xludf.DUMMYFUNCTION("if(countif(query(filter('Saline Comp Data Recording'!P:P,'Saline Comp Data Recording'!C:C=B23), ""Select Col1""),TRUE)=0,""0"",countif(query(filter('Saline Comp Data Recording'!P:P,'Saline Comp Data Recording'!C:C=B23), ""Select Col1""),TRUE)) &amp; ""/"" &amp; i"&amp;"f(COUNTA(query(ifna(filter('Saline Comp Data Recording'!P:P,'Saline Comp Data Recording'!C:C=B23),""""), ""Select Col1""))=0,""0"",COUNTA(query(ifna(filter('Saline Comp Data Recording'!P:P,'Saline Comp Data Recording'!C:C=B23),""""), ""Select Col1"")))"),"1/5")</f>
        <v>1/5</v>
      </c>
      <c r="AI23" s="60" t="str">
        <f>IFERROR(__xludf.DUMMYFUNCTION("if(countif(query(filter('Saline Comp Data Recording'!Q:Q,'Saline Comp Data Recording'!C:C=B23), ""Select Col1""),TRUE)=0,""0"",countif(query(filter('Saline Comp Data Recording'!Q:Q,'Saline Comp Data Recording'!C:C=B23), ""Select Col1""),TRUE)) &amp; ""/"" &amp; i"&amp;"f(COUNTA(query(ifna(filter('Saline Comp Data Recording'!Q:Q,'Saline Comp Data Recording'!C:C=B23),""""), ""Select Col1""))=0,""0"",COUNTA(query(ifna(filter('Saline Comp Data Recording'!Q:Q,'Saline Comp Data Recording'!C:C=B23),""""), ""Select Col1"")))"),"1/5")</f>
        <v>1/5</v>
      </c>
      <c r="AJ23" s="59">
        <f>IFERROR(__xludf.DUMMYFUNCTION("iferror(SUM(query(filter('Saline Comp Data Recording'!S:S,'Saline Comp Data Recording'!C:C=B23), ""Select Col1"")),""-"")"),5.0)</f>
        <v>5</v>
      </c>
      <c r="AK23" s="59">
        <f>IFERROR(__xludf.DUMMYFUNCTION("iferror(SUM(query(filter('Saline Comp Data Recording'!T:T,'Saline Comp Data Recording'!C:C=B23), ""Select Col1"")),""-"")"),3.0)</f>
        <v>3</v>
      </c>
      <c r="AL23" s="54">
        <f t="shared" si="7"/>
        <v>0.6</v>
      </c>
      <c r="AM23" s="55">
        <f>IFERROR(__xludf.DUMMYFUNCTION("iferror(AVERAGE(query(filter('Saline Comp Data Recording'!T:T,'Saline Comp Data Recording'!C:C=B23), ""Select Col1"")),""0.00"")"),0.6)</f>
        <v>0.6</v>
      </c>
      <c r="AN23" s="61">
        <f>IFERROR(__xludf.DUMMYFUNCTION("iferror(MAX(query(filter('Saline Comp Data Recording'!T:T,'Saline Comp Data Recording'!C:C=B23), ""Select Col1"")),""-"")"),1.0)</f>
        <v>1</v>
      </c>
      <c r="AO23" s="62">
        <f>IFERROR(__xludf.DUMMYFUNCTION("iferror(SUM(query(filter('Saline Comp Data Recording'!U:U,'Saline Comp Data Recording'!C:C=B23), ""Select Col1"")),""-"")"),1.0)</f>
        <v>1</v>
      </c>
      <c r="AP23" s="62">
        <f>IFERROR(__xludf.DUMMYFUNCTION("iferror(SUM(query(filter('Saline Comp Data Recording'!V:V,'Saline Comp Data Recording'!C:C=B23), ""Select Col1"")),""-"")"),1.0)</f>
        <v>1</v>
      </c>
      <c r="AQ23" s="63">
        <f t="shared" si="8"/>
        <v>1</v>
      </c>
      <c r="AR23" s="64">
        <f>IFERROR(__xludf.DUMMYFUNCTION("iferror(AVERAGE(query(filter('Saline Comp Data Recording'!V:V,'Saline Comp Data Recording'!C:C=B23), ""Select Col1"")),""0.00"")"),0.2)</f>
        <v>0.2</v>
      </c>
      <c r="AS23" s="65">
        <f>IFERROR(__xludf.DUMMYFUNCTION("iferror(MAX(query(filter('Saline Comp Data Recording'!V:V,'Saline Comp Data Recording'!C:C=B23), ""Select Col1"")),""-"")"),1.0)</f>
        <v>1</v>
      </c>
      <c r="AT23" s="62">
        <f>IFERROR(__xludf.DUMMYFUNCTION("iferror(SUM(query(filter('Saline Comp Data Recording'!W:W,'Saline Comp Data Recording'!C:C=B23), ""Select Col1"")),""-"")"),3.0)</f>
        <v>3</v>
      </c>
      <c r="AU23" s="62">
        <f>IFERROR(__xludf.DUMMYFUNCTION("iferror(SUM(query(filter('Saline Comp Data Recording'!X:X,'Saline Comp Data Recording'!C:C=B23), ""Select Col1"")),""-"")"),3.0)</f>
        <v>3</v>
      </c>
      <c r="AV23" s="63">
        <f t="shared" si="9"/>
        <v>1</v>
      </c>
      <c r="AW23" s="64">
        <f>IFERROR(__xludf.DUMMYFUNCTION("iferror(AVERAGE(query(filter('Saline Comp Data Recording'!X:X,'Saline Comp Data Recording'!C:C=B23), ""Select Col1"")),""0.00"")"),0.6)</f>
        <v>0.6</v>
      </c>
      <c r="AX23" s="65">
        <f>IFERROR(__xludf.DUMMYFUNCTION("iferror(MAX(query(filter('Saline Comp Data Recording'!X:X,'Saline Comp Data Recording'!C:C=B23), ""Select Col1"")),""-"")"),2.0)</f>
        <v>2</v>
      </c>
      <c r="AY23" s="62">
        <f>IFERROR(__xludf.DUMMYFUNCTION("iferror(SUM(query(filter('Saline Comp Data Recording'!Y:Y,'Saline Comp Data Recording'!C:C=B23), ""Select Col1"")),""-"")"),3.0)</f>
        <v>3</v>
      </c>
      <c r="AZ23" s="62">
        <f>IFERROR(__xludf.DUMMYFUNCTION("iferror(SUM(query(filter('Saline Comp Data Recording'!Z:Z,'Saline Comp Data Recording'!C:C=B23), ""Select Col1"")),""-"")"),3.0)</f>
        <v>3</v>
      </c>
      <c r="BA23" s="63">
        <f t="shared" si="10"/>
        <v>1</v>
      </c>
      <c r="BB23" s="64">
        <f>IFERROR(__xludf.DUMMYFUNCTION("iferror(AVERAGE(query(filter('Saline Comp Data Recording'!Z:Z,'Saline Comp Data Recording'!C:C=B23), ""Select Col1"")),""0.00"")"),0.6)</f>
        <v>0.6</v>
      </c>
      <c r="BC23" s="65">
        <f>IFERROR(__xludf.DUMMYFUNCTION("iferror(MAX(query(filter('Saline Comp Data Recording'!Z:Z,'Saline Comp Data Recording'!C:C=B23), ""Select Col1"")),""-"")"),2.0)</f>
        <v>2</v>
      </c>
      <c r="BD23" s="62">
        <f>IFERROR(__xludf.DUMMYFUNCTION("iferror(SUM(query(filter('Saline Comp Data Recording'!AA:AA,'Saline Comp Data Recording'!C:C=B23), ""Select Col1"")),""-"")"),0.0)</f>
        <v>0</v>
      </c>
      <c r="BE23" s="62">
        <f>IFERROR(__xludf.DUMMYFUNCTION("iferror(SUM(query(filter('Saline Comp Data Recording'!AB:AB,'Saline Comp Data Recording'!C:C=B23), ""Select Col1"")),""-"")"),0.0)</f>
        <v>0</v>
      </c>
      <c r="BF23" s="63" t="str">
        <f t="shared" si="11"/>
        <v>-</v>
      </c>
      <c r="BG23" s="64">
        <f>IFERROR(__xludf.DUMMYFUNCTION("iferror(AVERAGE(query(filter('Saline Comp Data Recording'!AB:AB,'Saline Comp Data Recording'!C:C=B23), ""Select Col1"")),""0.00"")"),0.0)</f>
        <v>0</v>
      </c>
      <c r="BH23" s="65">
        <f>IFERROR(__xludf.DUMMYFUNCTION("iferror(MAX(query(filter('Saline Comp Data Recording'!AB:AB,'Saline Comp Data Recording'!C:C=B23), ""Select Col1"")),""-"")"),0.0)</f>
        <v>0</v>
      </c>
      <c r="BI23" s="62">
        <f>IFERROR(__xludf.DUMMYFUNCTION("iferror(SUM(query(filter('Saline Comp Data Recording'!AC:AC,'Saline Comp Data Recording'!C:C=B23), ""Select Col1"")),""-"")"),0.0)</f>
        <v>0</v>
      </c>
      <c r="BJ23" s="62">
        <f>IFERROR(__xludf.DUMMYFUNCTION("iferror(SUM(query(filter('Saline Comp Data Recording'!AD:AD,'Saline Comp Data Recording'!C:C=B23), ""Select Col1"")),""-"")"),0.0)</f>
        <v>0</v>
      </c>
      <c r="BK23" s="63" t="str">
        <f t="shared" si="12"/>
        <v>-</v>
      </c>
      <c r="BL23" s="64">
        <f>IFERROR(__xludf.DUMMYFUNCTION("iferror(AVERAGE(query(filter('Saline Comp Data Recording'!AD:AD,'Saline Comp Data Recording'!C:C=B23), ""Select Col1"")),""0.00"")"),0.0)</f>
        <v>0</v>
      </c>
      <c r="BM23" s="65">
        <f>IFERROR(__xludf.DUMMYFUNCTION("iferror(MAX(query(filter('Saline Comp Data Recording'!AD:AD,'Saline Comp Data Recording'!C:C=B23), ""Select Col1"")),""-"")"),0.0)</f>
        <v>0</v>
      </c>
      <c r="BN23" s="66" t="str">
        <f>IFERROR(__xludf.DUMMYFUNCTION("if(countif(query(filter('Saline Comp Data Recording'!AE:AE,'Saline Comp Data Recording'!C:C=B23), ""Select Col1""),""TRUE"")=0,""0"",countif(query(filter('Saline Comp Data Recording'!AE:AE,'Saline Comp Data Recording'!C:C=B23), ""Select Col1""),""TRUE""))"&amp;" &amp; ""/"" &amp; if(COUNTA(query(ifna(filter('Saline Comp Data Recording'!AE:AE,'Saline Comp Data Recording'!C:C=B23),""""), ""Select Col1""))=0,""0"",COUNTA(query(ifna(filter('Saline Comp Data Recording'!AE:AE,'Saline Comp Data Recording'!C:C=B23),""""), ""Sel"&amp;"ect Col1"")))"),"1/5")</f>
        <v>1/5</v>
      </c>
      <c r="BO23" s="67" t="str">
        <f>IFERROR(__xludf.DUMMYFUNCTION("if(countif(query(filter('Saline Comp Data Recording'!AF:AF,'Saline Comp Data Recording'!C:C=B23), ""Select Col1""),""TRUE"")=0,""0"",countif(query(filter('Saline Comp Data Recording'!AF:AF,'Saline Comp Data Recording'!C:C=B23), ""Select Col1""),""TRUE""))"&amp;" &amp; ""/"" &amp; if(COUNTA(query(ifna(filter('Saline Comp Data Recording'!AF:AF,'Saline Comp Data Recording'!C:C=B23),""""), ""Select Col1""))=0,""0"",COUNTA(query(ifna(filter('Saline Comp Data Recording'!AF:AF,'Saline Comp Data Recording'!C:C=B23),""""), ""Sel"&amp;"ect Col1"")))"),"1/5")</f>
        <v>1/5</v>
      </c>
      <c r="BP23" s="60" t="str">
        <f>IFERROR(__xludf.DUMMYFUNCTION("if(countif(query(filter('Saline Comp Data Recording'!AI:AI,'Saline Comp Data Recording'!C:C=B23), ""Select Col1""),""TRUE"")=0,""0"",countif(query(filter('Saline Comp Data Recording'!AI:AI,'Saline Comp Data Recording'!C:C=B23), ""Select Col1""),""TRUE""))"&amp;" &amp; ""/"" &amp; if(COUNTA(query(ifna(filter('Saline Comp Data Recording'!AI:AI,'Saline Comp Data Recording'!C:C=B23),""""), ""Select Col1""))=0,""0"",COUNTA(query(ifna(filter('Saline Comp Data Recording'!AI:AI,'Saline Comp Data Recording'!C:C=B23),""""), ""Sel"&amp;"ect Col1"")))"),"2/5")</f>
        <v>2/5</v>
      </c>
      <c r="BQ23" s="55">
        <f>IFERROR(__xludf.DUMMYFUNCTION("iferror(average(query(filter('Saline Comp Data Recording'!AG:AG,'Saline Comp Data Recording'!C:C=B23), ""Select Col1"")),""-"")"),1.4)</f>
        <v>1.4</v>
      </c>
      <c r="BR23" s="69">
        <f>IFERROR(__xludf.DUMMYFUNCTION("iferror(average(query(filter('Saline Comp Data Recording'!AH:AH,'Saline Comp Data Recording'!C:C=B23), ""Select Col1"")),""-"")"),0.8)</f>
        <v>0.8</v>
      </c>
      <c r="BS23" s="70">
        <f>IFERROR(__xludf.DUMMYFUNCTION("iferror(AVERAGE(query(filter('Saline Comp Data Recording'!AK:AK,'Saline Comp Data Recording'!C:C=B23), ""Select Col1"")),""-"")"),19.6)</f>
        <v>19.6</v>
      </c>
      <c r="BT23" s="70">
        <f>IFERROR(__xludf.DUMMYFUNCTION("iferror(AVERAGE(query(filter('Saline Comp Data Recording'!AL:AL,'Saline Comp Data Recording'!C:C=B23), ""Select Col1"")),""-"")"),15.2)</f>
        <v>15.2</v>
      </c>
      <c r="BU23" s="71">
        <f>IFERROR(__xludf.DUMMYFUNCTION("iferror(max(query(filter('Saline Comp Data Recording'!AK:AK,'Saline Comp Data Recording'!C:C=B23), ""Select Col1"")),""-"")"),34.0)</f>
        <v>34</v>
      </c>
      <c r="BV23" s="72">
        <f>IFERROR(__xludf.DUMMYFUNCTION("iferror(MIN(query(filter('Saline Comp Data Recording'!AK:AK,'Saline Comp Data Recording'!C:C=B23), ""Select Col1"")),""-"")"),13.0)</f>
        <v>13</v>
      </c>
      <c r="BW23" s="73" t="str">
        <f>IFERROR(__xludf.DUMMYFUNCTION("iferror(if(DIVIDE(COUNTIF(query(filter('Saline Comp Data Recording'!P:P,'Saline Comp Data Recording'!C:C=B23), ""Select Col1""),TRUE),COUNTA(query(ifna(filter('Saline Comp Data Recording'!P:P,'Saline Comp Data Recording'!C:C=B23),""""), ""Select Col1"")))"&amp;"&gt;=(0.5),""1"",""0""),""-"")"),"0")</f>
        <v>0</v>
      </c>
      <c r="BX23" s="59" t="str">
        <f>IFERROR(__xludf.DUMMYFUNCTION("iferror(if(countif(query(filter('Saline Comp Data Recording'!Q:Q,'Saline Comp Data Recording'!C:C=B23), ""Select Col1""),TRUE)/COUNTA(query(ifna(filter('Saline Comp Data Recording'!Q:Q,'Saline Comp Data Recording'!C:C=B23),""""), ""Select Col1""))&gt;=(0.5),"&amp;"""1"",""0""),""-"")"),"0")</f>
        <v>0</v>
      </c>
      <c r="BY23" s="74" t="str">
        <f>IFERROR(__xludf.DUMMYFUNCTION("iferror(if(DIVIDE(COUNTIF(query(filter('Saline Comp Data Recording'!AE:AE,'Saline Comp Data Recording'!C:C=B23), ""Select Col1""),TRUE),COUNTA(query(ifna(filter('Saline Comp Data Recording'!AE:AE,'Saline Comp Data Recording'!C:C=B23),""""), ""Select Col1"&amp;""")))&gt;=(0.5),""1"",""0""),""-"")"),"0")</f>
        <v>0</v>
      </c>
      <c r="BZ23" s="59" t="str">
        <f>IFERROR(__xludf.DUMMYFUNCTION("iferror(if(countif(query(filter('Saline Comp Data Recording'!AF:AF,'Saline Comp Data Recording'!C:C=B23), ""Select Col1""),TRUE)/COUNTA(query(ifna(filter('Saline Comp Data Recording'!AF:AF,'Saline Comp Data Recording'!C:C=B23),""""), ""Select Col1""))&gt;=(0"&amp;".5),""1"",""0""),""-"")"),"0")</f>
        <v>0</v>
      </c>
      <c r="CA23" s="74" t="str">
        <f>IFERROR(__xludf.DUMMYFUNCTION("iferror(if(DIVIDE(countif(query(filter('Saline Comp Data Recording'!R:R,'Saline Comp Data Recording'!C:C=B23), ""Select Col1""),TRUE),COUNTA(query(ifna(filter('Saline Comp Data Recording'!R:R,'Saline Comp Data Recording'!C:C=B23),""""), ""Select Col1"")))"&amp;"&gt;=(0.5),""1"",""0""),""-"")"),"1")</f>
        <v>1</v>
      </c>
    </row>
    <row r="24">
      <c r="A24" s="51" t="s">
        <v>535</v>
      </c>
      <c r="B24" s="51">
        <v>7056.0</v>
      </c>
      <c r="C24" s="52" t="str">
        <f>IFERROR(__xludf.DUMMYFUNCTION("if(countif(query(filter('Saline Comp Data Recording'!R:R,'Saline Comp Data Recording'!C:C=B24), ""Select Col1""),""TRUE"")=0,""0"",countif(query(filter('Saline Comp Data Recording'!R:R,'Saline Comp Data Recording'!C:C=B24), ""Select Col1""),""TRUE"")) &amp; "&amp;"""/"" &amp; if(COUNTA(query(ifna(filter('Saline Comp Data Recording'!R:R,'Saline Comp Data Recording'!C:C=B24),""""), ""Select Col1""))=0,""0"",COUNTA(query(ifna(filter('Saline Comp Data Recording'!R:R,'Saline Comp Data Recording'!C:C=B24),""""), ""Select Col"&amp;"1"")))"),"4/5")</f>
        <v>4/5</v>
      </c>
      <c r="D24" s="53">
        <f>IFERROR(__xludf.DUMMYFUNCTION("iferror(SUM(query(filter('Saline Comp Data Recording'!D:D,'Saline Comp Data Recording'!C:C=B24), ""Select Col1"")),""-"")"),4.0)</f>
        <v>4</v>
      </c>
      <c r="E24" s="53">
        <f>IFERROR(__xludf.DUMMYFUNCTION("iferror(SUM(query(filter('Saline Comp Data Recording'!E:E,'Saline Comp Data Recording'!C:C=B24), ""Select Col1"")),""-"")"),2.0)</f>
        <v>2</v>
      </c>
      <c r="F24" s="54">
        <f t="shared" si="1"/>
        <v>0.5</v>
      </c>
      <c r="G24" s="55">
        <f>IFERROR(__xludf.DUMMYFUNCTION("iferror(AVERAGE(query(filter('Saline Comp Data Recording'!E:E,'Saline Comp Data Recording'!C:C=B24), ""Select Col1"")),""0.00"")"),0.4)</f>
        <v>0.4</v>
      </c>
      <c r="H24" s="53">
        <f>IFERROR(__xludf.DUMMYFUNCTION("iferror(MAX(query(filter('Saline Comp Data Recording'!E:E,'Saline Comp Data Recording'!C:C=B24), ""Select Col1"")),""-"")"),1.0)</f>
        <v>1</v>
      </c>
      <c r="I24" s="56">
        <f>IFERROR(__xludf.DUMMYFUNCTION("iferror(SUM(query(filter('Saline Comp Data Recording'!F:F,'Saline Comp Data Recording'!C:C=B24), ""Select Col1"")),""-"")"),0.0)</f>
        <v>0</v>
      </c>
      <c r="J24" s="57">
        <f>IFERROR(__xludf.DUMMYFUNCTION("iferror(SUM(query(filter('Saline Comp Data Recording'!G:G,'Saline Comp Data Recording'!C:C=B24), ""Select Col1"")),""-"")"),0.0)</f>
        <v>0</v>
      </c>
      <c r="K24" s="54" t="str">
        <f t="shared" si="2"/>
        <v>-</v>
      </c>
      <c r="L24" s="55">
        <f>IFERROR(__xludf.DUMMYFUNCTION("iferror(AVERAGE(query(filter('Saline Comp Data Recording'!G:G,'Saline Comp Data Recording'!C:C=B24), ""Select Col1"")),""0.00"")"),0.0)</f>
        <v>0</v>
      </c>
      <c r="M24" s="53">
        <f>IFERROR(__xludf.DUMMYFUNCTION("iferror(MAX(query(filter('Saline Comp Data Recording'!G:G,'Saline Comp Data Recording'!C:C=B24), ""Select Col1"")),""-"")"),0.0)</f>
        <v>0</v>
      </c>
      <c r="N24" s="58">
        <f>IFERROR(__xludf.DUMMYFUNCTION("iferror(SUM(query(filter('Saline Comp Data Recording'!H:H,'Saline Comp Data Recording'!C:C=B24), ""Select Col1"")),""-"")"),1.0)</f>
        <v>1</v>
      </c>
      <c r="O24" s="59">
        <f>IFERROR(__xludf.DUMMYFUNCTION("iferror(SUM(query(filter('Saline Comp Data Recording'!I:I,'Saline Comp Data Recording'!C:C=B24), ""Select Col1"")),""-"")"),1.0)</f>
        <v>1</v>
      </c>
      <c r="P24" s="54">
        <f t="shared" si="3"/>
        <v>1</v>
      </c>
      <c r="Q24" s="55">
        <f>IFERROR(__xludf.DUMMYFUNCTION("iferror(AVERAGE(query(filter('Saline Comp Data Recording'!I:I,'Saline Comp Data Recording'!C:C=B24), ""Select Col1"")),""0.00"")"),0.2)</f>
        <v>0.2</v>
      </c>
      <c r="R24" s="53">
        <f>IFERROR(__xludf.DUMMYFUNCTION("iferror(MAX(query(filter('Saline Comp Data Recording'!I:I,'Saline Comp Data Recording'!C:C=B24), ""Select Col1"")),""-"")"),1.0)</f>
        <v>1</v>
      </c>
      <c r="S24" s="58">
        <f>IFERROR(__xludf.DUMMYFUNCTION("iferror(SUM(query(filter('Saline Comp Data Recording'!J:J,'Saline Comp Data Recording'!C:C=B24), ""Select Col1"")),""-"")"),0.0)</f>
        <v>0</v>
      </c>
      <c r="T24" s="59">
        <f>IFERROR(__xludf.DUMMYFUNCTION("iferror(SUM(query(filter('Saline Comp Data Recording'!K:K,'Saline Comp Data Recording'!C:C=B24), ""Select Col1"")),""-"")"),0.0)</f>
        <v>0</v>
      </c>
      <c r="U24" s="54" t="str">
        <f t="shared" si="4"/>
        <v>-</v>
      </c>
      <c r="V24" s="55">
        <f>IFERROR(__xludf.DUMMYFUNCTION("iferror(AVERAGE(query(filter('Saline Comp Data Recording'!K:K,'Saline Comp Data Recording'!C:C=B24), ""Select Col1"")),""-"")"),0.0)</f>
        <v>0</v>
      </c>
      <c r="W24" s="52">
        <f>IFERROR(__xludf.DUMMYFUNCTION("iferror(MAX(query(filter('Saline Comp Data Recording'!K:K,'Saline Comp Data Recording'!C:C=B24), ""Select Col1"")),""-"")"),0.0)</f>
        <v>0</v>
      </c>
      <c r="X24" s="59">
        <f>IFERROR(__xludf.DUMMYFUNCTION("iferror(SUM(query(filter('Saline Comp Data Recording'!L:L,'Saline Comp Data Recording'!C:C=B24), ""Select Col1"")),""-"")"),0.0)</f>
        <v>0</v>
      </c>
      <c r="Y24" s="59">
        <f>IFERROR(__xludf.DUMMYFUNCTION("iferror(SUM(query(filter('Saline Comp Data Recording'!M:M,'Saline Comp Data Recording'!C:C=B24), ""Select Col1"")),""-"")"),0.0)</f>
        <v>0</v>
      </c>
      <c r="Z24" s="54" t="str">
        <f t="shared" si="5"/>
        <v>-</v>
      </c>
      <c r="AA24" s="55">
        <f>IFERROR(__xludf.DUMMYFUNCTION("iferror(AVERAGE(query(filter('Saline Comp Data Recording'!M:M,'Saline Comp Data Recording'!C:C=B24), ""Select Col1"")),""0.00"")"),0.0)</f>
        <v>0</v>
      </c>
      <c r="AB24" s="52">
        <f>IFERROR(__xludf.DUMMYFUNCTION("iferror(MAX(query(filter('Saline Comp Data Recording'!M:M,'Saline Comp Data Recording'!C:C=B24), ""Select Col1"")),""-"")"),0.0)</f>
        <v>0</v>
      </c>
      <c r="AC24" s="59">
        <f>IFERROR(__xludf.DUMMYFUNCTION("iferror(SUM(query(filter('Saline Comp Data Recording'!N:N,'Saline Comp Data Recording'!C:C=B24), ""Select Col1"")),""-"")"),0.0)</f>
        <v>0</v>
      </c>
      <c r="AD24" s="59">
        <f>IFERROR(__xludf.DUMMYFUNCTION("iferror(SUM(query(filter('Saline Comp Data Recording'!O:O,'Saline Comp Data Recording'!C:C=B24), ""Select Col1"")),""-"")"),0.0)</f>
        <v>0</v>
      </c>
      <c r="AE24" s="54" t="str">
        <f t="shared" si="6"/>
        <v>-</v>
      </c>
      <c r="AF24" s="55">
        <f>IFERROR(__xludf.DUMMYFUNCTION("iferror(AVERAGE(query(filter('Saline Comp Data Recording'!O:O,'Saline Comp Data Recording'!C:C=B24), ""Select Col1"")),""0.00"")"),0.0)</f>
        <v>0</v>
      </c>
      <c r="AG24" s="59">
        <f>IFERROR(__xludf.DUMMYFUNCTION("iferror(MAX(query(filter('Saline Comp Data Recording'!O:O,'Saline Comp Data Recording'!C:C=B24), ""Select Col1"")),""-"")"),0.0)</f>
        <v>0</v>
      </c>
      <c r="AH24" s="58" t="str">
        <f>IFERROR(__xludf.DUMMYFUNCTION("if(countif(query(filter('Saline Comp Data Recording'!P:P,'Saline Comp Data Recording'!C:C=B24), ""Select Col1""),TRUE)=0,""0"",countif(query(filter('Saline Comp Data Recording'!P:P,'Saline Comp Data Recording'!C:C=B24), ""Select Col1""),TRUE)) &amp; ""/"" &amp; i"&amp;"f(COUNTA(query(ifna(filter('Saline Comp Data Recording'!P:P,'Saline Comp Data Recording'!C:C=B24),""""), ""Select Col1""))=0,""0"",COUNTA(query(ifna(filter('Saline Comp Data Recording'!P:P,'Saline Comp Data Recording'!C:C=B24),""""), ""Select Col1"")))"),"3/5")</f>
        <v>3/5</v>
      </c>
      <c r="AI24" s="60" t="str">
        <f>IFERROR(__xludf.DUMMYFUNCTION("if(countif(query(filter('Saline Comp Data Recording'!Q:Q,'Saline Comp Data Recording'!C:C=B24), ""Select Col1""),TRUE)=0,""0"",countif(query(filter('Saline Comp Data Recording'!Q:Q,'Saline Comp Data Recording'!C:C=B24), ""Select Col1""),TRUE)) &amp; ""/"" &amp; i"&amp;"f(COUNTA(query(ifna(filter('Saline Comp Data Recording'!Q:Q,'Saline Comp Data Recording'!C:C=B24),""""), ""Select Col1""))=0,""0"",COUNTA(query(ifna(filter('Saline Comp Data Recording'!Q:Q,'Saline Comp Data Recording'!C:C=B24),""""), ""Select Col1"")))"),"4/5")</f>
        <v>4/5</v>
      </c>
      <c r="AJ24" s="59">
        <f>IFERROR(__xludf.DUMMYFUNCTION("iferror(SUM(query(filter('Saline Comp Data Recording'!S:S,'Saline Comp Data Recording'!C:C=B24), ""Select Col1"")),""-"")"),7.0)</f>
        <v>7</v>
      </c>
      <c r="AK24" s="59">
        <f>IFERROR(__xludf.DUMMYFUNCTION("iferror(SUM(query(filter('Saline Comp Data Recording'!T:T,'Saline Comp Data Recording'!C:C=B24), ""Select Col1"")),""-"")"),6.0)</f>
        <v>6</v>
      </c>
      <c r="AL24" s="54">
        <f t="shared" si="7"/>
        <v>0.8571428571</v>
      </c>
      <c r="AM24" s="55">
        <f>IFERROR(__xludf.DUMMYFUNCTION("iferror(AVERAGE(query(filter('Saline Comp Data Recording'!T:T,'Saline Comp Data Recording'!C:C=B24), ""Select Col1"")),""0.00"")"),1.2)</f>
        <v>1.2</v>
      </c>
      <c r="AN24" s="61">
        <f>IFERROR(__xludf.DUMMYFUNCTION("iferror(MAX(query(filter('Saline Comp Data Recording'!T:T,'Saline Comp Data Recording'!C:C=B24), ""Select Col1"")),""-"")"),2.0)</f>
        <v>2</v>
      </c>
      <c r="AO24" s="62">
        <f>IFERROR(__xludf.DUMMYFUNCTION("iferror(SUM(query(filter('Saline Comp Data Recording'!U:U,'Saline Comp Data Recording'!C:C=B24), ""Select Col1"")),""-"")"),1.0)</f>
        <v>1</v>
      </c>
      <c r="AP24" s="62">
        <f>IFERROR(__xludf.DUMMYFUNCTION("iferror(SUM(query(filter('Saline Comp Data Recording'!V:V,'Saline Comp Data Recording'!C:C=B24), ""Select Col1"")),""-"")"),1.0)</f>
        <v>1</v>
      </c>
      <c r="AQ24" s="63">
        <f t="shared" si="8"/>
        <v>1</v>
      </c>
      <c r="AR24" s="64">
        <f>IFERROR(__xludf.DUMMYFUNCTION("iferror(AVERAGE(query(filter('Saline Comp Data Recording'!V:V,'Saline Comp Data Recording'!C:C=B24), ""Select Col1"")),""0.00"")"),0.2)</f>
        <v>0.2</v>
      </c>
      <c r="AS24" s="65">
        <f>IFERROR(__xludf.DUMMYFUNCTION("iferror(MAX(query(filter('Saline Comp Data Recording'!V:V,'Saline Comp Data Recording'!C:C=B24), ""Select Col1"")),""-"")"),1.0)</f>
        <v>1</v>
      </c>
      <c r="AT24" s="62">
        <f>IFERROR(__xludf.DUMMYFUNCTION("iferror(SUM(query(filter('Saline Comp Data Recording'!W:W,'Saline Comp Data Recording'!C:C=B24), ""Select Col1"")),""-"")"),0.0)</f>
        <v>0</v>
      </c>
      <c r="AU24" s="62">
        <f>IFERROR(__xludf.DUMMYFUNCTION("iferror(SUM(query(filter('Saline Comp Data Recording'!X:X,'Saline Comp Data Recording'!C:C=B24), ""Select Col1"")),""-"")"),0.0)</f>
        <v>0</v>
      </c>
      <c r="AV24" s="63" t="str">
        <f t="shared" si="9"/>
        <v>-</v>
      </c>
      <c r="AW24" s="64">
        <f>IFERROR(__xludf.DUMMYFUNCTION("iferror(AVERAGE(query(filter('Saline Comp Data Recording'!X:X,'Saline Comp Data Recording'!C:C=B24), ""Select Col1"")),""0.00"")"),0.0)</f>
        <v>0</v>
      </c>
      <c r="AX24" s="65">
        <f>IFERROR(__xludf.DUMMYFUNCTION("iferror(MAX(query(filter('Saline Comp Data Recording'!X:X,'Saline Comp Data Recording'!C:C=B24), ""Select Col1"")),""-"")"),0.0)</f>
        <v>0</v>
      </c>
      <c r="AY24" s="62">
        <f>IFERROR(__xludf.DUMMYFUNCTION("iferror(SUM(query(filter('Saline Comp Data Recording'!Y:Y,'Saline Comp Data Recording'!C:C=B24), ""Select Col1"")),""-"")"),2.0)</f>
        <v>2</v>
      </c>
      <c r="AZ24" s="62">
        <f>IFERROR(__xludf.DUMMYFUNCTION("iferror(SUM(query(filter('Saline Comp Data Recording'!Z:Z,'Saline Comp Data Recording'!C:C=B24), ""Select Col1"")),""-"")"),2.0)</f>
        <v>2</v>
      </c>
      <c r="BA24" s="63">
        <f t="shared" si="10"/>
        <v>1</v>
      </c>
      <c r="BB24" s="64">
        <f>IFERROR(__xludf.DUMMYFUNCTION("iferror(AVERAGE(query(filter('Saline Comp Data Recording'!Z:Z,'Saline Comp Data Recording'!C:C=B24), ""Select Col1"")),""0.00"")"),0.4)</f>
        <v>0.4</v>
      </c>
      <c r="BC24" s="65">
        <f>IFERROR(__xludf.DUMMYFUNCTION("iferror(MAX(query(filter('Saline Comp Data Recording'!Z:Z,'Saline Comp Data Recording'!C:C=B24), ""Select Col1"")),""-"")"),2.0)</f>
        <v>2</v>
      </c>
      <c r="BD24" s="62">
        <f>IFERROR(__xludf.DUMMYFUNCTION("iferror(SUM(query(filter('Saline Comp Data Recording'!AA:AA,'Saline Comp Data Recording'!C:C=B24), ""Select Col1"")),""-"")"),0.0)</f>
        <v>0</v>
      </c>
      <c r="BE24" s="62">
        <f>IFERROR(__xludf.DUMMYFUNCTION("iferror(SUM(query(filter('Saline Comp Data Recording'!AB:AB,'Saline Comp Data Recording'!C:C=B24), ""Select Col1"")),""-"")"),0.0)</f>
        <v>0</v>
      </c>
      <c r="BF24" s="63" t="str">
        <f t="shared" si="11"/>
        <v>-</v>
      </c>
      <c r="BG24" s="64">
        <f>IFERROR(__xludf.DUMMYFUNCTION("iferror(AVERAGE(query(filter('Saline Comp Data Recording'!AB:AB,'Saline Comp Data Recording'!C:C=B24), ""Select Col1"")),""0.00"")"),0.0)</f>
        <v>0</v>
      </c>
      <c r="BH24" s="65">
        <f>IFERROR(__xludf.DUMMYFUNCTION("iferror(MAX(query(filter('Saline Comp Data Recording'!AB:AB,'Saline Comp Data Recording'!C:C=B24), ""Select Col1"")),""-"")"),0.0)</f>
        <v>0</v>
      </c>
      <c r="BI24" s="62">
        <f>IFERROR(__xludf.DUMMYFUNCTION("iferror(SUM(query(filter('Saline Comp Data Recording'!AC:AC,'Saline Comp Data Recording'!C:C=B24), ""Select Col1"")),""-"")"),1.0)</f>
        <v>1</v>
      </c>
      <c r="BJ24" s="62">
        <f>IFERROR(__xludf.DUMMYFUNCTION("iferror(SUM(query(filter('Saline Comp Data Recording'!AD:AD,'Saline Comp Data Recording'!C:C=B24), ""Select Col1"")),""-"")"),1.0)</f>
        <v>1</v>
      </c>
      <c r="BK24" s="63">
        <f t="shared" si="12"/>
        <v>1</v>
      </c>
      <c r="BL24" s="64">
        <f>IFERROR(__xludf.DUMMYFUNCTION("iferror(AVERAGE(query(filter('Saline Comp Data Recording'!AD:AD,'Saline Comp Data Recording'!C:C=B24), ""Select Col1"")),""0.00"")"),0.2)</f>
        <v>0.2</v>
      </c>
      <c r="BM24" s="65">
        <f>IFERROR(__xludf.DUMMYFUNCTION("iferror(MAX(query(filter('Saline Comp Data Recording'!AD:AD,'Saline Comp Data Recording'!C:C=B24), ""Select Col1"")),""-"")"),1.0)</f>
        <v>1</v>
      </c>
      <c r="BN24" s="66" t="str">
        <f>IFERROR(__xludf.DUMMYFUNCTION("if(countif(query(filter('Saline Comp Data Recording'!AE:AE,'Saline Comp Data Recording'!C:C=B24), ""Select Col1""),""TRUE"")=0,""0"",countif(query(filter('Saline Comp Data Recording'!AE:AE,'Saline Comp Data Recording'!C:C=B24), ""Select Col1""),""TRUE""))"&amp;" &amp; ""/"" &amp; if(COUNTA(query(ifna(filter('Saline Comp Data Recording'!AE:AE,'Saline Comp Data Recording'!C:C=B24),""""), ""Select Col1""))=0,""0"",COUNTA(query(ifna(filter('Saline Comp Data Recording'!AE:AE,'Saline Comp Data Recording'!C:C=B24),""""), ""Sel"&amp;"ect Col1"")))"),"3/5")</f>
        <v>3/5</v>
      </c>
      <c r="BO24" s="67" t="str">
        <f>IFERROR(__xludf.DUMMYFUNCTION("if(countif(query(filter('Saline Comp Data Recording'!AF:AF,'Saline Comp Data Recording'!C:C=B24), ""Select Col1""),""TRUE"")=0,""0"",countif(query(filter('Saline Comp Data Recording'!AF:AF,'Saline Comp Data Recording'!C:C=B24), ""Select Col1""),""TRUE""))"&amp;" &amp; ""/"" &amp; if(COUNTA(query(ifna(filter('Saline Comp Data Recording'!AF:AF,'Saline Comp Data Recording'!C:C=B24),""""), ""Select Col1""))=0,""0"",COUNTA(query(ifna(filter('Saline Comp Data Recording'!AF:AF,'Saline Comp Data Recording'!C:C=B24),""""), ""Sel"&amp;"ect Col1"")))"),"4/5")</f>
        <v>4/5</v>
      </c>
      <c r="BP24" s="60" t="str">
        <f>IFERROR(__xludf.DUMMYFUNCTION("if(countif(query(filter('Saline Comp Data Recording'!AI:AI,'Saline Comp Data Recording'!C:C=B24), ""Select Col1""),""TRUE"")=0,""0"",countif(query(filter('Saline Comp Data Recording'!AI:AI,'Saline Comp Data Recording'!C:C=B24), ""Select Col1""),""TRUE""))"&amp;" &amp; ""/"" &amp; if(COUNTA(query(ifna(filter('Saline Comp Data Recording'!AI:AI,'Saline Comp Data Recording'!C:C=B24),""""), ""Select Col1""))=0,""0"",COUNTA(query(ifna(filter('Saline Comp Data Recording'!AI:AI,'Saline Comp Data Recording'!C:C=B24),""""), ""Sel"&amp;"ect Col1"")))"),"0/5")</f>
        <v>0/5</v>
      </c>
      <c r="BQ24" s="55">
        <f>IFERROR(__xludf.DUMMYFUNCTION("iferror(average(query(filter('Saline Comp Data Recording'!AG:AG,'Saline Comp Data Recording'!C:C=B24), ""Select Col1"")),""-"")"),2.0)</f>
        <v>2</v>
      </c>
      <c r="BR24" s="69">
        <f>IFERROR(__xludf.DUMMYFUNCTION("iferror(average(query(filter('Saline Comp Data Recording'!AH:AH,'Saline Comp Data Recording'!C:C=B24), ""Select Col1"")),""-"")"),0.8)</f>
        <v>0.8</v>
      </c>
      <c r="BS24" s="70">
        <f>IFERROR(__xludf.DUMMYFUNCTION("iferror(AVERAGE(query(filter('Saline Comp Data Recording'!AK:AK,'Saline Comp Data Recording'!C:C=B24), ""Select Col1"")),""-"")"),27.6)</f>
        <v>27.6</v>
      </c>
      <c r="BT24" s="70">
        <f>IFERROR(__xludf.DUMMYFUNCTION("iferror(AVERAGE(query(filter('Saline Comp Data Recording'!AL:AL,'Saline Comp Data Recording'!C:C=B24), ""Select Col1"")),""-"")"),14.4)</f>
        <v>14.4</v>
      </c>
      <c r="BU24" s="71">
        <f>IFERROR(__xludf.DUMMYFUNCTION("iferror(max(query(filter('Saline Comp Data Recording'!AK:AK,'Saline Comp Data Recording'!C:C=B24), ""Select Col1"")),""-"")"),35.0)</f>
        <v>35</v>
      </c>
      <c r="BV24" s="72">
        <f>IFERROR(__xludf.DUMMYFUNCTION("iferror(MIN(query(filter('Saline Comp Data Recording'!AK:AK,'Saline Comp Data Recording'!C:C=B24), ""Select Col1"")),""-"")"),10.0)</f>
        <v>10</v>
      </c>
      <c r="BW24" s="73" t="str">
        <f>IFERROR(__xludf.DUMMYFUNCTION("iferror(if(DIVIDE(COUNTIF(query(filter('Saline Comp Data Recording'!P:P,'Saline Comp Data Recording'!C:C=B24), ""Select Col1""),TRUE),COUNTA(query(ifna(filter('Saline Comp Data Recording'!P:P,'Saline Comp Data Recording'!C:C=B24),""""), ""Select Col1"")))"&amp;"&gt;=(0.5),""1"",""0""),""-"")"),"1")</f>
        <v>1</v>
      </c>
      <c r="BX24" s="59" t="str">
        <f>IFERROR(__xludf.DUMMYFUNCTION("iferror(if(countif(query(filter('Saline Comp Data Recording'!Q:Q,'Saline Comp Data Recording'!C:C=B24), ""Select Col1""),TRUE)/COUNTA(query(ifna(filter('Saline Comp Data Recording'!Q:Q,'Saline Comp Data Recording'!C:C=B24),""""), ""Select Col1""))&gt;=(0.5),"&amp;"""1"",""0""),""-"")"),"1")</f>
        <v>1</v>
      </c>
      <c r="BY24" s="74" t="str">
        <f>IFERROR(__xludf.DUMMYFUNCTION("iferror(if(DIVIDE(COUNTIF(query(filter('Saline Comp Data Recording'!AE:AE,'Saline Comp Data Recording'!C:C=B24), ""Select Col1""),TRUE),COUNTA(query(ifna(filter('Saline Comp Data Recording'!AE:AE,'Saline Comp Data Recording'!C:C=B24),""""), ""Select Col1"&amp;""")))&gt;=(0.5),""1"",""0""),""-"")"),"1")</f>
        <v>1</v>
      </c>
      <c r="BZ24" s="59" t="str">
        <f>IFERROR(__xludf.DUMMYFUNCTION("iferror(if(countif(query(filter('Saline Comp Data Recording'!AF:AF,'Saline Comp Data Recording'!C:C=B24), ""Select Col1""),TRUE)/COUNTA(query(ifna(filter('Saline Comp Data Recording'!AF:AF,'Saline Comp Data Recording'!C:C=B24),""""), ""Select Col1""))&gt;=(0"&amp;".5),""1"",""0""),""-"")"),"1")</f>
        <v>1</v>
      </c>
      <c r="CA24" s="74" t="str">
        <f>IFERROR(__xludf.DUMMYFUNCTION("iferror(if(DIVIDE(countif(query(filter('Saline Comp Data Recording'!R:R,'Saline Comp Data Recording'!C:C=B24), ""Select Col1""),TRUE),COUNTA(query(ifna(filter('Saline Comp Data Recording'!R:R,'Saline Comp Data Recording'!C:C=B24),""""), ""Select Col1"")))"&amp;"&gt;=(0.5),""1"",""0""),""-"")"),"1")</f>
        <v>1</v>
      </c>
    </row>
    <row r="25">
      <c r="A25" s="51" t="s">
        <v>536</v>
      </c>
      <c r="B25" s="51">
        <v>3534.0</v>
      </c>
      <c r="C25" s="52" t="str">
        <f>IFERROR(__xludf.DUMMYFUNCTION("if(countif(query(filter('Saline Comp Data Recording'!R:R,'Saline Comp Data Recording'!C:C=B25), ""Select Col1""),""TRUE"")=0,""0"",countif(query(filter('Saline Comp Data Recording'!R:R,'Saline Comp Data Recording'!C:C=B25), ""Select Col1""),""TRUE"")) &amp; "&amp;"""/"" &amp; if(COUNTA(query(ifna(filter('Saline Comp Data Recording'!R:R,'Saline Comp Data Recording'!C:C=B25),""""), ""Select Col1""))=0,""0"",COUNTA(query(ifna(filter('Saline Comp Data Recording'!R:R,'Saline Comp Data Recording'!C:C=B25),""""), ""Select Col"&amp;"1"")))"),"3/6")</f>
        <v>3/6</v>
      </c>
      <c r="D25" s="53">
        <f>IFERROR(__xludf.DUMMYFUNCTION("iferror(SUM(query(filter('Saline Comp Data Recording'!D:D,'Saline Comp Data Recording'!C:C=B25), ""Select Col1"")),""-"")"),1.0)</f>
        <v>1</v>
      </c>
      <c r="E25" s="53">
        <f>IFERROR(__xludf.DUMMYFUNCTION("iferror(SUM(query(filter('Saline Comp Data Recording'!E:E,'Saline Comp Data Recording'!C:C=B25), ""Select Col1"")),""-"")"),1.0)</f>
        <v>1</v>
      </c>
      <c r="F25" s="54">
        <f t="shared" si="1"/>
        <v>1</v>
      </c>
      <c r="G25" s="55">
        <f>IFERROR(__xludf.DUMMYFUNCTION("iferror(AVERAGE(query(filter('Saline Comp Data Recording'!E:E,'Saline Comp Data Recording'!C:C=B25), ""Select Col1"")),""0.00"")"),0.16666666666666666)</f>
        <v>0.1666666667</v>
      </c>
      <c r="H25" s="53">
        <f>IFERROR(__xludf.DUMMYFUNCTION("iferror(MAX(query(filter('Saline Comp Data Recording'!E:E,'Saline Comp Data Recording'!C:C=B25), ""Select Col1"")),""-"")"),1.0)</f>
        <v>1</v>
      </c>
      <c r="I25" s="56">
        <f>IFERROR(__xludf.DUMMYFUNCTION("iferror(SUM(query(filter('Saline Comp Data Recording'!F:F,'Saline Comp Data Recording'!C:C=B25), ""Select Col1"")),""-"")"),0.0)</f>
        <v>0</v>
      </c>
      <c r="J25" s="57">
        <f>IFERROR(__xludf.DUMMYFUNCTION("iferror(SUM(query(filter('Saline Comp Data Recording'!G:G,'Saline Comp Data Recording'!C:C=B25), ""Select Col1"")),""-"")"),0.0)</f>
        <v>0</v>
      </c>
      <c r="K25" s="54" t="str">
        <f t="shared" si="2"/>
        <v>-</v>
      </c>
      <c r="L25" s="55">
        <f>IFERROR(__xludf.DUMMYFUNCTION("iferror(AVERAGE(query(filter('Saline Comp Data Recording'!G:G,'Saline Comp Data Recording'!C:C=B25), ""Select Col1"")),""0.00"")"),0.0)</f>
        <v>0</v>
      </c>
      <c r="M25" s="53">
        <f>IFERROR(__xludf.DUMMYFUNCTION("iferror(MAX(query(filter('Saline Comp Data Recording'!G:G,'Saline Comp Data Recording'!C:C=B25), ""Select Col1"")),""-"")"),0.0)</f>
        <v>0</v>
      </c>
      <c r="N25" s="58">
        <f>IFERROR(__xludf.DUMMYFUNCTION("iferror(SUM(query(filter('Saline Comp Data Recording'!H:H,'Saline Comp Data Recording'!C:C=B25), ""Select Col1"")),""-"")"),0.0)</f>
        <v>0</v>
      </c>
      <c r="O25" s="59">
        <f>IFERROR(__xludf.DUMMYFUNCTION("iferror(SUM(query(filter('Saline Comp Data Recording'!I:I,'Saline Comp Data Recording'!C:C=B25), ""Select Col1"")),""-"")"),0.0)</f>
        <v>0</v>
      </c>
      <c r="P25" s="54" t="str">
        <f t="shared" si="3"/>
        <v>-</v>
      </c>
      <c r="Q25" s="55">
        <f>IFERROR(__xludf.DUMMYFUNCTION("iferror(AVERAGE(query(filter('Saline Comp Data Recording'!I:I,'Saline Comp Data Recording'!C:C=B25), ""Select Col1"")),""0.00"")"),0.0)</f>
        <v>0</v>
      </c>
      <c r="R25" s="53">
        <f>IFERROR(__xludf.DUMMYFUNCTION("iferror(MAX(query(filter('Saline Comp Data Recording'!I:I,'Saline Comp Data Recording'!C:C=B25), ""Select Col1"")),""-"")"),0.0)</f>
        <v>0</v>
      </c>
      <c r="S25" s="58">
        <f>IFERROR(__xludf.DUMMYFUNCTION("iferror(SUM(query(filter('Saline Comp Data Recording'!J:J,'Saline Comp Data Recording'!C:C=B25), ""Select Col1"")),""-"")"),3.0)</f>
        <v>3</v>
      </c>
      <c r="T25" s="59">
        <f>IFERROR(__xludf.DUMMYFUNCTION("iferror(SUM(query(filter('Saline Comp Data Recording'!K:K,'Saline Comp Data Recording'!C:C=B25), ""Select Col1"")),""-"")"),3.0)</f>
        <v>3</v>
      </c>
      <c r="U25" s="54">
        <f t="shared" si="4"/>
        <v>1</v>
      </c>
      <c r="V25" s="55">
        <f>IFERROR(__xludf.DUMMYFUNCTION("iferror(AVERAGE(query(filter('Saline Comp Data Recording'!K:K,'Saline Comp Data Recording'!C:C=B25), ""Select Col1"")),""-"")"),0.5)</f>
        <v>0.5</v>
      </c>
      <c r="W25" s="52">
        <f>IFERROR(__xludf.DUMMYFUNCTION("iferror(MAX(query(filter('Saline Comp Data Recording'!K:K,'Saline Comp Data Recording'!C:C=B25), ""Select Col1"")),""-"")"),1.0)</f>
        <v>1</v>
      </c>
      <c r="X25" s="59">
        <f>IFERROR(__xludf.DUMMYFUNCTION("iferror(SUM(query(filter('Saline Comp Data Recording'!L:L,'Saline Comp Data Recording'!C:C=B25), ""Select Col1"")),""-"")"),0.0)</f>
        <v>0</v>
      </c>
      <c r="Y25" s="59">
        <f>IFERROR(__xludf.DUMMYFUNCTION("iferror(SUM(query(filter('Saline Comp Data Recording'!M:M,'Saline Comp Data Recording'!C:C=B25), ""Select Col1"")),""-"")"),0.0)</f>
        <v>0</v>
      </c>
      <c r="Z25" s="54" t="str">
        <f t="shared" si="5"/>
        <v>-</v>
      </c>
      <c r="AA25" s="55">
        <f>IFERROR(__xludf.DUMMYFUNCTION("iferror(AVERAGE(query(filter('Saline Comp Data Recording'!M:M,'Saline Comp Data Recording'!C:C=B25), ""Select Col1"")),""0.00"")"),0.0)</f>
        <v>0</v>
      </c>
      <c r="AB25" s="52">
        <f>IFERROR(__xludf.DUMMYFUNCTION("iferror(MAX(query(filter('Saline Comp Data Recording'!M:M,'Saline Comp Data Recording'!C:C=B25), ""Select Col1"")),""-"")"),0.0)</f>
        <v>0</v>
      </c>
      <c r="AC25" s="59">
        <f>IFERROR(__xludf.DUMMYFUNCTION("iferror(SUM(query(filter('Saline Comp Data Recording'!N:N,'Saline Comp Data Recording'!C:C=B25), ""Select Col1"")),""-"")"),2.0)</f>
        <v>2</v>
      </c>
      <c r="AD25" s="59">
        <f>IFERROR(__xludf.DUMMYFUNCTION("iferror(SUM(query(filter('Saline Comp Data Recording'!O:O,'Saline Comp Data Recording'!C:C=B25), ""Select Col1"")),""-"")"),1.0)</f>
        <v>1</v>
      </c>
      <c r="AE25" s="54">
        <f t="shared" si="6"/>
        <v>0.5</v>
      </c>
      <c r="AF25" s="55">
        <f>IFERROR(__xludf.DUMMYFUNCTION("iferror(AVERAGE(query(filter('Saline Comp Data Recording'!O:O,'Saline Comp Data Recording'!C:C=B25), ""Select Col1"")),""0.00"")"),0.16666666666666666)</f>
        <v>0.1666666667</v>
      </c>
      <c r="AG25" s="59">
        <f>IFERROR(__xludf.DUMMYFUNCTION("iferror(MAX(query(filter('Saline Comp Data Recording'!O:O,'Saline Comp Data Recording'!C:C=B25), ""Select Col1"")),""-"")"),1.0)</f>
        <v>1</v>
      </c>
      <c r="AH25" s="58" t="str">
        <f>IFERROR(__xludf.DUMMYFUNCTION("if(countif(query(filter('Saline Comp Data Recording'!P:P,'Saline Comp Data Recording'!C:C=B25), ""Select Col1""),TRUE)=0,""0"",countif(query(filter('Saline Comp Data Recording'!P:P,'Saline Comp Data Recording'!C:C=B25), ""Select Col1""),TRUE)) &amp; ""/"" &amp; i"&amp;"f(COUNTA(query(ifna(filter('Saline Comp Data Recording'!P:P,'Saline Comp Data Recording'!C:C=B25),""""), ""Select Col1""))=0,""0"",COUNTA(query(ifna(filter('Saline Comp Data Recording'!P:P,'Saline Comp Data Recording'!C:C=B25),""""), ""Select Col1"")))"),"1/6")</f>
        <v>1/6</v>
      </c>
      <c r="AI25" s="60" t="str">
        <f>IFERROR(__xludf.DUMMYFUNCTION("if(countif(query(filter('Saline Comp Data Recording'!Q:Q,'Saline Comp Data Recording'!C:C=B25), ""Select Col1""),TRUE)=0,""0"",countif(query(filter('Saline Comp Data Recording'!Q:Q,'Saline Comp Data Recording'!C:C=B25), ""Select Col1""),TRUE)) &amp; ""/"" &amp; i"&amp;"f(COUNTA(query(ifna(filter('Saline Comp Data Recording'!Q:Q,'Saline Comp Data Recording'!C:C=B25),""""), ""Select Col1""))=0,""0"",COUNTA(query(ifna(filter('Saline Comp Data Recording'!Q:Q,'Saline Comp Data Recording'!C:C=B25),""""), ""Select Col1"")))"),"3/6")</f>
        <v>3/6</v>
      </c>
      <c r="AJ25" s="59">
        <f>IFERROR(__xludf.DUMMYFUNCTION("iferror(SUM(query(filter('Saline Comp Data Recording'!S:S,'Saline Comp Data Recording'!C:C=B25), ""Select Col1"")),""-"")"),1.0)</f>
        <v>1</v>
      </c>
      <c r="AK25" s="59">
        <f>IFERROR(__xludf.DUMMYFUNCTION("iferror(SUM(query(filter('Saline Comp Data Recording'!T:T,'Saline Comp Data Recording'!C:C=B25), ""Select Col1"")),""-"")"),1.0)</f>
        <v>1</v>
      </c>
      <c r="AL25" s="54">
        <f t="shared" si="7"/>
        <v>1</v>
      </c>
      <c r="AM25" s="55">
        <f>IFERROR(__xludf.DUMMYFUNCTION("iferror(AVERAGE(query(filter('Saline Comp Data Recording'!T:T,'Saline Comp Data Recording'!C:C=B25), ""Select Col1"")),""0.00"")"),0.16666666666666666)</f>
        <v>0.1666666667</v>
      </c>
      <c r="AN25" s="61">
        <f>IFERROR(__xludf.DUMMYFUNCTION("iferror(MAX(query(filter('Saline Comp Data Recording'!T:T,'Saline Comp Data Recording'!C:C=B25), ""Select Col1"")),""-"")"),1.0)</f>
        <v>1</v>
      </c>
      <c r="AO25" s="62">
        <f>IFERROR(__xludf.DUMMYFUNCTION("iferror(SUM(query(filter('Saline Comp Data Recording'!U:U,'Saline Comp Data Recording'!C:C=B25), ""Select Col1"")),""-"")"),1.0)</f>
        <v>1</v>
      </c>
      <c r="AP25" s="62">
        <f>IFERROR(__xludf.DUMMYFUNCTION("iferror(SUM(query(filter('Saline Comp Data Recording'!V:V,'Saline Comp Data Recording'!C:C=B25), ""Select Col1"")),""-"")"),1.0)</f>
        <v>1</v>
      </c>
      <c r="AQ25" s="63">
        <f t="shared" si="8"/>
        <v>1</v>
      </c>
      <c r="AR25" s="64">
        <f>IFERROR(__xludf.DUMMYFUNCTION("iferror(AVERAGE(query(filter('Saline Comp Data Recording'!V:V,'Saline Comp Data Recording'!C:C=B25), ""Select Col1"")),""0.00"")"),0.16666666666666666)</f>
        <v>0.1666666667</v>
      </c>
      <c r="AS25" s="65">
        <f>IFERROR(__xludf.DUMMYFUNCTION("iferror(MAX(query(filter('Saline Comp Data Recording'!V:V,'Saline Comp Data Recording'!C:C=B25), ""Select Col1"")),""-"")"),1.0)</f>
        <v>1</v>
      </c>
      <c r="AT25" s="62">
        <f>IFERROR(__xludf.DUMMYFUNCTION("iferror(SUM(query(filter('Saline Comp Data Recording'!W:W,'Saline Comp Data Recording'!C:C=B25), ""Select Col1"")),""-"")"),0.0)</f>
        <v>0</v>
      </c>
      <c r="AU25" s="62">
        <f>IFERROR(__xludf.DUMMYFUNCTION("iferror(SUM(query(filter('Saline Comp Data Recording'!X:X,'Saline Comp Data Recording'!C:C=B25), ""Select Col1"")),""-"")"),0.0)</f>
        <v>0</v>
      </c>
      <c r="AV25" s="63" t="str">
        <f t="shared" si="9"/>
        <v>-</v>
      </c>
      <c r="AW25" s="64">
        <f>IFERROR(__xludf.DUMMYFUNCTION("iferror(AVERAGE(query(filter('Saline Comp Data Recording'!X:X,'Saline Comp Data Recording'!C:C=B25), ""Select Col1"")),""0.00"")"),0.0)</f>
        <v>0</v>
      </c>
      <c r="AX25" s="65">
        <f>IFERROR(__xludf.DUMMYFUNCTION("iferror(MAX(query(filter('Saline Comp Data Recording'!X:X,'Saline Comp Data Recording'!C:C=B25), ""Select Col1"")),""-"")"),0.0)</f>
        <v>0</v>
      </c>
      <c r="AY25" s="62">
        <f>IFERROR(__xludf.DUMMYFUNCTION("iferror(SUM(query(filter('Saline Comp Data Recording'!Y:Y,'Saline Comp Data Recording'!C:C=B25), ""Select Col1"")),""-"")"),5.0)</f>
        <v>5</v>
      </c>
      <c r="AZ25" s="62">
        <f>IFERROR(__xludf.DUMMYFUNCTION("iferror(SUM(query(filter('Saline Comp Data Recording'!Z:Z,'Saline Comp Data Recording'!C:C=B25), ""Select Col1"")),""-"")"),4.0)</f>
        <v>4</v>
      </c>
      <c r="BA25" s="63">
        <f t="shared" si="10"/>
        <v>0.8</v>
      </c>
      <c r="BB25" s="64">
        <f>IFERROR(__xludf.DUMMYFUNCTION("iferror(AVERAGE(query(filter('Saline Comp Data Recording'!Z:Z,'Saline Comp Data Recording'!C:C=B25), ""Select Col1"")),""0.00"")"),0.6666666666666666)</f>
        <v>0.6666666667</v>
      </c>
      <c r="BC25" s="65">
        <f>IFERROR(__xludf.DUMMYFUNCTION("iferror(MAX(query(filter('Saline Comp Data Recording'!Z:Z,'Saline Comp Data Recording'!C:C=B25), ""Select Col1"")),""-"")"),3.0)</f>
        <v>3</v>
      </c>
      <c r="BD25" s="62">
        <f>IFERROR(__xludf.DUMMYFUNCTION("iferror(SUM(query(filter('Saline Comp Data Recording'!AA:AA,'Saline Comp Data Recording'!C:C=B25), ""Select Col1"")),""-"")"),0.0)</f>
        <v>0</v>
      </c>
      <c r="BE25" s="62">
        <f>IFERROR(__xludf.DUMMYFUNCTION("iferror(SUM(query(filter('Saline Comp Data Recording'!AB:AB,'Saline Comp Data Recording'!C:C=B25), ""Select Col1"")),""-"")"),0.0)</f>
        <v>0</v>
      </c>
      <c r="BF25" s="63" t="str">
        <f t="shared" si="11"/>
        <v>-</v>
      </c>
      <c r="BG25" s="64">
        <f>IFERROR(__xludf.DUMMYFUNCTION("iferror(AVERAGE(query(filter('Saline Comp Data Recording'!AB:AB,'Saline Comp Data Recording'!C:C=B25), ""Select Col1"")),""0.00"")"),0.0)</f>
        <v>0</v>
      </c>
      <c r="BH25" s="65">
        <f>IFERROR(__xludf.DUMMYFUNCTION("iferror(MAX(query(filter('Saline Comp Data Recording'!AB:AB,'Saline Comp Data Recording'!C:C=B25), ""Select Col1"")),""-"")"),0.0)</f>
        <v>0</v>
      </c>
      <c r="BI25" s="62">
        <f>IFERROR(__xludf.DUMMYFUNCTION("iferror(SUM(query(filter('Saline Comp Data Recording'!AC:AC,'Saline Comp Data Recording'!C:C=B25), ""Select Col1"")),""-"")"),15.0)</f>
        <v>15</v>
      </c>
      <c r="BJ25" s="62">
        <f>IFERROR(__xludf.DUMMYFUNCTION("iferror(SUM(query(filter('Saline Comp Data Recording'!AD:AD,'Saline Comp Data Recording'!C:C=B25), ""Select Col1"")),""-"")"),13.0)</f>
        <v>13</v>
      </c>
      <c r="BK25" s="63">
        <f t="shared" si="12"/>
        <v>0.8666666667</v>
      </c>
      <c r="BL25" s="64">
        <f>IFERROR(__xludf.DUMMYFUNCTION("iferror(AVERAGE(query(filter('Saline Comp Data Recording'!AD:AD,'Saline Comp Data Recording'!C:C=B25), ""Select Col1"")),""0.00"")"),2.1666666666666665)</f>
        <v>2.166666667</v>
      </c>
      <c r="BM25" s="65">
        <f>IFERROR(__xludf.DUMMYFUNCTION("iferror(MAX(query(filter('Saline Comp Data Recording'!AD:AD,'Saline Comp Data Recording'!C:C=B25), ""Select Col1"")),""-"")"),4.0)</f>
        <v>4</v>
      </c>
      <c r="BN25" s="66" t="str">
        <f>IFERROR(__xludf.DUMMYFUNCTION("if(countif(query(filter('Saline Comp Data Recording'!AE:AE,'Saline Comp Data Recording'!C:C=B25), ""Select Col1""),""TRUE"")=0,""0"",countif(query(filter('Saline Comp Data Recording'!AE:AE,'Saline Comp Data Recording'!C:C=B25), ""Select Col1""),""TRUE""))"&amp;" &amp; ""/"" &amp; if(COUNTA(query(ifna(filter('Saline Comp Data Recording'!AE:AE,'Saline Comp Data Recording'!C:C=B25),""""), ""Select Col1""))=0,""0"",COUNTA(query(ifna(filter('Saline Comp Data Recording'!AE:AE,'Saline Comp Data Recording'!C:C=B25),""""), ""Sel"&amp;"ect Col1"")))"),"1/6")</f>
        <v>1/6</v>
      </c>
      <c r="BO25" s="67" t="str">
        <f>IFERROR(__xludf.DUMMYFUNCTION("if(countif(query(filter('Saline Comp Data Recording'!AF:AF,'Saline Comp Data Recording'!C:C=B25), ""Select Col1""),""TRUE"")=0,""0"",countif(query(filter('Saline Comp Data Recording'!AF:AF,'Saline Comp Data Recording'!C:C=B25), ""Select Col1""),""TRUE""))"&amp;" &amp; ""/"" &amp; if(COUNTA(query(ifna(filter('Saline Comp Data Recording'!AF:AF,'Saline Comp Data Recording'!C:C=B25),""""), ""Select Col1""))=0,""0"",COUNTA(query(ifna(filter('Saline Comp Data Recording'!AF:AF,'Saline Comp Data Recording'!C:C=B25),""""), ""Sel"&amp;"ect Col1"")))"),"3/6")</f>
        <v>3/6</v>
      </c>
      <c r="BP25" s="60" t="str">
        <f>IFERROR(__xludf.DUMMYFUNCTION("if(countif(query(filter('Saline Comp Data Recording'!AI:AI,'Saline Comp Data Recording'!C:C=B25), ""Select Col1""),""TRUE"")=0,""0"",countif(query(filter('Saline Comp Data Recording'!AI:AI,'Saline Comp Data Recording'!C:C=B25), ""Select Col1""),""TRUE""))"&amp;" &amp; ""/"" &amp; if(COUNTA(query(ifna(filter('Saline Comp Data Recording'!AI:AI,'Saline Comp Data Recording'!C:C=B25),""""), ""Select Col1""))=0,""0"",COUNTA(query(ifna(filter('Saline Comp Data Recording'!AI:AI,'Saline Comp Data Recording'!C:C=B25),""""), ""Sel"&amp;"ect Col1"")))"),"0/6")</f>
        <v>0/6</v>
      </c>
      <c r="BQ25" s="55">
        <f>IFERROR(__xludf.DUMMYFUNCTION("iferror(average(query(filter('Saline Comp Data Recording'!AG:AG,'Saline Comp Data Recording'!C:C=B25), ""Select Col1"")),""-"")"),2.0)</f>
        <v>2</v>
      </c>
      <c r="BR25" s="69">
        <f>IFERROR(__xludf.DUMMYFUNCTION("iferror(average(query(filter('Saline Comp Data Recording'!AH:AH,'Saline Comp Data Recording'!C:C=B25), ""Select Col1"")),""-"")"),1.1666666666666667)</f>
        <v>1.166666667</v>
      </c>
      <c r="BS25" s="70">
        <f>IFERROR(__xludf.DUMMYFUNCTION("iferror(AVERAGE(query(filter('Saline Comp Data Recording'!AK:AK,'Saline Comp Data Recording'!C:C=B25), ""Select Col1"")),""-"")"),18.666666666666668)</f>
        <v>18.66666667</v>
      </c>
      <c r="BT25" s="70">
        <f>IFERROR(__xludf.DUMMYFUNCTION("iferror(AVERAGE(query(filter('Saline Comp Data Recording'!AL:AL,'Saline Comp Data Recording'!C:C=B25), ""Select Col1"")),""-"")"),15.0)</f>
        <v>15</v>
      </c>
      <c r="BU25" s="71">
        <f>IFERROR(__xludf.DUMMYFUNCTION("iferror(max(query(filter('Saline Comp Data Recording'!AK:AK,'Saline Comp Data Recording'!C:C=B25), ""Select Col1"")),""-"")"),35.0)</f>
        <v>35</v>
      </c>
      <c r="BV25" s="72">
        <f>IFERROR(__xludf.DUMMYFUNCTION("iferror(MIN(query(filter('Saline Comp Data Recording'!AK:AK,'Saline Comp Data Recording'!C:C=B25), ""Select Col1"")),""-"")"),2.0)</f>
        <v>2</v>
      </c>
      <c r="BW25" s="73" t="str">
        <f>IFERROR(__xludf.DUMMYFUNCTION("iferror(if(DIVIDE(COUNTIF(query(filter('Saline Comp Data Recording'!P:P,'Saline Comp Data Recording'!C:C=B25), ""Select Col1""),TRUE),COUNTA(query(ifna(filter('Saline Comp Data Recording'!P:P,'Saline Comp Data Recording'!C:C=B25),""""), ""Select Col1"")))"&amp;"&gt;=(0.5),""1"",""0""),""-"")"),"0")</f>
        <v>0</v>
      </c>
      <c r="BX25" s="59" t="str">
        <f>IFERROR(__xludf.DUMMYFUNCTION("iferror(if(countif(query(filter('Saline Comp Data Recording'!Q:Q,'Saline Comp Data Recording'!C:C=B25), ""Select Col1""),TRUE)/COUNTA(query(ifna(filter('Saline Comp Data Recording'!Q:Q,'Saline Comp Data Recording'!C:C=B25),""""), ""Select Col1""))&gt;=(0.5),"&amp;"""1"",""0""),""-"")"),"1")</f>
        <v>1</v>
      </c>
      <c r="BY25" s="74" t="str">
        <f>IFERROR(__xludf.DUMMYFUNCTION("iferror(if(DIVIDE(COUNTIF(query(filter('Saline Comp Data Recording'!AE:AE,'Saline Comp Data Recording'!C:C=B25), ""Select Col1""),TRUE),COUNTA(query(ifna(filter('Saline Comp Data Recording'!AE:AE,'Saline Comp Data Recording'!C:C=B25),""""), ""Select Col1"&amp;""")))&gt;=(0.5),""1"",""0""),""-"")"),"0")</f>
        <v>0</v>
      </c>
      <c r="BZ25" s="59" t="str">
        <f>IFERROR(__xludf.DUMMYFUNCTION("iferror(if(countif(query(filter('Saline Comp Data Recording'!AF:AF,'Saline Comp Data Recording'!C:C=B25), ""Select Col1""),TRUE)/COUNTA(query(ifna(filter('Saline Comp Data Recording'!AF:AF,'Saline Comp Data Recording'!C:C=B25),""""), ""Select Col1""))&gt;=(0"&amp;".5),""1"",""0""),""-"")"),"1")</f>
        <v>1</v>
      </c>
      <c r="CA25" s="74" t="str">
        <f>IFERROR(__xludf.DUMMYFUNCTION("iferror(if(DIVIDE(countif(query(filter('Saline Comp Data Recording'!R:R,'Saline Comp Data Recording'!C:C=B25), ""Select Col1""),TRUE),COUNTA(query(ifna(filter('Saline Comp Data Recording'!R:R,'Saline Comp Data Recording'!C:C=B25),""""), ""Select Col1"")))"&amp;"&gt;=(0.5),""1"",""0""),""-"")"),"1")</f>
        <v>1</v>
      </c>
    </row>
    <row r="26">
      <c r="A26" s="51" t="s">
        <v>537</v>
      </c>
      <c r="B26" s="51">
        <v>1322.0</v>
      </c>
      <c r="C26" s="52" t="str">
        <f>IFERROR(__xludf.DUMMYFUNCTION("if(countif(query(filter('Saline Comp Data Recording'!R:R,'Saline Comp Data Recording'!C:C=B26), ""Select Col1""),""TRUE"")=0,""0"",countif(query(filter('Saline Comp Data Recording'!R:R,'Saline Comp Data Recording'!C:C=B26), ""Select Col1""),""TRUE"")) &amp; "&amp;"""/"" &amp; if(COUNTA(query(ifna(filter('Saline Comp Data Recording'!R:R,'Saline Comp Data Recording'!C:C=B26),""""), ""Select Col1""))=0,""0"",COUNTA(query(ifna(filter('Saline Comp Data Recording'!R:R,'Saline Comp Data Recording'!C:C=B26),""""), ""Select Col"&amp;"1"")))"),"2/6")</f>
        <v>2/6</v>
      </c>
      <c r="D26" s="53">
        <f>IFERROR(__xludf.DUMMYFUNCTION("iferror(SUM(query(filter('Saline Comp Data Recording'!D:D,'Saline Comp Data Recording'!C:C=B26), ""Select Col1"")),""-"")"),1.0)</f>
        <v>1</v>
      </c>
      <c r="E26" s="53">
        <f>IFERROR(__xludf.DUMMYFUNCTION("iferror(SUM(query(filter('Saline Comp Data Recording'!E:E,'Saline Comp Data Recording'!C:C=B26), ""Select Col1"")),""-"")"),1.0)</f>
        <v>1</v>
      </c>
      <c r="F26" s="54">
        <f t="shared" si="1"/>
        <v>1</v>
      </c>
      <c r="G26" s="55">
        <f>IFERROR(__xludf.DUMMYFUNCTION("iferror(AVERAGE(query(filter('Saline Comp Data Recording'!E:E,'Saline Comp Data Recording'!C:C=B26), ""Select Col1"")),""0.00"")"),0.16666666666666666)</f>
        <v>0.1666666667</v>
      </c>
      <c r="H26" s="53">
        <f>IFERROR(__xludf.DUMMYFUNCTION("iferror(MAX(query(filter('Saline Comp Data Recording'!E:E,'Saline Comp Data Recording'!C:C=B26), ""Select Col1"")),""-"")"),1.0)</f>
        <v>1</v>
      </c>
      <c r="I26" s="56">
        <f>IFERROR(__xludf.DUMMYFUNCTION("iferror(SUM(query(filter('Saline Comp Data Recording'!F:F,'Saline Comp Data Recording'!C:C=B26), ""Select Col1"")),""-"")"),0.0)</f>
        <v>0</v>
      </c>
      <c r="J26" s="57">
        <f>IFERROR(__xludf.DUMMYFUNCTION("iferror(SUM(query(filter('Saline Comp Data Recording'!G:G,'Saline Comp Data Recording'!C:C=B26), ""Select Col1"")),""-"")"),0.0)</f>
        <v>0</v>
      </c>
      <c r="K26" s="54" t="str">
        <f t="shared" si="2"/>
        <v>-</v>
      </c>
      <c r="L26" s="55">
        <f>IFERROR(__xludf.DUMMYFUNCTION("iferror(AVERAGE(query(filter('Saline Comp Data Recording'!G:G,'Saline Comp Data Recording'!C:C=B26), ""Select Col1"")),""0.00"")"),0.0)</f>
        <v>0</v>
      </c>
      <c r="M26" s="53">
        <f>IFERROR(__xludf.DUMMYFUNCTION("iferror(MAX(query(filter('Saline Comp Data Recording'!G:G,'Saline Comp Data Recording'!C:C=B26), ""Select Col1"")),""-"")"),0.0)</f>
        <v>0</v>
      </c>
      <c r="N26" s="58">
        <f>IFERROR(__xludf.DUMMYFUNCTION("iferror(SUM(query(filter('Saline Comp Data Recording'!H:H,'Saline Comp Data Recording'!C:C=B26), ""Select Col1"")),""-"")"),0.0)</f>
        <v>0</v>
      </c>
      <c r="O26" s="59">
        <f>IFERROR(__xludf.DUMMYFUNCTION("iferror(SUM(query(filter('Saline Comp Data Recording'!I:I,'Saline Comp Data Recording'!C:C=B26), ""Select Col1"")),""-"")"),0.0)</f>
        <v>0</v>
      </c>
      <c r="P26" s="54" t="str">
        <f t="shared" si="3"/>
        <v>-</v>
      </c>
      <c r="Q26" s="55">
        <f>IFERROR(__xludf.DUMMYFUNCTION("iferror(AVERAGE(query(filter('Saline Comp Data Recording'!I:I,'Saline Comp Data Recording'!C:C=B26), ""Select Col1"")),""0.00"")"),0.0)</f>
        <v>0</v>
      </c>
      <c r="R26" s="53">
        <f>IFERROR(__xludf.DUMMYFUNCTION("iferror(MAX(query(filter('Saline Comp Data Recording'!I:I,'Saline Comp Data Recording'!C:C=B26), ""Select Col1"")),""-"")"),0.0)</f>
        <v>0</v>
      </c>
      <c r="S26" s="58">
        <f>IFERROR(__xludf.DUMMYFUNCTION("iferror(SUM(query(filter('Saline Comp Data Recording'!J:J,'Saline Comp Data Recording'!C:C=B26), ""Select Col1"")),""-"")"),2.0)</f>
        <v>2</v>
      </c>
      <c r="T26" s="59">
        <f>IFERROR(__xludf.DUMMYFUNCTION("iferror(SUM(query(filter('Saline Comp Data Recording'!K:K,'Saline Comp Data Recording'!C:C=B26), ""Select Col1"")),""-"")"),0.0)</f>
        <v>0</v>
      </c>
      <c r="U26" s="54">
        <f t="shared" si="4"/>
        <v>0</v>
      </c>
      <c r="V26" s="55">
        <f>IFERROR(__xludf.DUMMYFUNCTION("iferror(AVERAGE(query(filter('Saline Comp Data Recording'!K:K,'Saline Comp Data Recording'!C:C=B26), ""Select Col1"")),""-"")"),0.0)</f>
        <v>0</v>
      </c>
      <c r="W26" s="52">
        <f>IFERROR(__xludf.DUMMYFUNCTION("iferror(MAX(query(filter('Saline Comp Data Recording'!K:K,'Saline Comp Data Recording'!C:C=B26), ""Select Col1"")),""-"")"),0.0)</f>
        <v>0</v>
      </c>
      <c r="X26" s="59">
        <f>IFERROR(__xludf.DUMMYFUNCTION("iferror(SUM(query(filter('Saline Comp Data Recording'!L:L,'Saline Comp Data Recording'!C:C=B26), ""Select Col1"")),""-"")"),0.0)</f>
        <v>0</v>
      </c>
      <c r="Y26" s="59">
        <f>IFERROR(__xludf.DUMMYFUNCTION("iferror(SUM(query(filter('Saline Comp Data Recording'!M:M,'Saline Comp Data Recording'!C:C=B26), ""Select Col1"")),""-"")"),0.0)</f>
        <v>0</v>
      </c>
      <c r="Z26" s="54" t="str">
        <f t="shared" si="5"/>
        <v>-</v>
      </c>
      <c r="AA26" s="55">
        <f>IFERROR(__xludf.DUMMYFUNCTION("iferror(AVERAGE(query(filter('Saline Comp Data Recording'!M:M,'Saline Comp Data Recording'!C:C=B26), ""Select Col1"")),""0.00"")"),0.0)</f>
        <v>0</v>
      </c>
      <c r="AB26" s="52">
        <f>IFERROR(__xludf.DUMMYFUNCTION("iferror(MAX(query(filter('Saline Comp Data Recording'!M:M,'Saline Comp Data Recording'!C:C=B26), ""Select Col1"")),""-"")"),0.0)</f>
        <v>0</v>
      </c>
      <c r="AC26" s="59">
        <f>IFERROR(__xludf.DUMMYFUNCTION("iferror(SUM(query(filter('Saline Comp Data Recording'!N:N,'Saline Comp Data Recording'!C:C=B26), ""Select Col1"")),""-"")"),2.0)</f>
        <v>2</v>
      </c>
      <c r="AD26" s="59">
        <f>IFERROR(__xludf.DUMMYFUNCTION("iferror(SUM(query(filter('Saline Comp Data Recording'!O:O,'Saline Comp Data Recording'!C:C=B26), ""Select Col1"")),""-"")"),2.0)</f>
        <v>2</v>
      </c>
      <c r="AE26" s="54">
        <f t="shared" si="6"/>
        <v>1</v>
      </c>
      <c r="AF26" s="55">
        <f>IFERROR(__xludf.DUMMYFUNCTION("iferror(AVERAGE(query(filter('Saline Comp Data Recording'!O:O,'Saline Comp Data Recording'!C:C=B26), ""Select Col1"")),""0.00"")"),0.3333333333333333)</f>
        <v>0.3333333333</v>
      </c>
      <c r="AG26" s="59">
        <f>IFERROR(__xludf.DUMMYFUNCTION("iferror(MAX(query(filter('Saline Comp Data Recording'!O:O,'Saline Comp Data Recording'!C:C=B26), ""Select Col1"")),""-"")"),1.0)</f>
        <v>1</v>
      </c>
      <c r="AH26" s="58" t="str">
        <f>IFERROR(__xludf.DUMMYFUNCTION("if(countif(query(filter('Saline Comp Data Recording'!P:P,'Saline Comp Data Recording'!C:C=B26), ""Select Col1""),TRUE)=0,""0"",countif(query(filter('Saline Comp Data Recording'!P:P,'Saline Comp Data Recording'!C:C=B26), ""Select Col1""),TRUE)) &amp; ""/"" &amp; i"&amp;"f(COUNTA(query(ifna(filter('Saline Comp Data Recording'!P:P,'Saline Comp Data Recording'!C:C=B26),""""), ""Select Col1""))=0,""0"",COUNTA(query(ifna(filter('Saline Comp Data Recording'!P:P,'Saline Comp Data Recording'!C:C=B26),""""), ""Select Col1"")))"),"2/6")</f>
        <v>2/6</v>
      </c>
      <c r="AI26" s="60" t="str">
        <f>IFERROR(__xludf.DUMMYFUNCTION("if(countif(query(filter('Saline Comp Data Recording'!Q:Q,'Saline Comp Data Recording'!C:C=B26), ""Select Col1""),TRUE)=0,""0"",countif(query(filter('Saline Comp Data Recording'!Q:Q,'Saline Comp Data Recording'!C:C=B26), ""Select Col1""),TRUE)) &amp; ""/"" &amp; i"&amp;"f(COUNTA(query(ifna(filter('Saline Comp Data Recording'!Q:Q,'Saline Comp Data Recording'!C:C=B26),""""), ""Select Col1""))=0,""0"",COUNTA(query(ifna(filter('Saline Comp Data Recording'!Q:Q,'Saline Comp Data Recording'!C:C=B26),""""), ""Select Col1"")))"),"1/6")</f>
        <v>1/6</v>
      </c>
      <c r="AJ26" s="59">
        <f>IFERROR(__xludf.DUMMYFUNCTION("iferror(SUM(query(filter('Saline Comp Data Recording'!S:S,'Saline Comp Data Recording'!C:C=B26), ""Select Col1"")),""-"")"),3.0)</f>
        <v>3</v>
      </c>
      <c r="AK26" s="59">
        <f>IFERROR(__xludf.DUMMYFUNCTION("iferror(SUM(query(filter('Saline Comp Data Recording'!T:T,'Saline Comp Data Recording'!C:C=B26), ""Select Col1"")),""-"")"),2.0)</f>
        <v>2</v>
      </c>
      <c r="AL26" s="54">
        <f t="shared" si="7"/>
        <v>0.6666666667</v>
      </c>
      <c r="AM26" s="55">
        <f>IFERROR(__xludf.DUMMYFUNCTION("iferror(AVERAGE(query(filter('Saline Comp Data Recording'!T:T,'Saline Comp Data Recording'!C:C=B26), ""Select Col1"")),""0.00"")"),0.3333333333333333)</f>
        <v>0.3333333333</v>
      </c>
      <c r="AN26" s="61">
        <f>IFERROR(__xludf.DUMMYFUNCTION("iferror(MAX(query(filter('Saline Comp Data Recording'!T:T,'Saline Comp Data Recording'!C:C=B26), ""Select Col1"")),""-"")"),1.0)</f>
        <v>1</v>
      </c>
      <c r="AO26" s="62">
        <f>IFERROR(__xludf.DUMMYFUNCTION("iferror(SUM(query(filter('Saline Comp Data Recording'!U:U,'Saline Comp Data Recording'!C:C=B26), ""Select Col1"")),""-"")"),1.0)</f>
        <v>1</v>
      </c>
      <c r="AP26" s="62">
        <f>IFERROR(__xludf.DUMMYFUNCTION("iferror(SUM(query(filter('Saline Comp Data Recording'!V:V,'Saline Comp Data Recording'!C:C=B26), ""Select Col1"")),""-"")"),1.0)</f>
        <v>1</v>
      </c>
      <c r="AQ26" s="63">
        <f t="shared" si="8"/>
        <v>1</v>
      </c>
      <c r="AR26" s="64">
        <f>IFERROR(__xludf.DUMMYFUNCTION("iferror(AVERAGE(query(filter('Saline Comp Data Recording'!V:V,'Saline Comp Data Recording'!C:C=B26), ""Select Col1"")),""0.00"")"),0.16666666666666666)</f>
        <v>0.1666666667</v>
      </c>
      <c r="AS26" s="65">
        <f>IFERROR(__xludf.DUMMYFUNCTION("iferror(MAX(query(filter('Saline Comp Data Recording'!V:V,'Saline Comp Data Recording'!C:C=B26), ""Select Col1"")),""-"")"),1.0)</f>
        <v>1</v>
      </c>
      <c r="AT26" s="62">
        <f>IFERROR(__xludf.DUMMYFUNCTION("iferror(SUM(query(filter('Saline Comp Data Recording'!W:W,'Saline Comp Data Recording'!C:C=B26), ""Select Col1"")),""-"")"),1.0)</f>
        <v>1</v>
      </c>
      <c r="AU26" s="62">
        <f>IFERROR(__xludf.DUMMYFUNCTION("iferror(SUM(query(filter('Saline Comp Data Recording'!X:X,'Saline Comp Data Recording'!C:C=B26), ""Select Col1"")),""-"")"),1.0)</f>
        <v>1</v>
      </c>
      <c r="AV26" s="63">
        <f t="shared" si="9"/>
        <v>1</v>
      </c>
      <c r="AW26" s="64">
        <f>IFERROR(__xludf.DUMMYFUNCTION("iferror(AVERAGE(query(filter('Saline Comp Data Recording'!X:X,'Saline Comp Data Recording'!C:C=B26), ""Select Col1"")),""0.00"")"),0.16666666666666666)</f>
        <v>0.1666666667</v>
      </c>
      <c r="AX26" s="65">
        <f>IFERROR(__xludf.DUMMYFUNCTION("iferror(MAX(query(filter('Saline Comp Data Recording'!X:X,'Saline Comp Data Recording'!C:C=B26), ""Select Col1"")),""-"")"),1.0)</f>
        <v>1</v>
      </c>
      <c r="AY26" s="62">
        <f>IFERROR(__xludf.DUMMYFUNCTION("iferror(SUM(query(filter('Saline Comp Data Recording'!Y:Y,'Saline Comp Data Recording'!C:C=B26), ""Select Col1"")),""-"")"),1.0)</f>
        <v>1</v>
      </c>
      <c r="AZ26" s="62">
        <f>IFERROR(__xludf.DUMMYFUNCTION("iferror(SUM(query(filter('Saline Comp Data Recording'!Z:Z,'Saline Comp Data Recording'!C:C=B26), ""Select Col1"")),""-"")"),1.0)</f>
        <v>1</v>
      </c>
      <c r="BA26" s="63">
        <f t="shared" si="10"/>
        <v>1</v>
      </c>
      <c r="BB26" s="64">
        <f>IFERROR(__xludf.DUMMYFUNCTION("iferror(AVERAGE(query(filter('Saline Comp Data Recording'!Z:Z,'Saline Comp Data Recording'!C:C=B26), ""Select Col1"")),""0.00"")"),0.16666666666666666)</f>
        <v>0.1666666667</v>
      </c>
      <c r="BC26" s="65">
        <f>IFERROR(__xludf.DUMMYFUNCTION("iferror(MAX(query(filter('Saline Comp Data Recording'!Z:Z,'Saline Comp Data Recording'!C:C=B26), ""Select Col1"")),""-"")"),1.0)</f>
        <v>1</v>
      </c>
      <c r="BD26" s="62">
        <f>IFERROR(__xludf.DUMMYFUNCTION("iferror(SUM(query(filter('Saline Comp Data Recording'!AA:AA,'Saline Comp Data Recording'!C:C=B26), ""Select Col1"")),""-"")"),0.0)</f>
        <v>0</v>
      </c>
      <c r="BE26" s="62">
        <f>IFERROR(__xludf.DUMMYFUNCTION("iferror(SUM(query(filter('Saline Comp Data Recording'!AB:AB,'Saline Comp Data Recording'!C:C=B26), ""Select Col1"")),""-"")"),0.0)</f>
        <v>0</v>
      </c>
      <c r="BF26" s="63" t="str">
        <f t="shared" si="11"/>
        <v>-</v>
      </c>
      <c r="BG26" s="64">
        <f>IFERROR(__xludf.DUMMYFUNCTION("iferror(AVERAGE(query(filter('Saline Comp Data Recording'!AB:AB,'Saline Comp Data Recording'!C:C=B26), ""Select Col1"")),""0.00"")"),0.0)</f>
        <v>0</v>
      </c>
      <c r="BH26" s="65">
        <f>IFERROR(__xludf.DUMMYFUNCTION("iferror(MAX(query(filter('Saline Comp Data Recording'!AB:AB,'Saline Comp Data Recording'!C:C=B26), ""Select Col1"")),""-"")"),0.0)</f>
        <v>0</v>
      </c>
      <c r="BI26" s="62">
        <f>IFERROR(__xludf.DUMMYFUNCTION("iferror(SUM(query(filter('Saline Comp Data Recording'!AC:AC,'Saline Comp Data Recording'!C:C=B26), ""Select Col1"")),""-"")"),0.0)</f>
        <v>0</v>
      </c>
      <c r="BJ26" s="62">
        <f>IFERROR(__xludf.DUMMYFUNCTION("iferror(SUM(query(filter('Saline Comp Data Recording'!AD:AD,'Saline Comp Data Recording'!C:C=B26), ""Select Col1"")),""-"")"),0.0)</f>
        <v>0</v>
      </c>
      <c r="BK26" s="63" t="str">
        <f t="shared" si="12"/>
        <v>-</v>
      </c>
      <c r="BL26" s="64">
        <f>IFERROR(__xludf.DUMMYFUNCTION("iferror(AVERAGE(query(filter('Saline Comp Data Recording'!AD:AD,'Saline Comp Data Recording'!C:C=B26), ""Select Col1"")),""0.00"")"),0.0)</f>
        <v>0</v>
      </c>
      <c r="BM26" s="65">
        <f>IFERROR(__xludf.DUMMYFUNCTION("iferror(MAX(query(filter('Saline Comp Data Recording'!AD:AD,'Saline Comp Data Recording'!C:C=B26), ""Select Col1"")),""-"")"),0.0)</f>
        <v>0</v>
      </c>
      <c r="BN26" s="66" t="str">
        <f>IFERROR(__xludf.DUMMYFUNCTION("if(countif(query(filter('Saline Comp Data Recording'!AE:AE,'Saline Comp Data Recording'!C:C=B26), ""Select Col1""),""TRUE"")=0,""0"",countif(query(filter('Saline Comp Data Recording'!AE:AE,'Saline Comp Data Recording'!C:C=B26), ""Select Col1""),""TRUE""))"&amp;" &amp; ""/"" &amp; if(COUNTA(query(ifna(filter('Saline Comp Data Recording'!AE:AE,'Saline Comp Data Recording'!C:C=B26),""""), ""Select Col1""))=0,""0"",COUNTA(query(ifna(filter('Saline Comp Data Recording'!AE:AE,'Saline Comp Data Recording'!C:C=B26),""""), ""Sel"&amp;"ect Col1"")))"),"2/6")</f>
        <v>2/6</v>
      </c>
      <c r="BO26" s="67" t="str">
        <f>IFERROR(__xludf.DUMMYFUNCTION("if(countif(query(filter('Saline Comp Data Recording'!AF:AF,'Saline Comp Data Recording'!C:C=B26), ""Select Col1""),""TRUE"")=0,""0"",countif(query(filter('Saline Comp Data Recording'!AF:AF,'Saline Comp Data Recording'!C:C=B26), ""Select Col1""),""TRUE""))"&amp;" &amp; ""/"" &amp; if(COUNTA(query(ifna(filter('Saline Comp Data Recording'!AF:AF,'Saline Comp Data Recording'!C:C=B26),""""), ""Select Col1""))=0,""0"",COUNTA(query(ifna(filter('Saline Comp Data Recording'!AF:AF,'Saline Comp Data Recording'!C:C=B26),""""), ""Sel"&amp;"ect Col1"")))"),"1/6")</f>
        <v>1/6</v>
      </c>
      <c r="BP26" s="60" t="str">
        <f>IFERROR(__xludf.DUMMYFUNCTION("if(countif(query(filter('Saline Comp Data Recording'!AI:AI,'Saline Comp Data Recording'!C:C=B26), ""Select Col1""),""TRUE"")=0,""0"",countif(query(filter('Saline Comp Data Recording'!AI:AI,'Saline Comp Data Recording'!C:C=B26), ""Select Col1""),""TRUE""))"&amp;" &amp; ""/"" &amp; if(COUNTA(query(ifna(filter('Saline Comp Data Recording'!AI:AI,'Saline Comp Data Recording'!C:C=B26),""""), ""Select Col1""))=0,""0"",COUNTA(query(ifna(filter('Saline Comp Data Recording'!AI:AI,'Saline Comp Data Recording'!C:C=B26),""""), ""Sel"&amp;"ect Col1"")))"),"0/6")</f>
        <v>0/6</v>
      </c>
      <c r="BQ26" s="55">
        <f>IFERROR(__xludf.DUMMYFUNCTION("iferror(average(query(filter('Saline Comp Data Recording'!AG:AG,'Saline Comp Data Recording'!C:C=B26), ""Select Col1"")),""-"")"),1.5)</f>
        <v>1.5</v>
      </c>
      <c r="BR26" s="69">
        <f>IFERROR(__xludf.DUMMYFUNCTION("iferror(average(query(filter('Saline Comp Data Recording'!AH:AH,'Saline Comp Data Recording'!C:C=B26), ""Select Col1"")),""-"")"),0.8333333333333334)</f>
        <v>0.8333333333</v>
      </c>
      <c r="BS26" s="70">
        <f>IFERROR(__xludf.DUMMYFUNCTION("iferror(AVERAGE(query(filter('Saline Comp Data Recording'!AK:AK,'Saline Comp Data Recording'!C:C=B26), ""Select Col1"")),""-"")"),12.333333333333334)</f>
        <v>12.33333333</v>
      </c>
      <c r="BT26" s="70">
        <f>IFERROR(__xludf.DUMMYFUNCTION("iferror(AVERAGE(query(filter('Saline Comp Data Recording'!AL:AL,'Saline Comp Data Recording'!C:C=B26), ""Select Col1"")),""-"")"),6.333333333333333)</f>
        <v>6.333333333</v>
      </c>
      <c r="BU26" s="71">
        <f>IFERROR(__xludf.DUMMYFUNCTION("iferror(max(query(filter('Saline Comp Data Recording'!AK:AK,'Saline Comp Data Recording'!C:C=B26), ""Select Col1"")),""-"")"),32.0)</f>
        <v>32</v>
      </c>
      <c r="BV26" s="72">
        <f>IFERROR(__xludf.DUMMYFUNCTION("iferror(MIN(query(filter('Saline Comp Data Recording'!AK:AK,'Saline Comp Data Recording'!C:C=B26), ""Select Col1"")),""-"")"),0.0)</f>
        <v>0</v>
      </c>
      <c r="BW26" s="73" t="str">
        <f>IFERROR(__xludf.DUMMYFUNCTION("iferror(if(DIVIDE(COUNTIF(query(filter('Saline Comp Data Recording'!P:P,'Saline Comp Data Recording'!C:C=B26), ""Select Col1""),TRUE),COUNTA(query(ifna(filter('Saline Comp Data Recording'!P:P,'Saline Comp Data Recording'!C:C=B26),""""), ""Select Col1"")))"&amp;"&gt;=(0.5),""1"",""0""),""-"")"),"0")</f>
        <v>0</v>
      </c>
      <c r="BX26" s="59" t="str">
        <f>IFERROR(__xludf.DUMMYFUNCTION("iferror(if(countif(query(filter('Saline Comp Data Recording'!Q:Q,'Saline Comp Data Recording'!C:C=B26), ""Select Col1""),TRUE)/COUNTA(query(ifna(filter('Saline Comp Data Recording'!Q:Q,'Saline Comp Data Recording'!C:C=B26),""""), ""Select Col1""))&gt;=(0.5),"&amp;"""1"",""0""),""-"")"),"0")</f>
        <v>0</v>
      </c>
      <c r="BY26" s="74" t="str">
        <f>IFERROR(__xludf.DUMMYFUNCTION("iferror(if(DIVIDE(COUNTIF(query(filter('Saline Comp Data Recording'!AE:AE,'Saline Comp Data Recording'!C:C=B26), ""Select Col1""),TRUE),COUNTA(query(ifna(filter('Saline Comp Data Recording'!AE:AE,'Saline Comp Data Recording'!C:C=B26),""""), ""Select Col1"&amp;""")))&gt;=(0.5),""1"",""0""),""-"")"),"0")</f>
        <v>0</v>
      </c>
      <c r="BZ26" s="59" t="str">
        <f>IFERROR(__xludf.DUMMYFUNCTION("iferror(if(countif(query(filter('Saline Comp Data Recording'!AF:AF,'Saline Comp Data Recording'!C:C=B26), ""Select Col1""),TRUE)/COUNTA(query(ifna(filter('Saline Comp Data Recording'!AF:AF,'Saline Comp Data Recording'!C:C=B26),""""), ""Select Col1""))&gt;=(0"&amp;".5),""1"",""0""),""-"")"),"0")</f>
        <v>0</v>
      </c>
      <c r="CA26" s="74" t="str">
        <f>IFERROR(__xludf.DUMMYFUNCTION("iferror(if(DIVIDE(countif(query(filter('Saline Comp Data Recording'!R:R,'Saline Comp Data Recording'!C:C=B26), ""Select Col1""),TRUE),COUNTA(query(ifna(filter('Saline Comp Data Recording'!R:R,'Saline Comp Data Recording'!C:C=B26),""""), ""Select Col1"")))"&amp;"&gt;=(0.5),""1"",""0""),""-"")"),"0")</f>
        <v>0</v>
      </c>
    </row>
    <row r="27">
      <c r="A27" s="51" t="s">
        <v>538</v>
      </c>
      <c r="B27" s="51">
        <v>8243.0</v>
      </c>
      <c r="C27" s="52" t="str">
        <f>IFERROR(__xludf.DUMMYFUNCTION("if(countif(query(filter('Saline Comp Data Recording'!R:R,'Saline Comp Data Recording'!C:C=B27), ""Select Col1""),""TRUE"")=0,""0"",countif(query(filter('Saline Comp Data Recording'!R:R,'Saline Comp Data Recording'!C:C=B27), ""Select Col1""),""TRUE"")) &amp; "&amp;"""/"" &amp; if(COUNTA(query(ifna(filter('Saline Comp Data Recording'!R:R,'Saline Comp Data Recording'!C:C=B27),""""), ""Select Col1""))=0,""0"",COUNTA(query(ifna(filter('Saline Comp Data Recording'!R:R,'Saline Comp Data Recording'!C:C=B27),""""), ""Select Col"&amp;"1"")))"),"2/6")</f>
        <v>2/6</v>
      </c>
      <c r="D27" s="53">
        <f>IFERROR(__xludf.DUMMYFUNCTION("iferror(SUM(query(filter('Saline Comp Data Recording'!D:D,'Saline Comp Data Recording'!C:C=B27), ""Select Col1"")),""-"")"),1.0)</f>
        <v>1</v>
      </c>
      <c r="E27" s="53">
        <f>IFERROR(__xludf.DUMMYFUNCTION("iferror(SUM(query(filter('Saline Comp Data Recording'!E:E,'Saline Comp Data Recording'!C:C=B27), ""Select Col1"")),""-"")"),1.0)</f>
        <v>1</v>
      </c>
      <c r="F27" s="54">
        <f t="shared" si="1"/>
        <v>1</v>
      </c>
      <c r="G27" s="55">
        <f>IFERROR(__xludf.DUMMYFUNCTION("iferror(AVERAGE(query(filter('Saline Comp Data Recording'!E:E,'Saline Comp Data Recording'!C:C=B27), ""Select Col1"")),""0.00"")"),0.16666666666666666)</f>
        <v>0.1666666667</v>
      </c>
      <c r="H27" s="53">
        <f>IFERROR(__xludf.DUMMYFUNCTION("iferror(MAX(query(filter('Saline Comp Data Recording'!E:E,'Saline Comp Data Recording'!C:C=B27), ""Select Col1"")),""-"")"),1.0)</f>
        <v>1</v>
      </c>
      <c r="I27" s="56">
        <f>IFERROR(__xludf.DUMMYFUNCTION("iferror(SUM(query(filter('Saline Comp Data Recording'!F:F,'Saline Comp Data Recording'!C:C=B27), ""Select Col1"")),""-"")"),3.0)</f>
        <v>3</v>
      </c>
      <c r="J27" s="57">
        <f>IFERROR(__xludf.DUMMYFUNCTION("iferror(SUM(query(filter('Saline Comp Data Recording'!G:G,'Saline Comp Data Recording'!C:C=B27), ""Select Col1"")),""-"")"),3.0)</f>
        <v>3</v>
      </c>
      <c r="K27" s="54">
        <f t="shared" si="2"/>
        <v>1</v>
      </c>
      <c r="L27" s="55">
        <f>IFERROR(__xludf.DUMMYFUNCTION("iferror(AVERAGE(query(filter('Saline Comp Data Recording'!G:G,'Saline Comp Data Recording'!C:C=B27), ""Select Col1"")),""0.00"")"),0.5)</f>
        <v>0.5</v>
      </c>
      <c r="M27" s="53">
        <f>IFERROR(__xludf.DUMMYFUNCTION("iferror(MAX(query(filter('Saline Comp Data Recording'!G:G,'Saline Comp Data Recording'!C:C=B27), ""Select Col1"")),""-"")"),1.0)</f>
        <v>1</v>
      </c>
      <c r="N27" s="58">
        <f>IFERROR(__xludf.DUMMYFUNCTION("iferror(SUM(query(filter('Saline Comp Data Recording'!H:H,'Saline Comp Data Recording'!C:C=B27), ""Select Col1"")),""-"")"),0.0)</f>
        <v>0</v>
      </c>
      <c r="O27" s="59">
        <f>IFERROR(__xludf.DUMMYFUNCTION("iferror(SUM(query(filter('Saline Comp Data Recording'!I:I,'Saline Comp Data Recording'!C:C=B27), ""Select Col1"")),""-"")"),0.0)</f>
        <v>0</v>
      </c>
      <c r="P27" s="54" t="str">
        <f t="shared" si="3"/>
        <v>-</v>
      </c>
      <c r="Q27" s="55">
        <f>IFERROR(__xludf.DUMMYFUNCTION("iferror(AVERAGE(query(filter('Saline Comp Data Recording'!I:I,'Saline Comp Data Recording'!C:C=B27), ""Select Col1"")),""0.00"")"),0.0)</f>
        <v>0</v>
      </c>
      <c r="R27" s="53">
        <f>IFERROR(__xludf.DUMMYFUNCTION("iferror(MAX(query(filter('Saline Comp Data Recording'!I:I,'Saline Comp Data Recording'!C:C=B27), ""Select Col1"")),""-"")"),0.0)</f>
        <v>0</v>
      </c>
      <c r="S27" s="58">
        <f>IFERROR(__xludf.DUMMYFUNCTION("iferror(SUM(query(filter('Saline Comp Data Recording'!J:J,'Saline Comp Data Recording'!C:C=B27), ""Select Col1"")),""-"")"),0.0)</f>
        <v>0</v>
      </c>
      <c r="T27" s="59">
        <f>IFERROR(__xludf.DUMMYFUNCTION("iferror(SUM(query(filter('Saline Comp Data Recording'!K:K,'Saline Comp Data Recording'!C:C=B27), ""Select Col1"")),""-"")"),0.0)</f>
        <v>0</v>
      </c>
      <c r="U27" s="54" t="str">
        <f t="shared" si="4"/>
        <v>-</v>
      </c>
      <c r="V27" s="55">
        <f>IFERROR(__xludf.DUMMYFUNCTION("iferror(AVERAGE(query(filter('Saline Comp Data Recording'!K:K,'Saline Comp Data Recording'!C:C=B27), ""Select Col1"")),""-"")"),0.0)</f>
        <v>0</v>
      </c>
      <c r="W27" s="52">
        <f>IFERROR(__xludf.DUMMYFUNCTION("iferror(MAX(query(filter('Saline Comp Data Recording'!K:K,'Saline Comp Data Recording'!C:C=B27), ""Select Col1"")),""-"")"),0.0)</f>
        <v>0</v>
      </c>
      <c r="X27" s="59">
        <f>IFERROR(__xludf.DUMMYFUNCTION("iferror(SUM(query(filter('Saline Comp Data Recording'!L:L,'Saline Comp Data Recording'!C:C=B27), ""Select Col1"")),""-"")"),1.0)</f>
        <v>1</v>
      </c>
      <c r="Y27" s="59">
        <f>IFERROR(__xludf.DUMMYFUNCTION("iferror(SUM(query(filter('Saline Comp Data Recording'!M:M,'Saline Comp Data Recording'!C:C=B27), ""Select Col1"")),""-"")"),1.0)</f>
        <v>1</v>
      </c>
      <c r="Z27" s="54">
        <f t="shared" si="5"/>
        <v>1</v>
      </c>
      <c r="AA27" s="55">
        <f>IFERROR(__xludf.DUMMYFUNCTION("iferror(AVERAGE(query(filter('Saline Comp Data Recording'!M:M,'Saline Comp Data Recording'!C:C=B27), ""Select Col1"")),""0.00"")"),0.16666666666666666)</f>
        <v>0.1666666667</v>
      </c>
      <c r="AB27" s="52">
        <f>IFERROR(__xludf.DUMMYFUNCTION("iferror(MAX(query(filter('Saline Comp Data Recording'!M:M,'Saline Comp Data Recording'!C:C=B27), ""Select Col1"")),""-"")"),1.0)</f>
        <v>1</v>
      </c>
      <c r="AC27" s="59">
        <f>IFERROR(__xludf.DUMMYFUNCTION("iferror(SUM(query(filter('Saline Comp Data Recording'!N:N,'Saline Comp Data Recording'!C:C=B27), ""Select Col1"")),""-"")"),0.0)</f>
        <v>0</v>
      </c>
      <c r="AD27" s="59">
        <f>IFERROR(__xludf.DUMMYFUNCTION("iferror(SUM(query(filter('Saline Comp Data Recording'!O:O,'Saline Comp Data Recording'!C:C=B27), ""Select Col1"")),""-"")"),0.0)</f>
        <v>0</v>
      </c>
      <c r="AE27" s="54" t="str">
        <f t="shared" si="6"/>
        <v>-</v>
      </c>
      <c r="AF27" s="55">
        <f>IFERROR(__xludf.DUMMYFUNCTION("iferror(AVERAGE(query(filter('Saline Comp Data Recording'!O:O,'Saline Comp Data Recording'!C:C=B27), ""Select Col1"")),""0.00"")"),0.0)</f>
        <v>0</v>
      </c>
      <c r="AG27" s="59">
        <f>IFERROR(__xludf.DUMMYFUNCTION("iferror(MAX(query(filter('Saline Comp Data Recording'!O:O,'Saline Comp Data Recording'!C:C=B27), ""Select Col1"")),""-"")"),0.0)</f>
        <v>0</v>
      </c>
      <c r="AH27" s="58" t="str">
        <f>IFERROR(__xludf.DUMMYFUNCTION("if(countif(query(filter('Saline Comp Data Recording'!P:P,'Saline Comp Data Recording'!C:C=B27), ""Select Col1""),TRUE)=0,""0"",countif(query(filter('Saline Comp Data Recording'!P:P,'Saline Comp Data Recording'!C:C=B27), ""Select Col1""),TRUE)) &amp; ""/"" &amp; i"&amp;"f(COUNTA(query(ifna(filter('Saline Comp Data Recording'!P:P,'Saline Comp Data Recording'!C:C=B27),""""), ""Select Col1""))=0,""0"",COUNTA(query(ifna(filter('Saline Comp Data Recording'!P:P,'Saline Comp Data Recording'!C:C=B27),""""), ""Select Col1"")))"),"2/6")</f>
        <v>2/6</v>
      </c>
      <c r="AI27" s="60" t="str">
        <f>IFERROR(__xludf.DUMMYFUNCTION("if(countif(query(filter('Saline Comp Data Recording'!Q:Q,'Saline Comp Data Recording'!C:C=B27), ""Select Col1""),TRUE)=0,""0"",countif(query(filter('Saline Comp Data Recording'!Q:Q,'Saline Comp Data Recording'!C:C=B27), ""Select Col1""),TRUE)) &amp; ""/"" &amp; i"&amp;"f(COUNTA(query(ifna(filter('Saline Comp Data Recording'!Q:Q,'Saline Comp Data Recording'!C:C=B27),""""), ""Select Col1""))=0,""0"",COUNTA(query(ifna(filter('Saline Comp Data Recording'!Q:Q,'Saline Comp Data Recording'!C:C=B27),""""), ""Select Col1"")))"),"0/6")</f>
        <v>0/6</v>
      </c>
      <c r="AJ27" s="59">
        <f>IFERROR(__xludf.DUMMYFUNCTION("iferror(SUM(query(filter('Saline Comp Data Recording'!S:S,'Saline Comp Data Recording'!C:C=B27), ""Select Col1"")),""-"")"),1.0)</f>
        <v>1</v>
      </c>
      <c r="AK27" s="59">
        <f>IFERROR(__xludf.DUMMYFUNCTION("iferror(SUM(query(filter('Saline Comp Data Recording'!T:T,'Saline Comp Data Recording'!C:C=B27), ""Select Col1"")),""-"")"),0.0)</f>
        <v>0</v>
      </c>
      <c r="AL27" s="54">
        <f t="shared" si="7"/>
        <v>0</v>
      </c>
      <c r="AM27" s="55">
        <f>IFERROR(__xludf.DUMMYFUNCTION("iferror(AVERAGE(query(filter('Saline Comp Data Recording'!T:T,'Saline Comp Data Recording'!C:C=B27), ""Select Col1"")),""0.00"")"),0.0)</f>
        <v>0</v>
      </c>
      <c r="AN27" s="61">
        <f>IFERROR(__xludf.DUMMYFUNCTION("iferror(MAX(query(filter('Saline Comp Data Recording'!T:T,'Saline Comp Data Recording'!C:C=B27), ""Select Col1"")),""-"")"),0.0)</f>
        <v>0</v>
      </c>
      <c r="AO27" s="62">
        <f>IFERROR(__xludf.DUMMYFUNCTION("iferror(SUM(query(filter('Saline Comp Data Recording'!U:U,'Saline Comp Data Recording'!C:C=B27), ""Select Col1"")),""-"")"),3.0)</f>
        <v>3</v>
      </c>
      <c r="AP27" s="62">
        <f>IFERROR(__xludf.DUMMYFUNCTION("iferror(SUM(query(filter('Saline Comp Data Recording'!V:V,'Saline Comp Data Recording'!C:C=B27), ""Select Col1"")),""-"")"),1.0)</f>
        <v>1</v>
      </c>
      <c r="AQ27" s="63">
        <f t="shared" si="8"/>
        <v>0.3333333333</v>
      </c>
      <c r="AR27" s="64">
        <f>IFERROR(__xludf.DUMMYFUNCTION("iferror(AVERAGE(query(filter('Saline Comp Data Recording'!V:V,'Saline Comp Data Recording'!C:C=B27), ""Select Col1"")),""0.00"")"),0.16666666666666666)</f>
        <v>0.1666666667</v>
      </c>
      <c r="AS27" s="65">
        <f>IFERROR(__xludf.DUMMYFUNCTION("iferror(MAX(query(filter('Saline Comp Data Recording'!V:V,'Saline Comp Data Recording'!C:C=B27), ""Select Col1"")),""-"")"),1.0)</f>
        <v>1</v>
      </c>
      <c r="AT27" s="62">
        <f>IFERROR(__xludf.DUMMYFUNCTION("iferror(SUM(query(filter('Saline Comp Data Recording'!W:W,'Saline Comp Data Recording'!C:C=B27), ""Select Col1"")),""-"")"),1.0)</f>
        <v>1</v>
      </c>
      <c r="AU27" s="62">
        <f>IFERROR(__xludf.DUMMYFUNCTION("iferror(SUM(query(filter('Saline Comp Data Recording'!X:X,'Saline Comp Data Recording'!C:C=B27), ""Select Col1"")),""-"")"),1.0)</f>
        <v>1</v>
      </c>
      <c r="AV27" s="63">
        <f t="shared" si="9"/>
        <v>1</v>
      </c>
      <c r="AW27" s="64">
        <f>IFERROR(__xludf.DUMMYFUNCTION("iferror(AVERAGE(query(filter('Saline Comp Data Recording'!X:X,'Saline Comp Data Recording'!C:C=B27), ""Select Col1"")),""0.00"")"),0.16666666666666666)</f>
        <v>0.1666666667</v>
      </c>
      <c r="AX27" s="65">
        <f>IFERROR(__xludf.DUMMYFUNCTION("iferror(MAX(query(filter('Saline Comp Data Recording'!X:X,'Saline Comp Data Recording'!C:C=B27), ""Select Col1"")),""-"")"),1.0)</f>
        <v>1</v>
      </c>
      <c r="AY27" s="62">
        <f>IFERROR(__xludf.DUMMYFUNCTION("iferror(SUM(query(filter('Saline Comp Data Recording'!Y:Y,'Saline Comp Data Recording'!C:C=B27), ""Select Col1"")),""-"")"),0.0)</f>
        <v>0</v>
      </c>
      <c r="AZ27" s="62">
        <f>IFERROR(__xludf.DUMMYFUNCTION("iferror(SUM(query(filter('Saline Comp Data Recording'!Z:Z,'Saline Comp Data Recording'!C:C=B27), ""Select Col1"")),""-"")"),0.0)</f>
        <v>0</v>
      </c>
      <c r="BA27" s="63" t="str">
        <f t="shared" si="10"/>
        <v>-</v>
      </c>
      <c r="BB27" s="64">
        <f>IFERROR(__xludf.DUMMYFUNCTION("iferror(AVERAGE(query(filter('Saline Comp Data Recording'!Z:Z,'Saline Comp Data Recording'!C:C=B27), ""Select Col1"")),""0.00"")"),0.0)</f>
        <v>0</v>
      </c>
      <c r="BC27" s="65">
        <f>IFERROR(__xludf.DUMMYFUNCTION("iferror(MAX(query(filter('Saline Comp Data Recording'!Z:Z,'Saline Comp Data Recording'!C:C=B27), ""Select Col1"")),""-"")"),0.0)</f>
        <v>0</v>
      </c>
      <c r="BD27" s="62">
        <f>IFERROR(__xludf.DUMMYFUNCTION("iferror(SUM(query(filter('Saline Comp Data Recording'!AA:AA,'Saline Comp Data Recording'!C:C=B27), ""Select Col1"")),""-"")"),2.0)</f>
        <v>2</v>
      </c>
      <c r="BE27" s="62">
        <f>IFERROR(__xludf.DUMMYFUNCTION("iferror(SUM(query(filter('Saline Comp Data Recording'!AB:AB,'Saline Comp Data Recording'!C:C=B27), ""Select Col1"")),""-"")"),2.0)</f>
        <v>2</v>
      </c>
      <c r="BF27" s="63">
        <f t="shared" si="11"/>
        <v>1</v>
      </c>
      <c r="BG27" s="64">
        <f>IFERROR(__xludf.DUMMYFUNCTION("iferror(AVERAGE(query(filter('Saline Comp Data Recording'!AB:AB,'Saline Comp Data Recording'!C:C=B27), ""Select Col1"")),""0.00"")"),0.3333333333333333)</f>
        <v>0.3333333333</v>
      </c>
      <c r="BH27" s="65">
        <f>IFERROR(__xludf.DUMMYFUNCTION("iferror(MAX(query(filter('Saline Comp Data Recording'!AB:AB,'Saline Comp Data Recording'!C:C=B27), ""Select Col1"")),""-"")"),1.0)</f>
        <v>1</v>
      </c>
      <c r="BI27" s="62">
        <f>IFERROR(__xludf.DUMMYFUNCTION("iferror(SUM(query(filter('Saline Comp Data Recording'!AC:AC,'Saline Comp Data Recording'!C:C=B27), ""Select Col1"")),""-"")"),0.0)</f>
        <v>0</v>
      </c>
      <c r="BJ27" s="62">
        <f>IFERROR(__xludf.DUMMYFUNCTION("iferror(SUM(query(filter('Saline Comp Data Recording'!AD:AD,'Saline Comp Data Recording'!C:C=B27), ""Select Col1"")),""-"")"),0.0)</f>
        <v>0</v>
      </c>
      <c r="BK27" s="63" t="str">
        <f t="shared" si="12"/>
        <v>-</v>
      </c>
      <c r="BL27" s="64">
        <f>IFERROR(__xludf.DUMMYFUNCTION("iferror(AVERAGE(query(filter('Saline Comp Data Recording'!AD:AD,'Saline Comp Data Recording'!C:C=B27), ""Select Col1"")),""0.00"")"),0.0)</f>
        <v>0</v>
      </c>
      <c r="BM27" s="65">
        <f>IFERROR(__xludf.DUMMYFUNCTION("iferror(MAX(query(filter('Saline Comp Data Recording'!AD:AD,'Saline Comp Data Recording'!C:C=B27), ""Select Col1"")),""-"")"),0.0)</f>
        <v>0</v>
      </c>
      <c r="BN27" s="66" t="str">
        <f>IFERROR(__xludf.DUMMYFUNCTION("if(countif(query(filter('Saline Comp Data Recording'!AE:AE,'Saline Comp Data Recording'!C:C=B27), ""Select Col1""),""TRUE"")=0,""0"",countif(query(filter('Saline Comp Data Recording'!AE:AE,'Saline Comp Data Recording'!C:C=B27), ""Select Col1""),""TRUE""))"&amp;" &amp; ""/"" &amp; if(COUNTA(query(ifna(filter('Saline Comp Data Recording'!AE:AE,'Saline Comp Data Recording'!C:C=B27),""""), ""Select Col1""))=0,""0"",COUNTA(query(ifna(filter('Saline Comp Data Recording'!AE:AE,'Saline Comp Data Recording'!C:C=B27),""""), ""Sel"&amp;"ect Col1"")))"),"2/6")</f>
        <v>2/6</v>
      </c>
      <c r="BO27" s="67" t="str">
        <f>IFERROR(__xludf.DUMMYFUNCTION("if(countif(query(filter('Saline Comp Data Recording'!AF:AF,'Saline Comp Data Recording'!C:C=B27), ""Select Col1""),""TRUE"")=0,""0"",countif(query(filter('Saline Comp Data Recording'!AF:AF,'Saline Comp Data Recording'!C:C=B27), ""Select Col1""),""TRUE""))"&amp;" &amp; ""/"" &amp; if(COUNTA(query(ifna(filter('Saline Comp Data Recording'!AF:AF,'Saline Comp Data Recording'!C:C=B27),""""), ""Select Col1""))=0,""0"",COUNTA(query(ifna(filter('Saline Comp Data Recording'!AF:AF,'Saline Comp Data Recording'!C:C=B27),""""), ""Sel"&amp;"ect Col1"")))"),"0/6")</f>
        <v>0/6</v>
      </c>
      <c r="BP27" s="60" t="str">
        <f>IFERROR(__xludf.DUMMYFUNCTION("if(countif(query(filter('Saline Comp Data Recording'!AI:AI,'Saline Comp Data Recording'!C:C=B27), ""Select Col1""),""TRUE"")=0,""0"",countif(query(filter('Saline Comp Data Recording'!AI:AI,'Saline Comp Data Recording'!C:C=B27), ""Select Col1""),""TRUE""))"&amp;" &amp; ""/"" &amp; if(COUNTA(query(ifna(filter('Saline Comp Data Recording'!AI:AI,'Saline Comp Data Recording'!C:C=B27),""""), ""Select Col1""))=0,""0"",COUNTA(query(ifna(filter('Saline Comp Data Recording'!AI:AI,'Saline Comp Data Recording'!C:C=B27),""""), ""Sel"&amp;"ect Col1"")))"),"2/6")</f>
        <v>2/6</v>
      </c>
      <c r="BQ27" s="55">
        <f>IFERROR(__xludf.DUMMYFUNCTION("iferror(average(query(filter('Saline Comp Data Recording'!AG:AG,'Saline Comp Data Recording'!C:C=B27), ""Select Col1"")),""-"")"),1.3333333333333333)</f>
        <v>1.333333333</v>
      </c>
      <c r="BR27" s="69">
        <f>IFERROR(__xludf.DUMMYFUNCTION("iferror(average(query(filter('Saline Comp Data Recording'!AH:AH,'Saline Comp Data Recording'!C:C=B27), ""Select Col1"")),""-"")"),0.5)</f>
        <v>0.5</v>
      </c>
      <c r="BS27" s="70">
        <f>IFERROR(__xludf.DUMMYFUNCTION("iferror(AVERAGE(query(filter('Saline Comp Data Recording'!AK:AK,'Saline Comp Data Recording'!C:C=B27), ""Select Col1"")),""-"")"),11.166666666666666)</f>
        <v>11.16666667</v>
      </c>
      <c r="BT27" s="70">
        <f>IFERROR(__xludf.DUMMYFUNCTION("iferror(AVERAGE(query(filter('Saline Comp Data Recording'!AL:AL,'Saline Comp Data Recording'!C:C=B27), ""Select Col1"")),""-"")"),6.5)</f>
        <v>6.5</v>
      </c>
      <c r="BU27" s="71">
        <f>IFERROR(__xludf.DUMMYFUNCTION("iferror(max(query(filter('Saline Comp Data Recording'!AK:AK,'Saline Comp Data Recording'!C:C=B27), ""Select Col1"")),""-"")"),23.0)</f>
        <v>23</v>
      </c>
      <c r="BV27" s="72">
        <f>IFERROR(__xludf.DUMMYFUNCTION("iferror(MIN(query(filter('Saline Comp Data Recording'!AK:AK,'Saline Comp Data Recording'!C:C=B27), ""Select Col1"")),""-"")"),4.0)</f>
        <v>4</v>
      </c>
      <c r="BW27" s="73" t="str">
        <f>IFERROR(__xludf.DUMMYFUNCTION("iferror(if(DIVIDE(COUNTIF(query(filter('Saline Comp Data Recording'!P:P,'Saline Comp Data Recording'!C:C=B27), ""Select Col1""),TRUE),COUNTA(query(ifna(filter('Saline Comp Data Recording'!P:P,'Saline Comp Data Recording'!C:C=B27),""""), ""Select Col1"")))"&amp;"&gt;=(0.5),""1"",""0""),""-"")"),"0")</f>
        <v>0</v>
      </c>
      <c r="BX27" s="59" t="str">
        <f>IFERROR(__xludf.DUMMYFUNCTION("iferror(if(countif(query(filter('Saline Comp Data Recording'!Q:Q,'Saline Comp Data Recording'!C:C=B27), ""Select Col1""),TRUE)/COUNTA(query(ifna(filter('Saline Comp Data Recording'!Q:Q,'Saline Comp Data Recording'!C:C=B27),""""), ""Select Col1""))&gt;=(0.5),"&amp;"""1"",""0""),""-"")"),"0")</f>
        <v>0</v>
      </c>
      <c r="BY27" s="74" t="str">
        <f>IFERROR(__xludf.DUMMYFUNCTION("iferror(if(DIVIDE(COUNTIF(query(filter('Saline Comp Data Recording'!AE:AE,'Saline Comp Data Recording'!C:C=B27), ""Select Col1""),TRUE),COUNTA(query(ifna(filter('Saline Comp Data Recording'!AE:AE,'Saline Comp Data Recording'!C:C=B27),""""), ""Select Col1"&amp;""")))&gt;=(0.5),""1"",""0""),""-"")"),"0")</f>
        <v>0</v>
      </c>
      <c r="BZ27" s="59" t="str">
        <f>IFERROR(__xludf.DUMMYFUNCTION("iferror(if(countif(query(filter('Saline Comp Data Recording'!AF:AF,'Saline Comp Data Recording'!C:C=B27), ""Select Col1""),TRUE)/COUNTA(query(ifna(filter('Saline Comp Data Recording'!AF:AF,'Saline Comp Data Recording'!C:C=B27),""""), ""Select Col1""))&gt;=(0"&amp;".5),""1"",""0""),""-"")"),"0")</f>
        <v>0</v>
      </c>
      <c r="CA27" s="74" t="str">
        <f>IFERROR(__xludf.DUMMYFUNCTION("iferror(if(DIVIDE(countif(query(filter('Saline Comp Data Recording'!R:R,'Saline Comp Data Recording'!C:C=B27), ""Select Col1""),TRUE),COUNTA(query(ifna(filter('Saline Comp Data Recording'!R:R,'Saline Comp Data Recording'!C:C=B27),""""), ""Select Col1"")))"&amp;"&gt;=(0.5),""1"",""0""),""-"")"),"0")</f>
        <v>0</v>
      </c>
    </row>
    <row r="28">
      <c r="A28" s="51" t="s">
        <v>47</v>
      </c>
      <c r="B28" s="51">
        <v>7225.0</v>
      </c>
      <c r="C28" s="52" t="str">
        <f>IFERROR(__xludf.DUMMYFUNCTION("if(countif(query(filter('Saline Comp Data Recording'!R:R,'Saline Comp Data Recording'!C:C=B28), ""Select Col1""),""TRUE"")=0,""0"",countif(query(filter('Saline Comp Data Recording'!R:R,'Saline Comp Data Recording'!C:C=B28), ""Select Col1""),""TRUE"")) &amp; "&amp;"""/"" &amp; if(COUNTA(query(ifna(filter('Saline Comp Data Recording'!R:R,'Saline Comp Data Recording'!C:C=B28),""""), ""Select Col1""))=0,""0"",COUNTA(query(ifna(filter('Saline Comp Data Recording'!R:R,'Saline Comp Data Recording'!C:C=B28),""""), ""Select Col"&amp;"1"")))"),"4/6")</f>
        <v>4/6</v>
      </c>
      <c r="D28" s="53">
        <f>IFERROR(__xludf.DUMMYFUNCTION("iferror(SUM(query(filter('Saline Comp Data Recording'!D:D,'Saline Comp Data Recording'!C:C=B28), ""Select Col1"")),""-"")"),0.0)</f>
        <v>0</v>
      </c>
      <c r="E28" s="53">
        <f>IFERROR(__xludf.DUMMYFUNCTION("iferror(SUM(query(filter('Saline Comp Data Recording'!E:E,'Saline Comp Data Recording'!C:C=B28), ""Select Col1"")),""-"")"),0.0)</f>
        <v>0</v>
      </c>
      <c r="F28" s="54" t="str">
        <f t="shared" si="1"/>
        <v>-</v>
      </c>
      <c r="G28" s="55">
        <f>IFERROR(__xludf.DUMMYFUNCTION("iferror(AVERAGE(query(filter('Saline Comp Data Recording'!E:E,'Saline Comp Data Recording'!C:C=B28), ""Select Col1"")),""0.00"")"),0.0)</f>
        <v>0</v>
      </c>
      <c r="H28" s="53">
        <f>IFERROR(__xludf.DUMMYFUNCTION("iferror(MAX(query(filter('Saline Comp Data Recording'!E:E,'Saline Comp Data Recording'!C:C=B28), ""Select Col1"")),""-"")"),0.0)</f>
        <v>0</v>
      </c>
      <c r="I28" s="56">
        <f>IFERROR(__xludf.DUMMYFUNCTION("iferror(SUM(query(filter('Saline Comp Data Recording'!F:F,'Saline Comp Data Recording'!C:C=B28), ""Select Col1"")),""-"")"),0.0)</f>
        <v>0</v>
      </c>
      <c r="J28" s="57">
        <f>IFERROR(__xludf.DUMMYFUNCTION("iferror(SUM(query(filter('Saline Comp Data Recording'!G:G,'Saline Comp Data Recording'!C:C=B28), ""Select Col1"")),""-"")"),0.0)</f>
        <v>0</v>
      </c>
      <c r="K28" s="54" t="str">
        <f t="shared" si="2"/>
        <v>-</v>
      </c>
      <c r="L28" s="55">
        <f>IFERROR(__xludf.DUMMYFUNCTION("iferror(AVERAGE(query(filter('Saline Comp Data Recording'!G:G,'Saline Comp Data Recording'!C:C=B28), ""Select Col1"")),""0.00"")"),0.0)</f>
        <v>0</v>
      </c>
      <c r="M28" s="53">
        <f>IFERROR(__xludf.DUMMYFUNCTION("iferror(MAX(query(filter('Saline Comp Data Recording'!G:G,'Saline Comp Data Recording'!C:C=B28), ""Select Col1"")),""-"")"),0.0)</f>
        <v>0</v>
      </c>
      <c r="N28" s="58">
        <f>IFERROR(__xludf.DUMMYFUNCTION("iferror(SUM(query(filter('Saline Comp Data Recording'!H:H,'Saline Comp Data Recording'!C:C=B28), ""Select Col1"")),""-"")"),2.0)</f>
        <v>2</v>
      </c>
      <c r="O28" s="59">
        <f>IFERROR(__xludf.DUMMYFUNCTION("iferror(SUM(query(filter('Saline Comp Data Recording'!I:I,'Saline Comp Data Recording'!C:C=B28), ""Select Col1"")),""-"")"),2.0)</f>
        <v>2</v>
      </c>
      <c r="P28" s="54">
        <f t="shared" si="3"/>
        <v>1</v>
      </c>
      <c r="Q28" s="55">
        <f>IFERROR(__xludf.DUMMYFUNCTION("iferror(AVERAGE(query(filter('Saline Comp Data Recording'!I:I,'Saline Comp Data Recording'!C:C=B28), ""Select Col1"")),""0.00"")"),0.3333333333333333)</f>
        <v>0.3333333333</v>
      </c>
      <c r="R28" s="53">
        <f>IFERROR(__xludf.DUMMYFUNCTION("iferror(MAX(query(filter('Saline Comp Data Recording'!I:I,'Saline Comp Data Recording'!C:C=B28), ""Select Col1"")),""-"")"),2.0)</f>
        <v>2</v>
      </c>
      <c r="S28" s="58">
        <f>IFERROR(__xludf.DUMMYFUNCTION("iferror(SUM(query(filter('Saline Comp Data Recording'!J:J,'Saline Comp Data Recording'!C:C=B28), ""Select Col1"")),""-"")"),3.0)</f>
        <v>3</v>
      </c>
      <c r="T28" s="59">
        <f>IFERROR(__xludf.DUMMYFUNCTION("iferror(SUM(query(filter('Saline Comp Data Recording'!K:K,'Saline Comp Data Recording'!C:C=B28), ""Select Col1"")),""-"")"),0.0)</f>
        <v>0</v>
      </c>
      <c r="U28" s="54">
        <f t="shared" si="4"/>
        <v>0</v>
      </c>
      <c r="V28" s="55">
        <f>IFERROR(__xludf.DUMMYFUNCTION("iferror(AVERAGE(query(filter('Saline Comp Data Recording'!K:K,'Saline Comp Data Recording'!C:C=B28), ""Select Col1"")),""-"")"),0.0)</f>
        <v>0</v>
      </c>
      <c r="W28" s="52">
        <f>IFERROR(__xludf.DUMMYFUNCTION("iferror(MAX(query(filter('Saline Comp Data Recording'!K:K,'Saline Comp Data Recording'!C:C=B28), ""Select Col1"")),""-"")"),0.0)</f>
        <v>0</v>
      </c>
      <c r="X28" s="59">
        <f>IFERROR(__xludf.DUMMYFUNCTION("iferror(SUM(query(filter('Saline Comp Data Recording'!L:L,'Saline Comp Data Recording'!C:C=B28), ""Select Col1"")),""-"")"),1.0)</f>
        <v>1</v>
      </c>
      <c r="Y28" s="59">
        <f>IFERROR(__xludf.DUMMYFUNCTION("iferror(SUM(query(filter('Saline Comp Data Recording'!M:M,'Saline Comp Data Recording'!C:C=B28), ""Select Col1"")),""-"")"),1.0)</f>
        <v>1</v>
      </c>
      <c r="Z28" s="54">
        <f t="shared" si="5"/>
        <v>1</v>
      </c>
      <c r="AA28" s="55">
        <f>IFERROR(__xludf.DUMMYFUNCTION("iferror(AVERAGE(query(filter('Saline Comp Data Recording'!M:M,'Saline Comp Data Recording'!C:C=B28), ""Select Col1"")),""0.00"")"),0.16666666666666666)</f>
        <v>0.1666666667</v>
      </c>
      <c r="AB28" s="52">
        <f>IFERROR(__xludf.DUMMYFUNCTION("iferror(MAX(query(filter('Saline Comp Data Recording'!M:M,'Saline Comp Data Recording'!C:C=B28), ""Select Col1"")),""-"")"),1.0)</f>
        <v>1</v>
      </c>
      <c r="AC28" s="59">
        <f>IFERROR(__xludf.DUMMYFUNCTION("iferror(SUM(query(filter('Saline Comp Data Recording'!N:N,'Saline Comp Data Recording'!C:C=B28), ""Select Col1"")),""-"")"),0.0)</f>
        <v>0</v>
      </c>
      <c r="AD28" s="59">
        <f>IFERROR(__xludf.DUMMYFUNCTION("iferror(SUM(query(filter('Saline Comp Data Recording'!O:O,'Saline Comp Data Recording'!C:C=B28), ""Select Col1"")),""-"")"),0.0)</f>
        <v>0</v>
      </c>
      <c r="AE28" s="54" t="str">
        <f t="shared" si="6"/>
        <v>-</v>
      </c>
      <c r="AF28" s="55">
        <f>IFERROR(__xludf.DUMMYFUNCTION("iferror(AVERAGE(query(filter('Saline Comp Data Recording'!O:O,'Saline Comp Data Recording'!C:C=B28), ""Select Col1"")),""0.00"")"),0.0)</f>
        <v>0</v>
      </c>
      <c r="AG28" s="59">
        <f>IFERROR(__xludf.DUMMYFUNCTION("iferror(MAX(query(filter('Saline Comp Data Recording'!O:O,'Saline Comp Data Recording'!C:C=B28), ""Select Col1"")),""-"")"),0.0)</f>
        <v>0</v>
      </c>
      <c r="AH28" s="58" t="str">
        <f>IFERROR(__xludf.DUMMYFUNCTION("if(countif(query(filter('Saline Comp Data Recording'!P:P,'Saline Comp Data Recording'!C:C=B28), ""Select Col1""),TRUE)=0,""0"",countif(query(filter('Saline Comp Data Recording'!P:P,'Saline Comp Data Recording'!C:C=B28), ""Select Col1""),TRUE)) &amp; ""/"" &amp; i"&amp;"f(COUNTA(query(ifna(filter('Saline Comp Data Recording'!P:P,'Saline Comp Data Recording'!C:C=B28),""""), ""Select Col1""))=0,""0"",COUNTA(query(ifna(filter('Saline Comp Data Recording'!P:P,'Saline Comp Data Recording'!C:C=B28),""""), ""Select Col1"")))"),"0/6")</f>
        <v>0/6</v>
      </c>
      <c r="AI28" s="60" t="str">
        <f>IFERROR(__xludf.DUMMYFUNCTION("if(countif(query(filter('Saline Comp Data Recording'!Q:Q,'Saline Comp Data Recording'!C:C=B28), ""Select Col1""),TRUE)=0,""0"",countif(query(filter('Saline Comp Data Recording'!Q:Q,'Saline Comp Data Recording'!C:C=B28), ""Select Col1""),TRUE)) &amp; ""/"" &amp; i"&amp;"f(COUNTA(query(ifna(filter('Saline Comp Data Recording'!Q:Q,'Saline Comp Data Recording'!C:C=B28),""""), ""Select Col1""))=0,""0"",COUNTA(query(ifna(filter('Saline Comp Data Recording'!Q:Q,'Saline Comp Data Recording'!C:C=B28),""""), ""Select Col1"")))"),"0/6")</f>
        <v>0/6</v>
      </c>
      <c r="AJ28" s="59">
        <f>IFERROR(__xludf.DUMMYFUNCTION("iferror(SUM(query(filter('Saline Comp Data Recording'!S:S,'Saline Comp Data Recording'!C:C=B28), ""Select Col1"")),""-"")"),1.0)</f>
        <v>1</v>
      </c>
      <c r="AK28" s="59">
        <f>IFERROR(__xludf.DUMMYFUNCTION("iferror(SUM(query(filter('Saline Comp Data Recording'!T:T,'Saline Comp Data Recording'!C:C=B28), ""Select Col1"")),""-"")"),0.0)</f>
        <v>0</v>
      </c>
      <c r="AL28" s="54">
        <f t="shared" si="7"/>
        <v>0</v>
      </c>
      <c r="AM28" s="55">
        <f>IFERROR(__xludf.DUMMYFUNCTION("iferror(AVERAGE(query(filter('Saline Comp Data Recording'!T:T,'Saline Comp Data Recording'!C:C=B28), ""Select Col1"")),""0.00"")"),0.0)</f>
        <v>0</v>
      </c>
      <c r="AN28" s="61">
        <f>IFERROR(__xludf.DUMMYFUNCTION("iferror(MAX(query(filter('Saline Comp Data Recording'!T:T,'Saline Comp Data Recording'!C:C=B28), ""Select Col1"")),""-"")"),0.0)</f>
        <v>0</v>
      </c>
      <c r="AO28" s="62">
        <f>IFERROR(__xludf.DUMMYFUNCTION("iferror(SUM(query(filter('Saline Comp Data Recording'!U:U,'Saline Comp Data Recording'!C:C=B28), ""Select Col1"")),""-"")"),2.0)</f>
        <v>2</v>
      </c>
      <c r="AP28" s="62">
        <f>IFERROR(__xludf.DUMMYFUNCTION("iferror(SUM(query(filter('Saline Comp Data Recording'!V:V,'Saline Comp Data Recording'!C:C=B28), ""Select Col1"")),""-"")"),1.0)</f>
        <v>1</v>
      </c>
      <c r="AQ28" s="63">
        <f t="shared" si="8"/>
        <v>0.5</v>
      </c>
      <c r="AR28" s="64">
        <f>IFERROR(__xludf.DUMMYFUNCTION("iferror(AVERAGE(query(filter('Saline Comp Data Recording'!V:V,'Saline Comp Data Recording'!C:C=B28), ""Select Col1"")),""0.00"")"),0.16666666666666666)</f>
        <v>0.1666666667</v>
      </c>
      <c r="AS28" s="65">
        <f>IFERROR(__xludf.DUMMYFUNCTION("iferror(MAX(query(filter('Saline Comp Data Recording'!V:V,'Saline Comp Data Recording'!C:C=B28), ""Select Col1"")),""-"")"),1.0)</f>
        <v>1</v>
      </c>
      <c r="AT28" s="62">
        <f>IFERROR(__xludf.DUMMYFUNCTION("iferror(SUM(query(filter('Saline Comp Data Recording'!W:W,'Saline Comp Data Recording'!C:C=B28), ""Select Col1"")),""-"")"),2.0)</f>
        <v>2</v>
      </c>
      <c r="AU28" s="62">
        <f>IFERROR(__xludf.DUMMYFUNCTION("iferror(SUM(query(filter('Saline Comp Data Recording'!X:X,'Saline Comp Data Recording'!C:C=B28), ""Select Col1"")),""-"")"),2.0)</f>
        <v>2</v>
      </c>
      <c r="AV28" s="63">
        <f t="shared" si="9"/>
        <v>1</v>
      </c>
      <c r="AW28" s="64">
        <f>IFERROR(__xludf.DUMMYFUNCTION("iferror(AVERAGE(query(filter('Saline Comp Data Recording'!X:X,'Saline Comp Data Recording'!C:C=B28), ""Select Col1"")),""0.00"")"),0.3333333333333333)</f>
        <v>0.3333333333</v>
      </c>
      <c r="AX28" s="65">
        <f>IFERROR(__xludf.DUMMYFUNCTION("iferror(MAX(query(filter('Saline Comp Data Recording'!X:X,'Saline Comp Data Recording'!C:C=B28), ""Select Col1"")),""-"")"),1.0)</f>
        <v>1</v>
      </c>
      <c r="AY28" s="62">
        <f>IFERROR(__xludf.DUMMYFUNCTION("iferror(SUM(query(filter('Saline Comp Data Recording'!Y:Y,'Saline Comp Data Recording'!C:C=B28), ""Select Col1"")),""-"")"),0.0)</f>
        <v>0</v>
      </c>
      <c r="AZ28" s="62">
        <f>IFERROR(__xludf.DUMMYFUNCTION("iferror(SUM(query(filter('Saline Comp Data Recording'!Z:Z,'Saline Comp Data Recording'!C:C=B28), ""Select Col1"")),""-"")"),0.0)</f>
        <v>0</v>
      </c>
      <c r="BA28" s="63" t="str">
        <f t="shared" si="10"/>
        <v>-</v>
      </c>
      <c r="BB28" s="64">
        <f>IFERROR(__xludf.DUMMYFUNCTION("iferror(AVERAGE(query(filter('Saline Comp Data Recording'!Z:Z,'Saline Comp Data Recording'!C:C=B28), ""Select Col1"")),""0.00"")"),0.0)</f>
        <v>0</v>
      </c>
      <c r="BC28" s="65">
        <f>IFERROR(__xludf.DUMMYFUNCTION("iferror(MAX(query(filter('Saline Comp Data Recording'!Z:Z,'Saline Comp Data Recording'!C:C=B28), ""Select Col1"")),""-"")"),0.0)</f>
        <v>0</v>
      </c>
      <c r="BD28" s="62">
        <f>IFERROR(__xludf.DUMMYFUNCTION("iferror(SUM(query(filter('Saline Comp Data Recording'!AA:AA,'Saline Comp Data Recording'!C:C=B28), ""Select Col1"")),""-"")"),2.0)</f>
        <v>2</v>
      </c>
      <c r="BE28" s="62">
        <f>IFERROR(__xludf.DUMMYFUNCTION("iferror(SUM(query(filter('Saline Comp Data Recording'!AB:AB,'Saline Comp Data Recording'!C:C=B28), ""Select Col1"")),""-"")"),2.0)</f>
        <v>2</v>
      </c>
      <c r="BF28" s="63">
        <f t="shared" si="11"/>
        <v>1</v>
      </c>
      <c r="BG28" s="64">
        <f>IFERROR(__xludf.DUMMYFUNCTION("iferror(AVERAGE(query(filter('Saline Comp Data Recording'!AB:AB,'Saline Comp Data Recording'!C:C=B28), ""Select Col1"")),""0.00"")"),0.3333333333333333)</f>
        <v>0.3333333333</v>
      </c>
      <c r="BH28" s="65">
        <f>IFERROR(__xludf.DUMMYFUNCTION("iferror(MAX(query(filter('Saline Comp Data Recording'!AB:AB,'Saline Comp Data Recording'!C:C=B28), ""Select Col1"")),""-"")"),1.0)</f>
        <v>1</v>
      </c>
      <c r="BI28" s="62">
        <f>IFERROR(__xludf.DUMMYFUNCTION("iferror(SUM(query(filter('Saline Comp Data Recording'!AC:AC,'Saline Comp Data Recording'!C:C=B28), ""Select Col1"")),""-"")"),0.0)</f>
        <v>0</v>
      </c>
      <c r="BJ28" s="62">
        <f>IFERROR(__xludf.DUMMYFUNCTION("iferror(SUM(query(filter('Saline Comp Data Recording'!AD:AD,'Saline Comp Data Recording'!C:C=B28), ""Select Col1"")),""-"")"),0.0)</f>
        <v>0</v>
      </c>
      <c r="BK28" s="63" t="str">
        <f t="shared" si="12"/>
        <v>-</v>
      </c>
      <c r="BL28" s="64">
        <f>IFERROR(__xludf.DUMMYFUNCTION("iferror(AVERAGE(query(filter('Saline Comp Data Recording'!AD:AD,'Saline Comp Data Recording'!C:C=B28), ""Select Col1"")),""0.00"")"),0.0)</f>
        <v>0</v>
      </c>
      <c r="BM28" s="65">
        <f>IFERROR(__xludf.DUMMYFUNCTION("iferror(MAX(query(filter('Saline Comp Data Recording'!AD:AD,'Saline Comp Data Recording'!C:C=B28), ""Select Col1"")),""-"")"),0.0)</f>
        <v>0</v>
      </c>
      <c r="BN28" s="66" t="str">
        <f>IFERROR(__xludf.DUMMYFUNCTION("if(countif(query(filter('Saline Comp Data Recording'!AE:AE,'Saline Comp Data Recording'!C:C=B28), ""Select Col1""),""TRUE"")=0,""0"",countif(query(filter('Saline Comp Data Recording'!AE:AE,'Saline Comp Data Recording'!C:C=B28), ""Select Col1""),""TRUE""))"&amp;" &amp; ""/"" &amp; if(COUNTA(query(ifna(filter('Saline Comp Data Recording'!AE:AE,'Saline Comp Data Recording'!C:C=B28),""""), ""Select Col1""))=0,""0"",COUNTA(query(ifna(filter('Saline Comp Data Recording'!AE:AE,'Saline Comp Data Recording'!C:C=B28),""""), ""Sel"&amp;"ect Col1"")))"),"0/6")</f>
        <v>0/6</v>
      </c>
      <c r="BO28" s="67" t="str">
        <f>IFERROR(__xludf.DUMMYFUNCTION("if(countif(query(filter('Saline Comp Data Recording'!AF:AF,'Saline Comp Data Recording'!C:C=B28), ""Select Col1""),""TRUE"")=0,""0"",countif(query(filter('Saline Comp Data Recording'!AF:AF,'Saline Comp Data Recording'!C:C=B28), ""Select Col1""),""TRUE""))"&amp;" &amp; ""/"" &amp; if(COUNTA(query(ifna(filter('Saline Comp Data Recording'!AF:AF,'Saline Comp Data Recording'!C:C=B28),""""), ""Select Col1""))=0,""0"",COUNTA(query(ifna(filter('Saline Comp Data Recording'!AF:AF,'Saline Comp Data Recording'!C:C=B28),""""), ""Sel"&amp;"ect Col1"")))"),"0/6")</f>
        <v>0/6</v>
      </c>
      <c r="BP28" s="60" t="str">
        <f>IFERROR(__xludf.DUMMYFUNCTION("if(countif(query(filter('Saline Comp Data Recording'!AI:AI,'Saline Comp Data Recording'!C:C=B28), ""Select Col1""),""TRUE"")=0,""0"",countif(query(filter('Saline Comp Data Recording'!AI:AI,'Saline Comp Data Recording'!C:C=B28), ""Select Col1""),""TRUE""))"&amp;" &amp; ""/"" &amp; if(COUNTA(query(ifna(filter('Saline Comp Data Recording'!AI:AI,'Saline Comp Data Recording'!C:C=B28),""""), ""Select Col1""))=0,""0"",COUNTA(query(ifna(filter('Saline Comp Data Recording'!AI:AI,'Saline Comp Data Recording'!C:C=B28),""""), ""Sel"&amp;"ect Col1"")))"),"1/6")</f>
        <v>1/6</v>
      </c>
      <c r="BQ28" s="55">
        <f>IFERROR(__xludf.DUMMYFUNCTION("iferror(average(query(filter('Saline Comp Data Recording'!AG:AG,'Saline Comp Data Recording'!C:C=B28), ""Select Col1"")),""-"")"),1.3333333333333333)</f>
        <v>1.333333333</v>
      </c>
      <c r="BR28" s="69">
        <f>IFERROR(__xludf.DUMMYFUNCTION("iferror(average(query(filter('Saline Comp Data Recording'!AH:AH,'Saline Comp Data Recording'!C:C=B28), ""Select Col1"")),""-"")"),1.6666666666666667)</f>
        <v>1.666666667</v>
      </c>
      <c r="BS28" s="70">
        <f>IFERROR(__xludf.DUMMYFUNCTION("iferror(AVERAGE(query(filter('Saline Comp Data Recording'!AK:AK,'Saline Comp Data Recording'!C:C=B28), ""Select Col1"")),""-"")"),5.833333333333333)</f>
        <v>5.833333333</v>
      </c>
      <c r="BT28" s="70">
        <f>IFERROR(__xludf.DUMMYFUNCTION("iferror(AVERAGE(query(filter('Saline Comp Data Recording'!AL:AL,'Saline Comp Data Recording'!C:C=B28), ""Select Col1"")),""-"")"),5.833333333333333)</f>
        <v>5.833333333</v>
      </c>
      <c r="BU28" s="71">
        <f>IFERROR(__xludf.DUMMYFUNCTION("iferror(max(query(filter('Saline Comp Data Recording'!AK:AK,'Saline Comp Data Recording'!C:C=B28), ""Select Col1"")),""-"")"),15.0)</f>
        <v>15</v>
      </c>
      <c r="BV28" s="72">
        <f>IFERROR(__xludf.DUMMYFUNCTION("iferror(MIN(query(filter('Saline Comp Data Recording'!AK:AK,'Saline Comp Data Recording'!C:C=B28), ""Select Col1"")),""-"")"),3.0)</f>
        <v>3</v>
      </c>
      <c r="BW28" s="73" t="str">
        <f>IFERROR(__xludf.DUMMYFUNCTION("iferror(if(DIVIDE(COUNTIF(query(filter('Saline Comp Data Recording'!P:P,'Saline Comp Data Recording'!C:C=B28), ""Select Col1""),TRUE),COUNTA(query(ifna(filter('Saline Comp Data Recording'!P:P,'Saline Comp Data Recording'!C:C=B28),""""), ""Select Col1"")))"&amp;"&gt;=(0.5),""1"",""0""),""-"")"),"0")</f>
        <v>0</v>
      </c>
      <c r="BX28" s="59" t="str">
        <f>IFERROR(__xludf.DUMMYFUNCTION("iferror(if(countif(query(filter('Saline Comp Data Recording'!Q:Q,'Saline Comp Data Recording'!C:C=B28), ""Select Col1""),TRUE)/COUNTA(query(ifna(filter('Saline Comp Data Recording'!Q:Q,'Saline Comp Data Recording'!C:C=B28),""""), ""Select Col1""))&gt;=(0.5),"&amp;"""1"",""0""),""-"")"),"0")</f>
        <v>0</v>
      </c>
      <c r="BY28" s="74" t="str">
        <f>IFERROR(__xludf.DUMMYFUNCTION("iferror(if(DIVIDE(COUNTIF(query(filter('Saline Comp Data Recording'!AE:AE,'Saline Comp Data Recording'!C:C=B28), ""Select Col1""),TRUE),COUNTA(query(ifna(filter('Saline Comp Data Recording'!AE:AE,'Saline Comp Data Recording'!C:C=B28),""""), ""Select Col1"&amp;""")))&gt;=(0.5),""1"",""0""),""-"")"),"0")</f>
        <v>0</v>
      </c>
      <c r="BZ28" s="59" t="str">
        <f>IFERROR(__xludf.DUMMYFUNCTION("iferror(if(countif(query(filter('Saline Comp Data Recording'!AF:AF,'Saline Comp Data Recording'!C:C=B28), ""Select Col1""),TRUE)/COUNTA(query(ifna(filter('Saline Comp Data Recording'!AF:AF,'Saline Comp Data Recording'!C:C=B28),""""), ""Select Col1""))&gt;=(0"&amp;".5),""1"",""0""),""-"")"),"0")</f>
        <v>0</v>
      </c>
      <c r="CA28" s="74" t="str">
        <f>IFERROR(__xludf.DUMMYFUNCTION("iferror(if(DIVIDE(countif(query(filter('Saline Comp Data Recording'!R:R,'Saline Comp Data Recording'!C:C=B28), ""Select Col1""),TRUE),COUNTA(query(ifna(filter('Saline Comp Data Recording'!R:R,'Saline Comp Data Recording'!C:C=B28),""""), ""Select Col1"")))"&amp;"&gt;=(0.5),""1"",""0""),""-"")"),"1")</f>
        <v>1</v>
      </c>
    </row>
    <row r="29">
      <c r="A29" s="51" t="s">
        <v>539</v>
      </c>
      <c r="B29" s="51">
        <v>3656.0</v>
      </c>
      <c r="C29" s="52" t="str">
        <f>IFERROR(__xludf.DUMMYFUNCTION("if(countif(query(filter('Saline Comp Data Recording'!R:R,'Saline Comp Data Recording'!C:C=B29), ""Select Col1""),""TRUE"")=0,""0"",countif(query(filter('Saline Comp Data Recording'!R:R,'Saline Comp Data Recording'!C:C=B29), ""Select Col1""),""TRUE"")) &amp; "&amp;"""/"" &amp; if(COUNTA(query(ifna(filter('Saline Comp Data Recording'!R:R,'Saline Comp Data Recording'!C:C=B29),""""), ""Select Col1""))=0,""0"",COUNTA(query(ifna(filter('Saline Comp Data Recording'!R:R,'Saline Comp Data Recording'!C:C=B29),""""), ""Select Col"&amp;"1"")))"),"5/6")</f>
        <v>5/6</v>
      </c>
      <c r="D29" s="53">
        <f>IFERROR(__xludf.DUMMYFUNCTION("iferror(SUM(query(filter('Saline Comp Data Recording'!D:D,'Saline Comp Data Recording'!C:C=B29), ""Select Col1"")),""-"")"),4.0)</f>
        <v>4</v>
      </c>
      <c r="E29" s="53">
        <f>IFERROR(__xludf.DUMMYFUNCTION("iferror(SUM(query(filter('Saline Comp Data Recording'!E:E,'Saline Comp Data Recording'!C:C=B29), ""Select Col1"")),""-"")"),3.0)</f>
        <v>3</v>
      </c>
      <c r="F29" s="54">
        <f t="shared" si="1"/>
        <v>0.75</v>
      </c>
      <c r="G29" s="55">
        <f>IFERROR(__xludf.DUMMYFUNCTION("iferror(AVERAGE(query(filter('Saline Comp Data Recording'!E:E,'Saline Comp Data Recording'!C:C=B29), ""Select Col1"")),""0.00"")"),0.5)</f>
        <v>0.5</v>
      </c>
      <c r="H29" s="53">
        <f>IFERROR(__xludf.DUMMYFUNCTION("iferror(MAX(query(filter('Saline Comp Data Recording'!E:E,'Saline Comp Data Recording'!C:C=B29), ""Select Col1"")),""-"")"),1.0)</f>
        <v>1</v>
      </c>
      <c r="I29" s="56">
        <f>IFERROR(__xludf.DUMMYFUNCTION("iferror(SUM(query(filter('Saline Comp Data Recording'!F:F,'Saline Comp Data Recording'!C:C=B29), ""Select Col1"")),""-"")"),0.0)</f>
        <v>0</v>
      </c>
      <c r="J29" s="57">
        <f>IFERROR(__xludf.DUMMYFUNCTION("iferror(SUM(query(filter('Saline Comp Data Recording'!G:G,'Saline Comp Data Recording'!C:C=B29), ""Select Col1"")),""-"")"),0.0)</f>
        <v>0</v>
      </c>
      <c r="K29" s="54" t="str">
        <f t="shared" si="2"/>
        <v>-</v>
      </c>
      <c r="L29" s="55">
        <f>IFERROR(__xludf.DUMMYFUNCTION("iferror(AVERAGE(query(filter('Saline Comp Data Recording'!G:G,'Saline Comp Data Recording'!C:C=B29), ""Select Col1"")),""0.00"")"),0.0)</f>
        <v>0</v>
      </c>
      <c r="M29" s="53">
        <f>IFERROR(__xludf.DUMMYFUNCTION("iferror(MAX(query(filter('Saline Comp Data Recording'!G:G,'Saline Comp Data Recording'!C:C=B29), ""Select Col1"")),""-"")"),0.0)</f>
        <v>0</v>
      </c>
      <c r="N29" s="58">
        <f>IFERROR(__xludf.DUMMYFUNCTION("iferror(SUM(query(filter('Saline Comp Data Recording'!H:H,'Saline Comp Data Recording'!C:C=B29), ""Select Col1"")),""-"")"),1.0)</f>
        <v>1</v>
      </c>
      <c r="O29" s="59">
        <f>IFERROR(__xludf.DUMMYFUNCTION("iferror(SUM(query(filter('Saline Comp Data Recording'!I:I,'Saline Comp Data Recording'!C:C=B29), ""Select Col1"")),""-"")"),1.0)</f>
        <v>1</v>
      </c>
      <c r="P29" s="54">
        <f t="shared" si="3"/>
        <v>1</v>
      </c>
      <c r="Q29" s="55">
        <f>IFERROR(__xludf.DUMMYFUNCTION("iferror(AVERAGE(query(filter('Saline Comp Data Recording'!I:I,'Saline Comp Data Recording'!C:C=B29), ""Select Col1"")),""0.00"")"),0.16666666666666666)</f>
        <v>0.1666666667</v>
      </c>
      <c r="R29" s="53">
        <f>IFERROR(__xludf.DUMMYFUNCTION("iferror(MAX(query(filter('Saline Comp Data Recording'!I:I,'Saline Comp Data Recording'!C:C=B29), ""Select Col1"")),""-"")"),1.0)</f>
        <v>1</v>
      </c>
      <c r="S29" s="58">
        <f>IFERROR(__xludf.DUMMYFUNCTION("iferror(SUM(query(filter('Saline Comp Data Recording'!J:J,'Saline Comp Data Recording'!C:C=B29), ""Select Col1"")),""-"")"),4.0)</f>
        <v>4</v>
      </c>
      <c r="T29" s="59">
        <f>IFERROR(__xludf.DUMMYFUNCTION("iferror(SUM(query(filter('Saline Comp Data Recording'!K:K,'Saline Comp Data Recording'!C:C=B29), ""Select Col1"")),""-"")"),3.0)</f>
        <v>3</v>
      </c>
      <c r="U29" s="54">
        <f t="shared" si="4"/>
        <v>0.75</v>
      </c>
      <c r="V29" s="55">
        <f>IFERROR(__xludf.DUMMYFUNCTION("iferror(AVERAGE(query(filter('Saline Comp Data Recording'!K:K,'Saline Comp Data Recording'!C:C=B29), ""Select Col1"")),""-"")"),0.5)</f>
        <v>0.5</v>
      </c>
      <c r="W29" s="52">
        <f>IFERROR(__xludf.DUMMYFUNCTION("iferror(MAX(query(filter('Saline Comp Data Recording'!K:K,'Saline Comp Data Recording'!C:C=B29), ""Select Col1"")),""-"")"),1.0)</f>
        <v>1</v>
      </c>
      <c r="X29" s="59">
        <f>IFERROR(__xludf.DUMMYFUNCTION("iferror(SUM(query(filter('Saline Comp Data Recording'!L:L,'Saline Comp Data Recording'!C:C=B29), ""Select Col1"")),""-"")"),0.0)</f>
        <v>0</v>
      </c>
      <c r="Y29" s="59">
        <f>IFERROR(__xludf.DUMMYFUNCTION("iferror(SUM(query(filter('Saline Comp Data Recording'!M:M,'Saline Comp Data Recording'!C:C=B29), ""Select Col1"")),""-"")"),0.0)</f>
        <v>0</v>
      </c>
      <c r="Z29" s="54" t="str">
        <f t="shared" si="5"/>
        <v>-</v>
      </c>
      <c r="AA29" s="55">
        <f>IFERROR(__xludf.DUMMYFUNCTION("iferror(AVERAGE(query(filter('Saline Comp Data Recording'!M:M,'Saline Comp Data Recording'!C:C=B29), ""Select Col1"")),""0.00"")"),0.0)</f>
        <v>0</v>
      </c>
      <c r="AB29" s="52">
        <f>IFERROR(__xludf.DUMMYFUNCTION("iferror(MAX(query(filter('Saline Comp Data Recording'!M:M,'Saline Comp Data Recording'!C:C=B29), ""Select Col1"")),""-"")"),0.0)</f>
        <v>0</v>
      </c>
      <c r="AC29" s="59">
        <f>IFERROR(__xludf.DUMMYFUNCTION("iferror(SUM(query(filter('Saline Comp Data Recording'!N:N,'Saline Comp Data Recording'!C:C=B29), ""Select Col1"")),""-"")"),0.0)</f>
        <v>0</v>
      </c>
      <c r="AD29" s="59">
        <f>IFERROR(__xludf.DUMMYFUNCTION("iferror(SUM(query(filter('Saline Comp Data Recording'!O:O,'Saline Comp Data Recording'!C:C=B29), ""Select Col1"")),""-"")"),0.0)</f>
        <v>0</v>
      </c>
      <c r="AE29" s="54" t="str">
        <f t="shared" si="6"/>
        <v>-</v>
      </c>
      <c r="AF29" s="55">
        <f>IFERROR(__xludf.DUMMYFUNCTION("iferror(AVERAGE(query(filter('Saline Comp Data Recording'!O:O,'Saline Comp Data Recording'!C:C=B29), ""Select Col1"")),""0.00"")"),0.0)</f>
        <v>0</v>
      </c>
      <c r="AG29" s="59">
        <f>IFERROR(__xludf.DUMMYFUNCTION("iferror(MAX(query(filter('Saline Comp Data Recording'!O:O,'Saline Comp Data Recording'!C:C=B29), ""Select Col1"")),""-"")"),0.0)</f>
        <v>0</v>
      </c>
      <c r="AH29" s="58" t="str">
        <f>IFERROR(__xludf.DUMMYFUNCTION("if(countif(query(filter('Saline Comp Data Recording'!P:P,'Saline Comp Data Recording'!C:C=B29), ""Select Col1""),TRUE)=0,""0"",countif(query(filter('Saline Comp Data Recording'!P:P,'Saline Comp Data Recording'!C:C=B29), ""Select Col1""),TRUE)) &amp; ""/"" &amp; i"&amp;"f(COUNTA(query(ifna(filter('Saline Comp Data Recording'!P:P,'Saline Comp Data Recording'!C:C=B29),""""), ""Select Col1""))=0,""0"",COUNTA(query(ifna(filter('Saline Comp Data Recording'!P:P,'Saline Comp Data Recording'!C:C=B29),""""), ""Select Col1"")))"),"0/6")</f>
        <v>0/6</v>
      </c>
      <c r="AI29" s="60" t="str">
        <f>IFERROR(__xludf.DUMMYFUNCTION("if(countif(query(filter('Saline Comp Data Recording'!Q:Q,'Saline Comp Data Recording'!C:C=B29), ""Select Col1""),TRUE)=0,""0"",countif(query(filter('Saline Comp Data Recording'!Q:Q,'Saline Comp Data Recording'!C:C=B29), ""Select Col1""),TRUE)) &amp; ""/"" &amp; i"&amp;"f(COUNTA(query(ifna(filter('Saline Comp Data Recording'!Q:Q,'Saline Comp Data Recording'!C:C=B29),""""), ""Select Col1""))=0,""0"",COUNTA(query(ifna(filter('Saline Comp Data Recording'!Q:Q,'Saline Comp Data Recording'!C:C=B29),""""), ""Select Col1"")))"),"0/6")</f>
        <v>0/6</v>
      </c>
      <c r="AJ29" s="59">
        <f>IFERROR(__xludf.DUMMYFUNCTION("iferror(SUM(query(filter('Saline Comp Data Recording'!S:S,'Saline Comp Data Recording'!C:C=B29), ""Select Col1"")),""-"")"),2.0)</f>
        <v>2</v>
      </c>
      <c r="AK29" s="59">
        <f>IFERROR(__xludf.DUMMYFUNCTION("iferror(SUM(query(filter('Saline Comp Data Recording'!T:T,'Saline Comp Data Recording'!C:C=B29), ""Select Col1"")),""-"")"),2.0)</f>
        <v>2</v>
      </c>
      <c r="AL29" s="54">
        <f t="shared" si="7"/>
        <v>1</v>
      </c>
      <c r="AM29" s="55">
        <f>IFERROR(__xludf.DUMMYFUNCTION("iferror(AVERAGE(query(filter('Saline Comp Data Recording'!T:T,'Saline Comp Data Recording'!C:C=B29), ""Select Col1"")),""0.00"")"),0.3333333333333333)</f>
        <v>0.3333333333</v>
      </c>
      <c r="AN29" s="61">
        <f>IFERROR(__xludf.DUMMYFUNCTION("iferror(MAX(query(filter('Saline Comp Data Recording'!T:T,'Saline Comp Data Recording'!C:C=B29), ""Select Col1"")),""-"")"),1.0)</f>
        <v>1</v>
      </c>
      <c r="AO29" s="62">
        <f>IFERROR(__xludf.DUMMYFUNCTION("iferror(SUM(query(filter('Saline Comp Data Recording'!U:U,'Saline Comp Data Recording'!C:C=B29), ""Select Col1"")),""-"")"),0.0)</f>
        <v>0</v>
      </c>
      <c r="AP29" s="62">
        <f>IFERROR(__xludf.DUMMYFUNCTION("iferror(SUM(query(filter('Saline Comp Data Recording'!V:V,'Saline Comp Data Recording'!C:C=B29), ""Select Col1"")),""-"")"),0.0)</f>
        <v>0</v>
      </c>
      <c r="AQ29" s="63" t="str">
        <f t="shared" si="8"/>
        <v>-</v>
      </c>
      <c r="AR29" s="64">
        <f>IFERROR(__xludf.DUMMYFUNCTION("iferror(AVERAGE(query(filter('Saline Comp Data Recording'!V:V,'Saline Comp Data Recording'!C:C=B29), ""Select Col1"")),""0.00"")"),0.0)</f>
        <v>0</v>
      </c>
      <c r="AS29" s="65">
        <f>IFERROR(__xludf.DUMMYFUNCTION("iferror(MAX(query(filter('Saline Comp Data Recording'!V:V,'Saline Comp Data Recording'!C:C=B29), ""Select Col1"")),""-"")"),0.0)</f>
        <v>0</v>
      </c>
      <c r="AT29" s="62">
        <f>IFERROR(__xludf.DUMMYFUNCTION("iferror(SUM(query(filter('Saline Comp Data Recording'!W:W,'Saline Comp Data Recording'!C:C=B29), ""Select Col1"")),""-"")"),0.0)</f>
        <v>0</v>
      </c>
      <c r="AU29" s="62">
        <f>IFERROR(__xludf.DUMMYFUNCTION("iferror(SUM(query(filter('Saline Comp Data Recording'!X:X,'Saline Comp Data Recording'!C:C=B29), ""Select Col1"")),""-"")"),0.0)</f>
        <v>0</v>
      </c>
      <c r="AV29" s="63" t="str">
        <f t="shared" si="9"/>
        <v>-</v>
      </c>
      <c r="AW29" s="64">
        <f>IFERROR(__xludf.DUMMYFUNCTION("iferror(AVERAGE(query(filter('Saline Comp Data Recording'!X:X,'Saline Comp Data Recording'!C:C=B29), ""Select Col1"")),""0.00"")"),0.0)</f>
        <v>0</v>
      </c>
      <c r="AX29" s="65">
        <f>IFERROR(__xludf.DUMMYFUNCTION("iferror(MAX(query(filter('Saline Comp Data Recording'!X:X,'Saline Comp Data Recording'!C:C=B29), ""Select Col1"")),""-"")"),0.0)</f>
        <v>0</v>
      </c>
      <c r="AY29" s="62">
        <f>IFERROR(__xludf.DUMMYFUNCTION("iferror(SUM(query(filter('Saline Comp Data Recording'!Y:Y,'Saline Comp Data Recording'!C:C=B29), ""Select Col1"")),""-"")"),11.0)</f>
        <v>11</v>
      </c>
      <c r="AZ29" s="62">
        <f>IFERROR(__xludf.DUMMYFUNCTION("iferror(SUM(query(filter('Saline Comp Data Recording'!Z:Z,'Saline Comp Data Recording'!C:C=B29), ""Select Col1"")),""-"")"),9.0)</f>
        <v>9</v>
      </c>
      <c r="BA29" s="63">
        <f t="shared" si="10"/>
        <v>0.8181818182</v>
      </c>
      <c r="BB29" s="64">
        <f>IFERROR(__xludf.DUMMYFUNCTION("iferror(AVERAGE(query(filter('Saline Comp Data Recording'!Z:Z,'Saline Comp Data Recording'!C:C=B29), ""Select Col1"")),""0.00"")"),1.5)</f>
        <v>1.5</v>
      </c>
      <c r="BC29" s="65">
        <f>IFERROR(__xludf.DUMMYFUNCTION("iferror(MAX(query(filter('Saline Comp Data Recording'!Z:Z,'Saline Comp Data Recording'!C:C=B29), ""Select Col1"")),""-"")"),3.0)</f>
        <v>3</v>
      </c>
      <c r="BD29" s="62">
        <f>IFERROR(__xludf.DUMMYFUNCTION("iferror(SUM(query(filter('Saline Comp Data Recording'!AA:AA,'Saline Comp Data Recording'!C:C=B29), ""Select Col1"")),""-"")"),7.0)</f>
        <v>7</v>
      </c>
      <c r="BE29" s="62">
        <f>IFERROR(__xludf.DUMMYFUNCTION("iferror(SUM(query(filter('Saline Comp Data Recording'!AB:AB,'Saline Comp Data Recording'!C:C=B29), ""Select Col1"")),""-"")"),5.0)</f>
        <v>5</v>
      </c>
      <c r="BF29" s="63">
        <f t="shared" si="11"/>
        <v>0.7142857143</v>
      </c>
      <c r="BG29" s="64">
        <f>IFERROR(__xludf.DUMMYFUNCTION("iferror(AVERAGE(query(filter('Saline Comp Data Recording'!AB:AB,'Saline Comp Data Recording'!C:C=B29), ""Select Col1"")),""0.00"")"),0.8333333333333334)</f>
        <v>0.8333333333</v>
      </c>
      <c r="BH29" s="65">
        <f>IFERROR(__xludf.DUMMYFUNCTION("iferror(MAX(query(filter('Saline Comp Data Recording'!AB:AB,'Saline Comp Data Recording'!C:C=B29), ""Select Col1"")),""-"")"),2.0)</f>
        <v>2</v>
      </c>
      <c r="BI29" s="62">
        <f>IFERROR(__xludf.DUMMYFUNCTION("iferror(SUM(query(filter('Saline Comp Data Recording'!AC:AC,'Saline Comp Data Recording'!C:C=B29), ""Select Col1"")),""-"")"),7.0)</f>
        <v>7</v>
      </c>
      <c r="BJ29" s="62">
        <f>IFERROR(__xludf.DUMMYFUNCTION("iferror(SUM(query(filter('Saline Comp Data Recording'!AD:AD,'Saline Comp Data Recording'!C:C=B29), ""Select Col1"")),""-"")"),7.0)</f>
        <v>7</v>
      </c>
      <c r="BK29" s="63">
        <f t="shared" si="12"/>
        <v>1</v>
      </c>
      <c r="BL29" s="64">
        <f>IFERROR(__xludf.DUMMYFUNCTION("iferror(AVERAGE(query(filter('Saline Comp Data Recording'!AD:AD,'Saline Comp Data Recording'!C:C=B29), ""Select Col1"")),""0.00"")"),1.1666666666666667)</f>
        <v>1.166666667</v>
      </c>
      <c r="BM29" s="65">
        <f>IFERROR(__xludf.DUMMYFUNCTION("iferror(MAX(query(filter('Saline Comp Data Recording'!AD:AD,'Saline Comp Data Recording'!C:C=B29), ""Select Col1"")),""-"")"),3.0)</f>
        <v>3</v>
      </c>
      <c r="BN29" s="66" t="str">
        <f>IFERROR(__xludf.DUMMYFUNCTION("if(countif(query(filter('Saline Comp Data Recording'!AE:AE,'Saline Comp Data Recording'!C:C=B29), ""Select Col1""),""TRUE"")=0,""0"",countif(query(filter('Saline Comp Data Recording'!AE:AE,'Saline Comp Data Recording'!C:C=B29), ""Select Col1""),""TRUE""))"&amp;" &amp; ""/"" &amp; if(COUNTA(query(ifna(filter('Saline Comp Data Recording'!AE:AE,'Saline Comp Data Recording'!C:C=B29),""""), ""Select Col1""))=0,""0"",COUNTA(query(ifna(filter('Saline Comp Data Recording'!AE:AE,'Saline Comp Data Recording'!C:C=B29),""""), ""Sel"&amp;"ect Col1"")))"),"0/6")</f>
        <v>0/6</v>
      </c>
      <c r="BO29" s="67" t="str">
        <f>IFERROR(__xludf.DUMMYFUNCTION("if(countif(query(filter('Saline Comp Data Recording'!AF:AF,'Saline Comp Data Recording'!C:C=B29), ""Select Col1""),""TRUE"")=0,""0"",countif(query(filter('Saline Comp Data Recording'!AF:AF,'Saline Comp Data Recording'!C:C=B29), ""Select Col1""),""TRUE""))"&amp;" &amp; ""/"" &amp; if(COUNTA(query(ifna(filter('Saline Comp Data Recording'!AF:AF,'Saline Comp Data Recording'!C:C=B29),""""), ""Select Col1""))=0,""0"",COUNTA(query(ifna(filter('Saline Comp Data Recording'!AF:AF,'Saline Comp Data Recording'!C:C=B29),""""), ""Sel"&amp;"ect Col1"")))"),"0/6")</f>
        <v>0/6</v>
      </c>
      <c r="BP29" s="60" t="str">
        <f>IFERROR(__xludf.DUMMYFUNCTION("if(countif(query(filter('Saline Comp Data Recording'!AI:AI,'Saline Comp Data Recording'!C:C=B29), ""Select Col1""),""TRUE"")=0,""0"",countif(query(filter('Saline Comp Data Recording'!AI:AI,'Saline Comp Data Recording'!C:C=B29), ""Select Col1""),""TRUE""))"&amp;" &amp; ""/"" &amp; if(COUNTA(query(ifna(filter('Saline Comp Data Recording'!AI:AI,'Saline Comp Data Recording'!C:C=B29),""""), ""Select Col1""))=0,""0"",COUNTA(query(ifna(filter('Saline Comp Data Recording'!AI:AI,'Saline Comp Data Recording'!C:C=B29),""""), ""Sel"&amp;"ect Col1"")))"),"0/6")</f>
        <v>0/6</v>
      </c>
      <c r="BQ29" s="55">
        <f>IFERROR(__xludf.DUMMYFUNCTION("iferror(average(query(filter('Saline Comp Data Recording'!AG:AG,'Saline Comp Data Recording'!C:C=B29), ""Select Col1"")),""-"")"),3.0)</f>
        <v>3</v>
      </c>
      <c r="BR29" s="69">
        <f>IFERROR(__xludf.DUMMYFUNCTION("iferror(average(query(filter('Saline Comp Data Recording'!AH:AH,'Saline Comp Data Recording'!C:C=B29), ""Select Col1"")),""-"")"),0.3333333333333333)</f>
        <v>0.3333333333</v>
      </c>
      <c r="BS29" s="70">
        <f>IFERROR(__xludf.DUMMYFUNCTION("iferror(AVERAGE(query(filter('Saline Comp Data Recording'!AK:AK,'Saline Comp Data Recording'!C:C=B29), ""Select Col1"")),""-"")"),23.0)</f>
        <v>23</v>
      </c>
      <c r="BT29" s="70">
        <f>IFERROR(__xludf.DUMMYFUNCTION("iferror(AVERAGE(query(filter('Saline Comp Data Recording'!AL:AL,'Saline Comp Data Recording'!C:C=B29), ""Select Col1"")),""-"")"),23.0)</f>
        <v>23</v>
      </c>
      <c r="BU29" s="71">
        <f>IFERROR(__xludf.DUMMYFUNCTION("iferror(max(query(filter('Saline Comp Data Recording'!AK:AK,'Saline Comp Data Recording'!C:C=B29), ""Select Col1"")),""-"")"),29.0)</f>
        <v>29</v>
      </c>
      <c r="BV29" s="72">
        <f>IFERROR(__xludf.DUMMYFUNCTION("iferror(MIN(query(filter('Saline Comp Data Recording'!AK:AK,'Saline Comp Data Recording'!C:C=B29), ""Select Col1"")),""-"")"),16.0)</f>
        <v>16</v>
      </c>
      <c r="BW29" s="73" t="str">
        <f>IFERROR(__xludf.DUMMYFUNCTION("iferror(if(DIVIDE(COUNTIF(query(filter('Saline Comp Data Recording'!P:P,'Saline Comp Data Recording'!C:C=B29), ""Select Col1""),TRUE),COUNTA(query(ifna(filter('Saline Comp Data Recording'!P:P,'Saline Comp Data Recording'!C:C=B29),""""), ""Select Col1"")))"&amp;"&gt;=(0.5),""1"",""0""),""-"")"),"0")</f>
        <v>0</v>
      </c>
      <c r="BX29" s="59" t="str">
        <f>IFERROR(__xludf.DUMMYFUNCTION("iferror(if(countif(query(filter('Saline Comp Data Recording'!Q:Q,'Saline Comp Data Recording'!C:C=B29), ""Select Col1""),TRUE)/COUNTA(query(ifna(filter('Saline Comp Data Recording'!Q:Q,'Saline Comp Data Recording'!C:C=B29),""""), ""Select Col1""))&gt;=(0.5),"&amp;"""1"",""0""),""-"")"),"0")</f>
        <v>0</v>
      </c>
      <c r="BY29" s="74" t="str">
        <f>IFERROR(__xludf.DUMMYFUNCTION("iferror(if(DIVIDE(COUNTIF(query(filter('Saline Comp Data Recording'!AE:AE,'Saline Comp Data Recording'!C:C=B29), ""Select Col1""),TRUE),COUNTA(query(ifna(filter('Saline Comp Data Recording'!AE:AE,'Saline Comp Data Recording'!C:C=B29),""""), ""Select Col1"&amp;""")))&gt;=(0.5),""1"",""0""),""-"")"),"0")</f>
        <v>0</v>
      </c>
      <c r="BZ29" s="59" t="str">
        <f>IFERROR(__xludf.DUMMYFUNCTION("iferror(if(countif(query(filter('Saline Comp Data Recording'!AF:AF,'Saline Comp Data Recording'!C:C=B29), ""Select Col1""),TRUE)/COUNTA(query(ifna(filter('Saline Comp Data Recording'!AF:AF,'Saline Comp Data Recording'!C:C=B29),""""), ""Select Col1""))&gt;=(0"&amp;".5),""1"",""0""),""-"")"),"0")</f>
        <v>0</v>
      </c>
      <c r="CA29" s="74" t="str">
        <f>IFERROR(__xludf.DUMMYFUNCTION("iferror(if(DIVIDE(countif(query(filter('Saline Comp Data Recording'!R:R,'Saline Comp Data Recording'!C:C=B29), ""Select Col1""),TRUE),COUNTA(query(ifna(filter('Saline Comp Data Recording'!R:R,'Saline Comp Data Recording'!C:C=B29),""""), ""Select Col1"")))"&amp;"&gt;=(0.5),""1"",""0""),""-"")"),"1")</f>
        <v>1</v>
      </c>
    </row>
    <row r="30">
      <c r="A30" s="51" t="s">
        <v>540</v>
      </c>
      <c r="B30" s="51">
        <v>68.0</v>
      </c>
      <c r="C30" s="52" t="str">
        <f>IFERROR(__xludf.DUMMYFUNCTION("if(countif(query(filter('Saline Comp Data Recording'!R:R,'Saline Comp Data Recording'!C:C=B30), ""Select Col1""),""TRUE"")=0,""0"",countif(query(filter('Saline Comp Data Recording'!R:R,'Saline Comp Data Recording'!C:C=B30), ""Select Col1""),""TRUE"")) &amp; "&amp;"""/"" &amp; if(COUNTA(query(ifna(filter('Saline Comp Data Recording'!R:R,'Saline Comp Data Recording'!C:C=B30),""""), ""Select Col1""))=0,""0"",COUNTA(query(ifna(filter('Saline Comp Data Recording'!R:R,'Saline Comp Data Recording'!C:C=B30),""""), ""Select Col"&amp;"1"")))"),"2/4")</f>
        <v>2/4</v>
      </c>
      <c r="D30" s="53">
        <f>IFERROR(__xludf.DUMMYFUNCTION("iferror(SUM(query(filter('Saline Comp Data Recording'!D:D,'Saline Comp Data Recording'!C:C=B30), ""Select Col1"")),""-"")"),3.0)</f>
        <v>3</v>
      </c>
      <c r="E30" s="53">
        <f>IFERROR(__xludf.DUMMYFUNCTION("iferror(SUM(query(filter('Saline Comp Data Recording'!E:E,'Saline Comp Data Recording'!C:C=B30), ""Select Col1"")),""-"")"),2.0)</f>
        <v>2</v>
      </c>
      <c r="F30" s="54">
        <f t="shared" si="1"/>
        <v>0.6666666667</v>
      </c>
      <c r="G30" s="55">
        <f>IFERROR(__xludf.DUMMYFUNCTION("iferror(AVERAGE(query(filter('Saline Comp Data Recording'!E:E,'Saline Comp Data Recording'!C:C=B30), ""Select Col1"")),""0.00"")"),0.5)</f>
        <v>0.5</v>
      </c>
      <c r="H30" s="53">
        <f>IFERROR(__xludf.DUMMYFUNCTION("iferror(MAX(query(filter('Saline Comp Data Recording'!E:E,'Saline Comp Data Recording'!C:C=B30), ""Select Col1"")),""-"")"),1.0)</f>
        <v>1</v>
      </c>
      <c r="I30" s="56">
        <f>IFERROR(__xludf.DUMMYFUNCTION("iferror(SUM(query(filter('Saline Comp Data Recording'!F:F,'Saline Comp Data Recording'!C:C=B30), ""Select Col1"")),""-"")"),0.0)</f>
        <v>0</v>
      </c>
      <c r="J30" s="57">
        <f>IFERROR(__xludf.DUMMYFUNCTION("iferror(SUM(query(filter('Saline Comp Data Recording'!G:G,'Saline Comp Data Recording'!C:C=B30), ""Select Col1"")),""-"")"),0.0)</f>
        <v>0</v>
      </c>
      <c r="K30" s="54" t="str">
        <f t="shared" si="2"/>
        <v>-</v>
      </c>
      <c r="L30" s="55">
        <f>IFERROR(__xludf.DUMMYFUNCTION("iferror(AVERAGE(query(filter('Saline Comp Data Recording'!G:G,'Saline Comp Data Recording'!C:C=B30), ""Select Col1"")),""0.00"")"),0.0)</f>
        <v>0</v>
      </c>
      <c r="M30" s="53">
        <f>IFERROR(__xludf.DUMMYFUNCTION("iferror(MAX(query(filter('Saline Comp Data Recording'!G:G,'Saline Comp Data Recording'!C:C=B30), ""Select Col1"")),""-"")"),0.0)</f>
        <v>0</v>
      </c>
      <c r="N30" s="58">
        <f>IFERROR(__xludf.DUMMYFUNCTION("iferror(SUM(query(filter('Saline Comp Data Recording'!H:H,'Saline Comp Data Recording'!C:C=B30), ""Select Col1"")),""-"")"),0.0)</f>
        <v>0</v>
      </c>
      <c r="O30" s="59">
        <f>IFERROR(__xludf.DUMMYFUNCTION("iferror(SUM(query(filter('Saline Comp Data Recording'!I:I,'Saline Comp Data Recording'!C:C=B30), ""Select Col1"")),""-"")"),0.0)</f>
        <v>0</v>
      </c>
      <c r="P30" s="54" t="str">
        <f t="shared" si="3"/>
        <v>-</v>
      </c>
      <c r="Q30" s="55">
        <f>IFERROR(__xludf.DUMMYFUNCTION("iferror(AVERAGE(query(filter('Saline Comp Data Recording'!I:I,'Saline Comp Data Recording'!C:C=B30), ""Select Col1"")),""0.00"")"),0.0)</f>
        <v>0</v>
      </c>
      <c r="R30" s="53">
        <f>IFERROR(__xludf.DUMMYFUNCTION("iferror(MAX(query(filter('Saline Comp Data Recording'!I:I,'Saline Comp Data Recording'!C:C=B30), ""Select Col1"")),""-"")"),0.0)</f>
        <v>0</v>
      </c>
      <c r="S30" s="58">
        <f>IFERROR(__xludf.DUMMYFUNCTION("iferror(SUM(query(filter('Saline Comp Data Recording'!J:J,'Saline Comp Data Recording'!C:C=B30), ""Select Col1"")),""-"")"),1.0)</f>
        <v>1</v>
      </c>
      <c r="T30" s="59">
        <f>IFERROR(__xludf.DUMMYFUNCTION("iferror(SUM(query(filter('Saline Comp Data Recording'!K:K,'Saline Comp Data Recording'!C:C=B30), ""Select Col1"")),""-"")"),0.0)</f>
        <v>0</v>
      </c>
      <c r="U30" s="54">
        <f t="shared" si="4"/>
        <v>0</v>
      </c>
      <c r="V30" s="55">
        <f>IFERROR(__xludf.DUMMYFUNCTION("iferror(AVERAGE(query(filter('Saline Comp Data Recording'!K:K,'Saline Comp Data Recording'!C:C=B30), ""Select Col1"")),""-"")"),0.0)</f>
        <v>0</v>
      </c>
      <c r="W30" s="52">
        <f>IFERROR(__xludf.DUMMYFUNCTION("iferror(MAX(query(filter('Saline Comp Data Recording'!K:K,'Saline Comp Data Recording'!C:C=B30), ""Select Col1"")),""-"")"),0.0)</f>
        <v>0</v>
      </c>
      <c r="X30" s="59">
        <f>IFERROR(__xludf.DUMMYFUNCTION("iferror(SUM(query(filter('Saline Comp Data Recording'!L:L,'Saline Comp Data Recording'!C:C=B30), ""Select Col1"")),""-"")"),0.0)</f>
        <v>0</v>
      </c>
      <c r="Y30" s="59">
        <f>IFERROR(__xludf.DUMMYFUNCTION("iferror(SUM(query(filter('Saline Comp Data Recording'!M:M,'Saline Comp Data Recording'!C:C=B30), ""Select Col1"")),""-"")"),0.0)</f>
        <v>0</v>
      </c>
      <c r="Z30" s="54" t="str">
        <f t="shared" si="5"/>
        <v>-</v>
      </c>
      <c r="AA30" s="55">
        <f>IFERROR(__xludf.DUMMYFUNCTION("iferror(AVERAGE(query(filter('Saline Comp Data Recording'!M:M,'Saline Comp Data Recording'!C:C=B30), ""Select Col1"")),""0.00"")"),0.0)</f>
        <v>0</v>
      </c>
      <c r="AB30" s="52">
        <f>IFERROR(__xludf.DUMMYFUNCTION("iferror(MAX(query(filter('Saline Comp Data Recording'!M:M,'Saline Comp Data Recording'!C:C=B30), ""Select Col1"")),""-"")"),0.0)</f>
        <v>0</v>
      </c>
      <c r="AC30" s="59">
        <f>IFERROR(__xludf.DUMMYFUNCTION("iferror(SUM(query(filter('Saline Comp Data Recording'!N:N,'Saline Comp Data Recording'!C:C=B30), ""Select Col1"")),""-"")"),0.0)</f>
        <v>0</v>
      </c>
      <c r="AD30" s="59">
        <f>IFERROR(__xludf.DUMMYFUNCTION("iferror(SUM(query(filter('Saline Comp Data Recording'!O:O,'Saline Comp Data Recording'!C:C=B30), ""Select Col1"")),""-"")"),0.0)</f>
        <v>0</v>
      </c>
      <c r="AE30" s="54" t="str">
        <f t="shared" si="6"/>
        <v>-</v>
      </c>
      <c r="AF30" s="55">
        <f>IFERROR(__xludf.DUMMYFUNCTION("iferror(AVERAGE(query(filter('Saline Comp Data Recording'!O:O,'Saline Comp Data Recording'!C:C=B30), ""Select Col1"")),""0.00"")"),0.0)</f>
        <v>0</v>
      </c>
      <c r="AG30" s="59">
        <f>IFERROR(__xludf.DUMMYFUNCTION("iferror(MAX(query(filter('Saline Comp Data Recording'!O:O,'Saline Comp Data Recording'!C:C=B30), ""Select Col1"")),""-"")"),0.0)</f>
        <v>0</v>
      </c>
      <c r="AH30" s="58" t="str">
        <f>IFERROR(__xludf.DUMMYFUNCTION("if(countif(query(filter('Saline Comp Data Recording'!P:P,'Saline Comp Data Recording'!C:C=B30), ""Select Col1""),TRUE)=0,""0"",countif(query(filter('Saline Comp Data Recording'!P:P,'Saline Comp Data Recording'!C:C=B30), ""Select Col1""),TRUE)) &amp; ""/"" &amp; i"&amp;"f(COUNTA(query(ifna(filter('Saline Comp Data Recording'!P:P,'Saline Comp Data Recording'!C:C=B30),""""), ""Select Col1""))=0,""0"",COUNTA(query(ifna(filter('Saline Comp Data Recording'!P:P,'Saline Comp Data Recording'!C:C=B30),""""), ""Select Col1"")))"),"0/4")</f>
        <v>0/4</v>
      </c>
      <c r="AI30" s="60" t="str">
        <f>IFERROR(__xludf.DUMMYFUNCTION("if(countif(query(filter('Saline Comp Data Recording'!Q:Q,'Saline Comp Data Recording'!C:C=B30), ""Select Col1""),TRUE)=0,""0"",countif(query(filter('Saline Comp Data Recording'!Q:Q,'Saline Comp Data Recording'!C:C=B30), ""Select Col1""),TRUE)) &amp; ""/"" &amp; i"&amp;"f(COUNTA(query(ifna(filter('Saline Comp Data Recording'!Q:Q,'Saline Comp Data Recording'!C:C=B30),""""), ""Select Col1""))=0,""0"",COUNTA(query(ifna(filter('Saline Comp Data Recording'!Q:Q,'Saline Comp Data Recording'!C:C=B30),""""), ""Select Col1"")))"),"0/4")</f>
        <v>0/4</v>
      </c>
      <c r="AJ30" s="59">
        <f>IFERROR(__xludf.DUMMYFUNCTION("iferror(SUM(query(filter('Saline Comp Data Recording'!S:S,'Saline Comp Data Recording'!C:C=B30), ""Select Col1"")),""-"")"),3.0)</f>
        <v>3</v>
      </c>
      <c r="AK30" s="59">
        <f>IFERROR(__xludf.DUMMYFUNCTION("iferror(SUM(query(filter('Saline Comp Data Recording'!T:T,'Saline Comp Data Recording'!C:C=B30), ""Select Col1"")),""-"")"),2.0)</f>
        <v>2</v>
      </c>
      <c r="AL30" s="54">
        <f t="shared" si="7"/>
        <v>0.6666666667</v>
      </c>
      <c r="AM30" s="55">
        <f>IFERROR(__xludf.DUMMYFUNCTION("iferror(AVERAGE(query(filter('Saline Comp Data Recording'!T:T,'Saline Comp Data Recording'!C:C=B30), ""Select Col1"")),""0.00"")"),0.5)</f>
        <v>0.5</v>
      </c>
      <c r="AN30" s="61">
        <f>IFERROR(__xludf.DUMMYFUNCTION("iferror(MAX(query(filter('Saline Comp Data Recording'!T:T,'Saline Comp Data Recording'!C:C=B30), ""Select Col1"")),""-"")"),2.0)</f>
        <v>2</v>
      </c>
      <c r="AO30" s="62">
        <f>IFERROR(__xludf.DUMMYFUNCTION("iferror(SUM(query(filter('Saline Comp Data Recording'!U:U,'Saline Comp Data Recording'!C:C=B30), ""Select Col1"")),""-"")"),1.0)</f>
        <v>1</v>
      </c>
      <c r="AP30" s="62">
        <f>IFERROR(__xludf.DUMMYFUNCTION("iferror(SUM(query(filter('Saline Comp Data Recording'!V:V,'Saline Comp Data Recording'!C:C=B30), ""Select Col1"")),""-"")"),0.0)</f>
        <v>0</v>
      </c>
      <c r="AQ30" s="63">
        <f t="shared" si="8"/>
        <v>0</v>
      </c>
      <c r="AR30" s="64">
        <f>IFERROR(__xludf.DUMMYFUNCTION("iferror(AVERAGE(query(filter('Saline Comp Data Recording'!V:V,'Saline Comp Data Recording'!C:C=B30), ""Select Col1"")),""0.00"")"),0.0)</f>
        <v>0</v>
      </c>
      <c r="AS30" s="65">
        <f>IFERROR(__xludf.DUMMYFUNCTION("iferror(MAX(query(filter('Saline Comp Data Recording'!V:V,'Saline Comp Data Recording'!C:C=B30), ""Select Col1"")),""-"")"),0.0)</f>
        <v>0</v>
      </c>
      <c r="AT30" s="62">
        <f>IFERROR(__xludf.DUMMYFUNCTION("iferror(SUM(query(filter('Saline Comp Data Recording'!W:W,'Saline Comp Data Recording'!C:C=B30), ""Select Col1"")),""-"")"),0.0)</f>
        <v>0</v>
      </c>
      <c r="AU30" s="62">
        <f>IFERROR(__xludf.DUMMYFUNCTION("iferror(SUM(query(filter('Saline Comp Data Recording'!X:X,'Saline Comp Data Recording'!C:C=B30), ""Select Col1"")),""-"")"),0.0)</f>
        <v>0</v>
      </c>
      <c r="AV30" s="63" t="str">
        <f t="shared" si="9"/>
        <v>-</v>
      </c>
      <c r="AW30" s="64">
        <f>IFERROR(__xludf.DUMMYFUNCTION("iferror(AVERAGE(query(filter('Saline Comp Data Recording'!X:X,'Saline Comp Data Recording'!C:C=B30), ""Select Col1"")),""0.00"")"),0.0)</f>
        <v>0</v>
      </c>
      <c r="AX30" s="65">
        <f>IFERROR(__xludf.DUMMYFUNCTION("iferror(MAX(query(filter('Saline Comp Data Recording'!X:X,'Saline Comp Data Recording'!C:C=B30), ""Select Col1"")),""-"")"),0.0)</f>
        <v>0</v>
      </c>
      <c r="AY30" s="62">
        <f>IFERROR(__xludf.DUMMYFUNCTION("iferror(SUM(query(filter('Saline Comp Data Recording'!Y:Y,'Saline Comp Data Recording'!C:C=B30), ""Select Col1"")),""-"")"),4.0)</f>
        <v>4</v>
      </c>
      <c r="AZ30" s="62">
        <f>IFERROR(__xludf.DUMMYFUNCTION("iferror(SUM(query(filter('Saline Comp Data Recording'!Z:Z,'Saline Comp Data Recording'!C:C=B30), ""Select Col1"")),""-"")"),4.0)</f>
        <v>4</v>
      </c>
      <c r="BA30" s="63">
        <f t="shared" si="10"/>
        <v>1</v>
      </c>
      <c r="BB30" s="64">
        <f>IFERROR(__xludf.DUMMYFUNCTION("iferror(AVERAGE(query(filter('Saline Comp Data Recording'!Z:Z,'Saline Comp Data Recording'!C:C=B30), ""Select Col1"")),""0.00"")"),1.0)</f>
        <v>1</v>
      </c>
      <c r="BC30" s="65">
        <f>IFERROR(__xludf.DUMMYFUNCTION("iferror(MAX(query(filter('Saline Comp Data Recording'!Z:Z,'Saline Comp Data Recording'!C:C=B30), ""Select Col1"")),""-"")"),2.0)</f>
        <v>2</v>
      </c>
      <c r="BD30" s="62">
        <f>IFERROR(__xludf.DUMMYFUNCTION("iferror(SUM(query(filter('Saline Comp Data Recording'!AA:AA,'Saline Comp Data Recording'!C:C=B30), ""Select Col1"")),""-"")"),4.0)</f>
        <v>4</v>
      </c>
      <c r="BE30" s="62">
        <f>IFERROR(__xludf.DUMMYFUNCTION("iferror(SUM(query(filter('Saline Comp Data Recording'!AB:AB,'Saline Comp Data Recording'!C:C=B30), ""Select Col1"")),""-"")"),4.0)</f>
        <v>4</v>
      </c>
      <c r="BF30" s="63">
        <f t="shared" si="11"/>
        <v>1</v>
      </c>
      <c r="BG30" s="64">
        <f>IFERROR(__xludf.DUMMYFUNCTION("iferror(AVERAGE(query(filter('Saline Comp Data Recording'!AB:AB,'Saline Comp Data Recording'!C:C=B30), ""Select Col1"")),""0.00"")"),1.0)</f>
        <v>1</v>
      </c>
      <c r="BH30" s="65">
        <f>IFERROR(__xludf.DUMMYFUNCTION("iferror(MAX(query(filter('Saline Comp Data Recording'!AB:AB,'Saline Comp Data Recording'!C:C=B30), ""Select Col1"")),""-"")"),3.0)</f>
        <v>3</v>
      </c>
      <c r="BI30" s="62">
        <f>IFERROR(__xludf.DUMMYFUNCTION("iferror(SUM(query(filter('Saline Comp Data Recording'!AC:AC,'Saline Comp Data Recording'!C:C=B30), ""Select Col1"")),""-"")"),8.0)</f>
        <v>8</v>
      </c>
      <c r="BJ30" s="62">
        <f>IFERROR(__xludf.DUMMYFUNCTION("iferror(SUM(query(filter('Saline Comp Data Recording'!AD:AD,'Saline Comp Data Recording'!C:C=B30), ""Select Col1"")),""-"")"),8.0)</f>
        <v>8</v>
      </c>
      <c r="BK30" s="63">
        <f t="shared" si="12"/>
        <v>1</v>
      </c>
      <c r="BL30" s="64">
        <f>IFERROR(__xludf.DUMMYFUNCTION("iferror(AVERAGE(query(filter('Saline Comp Data Recording'!AD:AD,'Saline Comp Data Recording'!C:C=B30), ""Select Col1"")),""0.00"")"),2.0)</f>
        <v>2</v>
      </c>
      <c r="BM30" s="65">
        <f>IFERROR(__xludf.DUMMYFUNCTION("iferror(MAX(query(filter('Saline Comp Data Recording'!AD:AD,'Saline Comp Data Recording'!C:C=B30), ""Select Col1"")),""-"")"),5.0)</f>
        <v>5</v>
      </c>
      <c r="BN30" s="66" t="str">
        <f>IFERROR(__xludf.DUMMYFUNCTION("if(countif(query(filter('Saline Comp Data Recording'!AE:AE,'Saline Comp Data Recording'!C:C=B30), ""Select Col1""),""TRUE"")=0,""0"",countif(query(filter('Saline Comp Data Recording'!AE:AE,'Saline Comp Data Recording'!C:C=B30), ""Select Col1""),""TRUE""))"&amp;" &amp; ""/"" &amp; if(COUNTA(query(ifna(filter('Saline Comp Data Recording'!AE:AE,'Saline Comp Data Recording'!C:C=B30),""""), ""Select Col1""))=0,""0"",COUNTA(query(ifna(filter('Saline Comp Data Recording'!AE:AE,'Saline Comp Data Recording'!C:C=B30),""""), ""Sel"&amp;"ect Col1"")))"),"0/4")</f>
        <v>0/4</v>
      </c>
      <c r="BO30" s="67" t="str">
        <f>IFERROR(__xludf.DUMMYFUNCTION("if(countif(query(filter('Saline Comp Data Recording'!AF:AF,'Saline Comp Data Recording'!C:C=B30), ""Select Col1""),""TRUE"")=0,""0"",countif(query(filter('Saline Comp Data Recording'!AF:AF,'Saline Comp Data Recording'!C:C=B30), ""Select Col1""),""TRUE""))"&amp;" &amp; ""/"" &amp; if(COUNTA(query(ifna(filter('Saline Comp Data Recording'!AF:AF,'Saline Comp Data Recording'!C:C=B30),""""), ""Select Col1""))=0,""0"",COUNTA(query(ifna(filter('Saline Comp Data Recording'!AF:AF,'Saline Comp Data Recording'!C:C=B30),""""), ""Sel"&amp;"ect Col1"")))"),"0/4")</f>
        <v>0/4</v>
      </c>
      <c r="BP30" s="60" t="str">
        <f>IFERROR(__xludf.DUMMYFUNCTION("if(countif(query(filter('Saline Comp Data Recording'!AI:AI,'Saline Comp Data Recording'!C:C=B30), ""Select Col1""),""TRUE"")=0,""0"",countif(query(filter('Saline Comp Data Recording'!AI:AI,'Saline Comp Data Recording'!C:C=B30), ""Select Col1""),""TRUE""))"&amp;" &amp; ""/"" &amp; if(COUNTA(query(ifna(filter('Saline Comp Data Recording'!AI:AI,'Saline Comp Data Recording'!C:C=B30),""""), ""Select Col1""))=0,""0"",COUNTA(query(ifna(filter('Saline Comp Data Recording'!AI:AI,'Saline Comp Data Recording'!C:C=B30),""""), ""Sel"&amp;"ect Col1"")))"),"0/4")</f>
        <v>0/4</v>
      </c>
      <c r="BQ30" s="55">
        <f>IFERROR(__xludf.DUMMYFUNCTION("iferror(average(query(filter('Saline Comp Data Recording'!AG:AG,'Saline Comp Data Recording'!C:C=B30), ""Select Col1"")),""-"")"),2.5)</f>
        <v>2.5</v>
      </c>
      <c r="BR30" s="69">
        <f>IFERROR(__xludf.DUMMYFUNCTION("iferror(average(query(filter('Saline Comp Data Recording'!AH:AH,'Saline Comp Data Recording'!C:C=B30), ""Select Col1"")),""-"")"),0.5)</f>
        <v>0.5</v>
      </c>
      <c r="BS30" s="70">
        <f>IFERROR(__xludf.DUMMYFUNCTION("iferror(AVERAGE(query(filter('Saline Comp Data Recording'!AK:AK,'Saline Comp Data Recording'!C:C=B30), ""Select Col1"")),""-"")"),19.0)</f>
        <v>19</v>
      </c>
      <c r="BT30" s="70">
        <f>IFERROR(__xludf.DUMMYFUNCTION("iferror(AVERAGE(query(filter('Saline Comp Data Recording'!AL:AL,'Saline Comp Data Recording'!C:C=B30), ""Select Col1"")),""-"")"),19.0)</f>
        <v>19</v>
      </c>
      <c r="BU30" s="71">
        <f>IFERROR(__xludf.DUMMYFUNCTION("iferror(max(query(filter('Saline Comp Data Recording'!AK:AK,'Saline Comp Data Recording'!C:C=B30), ""Select Col1"")),""-"")"),24.0)</f>
        <v>24</v>
      </c>
      <c r="BV30" s="72">
        <f>IFERROR(__xludf.DUMMYFUNCTION("iferror(MIN(query(filter('Saline Comp Data Recording'!AK:AK,'Saline Comp Data Recording'!C:C=B30), ""Select Col1"")),""-"")"),10.0)</f>
        <v>10</v>
      </c>
      <c r="BW30" s="73" t="str">
        <f>IFERROR(__xludf.DUMMYFUNCTION("iferror(if(DIVIDE(COUNTIF(query(filter('Saline Comp Data Recording'!P:P,'Saline Comp Data Recording'!C:C=B30), ""Select Col1""),TRUE),COUNTA(query(ifna(filter('Saline Comp Data Recording'!P:P,'Saline Comp Data Recording'!C:C=B30),""""), ""Select Col1"")))"&amp;"&gt;=(0.5),""1"",""0""),""-"")"),"0")</f>
        <v>0</v>
      </c>
      <c r="BX30" s="59" t="str">
        <f>IFERROR(__xludf.DUMMYFUNCTION("iferror(if(countif(query(filter('Saline Comp Data Recording'!Q:Q,'Saline Comp Data Recording'!C:C=B30), ""Select Col1""),TRUE)/COUNTA(query(ifna(filter('Saline Comp Data Recording'!Q:Q,'Saline Comp Data Recording'!C:C=B30),""""), ""Select Col1""))&gt;=(0.5),"&amp;"""1"",""0""),""-"")"),"0")</f>
        <v>0</v>
      </c>
      <c r="BY30" s="74" t="str">
        <f>IFERROR(__xludf.DUMMYFUNCTION("iferror(if(DIVIDE(COUNTIF(query(filter('Saline Comp Data Recording'!AE:AE,'Saline Comp Data Recording'!C:C=B30), ""Select Col1""),TRUE),COUNTA(query(ifna(filter('Saline Comp Data Recording'!AE:AE,'Saline Comp Data Recording'!C:C=B30),""""), ""Select Col1"&amp;""")))&gt;=(0.5),""1"",""0""),""-"")"),"0")</f>
        <v>0</v>
      </c>
      <c r="BZ30" s="59" t="str">
        <f>IFERROR(__xludf.DUMMYFUNCTION("iferror(if(countif(query(filter('Saline Comp Data Recording'!AF:AF,'Saline Comp Data Recording'!C:C=B30), ""Select Col1""),TRUE)/COUNTA(query(ifna(filter('Saline Comp Data Recording'!AF:AF,'Saline Comp Data Recording'!C:C=B30),""""), ""Select Col1""))&gt;=(0"&amp;".5),""1"",""0""),""-"")"),"0")</f>
        <v>0</v>
      </c>
      <c r="CA30" s="74" t="str">
        <f>IFERROR(__xludf.DUMMYFUNCTION("iferror(if(DIVIDE(countif(query(filter('Saline Comp Data Recording'!R:R,'Saline Comp Data Recording'!C:C=B30), ""Select Col1""),TRUE),COUNTA(query(ifna(filter('Saline Comp Data Recording'!R:R,'Saline Comp Data Recording'!C:C=B30),""""), ""Select Col1"")))"&amp;"&gt;=(0.5),""1"",""0""),""-"")"),"1")</f>
        <v>1</v>
      </c>
    </row>
    <row r="31">
      <c r="A31" s="51" t="s">
        <v>541</v>
      </c>
      <c r="B31" s="51">
        <v>3175.0</v>
      </c>
      <c r="C31" s="52" t="str">
        <f>IFERROR(__xludf.DUMMYFUNCTION("if(countif(query(filter('Saline Comp Data Recording'!R:R,'Saline Comp Data Recording'!C:C=B31), ""Select Col1""),""TRUE"")=0,""0"",countif(query(filter('Saline Comp Data Recording'!R:R,'Saline Comp Data Recording'!C:C=B31), ""Select Col1""),""TRUE"")) &amp; "&amp;"""/"" &amp; if(COUNTA(query(ifna(filter('Saline Comp Data Recording'!R:R,'Saline Comp Data Recording'!C:C=B31),""""), ""Select Col1""))=0,""0"",COUNTA(query(ifna(filter('Saline Comp Data Recording'!R:R,'Saline Comp Data Recording'!C:C=B31),""""), ""Select Col"&amp;"1"")))"),"3/5")</f>
        <v>3/5</v>
      </c>
      <c r="D31" s="53">
        <f>IFERROR(__xludf.DUMMYFUNCTION("iferror(SUM(query(filter('Saline Comp Data Recording'!D:D,'Saline Comp Data Recording'!C:C=B31), ""Select Col1"")),""-"")"),5.0)</f>
        <v>5</v>
      </c>
      <c r="E31" s="53">
        <f>IFERROR(__xludf.DUMMYFUNCTION("iferror(SUM(query(filter('Saline Comp Data Recording'!E:E,'Saline Comp Data Recording'!C:C=B31), ""Select Col1"")),""-"")"),5.0)</f>
        <v>5</v>
      </c>
      <c r="F31" s="54">
        <f t="shared" si="1"/>
        <v>1</v>
      </c>
      <c r="G31" s="55">
        <f>IFERROR(__xludf.DUMMYFUNCTION("iferror(AVERAGE(query(filter('Saline Comp Data Recording'!E:E,'Saline Comp Data Recording'!C:C=B31), ""Select Col1"")),""0.00"")"),1.0)</f>
        <v>1</v>
      </c>
      <c r="H31" s="53">
        <f>IFERROR(__xludf.DUMMYFUNCTION("iferror(MAX(query(filter('Saline Comp Data Recording'!E:E,'Saline Comp Data Recording'!C:C=B31), ""Select Col1"")),""-"")"),1.0)</f>
        <v>1</v>
      </c>
      <c r="I31" s="56">
        <f>IFERROR(__xludf.DUMMYFUNCTION("iferror(SUM(query(filter('Saline Comp Data Recording'!F:F,'Saline Comp Data Recording'!C:C=B31), ""Select Col1"")),""-"")"),0.0)</f>
        <v>0</v>
      </c>
      <c r="J31" s="57">
        <f>IFERROR(__xludf.DUMMYFUNCTION("iferror(SUM(query(filter('Saline Comp Data Recording'!G:G,'Saline Comp Data Recording'!C:C=B31), ""Select Col1"")),""-"")"),0.0)</f>
        <v>0</v>
      </c>
      <c r="K31" s="54" t="str">
        <f t="shared" si="2"/>
        <v>-</v>
      </c>
      <c r="L31" s="55">
        <f>IFERROR(__xludf.DUMMYFUNCTION("iferror(AVERAGE(query(filter('Saline Comp Data Recording'!G:G,'Saline Comp Data Recording'!C:C=B31), ""Select Col1"")),""0.00"")"),0.0)</f>
        <v>0</v>
      </c>
      <c r="M31" s="53">
        <f>IFERROR(__xludf.DUMMYFUNCTION("iferror(MAX(query(filter('Saline Comp Data Recording'!G:G,'Saline Comp Data Recording'!C:C=B31), ""Select Col1"")),""-"")"),0.0)</f>
        <v>0</v>
      </c>
      <c r="N31" s="58">
        <f>IFERROR(__xludf.DUMMYFUNCTION("iferror(SUM(query(filter('Saline Comp Data Recording'!H:H,'Saline Comp Data Recording'!C:C=B31), ""Select Col1"")),""-"")"),0.0)</f>
        <v>0</v>
      </c>
      <c r="O31" s="59">
        <f>IFERROR(__xludf.DUMMYFUNCTION("iferror(SUM(query(filter('Saline Comp Data Recording'!I:I,'Saline Comp Data Recording'!C:C=B31), ""Select Col1"")),""-"")"),0.0)</f>
        <v>0</v>
      </c>
      <c r="P31" s="54" t="str">
        <f t="shared" si="3"/>
        <v>-</v>
      </c>
      <c r="Q31" s="55">
        <f>IFERROR(__xludf.DUMMYFUNCTION("iferror(AVERAGE(query(filter('Saline Comp Data Recording'!I:I,'Saline Comp Data Recording'!C:C=B31), ""Select Col1"")),""0.00"")"),0.0)</f>
        <v>0</v>
      </c>
      <c r="R31" s="53">
        <f>IFERROR(__xludf.DUMMYFUNCTION("iferror(MAX(query(filter('Saline Comp Data Recording'!I:I,'Saline Comp Data Recording'!C:C=B31), ""Select Col1"")),""-"")"),0.0)</f>
        <v>0</v>
      </c>
      <c r="S31" s="58">
        <f>IFERROR(__xludf.DUMMYFUNCTION("iferror(SUM(query(filter('Saline Comp Data Recording'!J:J,'Saline Comp Data Recording'!C:C=B31), ""Select Col1"")),""-"")"),4.0)</f>
        <v>4</v>
      </c>
      <c r="T31" s="59">
        <f>IFERROR(__xludf.DUMMYFUNCTION("iferror(SUM(query(filter('Saline Comp Data Recording'!K:K,'Saline Comp Data Recording'!C:C=B31), ""Select Col1"")),""-"")"),4.0)</f>
        <v>4</v>
      </c>
      <c r="U31" s="54">
        <f t="shared" si="4"/>
        <v>1</v>
      </c>
      <c r="V31" s="55">
        <f>IFERROR(__xludf.DUMMYFUNCTION("iferror(AVERAGE(query(filter('Saline Comp Data Recording'!K:K,'Saline Comp Data Recording'!C:C=B31), ""Select Col1"")),""-"")"),0.8)</f>
        <v>0.8</v>
      </c>
      <c r="W31" s="52">
        <f>IFERROR(__xludf.DUMMYFUNCTION("iferror(MAX(query(filter('Saline Comp Data Recording'!K:K,'Saline Comp Data Recording'!C:C=B31), ""Select Col1"")),""-"")"),2.0)</f>
        <v>2</v>
      </c>
      <c r="X31" s="59">
        <f>IFERROR(__xludf.DUMMYFUNCTION("iferror(SUM(query(filter('Saline Comp Data Recording'!L:L,'Saline Comp Data Recording'!C:C=B31), ""Select Col1"")),""-"")"),1.0)</f>
        <v>1</v>
      </c>
      <c r="Y31" s="59">
        <f>IFERROR(__xludf.DUMMYFUNCTION("iferror(SUM(query(filter('Saline Comp Data Recording'!M:M,'Saline Comp Data Recording'!C:C=B31), ""Select Col1"")),""-"")"),1.0)</f>
        <v>1</v>
      </c>
      <c r="Z31" s="54">
        <f t="shared" si="5"/>
        <v>1</v>
      </c>
      <c r="AA31" s="55">
        <f>IFERROR(__xludf.DUMMYFUNCTION("iferror(AVERAGE(query(filter('Saline Comp Data Recording'!M:M,'Saline Comp Data Recording'!C:C=B31), ""Select Col1"")),""0.00"")"),0.2)</f>
        <v>0.2</v>
      </c>
      <c r="AB31" s="52">
        <f>IFERROR(__xludf.DUMMYFUNCTION("iferror(MAX(query(filter('Saline Comp Data Recording'!M:M,'Saline Comp Data Recording'!C:C=B31), ""Select Col1"")),""-"")"),1.0)</f>
        <v>1</v>
      </c>
      <c r="AC31" s="59">
        <f>IFERROR(__xludf.DUMMYFUNCTION("iferror(SUM(query(filter('Saline Comp Data Recording'!N:N,'Saline Comp Data Recording'!C:C=B31), ""Select Col1"")),""-"")"),4.0)</f>
        <v>4</v>
      </c>
      <c r="AD31" s="59">
        <f>IFERROR(__xludf.DUMMYFUNCTION("iferror(SUM(query(filter('Saline Comp Data Recording'!O:O,'Saline Comp Data Recording'!C:C=B31), ""Select Col1"")),""-"")"),4.0)</f>
        <v>4</v>
      </c>
      <c r="AE31" s="54">
        <f t="shared" si="6"/>
        <v>1</v>
      </c>
      <c r="AF31" s="55">
        <f>IFERROR(__xludf.DUMMYFUNCTION("iferror(AVERAGE(query(filter('Saline Comp Data Recording'!O:O,'Saline Comp Data Recording'!C:C=B31), ""Select Col1"")),""0.00"")"),0.8)</f>
        <v>0.8</v>
      </c>
      <c r="AG31" s="59">
        <f>IFERROR(__xludf.DUMMYFUNCTION("iferror(MAX(query(filter('Saline Comp Data Recording'!O:O,'Saline Comp Data Recording'!C:C=B31), ""Select Col1"")),""-"")"),4.0)</f>
        <v>4</v>
      </c>
      <c r="AH31" s="58" t="str">
        <f>IFERROR(__xludf.DUMMYFUNCTION("if(countif(query(filter('Saline Comp Data Recording'!P:P,'Saline Comp Data Recording'!C:C=B31), ""Select Col1""),TRUE)=0,""0"",countif(query(filter('Saline Comp Data Recording'!P:P,'Saline Comp Data Recording'!C:C=B31), ""Select Col1""),TRUE)) &amp; ""/"" &amp; i"&amp;"f(COUNTA(query(ifna(filter('Saline Comp Data Recording'!P:P,'Saline Comp Data Recording'!C:C=B31),""""), ""Select Col1""))=0,""0"",COUNTA(query(ifna(filter('Saline Comp Data Recording'!P:P,'Saline Comp Data Recording'!C:C=B31),""""), ""Select Col1"")))"),"1/5")</f>
        <v>1/5</v>
      </c>
      <c r="AI31" s="60" t="str">
        <f>IFERROR(__xludf.DUMMYFUNCTION("if(countif(query(filter('Saline Comp Data Recording'!Q:Q,'Saline Comp Data Recording'!C:C=B31), ""Select Col1""),TRUE)=0,""0"",countif(query(filter('Saline Comp Data Recording'!Q:Q,'Saline Comp Data Recording'!C:C=B31), ""Select Col1""),TRUE)) &amp; ""/"" &amp; i"&amp;"f(COUNTA(query(ifna(filter('Saline Comp Data Recording'!Q:Q,'Saline Comp Data Recording'!C:C=B31),""""), ""Select Col1""))=0,""0"",COUNTA(query(ifna(filter('Saline Comp Data Recording'!Q:Q,'Saline Comp Data Recording'!C:C=B31),""""), ""Select Col1"")))"),"1/5")</f>
        <v>1/5</v>
      </c>
      <c r="AJ31" s="59">
        <f>IFERROR(__xludf.DUMMYFUNCTION("iferror(SUM(query(filter('Saline Comp Data Recording'!S:S,'Saline Comp Data Recording'!C:C=B31), ""Select Col1"")),""-"")"),0.0)</f>
        <v>0</v>
      </c>
      <c r="AK31" s="59">
        <f>IFERROR(__xludf.DUMMYFUNCTION("iferror(SUM(query(filter('Saline Comp Data Recording'!T:T,'Saline Comp Data Recording'!C:C=B31), ""Select Col1"")),""-"")"),0.0)</f>
        <v>0</v>
      </c>
      <c r="AL31" s="54" t="str">
        <f t="shared" si="7"/>
        <v>-</v>
      </c>
      <c r="AM31" s="55">
        <f>IFERROR(__xludf.DUMMYFUNCTION("iferror(AVERAGE(query(filter('Saline Comp Data Recording'!T:T,'Saline Comp Data Recording'!C:C=B31), ""Select Col1"")),""0.00"")"),0.0)</f>
        <v>0</v>
      </c>
      <c r="AN31" s="61">
        <f>IFERROR(__xludf.DUMMYFUNCTION("iferror(MAX(query(filter('Saline Comp Data Recording'!T:T,'Saline Comp Data Recording'!C:C=B31), ""Select Col1"")),""-"")"),0.0)</f>
        <v>0</v>
      </c>
      <c r="AO31" s="62">
        <f>IFERROR(__xludf.DUMMYFUNCTION("iferror(SUM(query(filter('Saline Comp Data Recording'!U:U,'Saline Comp Data Recording'!C:C=B31), ""Select Col1"")),""-"")"),0.0)</f>
        <v>0</v>
      </c>
      <c r="AP31" s="62">
        <f>IFERROR(__xludf.DUMMYFUNCTION("iferror(SUM(query(filter('Saline Comp Data Recording'!V:V,'Saline Comp Data Recording'!C:C=B31), ""Select Col1"")),""-"")"),0.0)</f>
        <v>0</v>
      </c>
      <c r="AQ31" s="63" t="str">
        <f t="shared" si="8"/>
        <v>-</v>
      </c>
      <c r="AR31" s="64">
        <f>IFERROR(__xludf.DUMMYFUNCTION("iferror(AVERAGE(query(filter('Saline Comp Data Recording'!V:V,'Saline Comp Data Recording'!C:C=B31), ""Select Col1"")),""0.00"")"),0.0)</f>
        <v>0</v>
      </c>
      <c r="AS31" s="65">
        <f>IFERROR(__xludf.DUMMYFUNCTION("iferror(MAX(query(filter('Saline Comp Data Recording'!V:V,'Saline Comp Data Recording'!C:C=B31), ""Select Col1"")),""-"")"),0.0)</f>
        <v>0</v>
      </c>
      <c r="AT31" s="62">
        <f>IFERROR(__xludf.DUMMYFUNCTION("iferror(SUM(query(filter('Saline Comp Data Recording'!W:W,'Saline Comp Data Recording'!C:C=B31), ""Select Col1"")),""-"")"),0.0)</f>
        <v>0</v>
      </c>
      <c r="AU31" s="62">
        <f>IFERROR(__xludf.DUMMYFUNCTION("iferror(SUM(query(filter('Saline Comp Data Recording'!X:X,'Saline Comp Data Recording'!C:C=B31), ""Select Col1"")),""-"")"),0.0)</f>
        <v>0</v>
      </c>
      <c r="AV31" s="63" t="str">
        <f t="shared" si="9"/>
        <v>-</v>
      </c>
      <c r="AW31" s="64">
        <f>IFERROR(__xludf.DUMMYFUNCTION("iferror(AVERAGE(query(filter('Saline Comp Data Recording'!X:X,'Saline Comp Data Recording'!C:C=B31), ""Select Col1"")),""0.00"")"),0.0)</f>
        <v>0</v>
      </c>
      <c r="AX31" s="65">
        <f>IFERROR(__xludf.DUMMYFUNCTION("iferror(MAX(query(filter('Saline Comp Data Recording'!X:X,'Saline Comp Data Recording'!C:C=B31), ""Select Col1"")),""-"")"),0.0)</f>
        <v>0</v>
      </c>
      <c r="AY31" s="62">
        <f>IFERROR(__xludf.DUMMYFUNCTION("iferror(SUM(query(filter('Saline Comp Data Recording'!Y:Y,'Saline Comp Data Recording'!C:C=B31), ""Select Col1"")),""-"")"),5.0)</f>
        <v>5</v>
      </c>
      <c r="AZ31" s="62">
        <f>IFERROR(__xludf.DUMMYFUNCTION("iferror(SUM(query(filter('Saline Comp Data Recording'!Z:Z,'Saline Comp Data Recording'!C:C=B31), ""Select Col1"")),""-"")"),4.0)</f>
        <v>4</v>
      </c>
      <c r="BA31" s="63">
        <f t="shared" si="10"/>
        <v>0.8</v>
      </c>
      <c r="BB31" s="64">
        <f>IFERROR(__xludf.DUMMYFUNCTION("iferror(AVERAGE(query(filter('Saline Comp Data Recording'!Z:Z,'Saline Comp Data Recording'!C:C=B31), ""Select Col1"")),""0.00"")"),0.8)</f>
        <v>0.8</v>
      </c>
      <c r="BC31" s="65">
        <f>IFERROR(__xludf.DUMMYFUNCTION("iferror(MAX(query(filter('Saline Comp Data Recording'!Z:Z,'Saline Comp Data Recording'!C:C=B31), ""Select Col1"")),""-"")"),2.0)</f>
        <v>2</v>
      </c>
      <c r="BD31" s="62">
        <f>IFERROR(__xludf.DUMMYFUNCTION("iferror(SUM(query(filter('Saline Comp Data Recording'!AA:AA,'Saline Comp Data Recording'!C:C=B31), ""Select Col1"")),""-"")"),1.0)</f>
        <v>1</v>
      </c>
      <c r="BE31" s="62">
        <f>IFERROR(__xludf.DUMMYFUNCTION("iferror(SUM(query(filter('Saline Comp Data Recording'!AB:AB,'Saline Comp Data Recording'!C:C=B31), ""Select Col1"")),""-"")"),1.0)</f>
        <v>1</v>
      </c>
      <c r="BF31" s="63">
        <f t="shared" si="11"/>
        <v>1</v>
      </c>
      <c r="BG31" s="64">
        <f>IFERROR(__xludf.DUMMYFUNCTION("iferror(AVERAGE(query(filter('Saline Comp Data Recording'!AB:AB,'Saline Comp Data Recording'!C:C=B31), ""Select Col1"")),""0.00"")"),0.2)</f>
        <v>0.2</v>
      </c>
      <c r="BH31" s="65">
        <f>IFERROR(__xludf.DUMMYFUNCTION("iferror(MAX(query(filter('Saline Comp Data Recording'!AB:AB,'Saline Comp Data Recording'!C:C=B31), ""Select Col1"")),""-"")"),1.0)</f>
        <v>1</v>
      </c>
      <c r="BI31" s="62">
        <f>IFERROR(__xludf.DUMMYFUNCTION("iferror(SUM(query(filter('Saline Comp Data Recording'!AC:AC,'Saline Comp Data Recording'!C:C=B31), ""Select Col1"")),""-"")"),14.0)</f>
        <v>14</v>
      </c>
      <c r="BJ31" s="62">
        <f>IFERROR(__xludf.DUMMYFUNCTION("iferror(SUM(query(filter('Saline Comp Data Recording'!AD:AD,'Saline Comp Data Recording'!C:C=B31), ""Select Col1"")),""-"")"),13.0)</f>
        <v>13</v>
      </c>
      <c r="BK31" s="63">
        <f t="shared" si="12"/>
        <v>0.9285714286</v>
      </c>
      <c r="BL31" s="64">
        <f>IFERROR(__xludf.DUMMYFUNCTION("iferror(AVERAGE(query(filter('Saline Comp Data Recording'!AD:AD,'Saline Comp Data Recording'!C:C=B31), ""Select Col1"")),""0.00"")"),2.6)</f>
        <v>2.6</v>
      </c>
      <c r="BM31" s="65">
        <f>IFERROR(__xludf.DUMMYFUNCTION("iferror(MAX(query(filter('Saline Comp Data Recording'!AD:AD,'Saline Comp Data Recording'!C:C=B31), ""Select Col1"")),""-"")"),5.0)</f>
        <v>5</v>
      </c>
      <c r="BN31" s="66" t="str">
        <f>IFERROR(__xludf.DUMMYFUNCTION("if(countif(query(filter('Saline Comp Data Recording'!AE:AE,'Saline Comp Data Recording'!C:C=B31), ""Select Col1""),""TRUE"")=0,""0"",countif(query(filter('Saline Comp Data Recording'!AE:AE,'Saline Comp Data Recording'!C:C=B31), ""Select Col1""),""TRUE""))"&amp;" &amp; ""/"" &amp; if(COUNTA(query(ifna(filter('Saline Comp Data Recording'!AE:AE,'Saline Comp Data Recording'!C:C=B31),""""), ""Select Col1""))=0,""0"",COUNTA(query(ifna(filter('Saline Comp Data Recording'!AE:AE,'Saline Comp Data Recording'!C:C=B31),""""), ""Sel"&amp;"ect Col1"")))"),"1/5")</f>
        <v>1/5</v>
      </c>
      <c r="BO31" s="67" t="str">
        <f>IFERROR(__xludf.DUMMYFUNCTION("if(countif(query(filter('Saline Comp Data Recording'!AF:AF,'Saline Comp Data Recording'!C:C=B31), ""Select Col1""),""TRUE"")=0,""0"",countif(query(filter('Saline Comp Data Recording'!AF:AF,'Saline Comp Data Recording'!C:C=B31), ""Select Col1""),""TRUE""))"&amp;" &amp; ""/"" &amp; if(COUNTA(query(ifna(filter('Saline Comp Data Recording'!AF:AF,'Saline Comp Data Recording'!C:C=B31),""""), ""Select Col1""))=0,""0"",COUNTA(query(ifna(filter('Saline Comp Data Recording'!AF:AF,'Saline Comp Data Recording'!C:C=B31),""""), ""Sel"&amp;"ect Col1"")))"),"1/5")</f>
        <v>1/5</v>
      </c>
      <c r="BP31" s="60" t="str">
        <f>IFERROR(__xludf.DUMMYFUNCTION("if(countif(query(filter('Saline Comp Data Recording'!AI:AI,'Saline Comp Data Recording'!C:C=B31), ""Select Col1""),""TRUE"")=0,""0"",countif(query(filter('Saline Comp Data Recording'!AI:AI,'Saline Comp Data Recording'!C:C=B31), ""Select Col1""),""TRUE""))"&amp;" &amp; ""/"" &amp; if(COUNTA(query(ifna(filter('Saline Comp Data Recording'!AI:AI,'Saline Comp Data Recording'!C:C=B31),""""), ""Select Col1""))=0,""0"",COUNTA(query(ifna(filter('Saline Comp Data Recording'!AI:AI,'Saline Comp Data Recording'!C:C=B31),""""), ""Sel"&amp;"ect Col1"")))"),"1/5")</f>
        <v>1/5</v>
      </c>
      <c r="BQ31" s="55">
        <f>IFERROR(__xludf.DUMMYFUNCTION("iferror(average(query(filter('Saline Comp Data Recording'!AG:AG,'Saline Comp Data Recording'!C:C=B31), ""Select Col1"")),""-"")"),3.2)</f>
        <v>3.2</v>
      </c>
      <c r="BR31" s="69">
        <f>IFERROR(__xludf.DUMMYFUNCTION("iferror(average(query(filter('Saline Comp Data Recording'!AH:AH,'Saline Comp Data Recording'!C:C=B31), ""Select Col1"")),""-"")"),1.2)</f>
        <v>1.2</v>
      </c>
      <c r="BS31" s="70">
        <f>IFERROR(__xludf.DUMMYFUNCTION("iferror(AVERAGE(query(filter('Saline Comp Data Recording'!AK:AK,'Saline Comp Data Recording'!C:C=B31), ""Select Col1"")),""-"")"),30.0)</f>
        <v>30</v>
      </c>
      <c r="BT31" s="70">
        <f>IFERROR(__xludf.DUMMYFUNCTION("iferror(AVERAGE(query(filter('Saline Comp Data Recording'!AL:AL,'Saline Comp Data Recording'!C:C=B31), ""Select Col1"")),""-"")"),25.6)</f>
        <v>25.6</v>
      </c>
      <c r="BU31" s="71">
        <f>IFERROR(__xludf.DUMMYFUNCTION("iferror(max(query(filter('Saline Comp Data Recording'!AK:AK,'Saline Comp Data Recording'!C:C=B31), ""Select Col1"")),""-"")"),56.0)</f>
        <v>56</v>
      </c>
      <c r="BV31" s="72">
        <f>IFERROR(__xludf.DUMMYFUNCTION("iferror(MIN(query(filter('Saline Comp Data Recording'!AK:AK,'Saline Comp Data Recording'!C:C=B31), ""Select Col1"")),""-"")"),15.0)</f>
        <v>15</v>
      </c>
      <c r="BW31" s="73" t="str">
        <f>IFERROR(__xludf.DUMMYFUNCTION("iferror(if(DIVIDE(COUNTIF(query(filter('Saline Comp Data Recording'!P:P,'Saline Comp Data Recording'!C:C=B31), ""Select Col1""),TRUE),COUNTA(query(ifna(filter('Saline Comp Data Recording'!P:P,'Saline Comp Data Recording'!C:C=B31),""""), ""Select Col1"")))"&amp;"&gt;=(0.5),""1"",""0""),""-"")"),"0")</f>
        <v>0</v>
      </c>
      <c r="BX31" s="59" t="str">
        <f>IFERROR(__xludf.DUMMYFUNCTION("iferror(if(countif(query(filter('Saline Comp Data Recording'!Q:Q,'Saline Comp Data Recording'!C:C=B31), ""Select Col1""),TRUE)/COUNTA(query(ifna(filter('Saline Comp Data Recording'!Q:Q,'Saline Comp Data Recording'!C:C=B31),""""), ""Select Col1""))&gt;=(0.5),"&amp;"""1"",""0""),""-"")"),"0")</f>
        <v>0</v>
      </c>
      <c r="BY31" s="74" t="str">
        <f>IFERROR(__xludf.DUMMYFUNCTION("iferror(if(DIVIDE(COUNTIF(query(filter('Saline Comp Data Recording'!AE:AE,'Saline Comp Data Recording'!C:C=B31), ""Select Col1""),TRUE),COUNTA(query(ifna(filter('Saline Comp Data Recording'!AE:AE,'Saline Comp Data Recording'!C:C=B31),""""), ""Select Col1"&amp;""")))&gt;=(0.5),""1"",""0""),""-"")"),"0")</f>
        <v>0</v>
      </c>
      <c r="BZ31" s="59" t="str">
        <f>IFERROR(__xludf.DUMMYFUNCTION("iferror(if(countif(query(filter('Saline Comp Data Recording'!AF:AF,'Saline Comp Data Recording'!C:C=B31), ""Select Col1""),TRUE)/COUNTA(query(ifna(filter('Saline Comp Data Recording'!AF:AF,'Saline Comp Data Recording'!C:C=B31),""""), ""Select Col1""))&gt;=(0"&amp;".5),""1"",""0""),""-"")"),"0")</f>
        <v>0</v>
      </c>
      <c r="CA31" s="74" t="str">
        <f>IFERROR(__xludf.DUMMYFUNCTION("iferror(if(DIVIDE(countif(query(filter('Saline Comp Data Recording'!R:R,'Saline Comp Data Recording'!C:C=B31), ""Select Col1""),TRUE),COUNTA(query(ifna(filter('Saline Comp Data Recording'!R:R,'Saline Comp Data Recording'!C:C=B31),""""), ""Select Col1"")))"&amp;"&gt;=(0.5),""1"",""0""),""-"")"),"1")</f>
        <v>1</v>
      </c>
    </row>
    <row r="32">
      <c r="A32" s="51" t="s">
        <v>542</v>
      </c>
      <c r="B32" s="51">
        <v>247.0</v>
      </c>
      <c r="C32" s="52" t="str">
        <f>IFERROR(__xludf.DUMMYFUNCTION("if(countif(query(filter('Saline Comp Data Recording'!R:R,'Saline Comp Data Recording'!C:C=B32), ""Select Col1""),""TRUE"")=0,""0"",countif(query(filter('Saline Comp Data Recording'!R:R,'Saline Comp Data Recording'!C:C=B32), ""Select Col1""),""TRUE"")) &amp; "&amp;"""/"" &amp; if(COUNTA(query(ifna(filter('Saline Comp Data Recording'!R:R,'Saline Comp Data Recording'!C:C=B32),""""), ""Select Col1""))=0,""0"",COUNTA(query(ifna(filter('Saline Comp Data Recording'!R:R,'Saline Comp Data Recording'!C:C=B32),""""), ""Select Col"&amp;"1"")))"),"0/6")</f>
        <v>0/6</v>
      </c>
      <c r="D32" s="53">
        <f>IFERROR(__xludf.DUMMYFUNCTION("iferror(SUM(query(filter('Saline Comp Data Recording'!D:D,'Saline Comp Data Recording'!C:C=B32), ""Select Col1"")),""-"")"),0.0)</f>
        <v>0</v>
      </c>
      <c r="E32" s="53">
        <f>IFERROR(__xludf.DUMMYFUNCTION("iferror(SUM(query(filter('Saline Comp Data Recording'!E:E,'Saline Comp Data Recording'!C:C=B32), ""Select Col1"")),""-"")"),0.0)</f>
        <v>0</v>
      </c>
      <c r="F32" s="54" t="str">
        <f t="shared" si="1"/>
        <v>-</v>
      </c>
      <c r="G32" s="55">
        <f>IFERROR(__xludf.DUMMYFUNCTION("iferror(AVERAGE(query(filter('Saline Comp Data Recording'!E:E,'Saline Comp Data Recording'!C:C=B32), ""Select Col1"")),""0.00"")"),0.0)</f>
        <v>0</v>
      </c>
      <c r="H32" s="53">
        <f>IFERROR(__xludf.DUMMYFUNCTION("iferror(MAX(query(filter('Saline Comp Data Recording'!E:E,'Saline Comp Data Recording'!C:C=B32), ""Select Col1"")),""-"")"),0.0)</f>
        <v>0</v>
      </c>
      <c r="I32" s="56">
        <f>IFERROR(__xludf.DUMMYFUNCTION("iferror(SUM(query(filter('Saline Comp Data Recording'!F:F,'Saline Comp Data Recording'!C:C=B32), ""Select Col1"")),""-"")"),0.0)</f>
        <v>0</v>
      </c>
      <c r="J32" s="57">
        <f>IFERROR(__xludf.DUMMYFUNCTION("iferror(SUM(query(filter('Saline Comp Data Recording'!G:G,'Saline Comp Data Recording'!C:C=B32), ""Select Col1"")),""-"")"),0.0)</f>
        <v>0</v>
      </c>
      <c r="K32" s="54" t="str">
        <f t="shared" si="2"/>
        <v>-</v>
      </c>
      <c r="L32" s="55">
        <f>IFERROR(__xludf.DUMMYFUNCTION("iferror(AVERAGE(query(filter('Saline Comp Data Recording'!G:G,'Saline Comp Data Recording'!C:C=B32), ""Select Col1"")),""0.00"")"),0.0)</f>
        <v>0</v>
      </c>
      <c r="M32" s="53">
        <f>IFERROR(__xludf.DUMMYFUNCTION("iferror(MAX(query(filter('Saline Comp Data Recording'!G:G,'Saline Comp Data Recording'!C:C=B32), ""Select Col1"")),""-"")"),0.0)</f>
        <v>0</v>
      </c>
      <c r="N32" s="58">
        <f>IFERROR(__xludf.DUMMYFUNCTION("iferror(SUM(query(filter('Saline Comp Data Recording'!H:H,'Saline Comp Data Recording'!C:C=B32), ""Select Col1"")),""-"")"),0.0)</f>
        <v>0</v>
      </c>
      <c r="O32" s="59">
        <f>IFERROR(__xludf.DUMMYFUNCTION("iferror(SUM(query(filter('Saline Comp Data Recording'!I:I,'Saline Comp Data Recording'!C:C=B32), ""Select Col1"")),""-"")"),0.0)</f>
        <v>0</v>
      </c>
      <c r="P32" s="54" t="str">
        <f t="shared" si="3"/>
        <v>-</v>
      </c>
      <c r="Q32" s="55">
        <f>IFERROR(__xludf.DUMMYFUNCTION("iferror(AVERAGE(query(filter('Saline Comp Data Recording'!I:I,'Saline Comp Data Recording'!C:C=B32), ""Select Col1"")),""0.00"")"),0.0)</f>
        <v>0</v>
      </c>
      <c r="R32" s="53">
        <f>IFERROR(__xludf.DUMMYFUNCTION("iferror(MAX(query(filter('Saline Comp Data Recording'!I:I,'Saline Comp Data Recording'!C:C=B32), ""Select Col1"")),""-"")"),0.0)</f>
        <v>0</v>
      </c>
      <c r="S32" s="58">
        <f>IFERROR(__xludf.DUMMYFUNCTION("iferror(SUM(query(filter('Saline Comp Data Recording'!J:J,'Saline Comp Data Recording'!C:C=B32), ""Select Col1"")),""-"")"),0.0)</f>
        <v>0</v>
      </c>
      <c r="T32" s="59">
        <f>IFERROR(__xludf.DUMMYFUNCTION("iferror(SUM(query(filter('Saline Comp Data Recording'!K:K,'Saline Comp Data Recording'!C:C=B32), ""Select Col1"")),""-"")"),0.0)</f>
        <v>0</v>
      </c>
      <c r="U32" s="54" t="str">
        <f t="shared" si="4"/>
        <v>-</v>
      </c>
      <c r="V32" s="55">
        <f>IFERROR(__xludf.DUMMYFUNCTION("iferror(AVERAGE(query(filter('Saline Comp Data Recording'!K:K,'Saline Comp Data Recording'!C:C=B32), ""Select Col1"")),""-"")"),0.0)</f>
        <v>0</v>
      </c>
      <c r="W32" s="52">
        <f>IFERROR(__xludf.DUMMYFUNCTION("iferror(MAX(query(filter('Saline Comp Data Recording'!K:K,'Saline Comp Data Recording'!C:C=B32), ""Select Col1"")),""-"")"),0.0)</f>
        <v>0</v>
      </c>
      <c r="X32" s="59">
        <f>IFERROR(__xludf.DUMMYFUNCTION("iferror(SUM(query(filter('Saline Comp Data Recording'!L:L,'Saline Comp Data Recording'!C:C=B32), ""Select Col1"")),""-"")"),0.0)</f>
        <v>0</v>
      </c>
      <c r="Y32" s="59">
        <f>IFERROR(__xludf.DUMMYFUNCTION("iferror(SUM(query(filter('Saline Comp Data Recording'!M:M,'Saline Comp Data Recording'!C:C=B32), ""Select Col1"")),""-"")"),0.0)</f>
        <v>0</v>
      </c>
      <c r="Z32" s="54" t="str">
        <f t="shared" si="5"/>
        <v>-</v>
      </c>
      <c r="AA32" s="55">
        <f>IFERROR(__xludf.DUMMYFUNCTION("iferror(AVERAGE(query(filter('Saline Comp Data Recording'!M:M,'Saline Comp Data Recording'!C:C=B32), ""Select Col1"")),""0.00"")"),0.0)</f>
        <v>0</v>
      </c>
      <c r="AB32" s="52">
        <f>IFERROR(__xludf.DUMMYFUNCTION("iferror(MAX(query(filter('Saline Comp Data Recording'!M:M,'Saline Comp Data Recording'!C:C=B32), ""Select Col1"")),""-"")"),0.0)</f>
        <v>0</v>
      </c>
      <c r="AC32" s="59">
        <f>IFERROR(__xludf.DUMMYFUNCTION("iferror(SUM(query(filter('Saline Comp Data Recording'!N:N,'Saline Comp Data Recording'!C:C=B32), ""Select Col1"")),""-"")"),0.0)</f>
        <v>0</v>
      </c>
      <c r="AD32" s="59">
        <f>IFERROR(__xludf.DUMMYFUNCTION("iferror(SUM(query(filter('Saline Comp Data Recording'!O:O,'Saline Comp Data Recording'!C:C=B32), ""Select Col1"")),""-"")"),0.0)</f>
        <v>0</v>
      </c>
      <c r="AE32" s="54" t="str">
        <f t="shared" si="6"/>
        <v>-</v>
      </c>
      <c r="AF32" s="55">
        <f>IFERROR(__xludf.DUMMYFUNCTION("iferror(AVERAGE(query(filter('Saline Comp Data Recording'!O:O,'Saline Comp Data Recording'!C:C=B32), ""Select Col1"")),""0.00"")"),0.0)</f>
        <v>0</v>
      </c>
      <c r="AG32" s="59">
        <f>IFERROR(__xludf.DUMMYFUNCTION("iferror(MAX(query(filter('Saline Comp Data Recording'!O:O,'Saline Comp Data Recording'!C:C=B32), ""Select Col1"")),""-"")"),0.0)</f>
        <v>0</v>
      </c>
      <c r="AH32" s="58" t="str">
        <f>IFERROR(__xludf.DUMMYFUNCTION("if(countif(query(filter('Saline Comp Data Recording'!P:P,'Saline Comp Data Recording'!C:C=B32), ""Select Col1""),TRUE)=0,""0"",countif(query(filter('Saline Comp Data Recording'!P:P,'Saline Comp Data Recording'!C:C=B32), ""Select Col1""),TRUE)) &amp; ""/"" &amp; i"&amp;"f(COUNTA(query(ifna(filter('Saline Comp Data Recording'!P:P,'Saline Comp Data Recording'!C:C=B32),""""), ""Select Col1""))=0,""0"",COUNTA(query(ifna(filter('Saline Comp Data Recording'!P:P,'Saline Comp Data Recording'!C:C=B32),""""), ""Select Col1"")))"),"1/6")</f>
        <v>1/6</v>
      </c>
      <c r="AI32" s="60" t="str">
        <f>IFERROR(__xludf.DUMMYFUNCTION("if(countif(query(filter('Saline Comp Data Recording'!Q:Q,'Saline Comp Data Recording'!C:C=B32), ""Select Col1""),TRUE)=0,""0"",countif(query(filter('Saline Comp Data Recording'!Q:Q,'Saline Comp Data Recording'!C:C=B32), ""Select Col1""),TRUE)) &amp; ""/"" &amp; i"&amp;"f(COUNTA(query(ifna(filter('Saline Comp Data Recording'!Q:Q,'Saline Comp Data Recording'!C:C=B32),""""), ""Select Col1""))=0,""0"",COUNTA(query(ifna(filter('Saline Comp Data Recording'!Q:Q,'Saline Comp Data Recording'!C:C=B32),""""), ""Select Col1"")))"),"2/6")</f>
        <v>2/6</v>
      </c>
      <c r="AJ32" s="59">
        <f>IFERROR(__xludf.DUMMYFUNCTION("iferror(SUM(query(filter('Saline Comp Data Recording'!S:S,'Saline Comp Data Recording'!C:C=B32), ""Select Col1"")),""-"")"),0.0)</f>
        <v>0</v>
      </c>
      <c r="AK32" s="59">
        <f>IFERROR(__xludf.DUMMYFUNCTION("iferror(SUM(query(filter('Saline Comp Data Recording'!T:T,'Saline Comp Data Recording'!C:C=B32), ""Select Col1"")),""-"")"),0.0)</f>
        <v>0</v>
      </c>
      <c r="AL32" s="54" t="str">
        <f t="shared" si="7"/>
        <v>-</v>
      </c>
      <c r="AM32" s="55">
        <f>IFERROR(__xludf.DUMMYFUNCTION("iferror(AVERAGE(query(filter('Saline Comp Data Recording'!T:T,'Saline Comp Data Recording'!C:C=B32), ""Select Col1"")),""0.00"")"),0.0)</f>
        <v>0</v>
      </c>
      <c r="AN32" s="61">
        <f>IFERROR(__xludf.DUMMYFUNCTION("iferror(MAX(query(filter('Saline Comp Data Recording'!T:T,'Saline Comp Data Recording'!C:C=B32), ""Select Col1"")),""-"")"),0.0)</f>
        <v>0</v>
      </c>
      <c r="AO32" s="62">
        <f>IFERROR(__xludf.DUMMYFUNCTION("iferror(SUM(query(filter('Saline Comp Data Recording'!U:U,'Saline Comp Data Recording'!C:C=B32), ""Select Col1"")),""-"")"),0.0)</f>
        <v>0</v>
      </c>
      <c r="AP32" s="62">
        <f>IFERROR(__xludf.DUMMYFUNCTION("iferror(SUM(query(filter('Saline Comp Data Recording'!V:V,'Saline Comp Data Recording'!C:C=B32), ""Select Col1"")),""-"")"),0.0)</f>
        <v>0</v>
      </c>
      <c r="AQ32" s="63" t="str">
        <f t="shared" si="8"/>
        <v>-</v>
      </c>
      <c r="AR32" s="64">
        <f>IFERROR(__xludf.DUMMYFUNCTION("iferror(AVERAGE(query(filter('Saline Comp Data Recording'!V:V,'Saline Comp Data Recording'!C:C=B32), ""Select Col1"")),""0.00"")"),0.0)</f>
        <v>0</v>
      </c>
      <c r="AS32" s="65">
        <f>IFERROR(__xludf.DUMMYFUNCTION("iferror(MAX(query(filter('Saline Comp Data Recording'!V:V,'Saline Comp Data Recording'!C:C=B32), ""Select Col1"")),""-"")"),0.0)</f>
        <v>0</v>
      </c>
      <c r="AT32" s="62">
        <f>IFERROR(__xludf.DUMMYFUNCTION("iferror(SUM(query(filter('Saline Comp Data Recording'!W:W,'Saline Comp Data Recording'!C:C=B32), ""Select Col1"")),""-"")"),0.0)</f>
        <v>0</v>
      </c>
      <c r="AU32" s="62">
        <f>IFERROR(__xludf.DUMMYFUNCTION("iferror(SUM(query(filter('Saline Comp Data Recording'!X:X,'Saline Comp Data Recording'!C:C=B32), ""Select Col1"")),""-"")"),0.0)</f>
        <v>0</v>
      </c>
      <c r="AV32" s="63" t="str">
        <f t="shared" si="9"/>
        <v>-</v>
      </c>
      <c r="AW32" s="64">
        <f>IFERROR(__xludf.DUMMYFUNCTION("iferror(AVERAGE(query(filter('Saline Comp Data Recording'!X:X,'Saline Comp Data Recording'!C:C=B32), ""Select Col1"")),""0.00"")"),0.0)</f>
        <v>0</v>
      </c>
      <c r="AX32" s="65">
        <f>IFERROR(__xludf.DUMMYFUNCTION("iferror(MAX(query(filter('Saline Comp Data Recording'!X:X,'Saline Comp Data Recording'!C:C=B32), ""Select Col1"")),""-"")"),0.0)</f>
        <v>0</v>
      </c>
      <c r="AY32" s="62">
        <f>IFERROR(__xludf.DUMMYFUNCTION("iferror(SUM(query(filter('Saline Comp Data Recording'!Y:Y,'Saline Comp Data Recording'!C:C=B32), ""Select Col1"")),""-"")"),4.0)</f>
        <v>4</v>
      </c>
      <c r="AZ32" s="62">
        <f>IFERROR(__xludf.DUMMYFUNCTION("iferror(SUM(query(filter('Saline Comp Data Recording'!Z:Z,'Saline Comp Data Recording'!C:C=B32), ""Select Col1"")),""-"")"),4.0)</f>
        <v>4</v>
      </c>
      <c r="BA32" s="63">
        <f t="shared" si="10"/>
        <v>1</v>
      </c>
      <c r="BB32" s="64">
        <f>IFERROR(__xludf.DUMMYFUNCTION("iferror(AVERAGE(query(filter('Saline Comp Data Recording'!Z:Z,'Saline Comp Data Recording'!C:C=B32), ""Select Col1"")),""0.00"")"),0.6666666666666666)</f>
        <v>0.6666666667</v>
      </c>
      <c r="BC32" s="65">
        <f>IFERROR(__xludf.DUMMYFUNCTION("iferror(MAX(query(filter('Saline Comp Data Recording'!Z:Z,'Saline Comp Data Recording'!C:C=B32), ""Select Col1"")),""-"")"),1.0)</f>
        <v>1</v>
      </c>
      <c r="BD32" s="62">
        <f>IFERROR(__xludf.DUMMYFUNCTION("iferror(SUM(query(filter('Saline Comp Data Recording'!AA:AA,'Saline Comp Data Recording'!C:C=B32), ""Select Col1"")),""-"")"),1.0)</f>
        <v>1</v>
      </c>
      <c r="BE32" s="62">
        <f>IFERROR(__xludf.DUMMYFUNCTION("iferror(SUM(query(filter('Saline Comp Data Recording'!AB:AB,'Saline Comp Data Recording'!C:C=B32), ""Select Col1"")),""-"")"),1.0)</f>
        <v>1</v>
      </c>
      <c r="BF32" s="63">
        <f t="shared" si="11"/>
        <v>1</v>
      </c>
      <c r="BG32" s="64">
        <f>IFERROR(__xludf.DUMMYFUNCTION("iferror(AVERAGE(query(filter('Saline Comp Data Recording'!AB:AB,'Saline Comp Data Recording'!C:C=B32), ""Select Col1"")),""0.00"")"),0.16666666666666666)</f>
        <v>0.1666666667</v>
      </c>
      <c r="BH32" s="65">
        <f>IFERROR(__xludf.DUMMYFUNCTION("iferror(MAX(query(filter('Saline Comp Data Recording'!AB:AB,'Saline Comp Data Recording'!C:C=B32), ""Select Col1"")),""-"")"),1.0)</f>
        <v>1</v>
      </c>
      <c r="BI32" s="62">
        <f>IFERROR(__xludf.DUMMYFUNCTION("iferror(SUM(query(filter('Saline Comp Data Recording'!AC:AC,'Saline Comp Data Recording'!C:C=B32), ""Select Col1"")),""-"")"),4.0)</f>
        <v>4</v>
      </c>
      <c r="BJ32" s="62">
        <f>IFERROR(__xludf.DUMMYFUNCTION("iferror(SUM(query(filter('Saline Comp Data Recording'!AD:AD,'Saline Comp Data Recording'!C:C=B32), ""Select Col1"")),""-"")"),4.0)</f>
        <v>4</v>
      </c>
      <c r="BK32" s="63">
        <f t="shared" si="12"/>
        <v>1</v>
      </c>
      <c r="BL32" s="64">
        <f>IFERROR(__xludf.DUMMYFUNCTION("iferror(AVERAGE(query(filter('Saline Comp Data Recording'!AD:AD,'Saline Comp Data Recording'!C:C=B32), ""Select Col1"")),""0.00"")"),0.6666666666666666)</f>
        <v>0.6666666667</v>
      </c>
      <c r="BM32" s="65">
        <f>IFERROR(__xludf.DUMMYFUNCTION("iferror(MAX(query(filter('Saline Comp Data Recording'!AD:AD,'Saline Comp Data Recording'!C:C=B32), ""Select Col1"")),""-"")"),2.0)</f>
        <v>2</v>
      </c>
      <c r="BN32" s="66" t="str">
        <f>IFERROR(__xludf.DUMMYFUNCTION("if(countif(query(filter('Saline Comp Data Recording'!AE:AE,'Saline Comp Data Recording'!C:C=B32), ""Select Col1""),""TRUE"")=0,""0"",countif(query(filter('Saline Comp Data Recording'!AE:AE,'Saline Comp Data Recording'!C:C=B32), ""Select Col1""),""TRUE""))"&amp;" &amp; ""/"" &amp; if(COUNTA(query(ifna(filter('Saline Comp Data Recording'!AE:AE,'Saline Comp Data Recording'!C:C=B32),""""), ""Select Col1""))=0,""0"",COUNTA(query(ifna(filter('Saline Comp Data Recording'!AE:AE,'Saline Comp Data Recording'!C:C=B32),""""), ""Sel"&amp;"ect Col1"")))"),"1/6")</f>
        <v>1/6</v>
      </c>
      <c r="BO32" s="67" t="str">
        <f>IFERROR(__xludf.DUMMYFUNCTION("if(countif(query(filter('Saline Comp Data Recording'!AF:AF,'Saline Comp Data Recording'!C:C=B32), ""Select Col1""),""TRUE"")=0,""0"",countif(query(filter('Saline Comp Data Recording'!AF:AF,'Saline Comp Data Recording'!C:C=B32), ""Select Col1""),""TRUE""))"&amp;" &amp; ""/"" &amp; if(COUNTA(query(ifna(filter('Saline Comp Data Recording'!AF:AF,'Saline Comp Data Recording'!C:C=B32),""""), ""Select Col1""))=0,""0"",COUNTA(query(ifna(filter('Saline Comp Data Recording'!AF:AF,'Saline Comp Data Recording'!C:C=B32),""""), ""Sel"&amp;"ect Col1"")))"),"2/6")</f>
        <v>2/6</v>
      </c>
      <c r="BP32" s="60" t="str">
        <f>IFERROR(__xludf.DUMMYFUNCTION("if(countif(query(filter('Saline Comp Data Recording'!AI:AI,'Saline Comp Data Recording'!C:C=B32), ""Select Col1""),""TRUE"")=0,""0"",countif(query(filter('Saline Comp Data Recording'!AI:AI,'Saline Comp Data Recording'!C:C=B32), ""Select Col1""),""TRUE""))"&amp;" &amp; ""/"" &amp; if(COUNTA(query(ifna(filter('Saline Comp Data Recording'!AI:AI,'Saline Comp Data Recording'!C:C=B32),""""), ""Select Col1""))=0,""0"",COUNTA(query(ifna(filter('Saline Comp Data Recording'!AI:AI,'Saline Comp Data Recording'!C:C=B32),""""), ""Sel"&amp;"ect Col1"")))"),"3/6")</f>
        <v>3/6</v>
      </c>
      <c r="BQ32" s="55">
        <f>IFERROR(__xludf.DUMMYFUNCTION("iferror(average(query(filter('Saline Comp Data Recording'!AG:AG,'Saline Comp Data Recording'!C:C=B32), ""Select Col1"")),""-"")"),1.1666666666666667)</f>
        <v>1.166666667</v>
      </c>
      <c r="BR32" s="69">
        <f>IFERROR(__xludf.DUMMYFUNCTION("iferror(average(query(filter('Saline Comp Data Recording'!AH:AH,'Saline Comp Data Recording'!C:C=B32), ""Select Col1"")),""-"")"),1.5)</f>
        <v>1.5</v>
      </c>
      <c r="BS32" s="70">
        <f>IFERROR(__xludf.DUMMYFUNCTION("iferror(AVERAGE(query(filter('Saline Comp Data Recording'!AK:AK,'Saline Comp Data Recording'!C:C=B32), ""Select Col1"")),""-"")"),8.833333333333334)</f>
        <v>8.833333333</v>
      </c>
      <c r="BT32" s="70">
        <f>IFERROR(__xludf.DUMMYFUNCTION("iferror(AVERAGE(query(filter('Saline Comp Data Recording'!AL:AL,'Saline Comp Data Recording'!C:C=B32), ""Select Col1"")),""-"")"),5.166666666666667)</f>
        <v>5.166666667</v>
      </c>
      <c r="BU32" s="71">
        <f>IFERROR(__xludf.DUMMYFUNCTION("iferror(max(query(filter('Saline Comp Data Recording'!AK:AK,'Saline Comp Data Recording'!C:C=B32), ""Select Col1"")),""-"")"),29.0)</f>
        <v>29</v>
      </c>
      <c r="BV32" s="72">
        <f>IFERROR(__xludf.DUMMYFUNCTION("iferror(MIN(query(filter('Saline Comp Data Recording'!AK:AK,'Saline Comp Data Recording'!C:C=B32), ""Select Col1"")),""-"")"),0.0)</f>
        <v>0</v>
      </c>
      <c r="BW32" s="73" t="str">
        <f>IFERROR(__xludf.DUMMYFUNCTION("iferror(if(DIVIDE(COUNTIF(query(filter('Saline Comp Data Recording'!P:P,'Saline Comp Data Recording'!C:C=B32), ""Select Col1""),TRUE),COUNTA(query(ifna(filter('Saline Comp Data Recording'!P:P,'Saline Comp Data Recording'!C:C=B32),""""), ""Select Col1"")))"&amp;"&gt;=(0.5),""1"",""0""),""-"")"),"0")</f>
        <v>0</v>
      </c>
      <c r="BX32" s="59" t="str">
        <f>IFERROR(__xludf.DUMMYFUNCTION("iferror(if(countif(query(filter('Saline Comp Data Recording'!Q:Q,'Saline Comp Data Recording'!C:C=B32), ""Select Col1""),TRUE)/COUNTA(query(ifna(filter('Saline Comp Data Recording'!Q:Q,'Saline Comp Data Recording'!C:C=B32),""""), ""Select Col1""))&gt;=(0.5),"&amp;"""1"",""0""),""-"")"),"0")</f>
        <v>0</v>
      </c>
      <c r="BY32" s="74" t="str">
        <f>IFERROR(__xludf.DUMMYFUNCTION("iferror(if(DIVIDE(COUNTIF(query(filter('Saline Comp Data Recording'!AE:AE,'Saline Comp Data Recording'!C:C=B32), ""Select Col1""),TRUE),COUNTA(query(ifna(filter('Saline Comp Data Recording'!AE:AE,'Saline Comp Data Recording'!C:C=B32),""""), ""Select Col1"&amp;""")))&gt;=(0.5),""1"",""0""),""-"")"),"0")</f>
        <v>0</v>
      </c>
      <c r="BZ32" s="59" t="str">
        <f>IFERROR(__xludf.DUMMYFUNCTION("iferror(if(countif(query(filter('Saline Comp Data Recording'!AF:AF,'Saline Comp Data Recording'!C:C=B32), ""Select Col1""),TRUE)/COUNTA(query(ifna(filter('Saline Comp Data Recording'!AF:AF,'Saline Comp Data Recording'!C:C=B32),""""), ""Select Col1""))&gt;=(0"&amp;".5),""1"",""0""),""-"")"),"0")</f>
        <v>0</v>
      </c>
      <c r="CA32" s="74" t="str">
        <f>IFERROR(__xludf.DUMMYFUNCTION("iferror(if(DIVIDE(countif(query(filter('Saline Comp Data Recording'!R:R,'Saline Comp Data Recording'!C:C=B32), ""Select Col1""),TRUE),COUNTA(query(ifna(filter('Saline Comp Data Recording'!R:R,'Saline Comp Data Recording'!C:C=B32),""""), ""Select Col1"")))"&amp;"&gt;=(0.5),""1"",""0""),""-"")"),"0")</f>
        <v>0</v>
      </c>
    </row>
    <row r="33">
      <c r="A33" s="51" t="s">
        <v>543</v>
      </c>
      <c r="B33" s="51">
        <v>6861.0</v>
      </c>
      <c r="C33" s="52" t="str">
        <f>IFERROR(__xludf.DUMMYFUNCTION("if(countif(query(filter('Saline Comp Data Recording'!R:R,'Saline Comp Data Recording'!C:C=B33), ""Select Col1""),""TRUE"")=0,""0"",countif(query(filter('Saline Comp Data Recording'!R:R,'Saline Comp Data Recording'!C:C=B33), ""Select Col1""),""TRUE"")) &amp; "&amp;"""/"" &amp; if(COUNTA(query(ifna(filter('Saline Comp Data Recording'!R:R,'Saline Comp Data Recording'!C:C=B33),""""), ""Select Col1""))=0,""0"",COUNTA(query(ifna(filter('Saline Comp Data Recording'!R:R,'Saline Comp Data Recording'!C:C=B33),""""), ""Select Col"&amp;"1"")))"),"3/5")</f>
        <v>3/5</v>
      </c>
      <c r="D33" s="53">
        <f>IFERROR(__xludf.DUMMYFUNCTION("iferror(SUM(query(filter('Saline Comp Data Recording'!D:D,'Saline Comp Data Recording'!C:C=B33), ""Select Col1"")),""-"")"),0.0)</f>
        <v>0</v>
      </c>
      <c r="E33" s="53">
        <f>IFERROR(__xludf.DUMMYFUNCTION("iferror(SUM(query(filter('Saline Comp Data Recording'!E:E,'Saline Comp Data Recording'!C:C=B33), ""Select Col1"")),""-"")"),0.0)</f>
        <v>0</v>
      </c>
      <c r="F33" s="54" t="str">
        <f t="shared" si="1"/>
        <v>-</v>
      </c>
      <c r="G33" s="55">
        <f>IFERROR(__xludf.DUMMYFUNCTION("iferror(AVERAGE(query(filter('Saline Comp Data Recording'!E:E,'Saline Comp Data Recording'!C:C=B33), ""Select Col1"")),""0.00"")"),0.0)</f>
        <v>0</v>
      </c>
      <c r="H33" s="53">
        <f>IFERROR(__xludf.DUMMYFUNCTION("iferror(MAX(query(filter('Saline Comp Data Recording'!E:E,'Saline Comp Data Recording'!C:C=B33), ""Select Col1"")),""-"")"),0.0)</f>
        <v>0</v>
      </c>
      <c r="I33" s="56">
        <f>IFERROR(__xludf.DUMMYFUNCTION("iferror(SUM(query(filter('Saline Comp Data Recording'!F:F,'Saline Comp Data Recording'!C:C=B33), ""Select Col1"")),""-"")"),0.0)</f>
        <v>0</v>
      </c>
      <c r="J33" s="57">
        <f>IFERROR(__xludf.DUMMYFUNCTION("iferror(SUM(query(filter('Saline Comp Data Recording'!G:G,'Saline Comp Data Recording'!C:C=B33), ""Select Col1"")),""-"")"),0.0)</f>
        <v>0</v>
      </c>
      <c r="K33" s="54" t="str">
        <f t="shared" si="2"/>
        <v>-</v>
      </c>
      <c r="L33" s="55">
        <f>IFERROR(__xludf.DUMMYFUNCTION("iferror(AVERAGE(query(filter('Saline Comp Data Recording'!G:G,'Saline Comp Data Recording'!C:C=B33), ""Select Col1"")),""0.00"")"),0.0)</f>
        <v>0</v>
      </c>
      <c r="M33" s="53">
        <f>IFERROR(__xludf.DUMMYFUNCTION("iferror(MAX(query(filter('Saline Comp Data Recording'!G:G,'Saline Comp Data Recording'!C:C=B33), ""Select Col1"")),""-"")"),0.0)</f>
        <v>0</v>
      </c>
      <c r="N33" s="58">
        <f>IFERROR(__xludf.DUMMYFUNCTION("iferror(SUM(query(filter('Saline Comp Data Recording'!H:H,'Saline Comp Data Recording'!C:C=B33), ""Select Col1"")),""-"")"),0.0)</f>
        <v>0</v>
      </c>
      <c r="O33" s="59">
        <f>IFERROR(__xludf.DUMMYFUNCTION("iferror(SUM(query(filter('Saline Comp Data Recording'!I:I,'Saline Comp Data Recording'!C:C=B33), ""Select Col1"")),""-"")"),0.0)</f>
        <v>0</v>
      </c>
      <c r="P33" s="54" t="str">
        <f t="shared" si="3"/>
        <v>-</v>
      </c>
      <c r="Q33" s="55">
        <f>IFERROR(__xludf.DUMMYFUNCTION("iferror(AVERAGE(query(filter('Saline Comp Data Recording'!I:I,'Saline Comp Data Recording'!C:C=B33), ""Select Col1"")),""0.00"")"),0.0)</f>
        <v>0</v>
      </c>
      <c r="R33" s="53">
        <f>IFERROR(__xludf.DUMMYFUNCTION("iferror(MAX(query(filter('Saline Comp Data Recording'!I:I,'Saline Comp Data Recording'!C:C=B33), ""Select Col1"")),""-"")"),0.0)</f>
        <v>0</v>
      </c>
      <c r="S33" s="58">
        <f>IFERROR(__xludf.DUMMYFUNCTION("iferror(SUM(query(filter('Saline Comp Data Recording'!J:J,'Saline Comp Data Recording'!C:C=B33), ""Select Col1"")),""-"")"),3.0)</f>
        <v>3</v>
      </c>
      <c r="T33" s="59">
        <f>IFERROR(__xludf.DUMMYFUNCTION("iferror(SUM(query(filter('Saline Comp Data Recording'!K:K,'Saline Comp Data Recording'!C:C=B33), ""Select Col1"")),""-"")"),0.0)</f>
        <v>0</v>
      </c>
      <c r="U33" s="54">
        <f t="shared" si="4"/>
        <v>0</v>
      </c>
      <c r="V33" s="55">
        <f>IFERROR(__xludf.DUMMYFUNCTION("iferror(AVERAGE(query(filter('Saline Comp Data Recording'!K:K,'Saline Comp Data Recording'!C:C=B33), ""Select Col1"")),""-"")"),0.0)</f>
        <v>0</v>
      </c>
      <c r="W33" s="52">
        <f>IFERROR(__xludf.DUMMYFUNCTION("iferror(MAX(query(filter('Saline Comp Data Recording'!K:K,'Saline Comp Data Recording'!C:C=B33), ""Select Col1"")),""-"")"),0.0)</f>
        <v>0</v>
      </c>
      <c r="X33" s="59">
        <f>IFERROR(__xludf.DUMMYFUNCTION("iferror(SUM(query(filter('Saline Comp Data Recording'!L:L,'Saline Comp Data Recording'!C:C=B33), ""Select Col1"")),""-"")"),1.0)</f>
        <v>1</v>
      </c>
      <c r="Y33" s="59">
        <f>IFERROR(__xludf.DUMMYFUNCTION("iferror(SUM(query(filter('Saline Comp Data Recording'!M:M,'Saline Comp Data Recording'!C:C=B33), ""Select Col1"")),""-"")"),0.0)</f>
        <v>0</v>
      </c>
      <c r="Z33" s="54">
        <f t="shared" si="5"/>
        <v>0</v>
      </c>
      <c r="AA33" s="55">
        <f>IFERROR(__xludf.DUMMYFUNCTION("iferror(AVERAGE(query(filter('Saline Comp Data Recording'!M:M,'Saline Comp Data Recording'!C:C=B33), ""Select Col1"")),""0.00"")"),0.0)</f>
        <v>0</v>
      </c>
      <c r="AB33" s="52">
        <f>IFERROR(__xludf.DUMMYFUNCTION("iferror(MAX(query(filter('Saline Comp Data Recording'!M:M,'Saline Comp Data Recording'!C:C=B33), ""Select Col1"")),""-"")"),0.0)</f>
        <v>0</v>
      </c>
      <c r="AC33" s="59">
        <f>IFERROR(__xludf.DUMMYFUNCTION("iferror(SUM(query(filter('Saline Comp Data Recording'!N:N,'Saline Comp Data Recording'!C:C=B33), ""Select Col1"")),""-"")"),0.0)</f>
        <v>0</v>
      </c>
      <c r="AD33" s="59">
        <f>IFERROR(__xludf.DUMMYFUNCTION("iferror(SUM(query(filter('Saline Comp Data Recording'!O:O,'Saline Comp Data Recording'!C:C=B33), ""Select Col1"")),""-"")"),0.0)</f>
        <v>0</v>
      </c>
      <c r="AE33" s="54" t="str">
        <f t="shared" si="6"/>
        <v>-</v>
      </c>
      <c r="AF33" s="55">
        <f>IFERROR(__xludf.DUMMYFUNCTION("iferror(AVERAGE(query(filter('Saline Comp Data Recording'!O:O,'Saline Comp Data Recording'!C:C=B33), ""Select Col1"")),""0.00"")"),0.0)</f>
        <v>0</v>
      </c>
      <c r="AG33" s="59">
        <f>IFERROR(__xludf.DUMMYFUNCTION("iferror(MAX(query(filter('Saline Comp Data Recording'!O:O,'Saline Comp Data Recording'!C:C=B33), ""Select Col1"")),""-"")"),0.0)</f>
        <v>0</v>
      </c>
      <c r="AH33" s="58" t="str">
        <f>IFERROR(__xludf.DUMMYFUNCTION("if(countif(query(filter('Saline Comp Data Recording'!P:P,'Saline Comp Data Recording'!C:C=B33), ""Select Col1""),TRUE)=0,""0"",countif(query(filter('Saline Comp Data Recording'!P:P,'Saline Comp Data Recording'!C:C=B33), ""Select Col1""),TRUE)) &amp; ""/"" &amp; i"&amp;"f(COUNTA(query(ifna(filter('Saline Comp Data Recording'!P:P,'Saline Comp Data Recording'!C:C=B33),""""), ""Select Col1""))=0,""0"",COUNTA(query(ifna(filter('Saline Comp Data Recording'!P:P,'Saline Comp Data Recording'!C:C=B33),""""), ""Select Col1"")))"),"0/5")</f>
        <v>0/5</v>
      </c>
      <c r="AI33" s="60" t="str">
        <f>IFERROR(__xludf.DUMMYFUNCTION("if(countif(query(filter('Saline Comp Data Recording'!Q:Q,'Saline Comp Data Recording'!C:C=B33), ""Select Col1""),TRUE)=0,""0"",countif(query(filter('Saline Comp Data Recording'!Q:Q,'Saline Comp Data Recording'!C:C=B33), ""Select Col1""),TRUE)) &amp; ""/"" &amp; i"&amp;"f(COUNTA(query(ifna(filter('Saline Comp Data Recording'!Q:Q,'Saline Comp Data Recording'!C:C=B33),""""), ""Select Col1""))=0,""0"",COUNTA(query(ifna(filter('Saline Comp Data Recording'!Q:Q,'Saline Comp Data Recording'!C:C=B33),""""), ""Select Col1"")))"),"1/5")</f>
        <v>1/5</v>
      </c>
      <c r="AJ33" s="59">
        <f>IFERROR(__xludf.DUMMYFUNCTION("iferror(SUM(query(filter('Saline Comp Data Recording'!S:S,'Saline Comp Data Recording'!C:C=B33), ""Select Col1"")),""-"")"),0.0)</f>
        <v>0</v>
      </c>
      <c r="AK33" s="59">
        <f>IFERROR(__xludf.DUMMYFUNCTION("iferror(SUM(query(filter('Saline Comp Data Recording'!T:T,'Saline Comp Data Recording'!C:C=B33), ""Select Col1"")),""-"")"),0.0)</f>
        <v>0</v>
      </c>
      <c r="AL33" s="54" t="str">
        <f t="shared" si="7"/>
        <v>-</v>
      </c>
      <c r="AM33" s="55">
        <f>IFERROR(__xludf.DUMMYFUNCTION("iferror(AVERAGE(query(filter('Saline Comp Data Recording'!T:T,'Saline Comp Data Recording'!C:C=B33), ""Select Col1"")),""0.00"")"),0.0)</f>
        <v>0</v>
      </c>
      <c r="AN33" s="61">
        <f>IFERROR(__xludf.DUMMYFUNCTION("iferror(MAX(query(filter('Saline Comp Data Recording'!T:T,'Saline Comp Data Recording'!C:C=B33), ""Select Col1"")),""-"")"),0.0)</f>
        <v>0</v>
      </c>
      <c r="AO33" s="62">
        <f>IFERROR(__xludf.DUMMYFUNCTION("iferror(SUM(query(filter('Saline Comp Data Recording'!U:U,'Saline Comp Data Recording'!C:C=B33), ""Select Col1"")),""-"")"),0.0)</f>
        <v>0</v>
      </c>
      <c r="AP33" s="62">
        <f>IFERROR(__xludf.DUMMYFUNCTION("iferror(SUM(query(filter('Saline Comp Data Recording'!V:V,'Saline Comp Data Recording'!C:C=B33), ""Select Col1"")),""-"")"),0.0)</f>
        <v>0</v>
      </c>
      <c r="AQ33" s="63" t="str">
        <f t="shared" si="8"/>
        <v>-</v>
      </c>
      <c r="AR33" s="64">
        <f>IFERROR(__xludf.DUMMYFUNCTION("iferror(AVERAGE(query(filter('Saline Comp Data Recording'!V:V,'Saline Comp Data Recording'!C:C=B33), ""Select Col1"")),""0.00"")"),0.0)</f>
        <v>0</v>
      </c>
      <c r="AS33" s="65">
        <f>IFERROR(__xludf.DUMMYFUNCTION("iferror(MAX(query(filter('Saline Comp Data Recording'!V:V,'Saline Comp Data Recording'!C:C=B33), ""Select Col1"")),""-"")"),0.0)</f>
        <v>0</v>
      </c>
      <c r="AT33" s="62">
        <f>IFERROR(__xludf.DUMMYFUNCTION("iferror(SUM(query(filter('Saline Comp Data Recording'!W:W,'Saline Comp Data Recording'!C:C=B33), ""Select Col1"")),""-"")"),0.0)</f>
        <v>0</v>
      </c>
      <c r="AU33" s="62">
        <f>IFERROR(__xludf.DUMMYFUNCTION("iferror(SUM(query(filter('Saline Comp Data Recording'!X:X,'Saline Comp Data Recording'!C:C=B33), ""Select Col1"")),""-"")"),0.0)</f>
        <v>0</v>
      </c>
      <c r="AV33" s="63" t="str">
        <f t="shared" si="9"/>
        <v>-</v>
      </c>
      <c r="AW33" s="64">
        <f>IFERROR(__xludf.DUMMYFUNCTION("iferror(AVERAGE(query(filter('Saline Comp Data Recording'!X:X,'Saline Comp Data Recording'!C:C=B33), ""Select Col1"")),""0.00"")"),0.0)</f>
        <v>0</v>
      </c>
      <c r="AX33" s="65">
        <f>IFERROR(__xludf.DUMMYFUNCTION("iferror(MAX(query(filter('Saline Comp Data Recording'!X:X,'Saline Comp Data Recording'!C:C=B33), ""Select Col1"")),""-"")"),0.0)</f>
        <v>0</v>
      </c>
      <c r="AY33" s="62">
        <f>IFERROR(__xludf.DUMMYFUNCTION("iferror(SUM(query(filter('Saline Comp Data Recording'!Y:Y,'Saline Comp Data Recording'!C:C=B33), ""Select Col1"")),""-"")"),6.0)</f>
        <v>6</v>
      </c>
      <c r="AZ33" s="62">
        <f>IFERROR(__xludf.DUMMYFUNCTION("iferror(SUM(query(filter('Saline Comp Data Recording'!Z:Z,'Saline Comp Data Recording'!C:C=B33), ""Select Col1"")),""-"")"),3.0)</f>
        <v>3</v>
      </c>
      <c r="BA33" s="63">
        <f t="shared" si="10"/>
        <v>0.5</v>
      </c>
      <c r="BB33" s="64">
        <f>IFERROR(__xludf.DUMMYFUNCTION("iferror(AVERAGE(query(filter('Saline Comp Data Recording'!Z:Z,'Saline Comp Data Recording'!C:C=B33), ""Select Col1"")),""0.00"")"),0.6)</f>
        <v>0.6</v>
      </c>
      <c r="BC33" s="65">
        <f>IFERROR(__xludf.DUMMYFUNCTION("iferror(MAX(query(filter('Saline Comp Data Recording'!Z:Z,'Saline Comp Data Recording'!C:C=B33), ""Select Col1"")),""-"")"),1.0)</f>
        <v>1</v>
      </c>
      <c r="BD33" s="62">
        <f>IFERROR(__xludf.DUMMYFUNCTION("iferror(SUM(query(filter('Saline Comp Data Recording'!AA:AA,'Saline Comp Data Recording'!C:C=B33), ""Select Col1"")),""-"")"),4.0)</f>
        <v>4</v>
      </c>
      <c r="BE33" s="62">
        <f>IFERROR(__xludf.DUMMYFUNCTION("iferror(SUM(query(filter('Saline Comp Data Recording'!AB:AB,'Saline Comp Data Recording'!C:C=B33), ""Select Col1"")),""-"")"),2.0)</f>
        <v>2</v>
      </c>
      <c r="BF33" s="63">
        <f t="shared" si="11"/>
        <v>0.5</v>
      </c>
      <c r="BG33" s="64">
        <f>IFERROR(__xludf.DUMMYFUNCTION("iferror(AVERAGE(query(filter('Saline Comp Data Recording'!AB:AB,'Saline Comp Data Recording'!C:C=B33), ""Select Col1"")),""0.00"")"),0.4)</f>
        <v>0.4</v>
      </c>
      <c r="BH33" s="65">
        <f>IFERROR(__xludf.DUMMYFUNCTION("iferror(MAX(query(filter('Saline Comp Data Recording'!AB:AB,'Saline Comp Data Recording'!C:C=B33), ""Select Col1"")),""-"")"),2.0)</f>
        <v>2</v>
      </c>
      <c r="BI33" s="62">
        <f>IFERROR(__xludf.DUMMYFUNCTION("iferror(SUM(query(filter('Saline Comp Data Recording'!AC:AC,'Saline Comp Data Recording'!C:C=B33), ""Select Col1"")),""-"")"),19.0)</f>
        <v>19</v>
      </c>
      <c r="BJ33" s="62">
        <f>IFERROR(__xludf.DUMMYFUNCTION("iferror(SUM(query(filter('Saline Comp Data Recording'!AD:AD,'Saline Comp Data Recording'!C:C=B33), ""Select Col1"")),""-"")"),18.0)</f>
        <v>18</v>
      </c>
      <c r="BK33" s="63">
        <f t="shared" si="12"/>
        <v>0.9473684211</v>
      </c>
      <c r="BL33" s="64">
        <f>IFERROR(__xludf.DUMMYFUNCTION("iferror(AVERAGE(query(filter('Saline Comp Data Recording'!AD:AD,'Saline Comp Data Recording'!C:C=B33), ""Select Col1"")),""0.00"")"),3.6)</f>
        <v>3.6</v>
      </c>
      <c r="BM33" s="65">
        <f>IFERROR(__xludf.DUMMYFUNCTION("iferror(MAX(query(filter('Saline Comp Data Recording'!AD:AD,'Saline Comp Data Recording'!C:C=B33), ""Select Col1"")),""-"")"),7.0)</f>
        <v>7</v>
      </c>
      <c r="BN33" s="66" t="str">
        <f>IFERROR(__xludf.DUMMYFUNCTION("if(countif(query(filter('Saline Comp Data Recording'!AE:AE,'Saline Comp Data Recording'!C:C=B33), ""Select Col1""),""TRUE"")=0,""0"",countif(query(filter('Saline Comp Data Recording'!AE:AE,'Saline Comp Data Recording'!C:C=B33), ""Select Col1""),""TRUE""))"&amp;" &amp; ""/"" &amp; if(COUNTA(query(ifna(filter('Saline Comp Data Recording'!AE:AE,'Saline Comp Data Recording'!C:C=B33),""""), ""Select Col1""))=0,""0"",COUNTA(query(ifna(filter('Saline Comp Data Recording'!AE:AE,'Saline Comp Data Recording'!C:C=B33),""""), ""Sel"&amp;"ect Col1"")))"),"0/5")</f>
        <v>0/5</v>
      </c>
      <c r="BO33" s="67" t="str">
        <f>IFERROR(__xludf.DUMMYFUNCTION("if(countif(query(filter('Saline Comp Data Recording'!AF:AF,'Saline Comp Data Recording'!C:C=B33), ""Select Col1""),""TRUE"")=0,""0"",countif(query(filter('Saline Comp Data Recording'!AF:AF,'Saline Comp Data Recording'!C:C=B33), ""Select Col1""),""TRUE""))"&amp;" &amp; ""/"" &amp; if(COUNTA(query(ifna(filter('Saline Comp Data Recording'!AF:AF,'Saline Comp Data Recording'!C:C=B33),""""), ""Select Col1""))=0,""0"",COUNTA(query(ifna(filter('Saline Comp Data Recording'!AF:AF,'Saline Comp Data Recording'!C:C=B33),""""), ""Sel"&amp;"ect Col1"")))"),"1/5")</f>
        <v>1/5</v>
      </c>
      <c r="BP33" s="60" t="str">
        <f>IFERROR(__xludf.DUMMYFUNCTION("if(countif(query(filter('Saline Comp Data Recording'!AI:AI,'Saline Comp Data Recording'!C:C=B33), ""Select Col1""),""TRUE"")=0,""0"",countif(query(filter('Saline Comp Data Recording'!AI:AI,'Saline Comp Data Recording'!C:C=B33), ""Select Col1""),""TRUE""))"&amp;" &amp; ""/"" &amp; if(COUNTA(query(ifna(filter('Saline Comp Data Recording'!AI:AI,'Saline Comp Data Recording'!C:C=B33),""""), ""Select Col1""))=0,""0"",COUNTA(query(ifna(filter('Saline Comp Data Recording'!AI:AI,'Saline Comp Data Recording'!C:C=B33),""""), ""Sel"&amp;"ect Col1"")))"),"0/5")</f>
        <v>0/5</v>
      </c>
      <c r="BQ33" s="55">
        <f>IFERROR(__xludf.DUMMYFUNCTION("iferror(average(query(filter('Saline Comp Data Recording'!AG:AG,'Saline Comp Data Recording'!C:C=B33), ""Select Col1"")),""-"")"),1.8)</f>
        <v>1.8</v>
      </c>
      <c r="BR33" s="69">
        <f>IFERROR(__xludf.DUMMYFUNCTION("iferror(average(query(filter('Saline Comp Data Recording'!AH:AH,'Saline Comp Data Recording'!C:C=B33), ""Select Col1"")),""-"")"),1.2)</f>
        <v>1.2</v>
      </c>
      <c r="BS33" s="70">
        <f>IFERROR(__xludf.DUMMYFUNCTION("iferror(AVERAGE(query(filter('Saline Comp Data Recording'!AK:AK,'Saline Comp Data Recording'!C:C=B33), ""Select Col1"")),""-"")"),13.2)</f>
        <v>13.2</v>
      </c>
      <c r="BT33" s="70">
        <f>IFERROR(__xludf.DUMMYFUNCTION("iferror(AVERAGE(query(filter('Saline Comp Data Recording'!AL:AL,'Saline Comp Data Recording'!C:C=B33), ""Select Col1"")),""-"")"),13.2)</f>
        <v>13.2</v>
      </c>
      <c r="BU33" s="71">
        <f>IFERROR(__xludf.DUMMYFUNCTION("iferror(max(query(filter('Saline Comp Data Recording'!AK:AK,'Saline Comp Data Recording'!C:C=B33), ""Select Col1"")),""-"")"),17.0)</f>
        <v>17</v>
      </c>
      <c r="BV33" s="72">
        <f>IFERROR(__xludf.DUMMYFUNCTION("iferror(MIN(query(filter('Saline Comp Data Recording'!AK:AK,'Saline Comp Data Recording'!C:C=B33), ""Select Col1"")),""-"")"),10.0)</f>
        <v>10</v>
      </c>
      <c r="BW33" s="73" t="str">
        <f>IFERROR(__xludf.DUMMYFUNCTION("iferror(if(DIVIDE(COUNTIF(query(filter('Saline Comp Data Recording'!P:P,'Saline Comp Data Recording'!C:C=B33), ""Select Col1""),TRUE),COUNTA(query(ifna(filter('Saline Comp Data Recording'!P:P,'Saline Comp Data Recording'!C:C=B33),""""), ""Select Col1"")))"&amp;"&gt;=(0.5),""1"",""0""),""-"")"),"0")</f>
        <v>0</v>
      </c>
      <c r="BX33" s="59" t="str">
        <f>IFERROR(__xludf.DUMMYFUNCTION("iferror(if(countif(query(filter('Saline Comp Data Recording'!Q:Q,'Saline Comp Data Recording'!C:C=B33), ""Select Col1""),TRUE)/COUNTA(query(ifna(filter('Saline Comp Data Recording'!Q:Q,'Saline Comp Data Recording'!C:C=B33),""""), ""Select Col1""))&gt;=(0.5),"&amp;"""1"",""0""),""-"")"),"0")</f>
        <v>0</v>
      </c>
      <c r="BY33" s="74" t="str">
        <f>IFERROR(__xludf.DUMMYFUNCTION("iferror(if(DIVIDE(COUNTIF(query(filter('Saline Comp Data Recording'!AE:AE,'Saline Comp Data Recording'!C:C=B33), ""Select Col1""),TRUE),COUNTA(query(ifna(filter('Saline Comp Data Recording'!AE:AE,'Saline Comp Data Recording'!C:C=B33),""""), ""Select Col1"&amp;""")))&gt;=(0.5),""1"",""0""),""-"")"),"0")</f>
        <v>0</v>
      </c>
      <c r="BZ33" s="59" t="str">
        <f>IFERROR(__xludf.DUMMYFUNCTION("iferror(if(countif(query(filter('Saline Comp Data Recording'!AF:AF,'Saline Comp Data Recording'!C:C=B33), ""Select Col1""),TRUE)/COUNTA(query(ifna(filter('Saline Comp Data Recording'!AF:AF,'Saline Comp Data Recording'!C:C=B33),""""), ""Select Col1""))&gt;=(0"&amp;".5),""1"",""0""),""-"")"),"0")</f>
        <v>0</v>
      </c>
      <c r="CA33" s="74" t="str">
        <f>IFERROR(__xludf.DUMMYFUNCTION("iferror(if(DIVIDE(countif(query(filter('Saline Comp Data Recording'!R:R,'Saline Comp Data Recording'!C:C=B33), ""Select Col1""),TRUE),COUNTA(query(ifna(filter('Saline Comp Data Recording'!R:R,'Saline Comp Data Recording'!C:C=B33),""""), ""Select Col1"")))"&amp;"&gt;=(0.5),""1"",""0""),""-"")"),"1")</f>
        <v>1</v>
      </c>
    </row>
    <row r="34">
      <c r="A34" s="51" t="s">
        <v>544</v>
      </c>
      <c r="B34" s="51">
        <v>503.0</v>
      </c>
      <c r="C34" s="52" t="str">
        <f>IFERROR(__xludf.DUMMYFUNCTION("if(countif(query(filter('Saline Comp Data Recording'!R:R,'Saline Comp Data Recording'!C:C=B34), ""Select Col1""),""TRUE"")=0,""0"",countif(query(filter('Saline Comp Data Recording'!R:R,'Saline Comp Data Recording'!C:C=B34), ""Select Col1""),""TRUE"")) &amp; "&amp;"""/"" &amp; if(COUNTA(query(ifna(filter('Saline Comp Data Recording'!R:R,'Saline Comp Data Recording'!C:C=B34),""""), ""Select Col1""))=0,""0"",COUNTA(query(ifna(filter('Saline Comp Data Recording'!R:R,'Saline Comp Data Recording'!C:C=B34),""""), ""Select Col"&amp;"1"")))"),"1/5")</f>
        <v>1/5</v>
      </c>
      <c r="D34" s="53">
        <f>IFERROR(__xludf.DUMMYFUNCTION("iferror(SUM(query(filter('Saline Comp Data Recording'!D:D,'Saline Comp Data Recording'!C:C=B34), ""Select Col1"")),""-"")"),1.0)</f>
        <v>1</v>
      </c>
      <c r="E34" s="53">
        <f>IFERROR(__xludf.DUMMYFUNCTION("iferror(SUM(query(filter('Saline Comp Data Recording'!E:E,'Saline Comp Data Recording'!C:C=B34), ""Select Col1"")),""-"")"),0.0)</f>
        <v>0</v>
      </c>
      <c r="F34" s="54">
        <f t="shared" si="1"/>
        <v>0</v>
      </c>
      <c r="G34" s="55">
        <f>IFERROR(__xludf.DUMMYFUNCTION("iferror(AVERAGE(query(filter('Saline Comp Data Recording'!E:E,'Saline Comp Data Recording'!C:C=B34), ""Select Col1"")),""0.00"")"),0.0)</f>
        <v>0</v>
      </c>
      <c r="H34" s="53">
        <f>IFERROR(__xludf.DUMMYFUNCTION("iferror(MAX(query(filter('Saline Comp Data Recording'!E:E,'Saline Comp Data Recording'!C:C=B34), ""Select Col1"")),""-"")"),0.0)</f>
        <v>0</v>
      </c>
      <c r="I34" s="56">
        <f>IFERROR(__xludf.DUMMYFUNCTION("iferror(SUM(query(filter('Saline Comp Data Recording'!F:F,'Saline Comp Data Recording'!C:C=B34), ""Select Col1"")),""-"")"),0.0)</f>
        <v>0</v>
      </c>
      <c r="J34" s="57">
        <f>IFERROR(__xludf.DUMMYFUNCTION("iferror(SUM(query(filter('Saline Comp Data Recording'!G:G,'Saline Comp Data Recording'!C:C=B34), ""Select Col1"")),""-"")"),0.0)</f>
        <v>0</v>
      </c>
      <c r="K34" s="54" t="str">
        <f t="shared" si="2"/>
        <v>-</v>
      </c>
      <c r="L34" s="55">
        <f>IFERROR(__xludf.DUMMYFUNCTION("iferror(AVERAGE(query(filter('Saline Comp Data Recording'!G:G,'Saline Comp Data Recording'!C:C=B34), ""Select Col1"")),""0.00"")"),0.0)</f>
        <v>0</v>
      </c>
      <c r="M34" s="53">
        <f>IFERROR(__xludf.DUMMYFUNCTION("iferror(MAX(query(filter('Saline Comp Data Recording'!G:G,'Saline Comp Data Recording'!C:C=B34), ""Select Col1"")),""-"")"),0.0)</f>
        <v>0</v>
      </c>
      <c r="N34" s="58">
        <f>IFERROR(__xludf.DUMMYFUNCTION("iferror(SUM(query(filter('Saline Comp Data Recording'!H:H,'Saline Comp Data Recording'!C:C=B34), ""Select Col1"")),""-"")"),0.0)</f>
        <v>0</v>
      </c>
      <c r="O34" s="59">
        <f>IFERROR(__xludf.DUMMYFUNCTION("iferror(SUM(query(filter('Saline Comp Data Recording'!I:I,'Saline Comp Data Recording'!C:C=B34), ""Select Col1"")),""-"")"),0.0)</f>
        <v>0</v>
      </c>
      <c r="P34" s="54" t="str">
        <f t="shared" si="3"/>
        <v>-</v>
      </c>
      <c r="Q34" s="55">
        <f>IFERROR(__xludf.DUMMYFUNCTION("iferror(AVERAGE(query(filter('Saline Comp Data Recording'!I:I,'Saline Comp Data Recording'!C:C=B34), ""Select Col1"")),""0.00"")"),0.0)</f>
        <v>0</v>
      </c>
      <c r="R34" s="53">
        <f>IFERROR(__xludf.DUMMYFUNCTION("iferror(MAX(query(filter('Saline Comp Data Recording'!I:I,'Saline Comp Data Recording'!C:C=B34), ""Select Col1"")),""-"")"),0.0)</f>
        <v>0</v>
      </c>
      <c r="S34" s="58">
        <f>IFERROR(__xludf.DUMMYFUNCTION("iferror(SUM(query(filter('Saline Comp Data Recording'!J:J,'Saline Comp Data Recording'!C:C=B34), ""Select Col1"")),""-"")"),2.0)</f>
        <v>2</v>
      </c>
      <c r="T34" s="59">
        <f>IFERROR(__xludf.DUMMYFUNCTION("iferror(SUM(query(filter('Saline Comp Data Recording'!K:K,'Saline Comp Data Recording'!C:C=B34), ""Select Col1"")),""-"")"),2.0)</f>
        <v>2</v>
      </c>
      <c r="U34" s="54">
        <f t="shared" si="4"/>
        <v>1</v>
      </c>
      <c r="V34" s="55">
        <f>IFERROR(__xludf.DUMMYFUNCTION("iferror(AVERAGE(query(filter('Saline Comp Data Recording'!K:K,'Saline Comp Data Recording'!C:C=B34), ""Select Col1"")),""-"")"),0.4)</f>
        <v>0.4</v>
      </c>
      <c r="W34" s="52">
        <f>IFERROR(__xludf.DUMMYFUNCTION("iferror(MAX(query(filter('Saline Comp Data Recording'!K:K,'Saline Comp Data Recording'!C:C=B34), ""Select Col1"")),""-"")"),1.0)</f>
        <v>1</v>
      </c>
      <c r="X34" s="59">
        <f>IFERROR(__xludf.DUMMYFUNCTION("iferror(SUM(query(filter('Saline Comp Data Recording'!L:L,'Saline Comp Data Recording'!C:C=B34), ""Select Col1"")),""-"")"),1.0)</f>
        <v>1</v>
      </c>
      <c r="Y34" s="59">
        <f>IFERROR(__xludf.DUMMYFUNCTION("iferror(SUM(query(filter('Saline Comp Data Recording'!M:M,'Saline Comp Data Recording'!C:C=B34), ""Select Col1"")),""-"")"),1.0)</f>
        <v>1</v>
      </c>
      <c r="Z34" s="54">
        <f t="shared" si="5"/>
        <v>1</v>
      </c>
      <c r="AA34" s="55">
        <f>IFERROR(__xludf.DUMMYFUNCTION("iferror(AVERAGE(query(filter('Saline Comp Data Recording'!M:M,'Saline Comp Data Recording'!C:C=B34), ""Select Col1"")),""0.00"")"),0.2)</f>
        <v>0.2</v>
      </c>
      <c r="AB34" s="52">
        <f>IFERROR(__xludf.DUMMYFUNCTION("iferror(MAX(query(filter('Saline Comp Data Recording'!M:M,'Saline Comp Data Recording'!C:C=B34), ""Select Col1"")),""-"")"),1.0)</f>
        <v>1</v>
      </c>
      <c r="AC34" s="59">
        <f>IFERROR(__xludf.DUMMYFUNCTION("iferror(SUM(query(filter('Saline Comp Data Recording'!N:N,'Saline Comp Data Recording'!C:C=B34), ""Select Col1"")),""-"")"),1.0)</f>
        <v>1</v>
      </c>
      <c r="AD34" s="59">
        <f>IFERROR(__xludf.DUMMYFUNCTION("iferror(SUM(query(filter('Saline Comp Data Recording'!O:O,'Saline Comp Data Recording'!C:C=B34), ""Select Col1"")),""-"")"),1.0)</f>
        <v>1</v>
      </c>
      <c r="AE34" s="54">
        <f t="shared" si="6"/>
        <v>1</v>
      </c>
      <c r="AF34" s="55">
        <f>IFERROR(__xludf.DUMMYFUNCTION("iferror(AVERAGE(query(filter('Saline Comp Data Recording'!O:O,'Saline Comp Data Recording'!C:C=B34), ""Select Col1"")),""0.00"")"),0.2)</f>
        <v>0.2</v>
      </c>
      <c r="AG34" s="59">
        <f>IFERROR(__xludf.DUMMYFUNCTION("iferror(MAX(query(filter('Saline Comp Data Recording'!O:O,'Saline Comp Data Recording'!C:C=B34), ""Select Col1"")),""-"")"),1.0)</f>
        <v>1</v>
      </c>
      <c r="AH34" s="58" t="str">
        <f>IFERROR(__xludf.DUMMYFUNCTION("if(countif(query(filter('Saline Comp Data Recording'!P:P,'Saline Comp Data Recording'!C:C=B34), ""Select Col1""),TRUE)=0,""0"",countif(query(filter('Saline Comp Data Recording'!P:P,'Saline Comp Data Recording'!C:C=B34), ""Select Col1""),TRUE)) &amp; ""/"" &amp; i"&amp;"f(COUNTA(query(ifna(filter('Saline Comp Data Recording'!P:P,'Saline Comp Data Recording'!C:C=B34),""""), ""Select Col1""))=0,""0"",COUNTA(query(ifna(filter('Saline Comp Data Recording'!P:P,'Saline Comp Data Recording'!C:C=B34),""""), ""Select Col1"")))"),"1/5")</f>
        <v>1/5</v>
      </c>
      <c r="AI34" s="60" t="str">
        <f>IFERROR(__xludf.DUMMYFUNCTION("if(countif(query(filter('Saline Comp Data Recording'!Q:Q,'Saline Comp Data Recording'!C:C=B34), ""Select Col1""),TRUE)=0,""0"",countif(query(filter('Saline Comp Data Recording'!Q:Q,'Saline Comp Data Recording'!C:C=B34), ""Select Col1""),TRUE)) &amp; ""/"" &amp; i"&amp;"f(COUNTA(query(ifna(filter('Saline Comp Data Recording'!Q:Q,'Saline Comp Data Recording'!C:C=B34),""""), ""Select Col1""))=0,""0"",COUNTA(query(ifna(filter('Saline Comp Data Recording'!Q:Q,'Saline Comp Data Recording'!C:C=B34),""""), ""Select Col1"")))"),"0/5")</f>
        <v>0/5</v>
      </c>
      <c r="AJ34" s="59">
        <f>IFERROR(__xludf.DUMMYFUNCTION("iferror(SUM(query(filter('Saline Comp Data Recording'!S:S,'Saline Comp Data Recording'!C:C=B34), ""Select Col1"")),""-"")"),3.0)</f>
        <v>3</v>
      </c>
      <c r="AK34" s="59">
        <f>IFERROR(__xludf.DUMMYFUNCTION("iferror(SUM(query(filter('Saline Comp Data Recording'!T:T,'Saline Comp Data Recording'!C:C=B34), ""Select Col1"")),""-"")"),3.0)</f>
        <v>3</v>
      </c>
      <c r="AL34" s="54">
        <f t="shared" si="7"/>
        <v>1</v>
      </c>
      <c r="AM34" s="55">
        <f>IFERROR(__xludf.DUMMYFUNCTION("iferror(AVERAGE(query(filter('Saline Comp Data Recording'!T:T,'Saline Comp Data Recording'!C:C=B34), ""Select Col1"")),""0.00"")"),0.6)</f>
        <v>0.6</v>
      </c>
      <c r="AN34" s="61">
        <f>IFERROR(__xludf.DUMMYFUNCTION("iferror(MAX(query(filter('Saline Comp Data Recording'!T:T,'Saline Comp Data Recording'!C:C=B34), ""Select Col1"")),""-"")"),2.0)</f>
        <v>2</v>
      </c>
      <c r="AO34" s="62">
        <f>IFERROR(__xludf.DUMMYFUNCTION("iferror(SUM(query(filter('Saline Comp Data Recording'!U:U,'Saline Comp Data Recording'!C:C=B34), ""Select Col1"")),""-"")"),0.0)</f>
        <v>0</v>
      </c>
      <c r="AP34" s="62">
        <f>IFERROR(__xludf.DUMMYFUNCTION("iferror(SUM(query(filter('Saline Comp Data Recording'!V:V,'Saline Comp Data Recording'!C:C=B34), ""Select Col1"")),""-"")"),0.0)</f>
        <v>0</v>
      </c>
      <c r="AQ34" s="63" t="str">
        <f t="shared" si="8"/>
        <v>-</v>
      </c>
      <c r="AR34" s="64">
        <f>IFERROR(__xludf.DUMMYFUNCTION("iferror(AVERAGE(query(filter('Saline Comp Data Recording'!V:V,'Saline Comp Data Recording'!C:C=B34), ""Select Col1"")),""0.00"")"),0.0)</f>
        <v>0</v>
      </c>
      <c r="AS34" s="65">
        <f>IFERROR(__xludf.DUMMYFUNCTION("iferror(MAX(query(filter('Saline Comp Data Recording'!V:V,'Saline Comp Data Recording'!C:C=B34), ""Select Col1"")),""-"")"),0.0)</f>
        <v>0</v>
      </c>
      <c r="AT34" s="62">
        <f>IFERROR(__xludf.DUMMYFUNCTION("iferror(SUM(query(filter('Saline Comp Data Recording'!W:W,'Saline Comp Data Recording'!C:C=B34), ""Select Col1"")),""-"")"),2.0)</f>
        <v>2</v>
      </c>
      <c r="AU34" s="62">
        <f>IFERROR(__xludf.DUMMYFUNCTION("iferror(SUM(query(filter('Saline Comp Data Recording'!X:X,'Saline Comp Data Recording'!C:C=B34), ""Select Col1"")),""-"")"),2.0)</f>
        <v>2</v>
      </c>
      <c r="AV34" s="63">
        <f t="shared" si="9"/>
        <v>1</v>
      </c>
      <c r="AW34" s="64">
        <f>IFERROR(__xludf.DUMMYFUNCTION("iferror(AVERAGE(query(filter('Saline Comp Data Recording'!X:X,'Saline Comp Data Recording'!C:C=B34), ""Select Col1"")),""0.00"")"),0.4)</f>
        <v>0.4</v>
      </c>
      <c r="AX34" s="65">
        <f>IFERROR(__xludf.DUMMYFUNCTION("iferror(MAX(query(filter('Saline Comp Data Recording'!X:X,'Saline Comp Data Recording'!C:C=B34), ""Select Col1"")),""-"")"),1.0)</f>
        <v>1</v>
      </c>
      <c r="AY34" s="62">
        <f>IFERROR(__xludf.DUMMYFUNCTION("iferror(SUM(query(filter('Saline Comp Data Recording'!Y:Y,'Saline Comp Data Recording'!C:C=B34), ""Select Col1"")),""-"")"),3.0)</f>
        <v>3</v>
      </c>
      <c r="AZ34" s="62">
        <f>IFERROR(__xludf.DUMMYFUNCTION("iferror(SUM(query(filter('Saline Comp Data Recording'!Z:Z,'Saline Comp Data Recording'!C:C=B34), ""Select Col1"")),""-"")"),2.0)</f>
        <v>2</v>
      </c>
      <c r="BA34" s="63">
        <f t="shared" si="10"/>
        <v>0.6666666667</v>
      </c>
      <c r="BB34" s="64">
        <f>IFERROR(__xludf.DUMMYFUNCTION("iferror(AVERAGE(query(filter('Saline Comp Data Recording'!Z:Z,'Saline Comp Data Recording'!C:C=B34), ""Select Col1"")),""0.00"")"),0.4)</f>
        <v>0.4</v>
      </c>
      <c r="BC34" s="65">
        <f>IFERROR(__xludf.DUMMYFUNCTION("iferror(MAX(query(filter('Saline Comp Data Recording'!Z:Z,'Saline Comp Data Recording'!C:C=B34), ""Select Col1"")),""-"")"),1.0)</f>
        <v>1</v>
      </c>
      <c r="BD34" s="62">
        <f>IFERROR(__xludf.DUMMYFUNCTION("iferror(SUM(query(filter('Saline Comp Data Recording'!AA:AA,'Saline Comp Data Recording'!C:C=B34), ""Select Col1"")),""-"")"),5.0)</f>
        <v>5</v>
      </c>
      <c r="BE34" s="62">
        <f>IFERROR(__xludf.DUMMYFUNCTION("iferror(SUM(query(filter('Saline Comp Data Recording'!AB:AB,'Saline Comp Data Recording'!C:C=B34), ""Select Col1"")),""-"")"),4.0)</f>
        <v>4</v>
      </c>
      <c r="BF34" s="63">
        <f t="shared" si="11"/>
        <v>0.8</v>
      </c>
      <c r="BG34" s="64">
        <f>IFERROR(__xludf.DUMMYFUNCTION("iferror(AVERAGE(query(filter('Saline Comp Data Recording'!AB:AB,'Saline Comp Data Recording'!C:C=B34), ""Select Col1"")),""0.00"")"),0.8)</f>
        <v>0.8</v>
      </c>
      <c r="BH34" s="65">
        <f>IFERROR(__xludf.DUMMYFUNCTION("iferror(MAX(query(filter('Saline Comp Data Recording'!AB:AB,'Saline Comp Data Recording'!C:C=B34), ""Select Col1"")),""-"")"),2.0)</f>
        <v>2</v>
      </c>
      <c r="BI34" s="62">
        <f>IFERROR(__xludf.DUMMYFUNCTION("iferror(SUM(query(filter('Saline Comp Data Recording'!AC:AC,'Saline Comp Data Recording'!C:C=B34), ""Select Col1"")),""-"")"),2.0)</f>
        <v>2</v>
      </c>
      <c r="BJ34" s="62">
        <f>IFERROR(__xludf.DUMMYFUNCTION("iferror(SUM(query(filter('Saline Comp Data Recording'!AD:AD,'Saline Comp Data Recording'!C:C=B34), ""Select Col1"")),""-"")"),2.0)</f>
        <v>2</v>
      </c>
      <c r="BK34" s="63">
        <f t="shared" si="12"/>
        <v>1</v>
      </c>
      <c r="BL34" s="64">
        <f>IFERROR(__xludf.DUMMYFUNCTION("iferror(AVERAGE(query(filter('Saline Comp Data Recording'!AD:AD,'Saline Comp Data Recording'!C:C=B34), ""Select Col1"")),""0.00"")"),0.4)</f>
        <v>0.4</v>
      </c>
      <c r="BM34" s="65">
        <f>IFERROR(__xludf.DUMMYFUNCTION("iferror(MAX(query(filter('Saline Comp Data Recording'!AD:AD,'Saline Comp Data Recording'!C:C=B34), ""Select Col1"")),""-"")"),1.0)</f>
        <v>1</v>
      </c>
      <c r="BN34" s="66" t="str">
        <f>IFERROR(__xludf.DUMMYFUNCTION("if(countif(query(filter('Saline Comp Data Recording'!AE:AE,'Saline Comp Data Recording'!C:C=B34), ""Select Col1""),""TRUE"")=0,""0"",countif(query(filter('Saline Comp Data Recording'!AE:AE,'Saline Comp Data Recording'!C:C=B34), ""Select Col1""),""TRUE""))"&amp;" &amp; ""/"" &amp; if(COUNTA(query(ifna(filter('Saline Comp Data Recording'!AE:AE,'Saline Comp Data Recording'!C:C=B34),""""), ""Select Col1""))=0,""0"",COUNTA(query(ifna(filter('Saline Comp Data Recording'!AE:AE,'Saline Comp Data Recording'!C:C=B34),""""), ""Sel"&amp;"ect Col1"")))"),"1/5")</f>
        <v>1/5</v>
      </c>
      <c r="BO34" s="67" t="str">
        <f>IFERROR(__xludf.DUMMYFUNCTION("if(countif(query(filter('Saline Comp Data Recording'!AF:AF,'Saline Comp Data Recording'!C:C=B34), ""Select Col1""),""TRUE"")=0,""0"",countif(query(filter('Saline Comp Data Recording'!AF:AF,'Saline Comp Data Recording'!C:C=B34), ""Select Col1""),""TRUE""))"&amp;" &amp; ""/"" &amp; if(COUNTA(query(ifna(filter('Saline Comp Data Recording'!AF:AF,'Saline Comp Data Recording'!C:C=B34),""""), ""Select Col1""))=0,""0"",COUNTA(query(ifna(filter('Saline Comp Data Recording'!AF:AF,'Saline Comp Data Recording'!C:C=B34),""""), ""Sel"&amp;"ect Col1"")))"),"0/5")</f>
        <v>0/5</v>
      </c>
      <c r="BP34" s="60" t="str">
        <f>IFERROR(__xludf.DUMMYFUNCTION("if(countif(query(filter('Saline Comp Data Recording'!AI:AI,'Saline Comp Data Recording'!C:C=B34), ""Select Col1""),""TRUE"")=0,""0"",countif(query(filter('Saline Comp Data Recording'!AI:AI,'Saline Comp Data Recording'!C:C=B34), ""Select Col1""),""TRUE""))"&amp;" &amp; ""/"" &amp; if(COUNTA(query(ifna(filter('Saline Comp Data Recording'!AI:AI,'Saline Comp Data Recording'!C:C=B34),""""), ""Select Col1""))=0,""0"",COUNTA(query(ifna(filter('Saline Comp Data Recording'!AI:AI,'Saline Comp Data Recording'!C:C=B34),""""), ""Sel"&amp;"ect Col1"")))"),"0/5")</f>
        <v>0/5</v>
      </c>
      <c r="BQ34" s="55">
        <f>IFERROR(__xludf.DUMMYFUNCTION("iferror(average(query(filter('Saline Comp Data Recording'!AG:AG,'Saline Comp Data Recording'!C:C=B34), ""Select Col1"")),""-"")"),2.6)</f>
        <v>2.6</v>
      </c>
      <c r="BR34" s="69">
        <f>IFERROR(__xludf.DUMMYFUNCTION("iferror(average(query(filter('Saline Comp Data Recording'!AH:AH,'Saline Comp Data Recording'!C:C=B34), ""Select Col1"")),""-"")"),0.4)</f>
        <v>0.4</v>
      </c>
      <c r="BS34" s="70">
        <f>IFERROR(__xludf.DUMMYFUNCTION("iferror(AVERAGE(query(filter('Saline Comp Data Recording'!AK:AK,'Saline Comp Data Recording'!C:C=B34), ""Select Col1"")),""-"")"),16.2)</f>
        <v>16.2</v>
      </c>
      <c r="BT34" s="70">
        <f>IFERROR(__xludf.DUMMYFUNCTION("iferror(AVERAGE(query(filter('Saline Comp Data Recording'!AL:AL,'Saline Comp Data Recording'!C:C=B34), ""Select Col1"")),""-"")"),13.4)</f>
        <v>13.4</v>
      </c>
      <c r="BU34" s="71">
        <f>IFERROR(__xludf.DUMMYFUNCTION("iferror(max(query(filter('Saline Comp Data Recording'!AK:AK,'Saline Comp Data Recording'!C:C=B34), ""Select Col1"")),""-"")"),31.0)</f>
        <v>31</v>
      </c>
      <c r="BV34" s="72">
        <f>IFERROR(__xludf.DUMMYFUNCTION("iferror(MIN(query(filter('Saline Comp Data Recording'!AK:AK,'Saline Comp Data Recording'!C:C=B34), ""Select Col1"")),""-"")"),0.0)</f>
        <v>0</v>
      </c>
      <c r="BW34" s="73" t="str">
        <f>IFERROR(__xludf.DUMMYFUNCTION("iferror(if(DIVIDE(COUNTIF(query(filter('Saline Comp Data Recording'!P:P,'Saline Comp Data Recording'!C:C=B34), ""Select Col1""),TRUE),COUNTA(query(ifna(filter('Saline Comp Data Recording'!P:P,'Saline Comp Data Recording'!C:C=B34),""""), ""Select Col1"")))"&amp;"&gt;=(0.5),""1"",""0""),""-"")"),"0")</f>
        <v>0</v>
      </c>
      <c r="BX34" s="59" t="str">
        <f>IFERROR(__xludf.DUMMYFUNCTION("iferror(if(countif(query(filter('Saline Comp Data Recording'!Q:Q,'Saline Comp Data Recording'!C:C=B34), ""Select Col1""),TRUE)/COUNTA(query(ifna(filter('Saline Comp Data Recording'!Q:Q,'Saline Comp Data Recording'!C:C=B34),""""), ""Select Col1""))&gt;=(0.5),"&amp;"""1"",""0""),""-"")"),"0")</f>
        <v>0</v>
      </c>
      <c r="BY34" s="74" t="str">
        <f>IFERROR(__xludf.DUMMYFUNCTION("iferror(if(DIVIDE(COUNTIF(query(filter('Saline Comp Data Recording'!AE:AE,'Saline Comp Data Recording'!C:C=B34), ""Select Col1""),TRUE),COUNTA(query(ifna(filter('Saline Comp Data Recording'!AE:AE,'Saline Comp Data Recording'!C:C=B34),""""), ""Select Col1"&amp;""")))&gt;=(0.5),""1"",""0""),""-"")"),"0")</f>
        <v>0</v>
      </c>
      <c r="BZ34" s="59" t="str">
        <f>IFERROR(__xludf.DUMMYFUNCTION("iferror(if(countif(query(filter('Saline Comp Data Recording'!AF:AF,'Saline Comp Data Recording'!C:C=B34), ""Select Col1""),TRUE)/COUNTA(query(ifna(filter('Saline Comp Data Recording'!AF:AF,'Saline Comp Data Recording'!C:C=B34),""""), ""Select Col1""))&gt;=(0"&amp;".5),""1"",""0""),""-"")"),"0")</f>
        <v>0</v>
      </c>
      <c r="CA34" s="74" t="str">
        <f>IFERROR(__xludf.DUMMYFUNCTION("iferror(if(DIVIDE(countif(query(filter('Saline Comp Data Recording'!R:R,'Saline Comp Data Recording'!C:C=B34), ""Select Col1""),TRUE),COUNTA(query(ifna(filter('Saline Comp Data Recording'!R:R,'Saline Comp Data Recording'!C:C=B34),""""), ""Select Col1"")))"&amp;"&gt;=(0.5),""1"",""0""),""-"")"),"0")</f>
        <v>0</v>
      </c>
    </row>
    <row r="35">
      <c r="A35" s="51" t="s">
        <v>545</v>
      </c>
      <c r="B35" s="51">
        <v>1701.0</v>
      </c>
      <c r="C35" s="52" t="str">
        <f>IFERROR(__xludf.DUMMYFUNCTION("if(countif(query(filter('Saline Comp Data Recording'!R:R,'Saline Comp Data Recording'!C:C=B35), ""Select Col1""),""TRUE"")=0,""0"",countif(query(filter('Saline Comp Data Recording'!R:R,'Saline Comp Data Recording'!C:C=B35), ""Select Col1""),""TRUE"")) &amp; "&amp;"""/"" &amp; if(COUNTA(query(ifna(filter('Saline Comp Data Recording'!R:R,'Saline Comp Data Recording'!C:C=B35),""""), ""Select Col1""))=0,""0"",COUNTA(query(ifna(filter('Saline Comp Data Recording'!R:R,'Saline Comp Data Recording'!C:C=B35),""""), ""Select Col"&amp;"1"")))"),"5/5")</f>
        <v>5/5</v>
      </c>
      <c r="D35" s="53">
        <f>IFERROR(__xludf.DUMMYFUNCTION("iferror(SUM(query(filter('Saline Comp Data Recording'!D:D,'Saline Comp Data Recording'!C:C=B35), ""Select Col1"")),""-"")"),1.0)</f>
        <v>1</v>
      </c>
      <c r="E35" s="53">
        <f>IFERROR(__xludf.DUMMYFUNCTION("iferror(SUM(query(filter('Saline Comp Data Recording'!E:E,'Saline Comp Data Recording'!C:C=B35), ""Select Col1"")),""-"")"),0.0)</f>
        <v>0</v>
      </c>
      <c r="F35" s="54">
        <f t="shared" si="1"/>
        <v>0</v>
      </c>
      <c r="G35" s="55">
        <f>IFERROR(__xludf.DUMMYFUNCTION("iferror(AVERAGE(query(filter('Saline Comp Data Recording'!E:E,'Saline Comp Data Recording'!C:C=B35), ""Select Col1"")),""0.00"")"),0.0)</f>
        <v>0</v>
      </c>
      <c r="H35" s="53">
        <f>IFERROR(__xludf.DUMMYFUNCTION("iferror(MAX(query(filter('Saline Comp Data Recording'!E:E,'Saline Comp Data Recording'!C:C=B35), ""Select Col1"")),""-"")"),0.0)</f>
        <v>0</v>
      </c>
      <c r="I35" s="56">
        <f>IFERROR(__xludf.DUMMYFUNCTION("iferror(SUM(query(filter('Saline Comp Data Recording'!F:F,'Saline Comp Data Recording'!C:C=B35), ""Select Col1"")),""-"")"),0.0)</f>
        <v>0</v>
      </c>
      <c r="J35" s="57">
        <f>IFERROR(__xludf.DUMMYFUNCTION("iferror(SUM(query(filter('Saline Comp Data Recording'!G:G,'Saline Comp Data Recording'!C:C=B35), ""Select Col1"")),""-"")"),0.0)</f>
        <v>0</v>
      </c>
      <c r="K35" s="54" t="str">
        <f t="shared" si="2"/>
        <v>-</v>
      </c>
      <c r="L35" s="55">
        <f>IFERROR(__xludf.DUMMYFUNCTION("iferror(AVERAGE(query(filter('Saline Comp Data Recording'!G:G,'Saline Comp Data Recording'!C:C=B35), ""Select Col1"")),""0.00"")"),0.0)</f>
        <v>0</v>
      </c>
      <c r="M35" s="53">
        <f>IFERROR(__xludf.DUMMYFUNCTION("iferror(MAX(query(filter('Saline Comp Data Recording'!G:G,'Saline Comp Data Recording'!C:C=B35), ""Select Col1"")),""-"")"),0.0)</f>
        <v>0</v>
      </c>
      <c r="N35" s="58">
        <f>IFERROR(__xludf.DUMMYFUNCTION("iferror(SUM(query(filter('Saline Comp Data Recording'!H:H,'Saline Comp Data Recording'!C:C=B35), ""Select Col1"")),""-"")"),0.0)</f>
        <v>0</v>
      </c>
      <c r="O35" s="59">
        <f>IFERROR(__xludf.DUMMYFUNCTION("iferror(SUM(query(filter('Saline Comp Data Recording'!I:I,'Saline Comp Data Recording'!C:C=B35), ""Select Col1"")),""-"")"),0.0)</f>
        <v>0</v>
      </c>
      <c r="P35" s="54" t="str">
        <f t="shared" si="3"/>
        <v>-</v>
      </c>
      <c r="Q35" s="55">
        <f>IFERROR(__xludf.DUMMYFUNCTION("iferror(AVERAGE(query(filter('Saline Comp Data Recording'!I:I,'Saline Comp Data Recording'!C:C=B35), ""Select Col1"")),""0.00"")"),0.0)</f>
        <v>0</v>
      </c>
      <c r="R35" s="53">
        <f>IFERROR(__xludf.DUMMYFUNCTION("iferror(MAX(query(filter('Saline Comp Data Recording'!I:I,'Saline Comp Data Recording'!C:C=B35), ""Select Col1"")),""-"")"),0.0)</f>
        <v>0</v>
      </c>
      <c r="S35" s="58">
        <f>IFERROR(__xludf.DUMMYFUNCTION("iferror(SUM(query(filter('Saline Comp Data Recording'!J:J,'Saline Comp Data Recording'!C:C=B35), ""Select Col1"")),""-"")"),2.0)</f>
        <v>2</v>
      </c>
      <c r="T35" s="59">
        <f>IFERROR(__xludf.DUMMYFUNCTION("iferror(SUM(query(filter('Saline Comp Data Recording'!K:K,'Saline Comp Data Recording'!C:C=B35), ""Select Col1"")),""-"")"),2.0)</f>
        <v>2</v>
      </c>
      <c r="U35" s="54">
        <f t="shared" si="4"/>
        <v>1</v>
      </c>
      <c r="V35" s="55">
        <f>IFERROR(__xludf.DUMMYFUNCTION("iferror(AVERAGE(query(filter('Saline Comp Data Recording'!K:K,'Saline Comp Data Recording'!C:C=B35), ""Select Col1"")),""-"")"),0.4)</f>
        <v>0.4</v>
      </c>
      <c r="W35" s="52">
        <f>IFERROR(__xludf.DUMMYFUNCTION("iferror(MAX(query(filter('Saline Comp Data Recording'!K:K,'Saline Comp Data Recording'!C:C=B35), ""Select Col1"")),""-"")"),1.0)</f>
        <v>1</v>
      </c>
      <c r="X35" s="59">
        <f>IFERROR(__xludf.DUMMYFUNCTION("iferror(SUM(query(filter('Saline Comp Data Recording'!L:L,'Saline Comp Data Recording'!C:C=B35), ""Select Col1"")),""-"")"),3.0)</f>
        <v>3</v>
      </c>
      <c r="Y35" s="59">
        <f>IFERROR(__xludf.DUMMYFUNCTION("iferror(SUM(query(filter('Saline Comp Data Recording'!M:M,'Saline Comp Data Recording'!C:C=B35), ""Select Col1"")),""-"")"),3.0)</f>
        <v>3</v>
      </c>
      <c r="Z35" s="54">
        <f t="shared" si="5"/>
        <v>1</v>
      </c>
      <c r="AA35" s="55">
        <f>IFERROR(__xludf.DUMMYFUNCTION("iferror(AVERAGE(query(filter('Saline Comp Data Recording'!M:M,'Saline Comp Data Recording'!C:C=B35), ""Select Col1"")),""0.00"")"),0.6)</f>
        <v>0.6</v>
      </c>
      <c r="AB35" s="52">
        <f>IFERROR(__xludf.DUMMYFUNCTION("iferror(MAX(query(filter('Saline Comp Data Recording'!M:M,'Saline Comp Data Recording'!C:C=B35), ""Select Col1"")),""-"")"),1.0)</f>
        <v>1</v>
      </c>
      <c r="AC35" s="59">
        <f>IFERROR(__xludf.DUMMYFUNCTION("iferror(SUM(query(filter('Saline Comp Data Recording'!N:N,'Saline Comp Data Recording'!C:C=B35), ""Select Col1"")),""-"")"),1.0)</f>
        <v>1</v>
      </c>
      <c r="AD35" s="59">
        <f>IFERROR(__xludf.DUMMYFUNCTION("iferror(SUM(query(filter('Saline Comp Data Recording'!O:O,'Saline Comp Data Recording'!C:C=B35), ""Select Col1"")),""-"")"),1.0)</f>
        <v>1</v>
      </c>
      <c r="AE35" s="54">
        <f t="shared" si="6"/>
        <v>1</v>
      </c>
      <c r="AF35" s="55">
        <f>IFERROR(__xludf.DUMMYFUNCTION("iferror(AVERAGE(query(filter('Saline Comp Data Recording'!O:O,'Saline Comp Data Recording'!C:C=B35), ""Select Col1"")),""0.00"")"),0.2)</f>
        <v>0.2</v>
      </c>
      <c r="AG35" s="59">
        <f>IFERROR(__xludf.DUMMYFUNCTION("iferror(MAX(query(filter('Saline Comp Data Recording'!O:O,'Saline Comp Data Recording'!C:C=B35), ""Select Col1"")),""-"")"),1.0)</f>
        <v>1</v>
      </c>
      <c r="AH35" s="58" t="str">
        <f>IFERROR(__xludf.DUMMYFUNCTION("if(countif(query(filter('Saline Comp Data Recording'!P:P,'Saline Comp Data Recording'!C:C=B35), ""Select Col1""),TRUE)=0,""0"",countif(query(filter('Saline Comp Data Recording'!P:P,'Saline Comp Data Recording'!C:C=B35), ""Select Col1""),TRUE)) &amp; ""/"" &amp; i"&amp;"f(COUNTA(query(ifna(filter('Saline Comp Data Recording'!P:P,'Saline Comp Data Recording'!C:C=B35),""""), ""Select Col1""))=0,""0"",COUNTA(query(ifna(filter('Saline Comp Data Recording'!P:P,'Saline Comp Data Recording'!C:C=B35),""""), ""Select Col1"")))"),"3/5")</f>
        <v>3/5</v>
      </c>
      <c r="AI35" s="60" t="str">
        <f>IFERROR(__xludf.DUMMYFUNCTION("if(countif(query(filter('Saline Comp Data Recording'!Q:Q,'Saline Comp Data Recording'!C:C=B35), ""Select Col1""),TRUE)=0,""0"",countif(query(filter('Saline Comp Data Recording'!Q:Q,'Saline Comp Data Recording'!C:C=B35), ""Select Col1""),TRUE)) &amp; ""/"" &amp; i"&amp;"f(COUNTA(query(ifna(filter('Saline Comp Data Recording'!Q:Q,'Saline Comp Data Recording'!C:C=B35),""""), ""Select Col1""))=0,""0"",COUNTA(query(ifna(filter('Saline Comp Data Recording'!Q:Q,'Saline Comp Data Recording'!C:C=B35),""""), ""Select Col1"")))"),"0/5")</f>
        <v>0/5</v>
      </c>
      <c r="AJ35" s="59">
        <f>IFERROR(__xludf.DUMMYFUNCTION("iferror(SUM(query(filter('Saline Comp Data Recording'!S:S,'Saline Comp Data Recording'!C:C=B35), ""Select Col1"")),""-"")"),7.0)</f>
        <v>7</v>
      </c>
      <c r="AK35" s="59">
        <f>IFERROR(__xludf.DUMMYFUNCTION("iferror(SUM(query(filter('Saline Comp Data Recording'!T:T,'Saline Comp Data Recording'!C:C=B35), ""Select Col1"")),""-"")"),7.0)</f>
        <v>7</v>
      </c>
      <c r="AL35" s="54">
        <f t="shared" si="7"/>
        <v>1</v>
      </c>
      <c r="AM35" s="55">
        <f>IFERROR(__xludf.DUMMYFUNCTION("iferror(AVERAGE(query(filter('Saline Comp Data Recording'!T:T,'Saline Comp Data Recording'!C:C=B35), ""Select Col1"")),""0.00"")"),1.4)</f>
        <v>1.4</v>
      </c>
      <c r="AN35" s="61">
        <f>IFERROR(__xludf.DUMMYFUNCTION("iferror(MAX(query(filter('Saline Comp Data Recording'!T:T,'Saline Comp Data Recording'!C:C=B35), ""Select Col1"")),""-"")"),4.0)</f>
        <v>4</v>
      </c>
      <c r="AO35" s="62">
        <f>IFERROR(__xludf.DUMMYFUNCTION("iferror(SUM(query(filter('Saline Comp Data Recording'!U:U,'Saline Comp Data Recording'!C:C=B35), ""Select Col1"")),""-"")"),1.0)</f>
        <v>1</v>
      </c>
      <c r="AP35" s="62">
        <f>IFERROR(__xludf.DUMMYFUNCTION("iferror(SUM(query(filter('Saline Comp Data Recording'!V:V,'Saline Comp Data Recording'!C:C=B35), ""Select Col1"")),""-"")"),0.0)</f>
        <v>0</v>
      </c>
      <c r="AQ35" s="63">
        <f t="shared" si="8"/>
        <v>0</v>
      </c>
      <c r="AR35" s="64">
        <f>IFERROR(__xludf.DUMMYFUNCTION("iferror(AVERAGE(query(filter('Saline Comp Data Recording'!V:V,'Saline Comp Data Recording'!C:C=B35), ""Select Col1"")),""0.00"")"),0.0)</f>
        <v>0</v>
      </c>
      <c r="AS35" s="65">
        <f>IFERROR(__xludf.DUMMYFUNCTION("iferror(MAX(query(filter('Saline Comp Data Recording'!V:V,'Saline Comp Data Recording'!C:C=B35), ""Select Col1"")),""-"")"),0.0)</f>
        <v>0</v>
      </c>
      <c r="AT35" s="62">
        <f>IFERROR(__xludf.DUMMYFUNCTION("iferror(SUM(query(filter('Saline Comp Data Recording'!W:W,'Saline Comp Data Recording'!C:C=B35), ""Select Col1"")),""-"")"),0.0)</f>
        <v>0</v>
      </c>
      <c r="AU35" s="62">
        <f>IFERROR(__xludf.DUMMYFUNCTION("iferror(SUM(query(filter('Saline Comp Data Recording'!X:X,'Saline Comp Data Recording'!C:C=B35), ""Select Col1"")),""-"")"),0.0)</f>
        <v>0</v>
      </c>
      <c r="AV35" s="63" t="str">
        <f t="shared" si="9"/>
        <v>-</v>
      </c>
      <c r="AW35" s="64">
        <f>IFERROR(__xludf.DUMMYFUNCTION("iferror(AVERAGE(query(filter('Saline Comp Data Recording'!X:X,'Saline Comp Data Recording'!C:C=B35), ""Select Col1"")),""0.00"")"),0.0)</f>
        <v>0</v>
      </c>
      <c r="AX35" s="65">
        <f>IFERROR(__xludf.DUMMYFUNCTION("iferror(MAX(query(filter('Saline Comp Data Recording'!X:X,'Saline Comp Data Recording'!C:C=B35), ""Select Col1"")),""-"")"),0.0)</f>
        <v>0</v>
      </c>
      <c r="AY35" s="62">
        <f>IFERROR(__xludf.DUMMYFUNCTION("iferror(SUM(query(filter('Saline Comp Data Recording'!Y:Y,'Saline Comp Data Recording'!C:C=B35), ""Select Col1"")),""-"")"),3.0)</f>
        <v>3</v>
      </c>
      <c r="AZ35" s="62">
        <f>IFERROR(__xludf.DUMMYFUNCTION("iferror(SUM(query(filter('Saline Comp Data Recording'!Z:Z,'Saline Comp Data Recording'!C:C=B35), ""Select Col1"")),""-"")"),1.0)</f>
        <v>1</v>
      </c>
      <c r="BA35" s="63">
        <f t="shared" si="10"/>
        <v>0.3333333333</v>
      </c>
      <c r="BB35" s="64">
        <f>IFERROR(__xludf.DUMMYFUNCTION("iferror(AVERAGE(query(filter('Saline Comp Data Recording'!Z:Z,'Saline Comp Data Recording'!C:C=B35), ""Select Col1"")),""0.00"")"),0.2)</f>
        <v>0.2</v>
      </c>
      <c r="BC35" s="65">
        <f>IFERROR(__xludf.DUMMYFUNCTION("iferror(MAX(query(filter('Saline Comp Data Recording'!Z:Z,'Saline Comp Data Recording'!C:C=B35), ""Select Col1"")),""-"")"),1.0)</f>
        <v>1</v>
      </c>
      <c r="BD35" s="62">
        <f>IFERROR(__xludf.DUMMYFUNCTION("iferror(SUM(query(filter('Saline Comp Data Recording'!AA:AA,'Saline Comp Data Recording'!C:C=B35), ""Select Col1"")),""-"")"),0.0)</f>
        <v>0</v>
      </c>
      <c r="BE35" s="62">
        <f>IFERROR(__xludf.DUMMYFUNCTION("iferror(SUM(query(filter('Saline Comp Data Recording'!AB:AB,'Saline Comp Data Recording'!C:C=B35), ""Select Col1"")),""-"")"),0.0)</f>
        <v>0</v>
      </c>
      <c r="BF35" s="63" t="str">
        <f t="shared" si="11"/>
        <v>-</v>
      </c>
      <c r="BG35" s="64">
        <f>IFERROR(__xludf.DUMMYFUNCTION("iferror(AVERAGE(query(filter('Saline Comp Data Recording'!AB:AB,'Saline Comp Data Recording'!C:C=B35), ""Select Col1"")),""0.00"")"),0.0)</f>
        <v>0</v>
      </c>
      <c r="BH35" s="65">
        <f>IFERROR(__xludf.DUMMYFUNCTION("iferror(MAX(query(filter('Saline Comp Data Recording'!AB:AB,'Saline Comp Data Recording'!C:C=B35), ""Select Col1"")),""-"")"),0.0)</f>
        <v>0</v>
      </c>
      <c r="BI35" s="62">
        <f>IFERROR(__xludf.DUMMYFUNCTION("iferror(SUM(query(filter('Saline Comp Data Recording'!AC:AC,'Saline Comp Data Recording'!C:C=B35), ""Select Col1"")),""-"")"),3.0)</f>
        <v>3</v>
      </c>
      <c r="BJ35" s="62">
        <f>IFERROR(__xludf.DUMMYFUNCTION("iferror(SUM(query(filter('Saline Comp Data Recording'!AD:AD,'Saline Comp Data Recording'!C:C=B35), ""Select Col1"")),""-"")"),3.0)</f>
        <v>3</v>
      </c>
      <c r="BK35" s="63">
        <f t="shared" si="12"/>
        <v>1</v>
      </c>
      <c r="BL35" s="64">
        <f>IFERROR(__xludf.DUMMYFUNCTION("iferror(AVERAGE(query(filter('Saline Comp Data Recording'!AD:AD,'Saline Comp Data Recording'!C:C=B35), ""Select Col1"")),""0.00"")"),0.6)</f>
        <v>0.6</v>
      </c>
      <c r="BM35" s="65">
        <f>IFERROR(__xludf.DUMMYFUNCTION("iferror(MAX(query(filter('Saline Comp Data Recording'!AD:AD,'Saline Comp Data Recording'!C:C=B35), ""Select Col1"")),""-"")"),2.0)</f>
        <v>2</v>
      </c>
      <c r="BN35" s="66" t="str">
        <f>IFERROR(__xludf.DUMMYFUNCTION("if(countif(query(filter('Saline Comp Data Recording'!AE:AE,'Saline Comp Data Recording'!C:C=B35), ""Select Col1""),""TRUE"")=0,""0"",countif(query(filter('Saline Comp Data Recording'!AE:AE,'Saline Comp Data Recording'!C:C=B35), ""Select Col1""),""TRUE""))"&amp;" &amp; ""/"" &amp; if(COUNTA(query(ifna(filter('Saline Comp Data Recording'!AE:AE,'Saline Comp Data Recording'!C:C=B35),""""), ""Select Col1""))=0,""0"",COUNTA(query(ifna(filter('Saline Comp Data Recording'!AE:AE,'Saline Comp Data Recording'!C:C=B35),""""), ""Sel"&amp;"ect Col1"")))"),"3/5")</f>
        <v>3/5</v>
      </c>
      <c r="BO35" s="67" t="str">
        <f>IFERROR(__xludf.DUMMYFUNCTION("if(countif(query(filter('Saline Comp Data Recording'!AF:AF,'Saline Comp Data Recording'!C:C=B35), ""Select Col1""),""TRUE"")=0,""0"",countif(query(filter('Saline Comp Data Recording'!AF:AF,'Saline Comp Data Recording'!C:C=B35), ""Select Col1""),""TRUE""))"&amp;" &amp; ""/"" &amp; if(COUNTA(query(ifna(filter('Saline Comp Data Recording'!AF:AF,'Saline Comp Data Recording'!C:C=B35),""""), ""Select Col1""))=0,""0"",COUNTA(query(ifna(filter('Saline Comp Data Recording'!AF:AF,'Saline Comp Data Recording'!C:C=B35),""""), ""Sel"&amp;"ect Col1"")))"),"0/5")</f>
        <v>0/5</v>
      </c>
      <c r="BP35" s="60" t="str">
        <f>IFERROR(__xludf.DUMMYFUNCTION("if(countif(query(filter('Saline Comp Data Recording'!AI:AI,'Saline Comp Data Recording'!C:C=B35), ""Select Col1""),""TRUE"")=0,""0"",countif(query(filter('Saline Comp Data Recording'!AI:AI,'Saline Comp Data Recording'!C:C=B35), ""Select Col1""),""TRUE""))"&amp;" &amp; ""/"" &amp; if(COUNTA(query(ifna(filter('Saline Comp Data Recording'!AI:AI,'Saline Comp Data Recording'!C:C=B35),""""), ""Select Col1""))=0,""0"",COUNTA(query(ifna(filter('Saline Comp Data Recording'!AI:AI,'Saline Comp Data Recording'!C:C=B35),""""), ""Sel"&amp;"ect Col1"")))"),"0/5")</f>
        <v>0/5</v>
      </c>
      <c r="BQ35" s="55">
        <f>IFERROR(__xludf.DUMMYFUNCTION("iferror(average(query(filter('Saline Comp Data Recording'!AG:AG,'Saline Comp Data Recording'!C:C=B35), ""Select Col1"")),""-"")"),2.8)</f>
        <v>2.8</v>
      </c>
      <c r="BR35" s="69">
        <f>IFERROR(__xludf.DUMMYFUNCTION("iferror(average(query(filter('Saline Comp Data Recording'!AH:AH,'Saline Comp Data Recording'!C:C=B35), ""Select Col1"")),""-"")"),1.8)</f>
        <v>1.8</v>
      </c>
      <c r="BS35" s="70">
        <f>IFERROR(__xludf.DUMMYFUNCTION("iferror(AVERAGE(query(filter('Saline Comp Data Recording'!AK:AK,'Saline Comp Data Recording'!C:C=B35), ""Select Col1"")),""-"")"),26.0)</f>
        <v>26</v>
      </c>
      <c r="BT35" s="70">
        <f>IFERROR(__xludf.DUMMYFUNCTION("iferror(AVERAGE(query(filter('Saline Comp Data Recording'!AL:AL,'Saline Comp Data Recording'!C:C=B35), ""Select Col1"")),""-"")"),17.6)</f>
        <v>17.6</v>
      </c>
      <c r="BU35" s="71">
        <f>IFERROR(__xludf.DUMMYFUNCTION("iferror(max(query(filter('Saline Comp Data Recording'!AK:AK,'Saline Comp Data Recording'!C:C=B35), ""Select Col1"")),""-"")"),45.0)</f>
        <v>45</v>
      </c>
      <c r="BV35" s="72">
        <f>IFERROR(__xludf.DUMMYFUNCTION("iferror(MIN(query(filter('Saline Comp Data Recording'!AK:AK,'Saline Comp Data Recording'!C:C=B35), ""Select Col1"")),""-"")"),15.0)</f>
        <v>15</v>
      </c>
      <c r="BW35" s="73" t="str">
        <f>IFERROR(__xludf.DUMMYFUNCTION("iferror(if(DIVIDE(COUNTIF(query(filter('Saline Comp Data Recording'!P:P,'Saline Comp Data Recording'!C:C=B35), ""Select Col1""),TRUE),COUNTA(query(ifna(filter('Saline Comp Data Recording'!P:P,'Saline Comp Data Recording'!C:C=B35),""""), ""Select Col1"")))"&amp;"&gt;=(0.5),""1"",""0""),""-"")"),"1")</f>
        <v>1</v>
      </c>
      <c r="BX35" s="59" t="str">
        <f>IFERROR(__xludf.DUMMYFUNCTION("iferror(if(countif(query(filter('Saline Comp Data Recording'!Q:Q,'Saline Comp Data Recording'!C:C=B35), ""Select Col1""),TRUE)/COUNTA(query(ifna(filter('Saline Comp Data Recording'!Q:Q,'Saline Comp Data Recording'!C:C=B35),""""), ""Select Col1""))&gt;=(0.5),"&amp;"""1"",""0""),""-"")"),"0")</f>
        <v>0</v>
      </c>
      <c r="BY35" s="74" t="str">
        <f>IFERROR(__xludf.DUMMYFUNCTION("iferror(if(DIVIDE(COUNTIF(query(filter('Saline Comp Data Recording'!AE:AE,'Saline Comp Data Recording'!C:C=B35), ""Select Col1""),TRUE),COUNTA(query(ifna(filter('Saline Comp Data Recording'!AE:AE,'Saline Comp Data Recording'!C:C=B35),""""), ""Select Col1"&amp;""")))&gt;=(0.5),""1"",""0""),""-"")"),"1")</f>
        <v>1</v>
      </c>
      <c r="BZ35" s="59" t="str">
        <f>IFERROR(__xludf.DUMMYFUNCTION("iferror(if(countif(query(filter('Saline Comp Data Recording'!AF:AF,'Saline Comp Data Recording'!C:C=B35), ""Select Col1""),TRUE)/COUNTA(query(ifna(filter('Saline Comp Data Recording'!AF:AF,'Saline Comp Data Recording'!C:C=B35),""""), ""Select Col1""))&gt;=(0"&amp;".5),""1"",""0""),""-"")"),"0")</f>
        <v>0</v>
      </c>
      <c r="CA35" s="74" t="str">
        <f>IFERROR(__xludf.DUMMYFUNCTION("iferror(if(DIVIDE(countif(query(filter('Saline Comp Data Recording'!R:R,'Saline Comp Data Recording'!C:C=B35), ""Select Col1""),TRUE),COUNTA(query(ifna(filter('Saline Comp Data Recording'!R:R,'Saline Comp Data Recording'!C:C=B35),""""), ""Select Col1"")))"&amp;"&gt;=(0.5),""1"",""0""),""-"")"),"1")</f>
        <v>1</v>
      </c>
    </row>
    <row r="36">
      <c r="A36" s="51" t="s">
        <v>521</v>
      </c>
      <c r="B36" s="51">
        <v>4854.0</v>
      </c>
      <c r="C36" s="52" t="str">
        <f>IFERROR(__xludf.DUMMYFUNCTION("if(countif(query(filter('Saline Comp Data Recording'!R:R,'Saline Comp Data Recording'!C:C=B36), ""Select Col1""),""TRUE"")=0,""0"",countif(query(filter('Saline Comp Data Recording'!R:R,'Saline Comp Data Recording'!C:C=B36), ""Select Col1""),""TRUE"")) &amp; "&amp;"""/"" &amp; if(COUNTA(query(ifna(filter('Saline Comp Data Recording'!R:R,'Saline Comp Data Recording'!C:C=B36),""""), ""Select Col1""))=0,""0"",COUNTA(query(ifna(filter('Saline Comp Data Recording'!R:R,'Saline Comp Data Recording'!C:C=B36),""""), ""Select Col"&amp;"1"")))"),"0/5")</f>
        <v>0/5</v>
      </c>
      <c r="D36" s="53">
        <f>IFERROR(__xludf.DUMMYFUNCTION("iferror(SUM(query(filter('Saline Comp Data Recording'!D:D,'Saline Comp Data Recording'!C:C=B36), ""Select Col1"")),""-"")"),0.0)</f>
        <v>0</v>
      </c>
      <c r="E36" s="53">
        <f>IFERROR(__xludf.DUMMYFUNCTION("iferror(SUM(query(filter('Saline Comp Data Recording'!E:E,'Saline Comp Data Recording'!C:C=B36), ""Select Col1"")),""-"")"),0.0)</f>
        <v>0</v>
      </c>
      <c r="F36" s="54" t="str">
        <f t="shared" si="1"/>
        <v>-</v>
      </c>
      <c r="G36" s="55">
        <f>IFERROR(__xludf.DUMMYFUNCTION("iferror(AVERAGE(query(filter('Saline Comp Data Recording'!E:E,'Saline Comp Data Recording'!C:C=B36), ""Select Col1"")),""0.00"")"),0.0)</f>
        <v>0</v>
      </c>
      <c r="H36" s="53">
        <f>IFERROR(__xludf.DUMMYFUNCTION("iferror(MAX(query(filter('Saline Comp Data Recording'!E:E,'Saline Comp Data Recording'!C:C=B36), ""Select Col1"")),""-"")"),0.0)</f>
        <v>0</v>
      </c>
      <c r="I36" s="56">
        <f>IFERROR(__xludf.DUMMYFUNCTION("iferror(SUM(query(filter('Saline Comp Data Recording'!F:F,'Saline Comp Data Recording'!C:C=B36), ""Select Col1"")),""-"")"),0.0)</f>
        <v>0</v>
      </c>
      <c r="J36" s="57">
        <f>IFERROR(__xludf.DUMMYFUNCTION("iferror(SUM(query(filter('Saline Comp Data Recording'!G:G,'Saline Comp Data Recording'!C:C=B36), ""Select Col1"")),""-"")"),0.0)</f>
        <v>0</v>
      </c>
      <c r="K36" s="54" t="str">
        <f t="shared" si="2"/>
        <v>-</v>
      </c>
      <c r="L36" s="55">
        <f>IFERROR(__xludf.DUMMYFUNCTION("iferror(AVERAGE(query(filter('Saline Comp Data Recording'!G:G,'Saline Comp Data Recording'!C:C=B36), ""Select Col1"")),""0.00"")"),0.0)</f>
        <v>0</v>
      </c>
      <c r="M36" s="53">
        <f>IFERROR(__xludf.DUMMYFUNCTION("iferror(MAX(query(filter('Saline Comp Data Recording'!G:G,'Saline Comp Data Recording'!C:C=B36), ""Select Col1"")),""-"")"),0.0)</f>
        <v>0</v>
      </c>
      <c r="N36" s="58">
        <f>IFERROR(__xludf.DUMMYFUNCTION("iferror(SUM(query(filter('Saline Comp Data Recording'!H:H,'Saline Comp Data Recording'!C:C=B36), ""Select Col1"")),""-"")"),0.0)</f>
        <v>0</v>
      </c>
      <c r="O36" s="59">
        <f>IFERROR(__xludf.DUMMYFUNCTION("iferror(SUM(query(filter('Saline Comp Data Recording'!I:I,'Saline Comp Data Recording'!C:C=B36), ""Select Col1"")),""-"")"),0.0)</f>
        <v>0</v>
      </c>
      <c r="P36" s="54" t="str">
        <f t="shared" si="3"/>
        <v>-</v>
      </c>
      <c r="Q36" s="55">
        <f>IFERROR(__xludf.DUMMYFUNCTION("iferror(AVERAGE(query(filter('Saline Comp Data Recording'!I:I,'Saline Comp Data Recording'!C:C=B36), ""Select Col1"")),""0.00"")"),0.0)</f>
        <v>0</v>
      </c>
      <c r="R36" s="53">
        <f>IFERROR(__xludf.DUMMYFUNCTION("iferror(MAX(query(filter('Saline Comp Data Recording'!I:I,'Saline Comp Data Recording'!C:C=B36), ""Select Col1"")),""-"")"),0.0)</f>
        <v>0</v>
      </c>
      <c r="S36" s="58">
        <f>IFERROR(__xludf.DUMMYFUNCTION("iferror(SUM(query(filter('Saline Comp Data Recording'!J:J,'Saline Comp Data Recording'!C:C=B36), ""Select Col1"")),""-"")"),0.0)</f>
        <v>0</v>
      </c>
      <c r="T36" s="59">
        <f>IFERROR(__xludf.DUMMYFUNCTION("iferror(SUM(query(filter('Saline Comp Data Recording'!K:K,'Saline Comp Data Recording'!C:C=B36), ""Select Col1"")),""-"")"),0.0)</f>
        <v>0</v>
      </c>
      <c r="U36" s="54" t="str">
        <f t="shared" si="4"/>
        <v>-</v>
      </c>
      <c r="V36" s="55">
        <f>IFERROR(__xludf.DUMMYFUNCTION("iferror(AVERAGE(query(filter('Saline Comp Data Recording'!K:K,'Saline Comp Data Recording'!C:C=B36), ""Select Col1"")),""-"")"),0.0)</f>
        <v>0</v>
      </c>
      <c r="W36" s="52">
        <f>IFERROR(__xludf.DUMMYFUNCTION("iferror(MAX(query(filter('Saline Comp Data Recording'!K:K,'Saline Comp Data Recording'!C:C=B36), ""Select Col1"")),""-"")"),0.0)</f>
        <v>0</v>
      </c>
      <c r="X36" s="59">
        <f>IFERROR(__xludf.DUMMYFUNCTION("iferror(SUM(query(filter('Saline Comp Data Recording'!L:L,'Saline Comp Data Recording'!C:C=B36), ""Select Col1"")),""-"")"),0.0)</f>
        <v>0</v>
      </c>
      <c r="Y36" s="59">
        <f>IFERROR(__xludf.DUMMYFUNCTION("iferror(SUM(query(filter('Saline Comp Data Recording'!M:M,'Saline Comp Data Recording'!C:C=B36), ""Select Col1"")),""-"")"),0.0)</f>
        <v>0</v>
      </c>
      <c r="Z36" s="54" t="str">
        <f t="shared" si="5"/>
        <v>-</v>
      </c>
      <c r="AA36" s="55">
        <f>IFERROR(__xludf.DUMMYFUNCTION("iferror(AVERAGE(query(filter('Saline Comp Data Recording'!M:M,'Saline Comp Data Recording'!C:C=B36), ""Select Col1"")),""0.00"")"),0.0)</f>
        <v>0</v>
      </c>
      <c r="AB36" s="52">
        <f>IFERROR(__xludf.DUMMYFUNCTION("iferror(MAX(query(filter('Saline Comp Data Recording'!M:M,'Saline Comp Data Recording'!C:C=B36), ""Select Col1"")),""-"")"),0.0)</f>
        <v>0</v>
      </c>
      <c r="AC36" s="59">
        <f>IFERROR(__xludf.DUMMYFUNCTION("iferror(SUM(query(filter('Saline Comp Data Recording'!N:N,'Saline Comp Data Recording'!C:C=B36), ""Select Col1"")),""-"")"),0.0)</f>
        <v>0</v>
      </c>
      <c r="AD36" s="59">
        <f>IFERROR(__xludf.DUMMYFUNCTION("iferror(SUM(query(filter('Saline Comp Data Recording'!O:O,'Saline Comp Data Recording'!C:C=B36), ""Select Col1"")),""-"")"),0.0)</f>
        <v>0</v>
      </c>
      <c r="AE36" s="54" t="str">
        <f t="shared" si="6"/>
        <v>-</v>
      </c>
      <c r="AF36" s="55">
        <f>IFERROR(__xludf.DUMMYFUNCTION("iferror(AVERAGE(query(filter('Saline Comp Data Recording'!O:O,'Saline Comp Data Recording'!C:C=B36), ""Select Col1"")),""0.00"")"),0.0)</f>
        <v>0</v>
      </c>
      <c r="AG36" s="59">
        <f>IFERROR(__xludf.DUMMYFUNCTION("iferror(MAX(query(filter('Saline Comp Data Recording'!O:O,'Saline Comp Data Recording'!C:C=B36), ""Select Col1"")),""-"")"),0.0)</f>
        <v>0</v>
      </c>
      <c r="AH36" s="58" t="str">
        <f>IFERROR(__xludf.DUMMYFUNCTION("if(countif(query(filter('Saline Comp Data Recording'!P:P,'Saline Comp Data Recording'!C:C=B36), ""Select Col1""),TRUE)=0,""0"",countif(query(filter('Saline Comp Data Recording'!P:P,'Saline Comp Data Recording'!C:C=B36), ""Select Col1""),TRUE)) &amp; ""/"" &amp; i"&amp;"f(COUNTA(query(ifna(filter('Saline Comp Data Recording'!P:P,'Saline Comp Data Recording'!C:C=B36),""""), ""Select Col1""))=0,""0"",COUNTA(query(ifna(filter('Saline Comp Data Recording'!P:P,'Saline Comp Data Recording'!C:C=B36),""""), ""Select Col1"")))"),"0/5")</f>
        <v>0/5</v>
      </c>
      <c r="AI36" s="60" t="str">
        <f>IFERROR(__xludf.DUMMYFUNCTION("if(countif(query(filter('Saline Comp Data Recording'!Q:Q,'Saline Comp Data Recording'!C:C=B36), ""Select Col1""),TRUE)=0,""0"",countif(query(filter('Saline Comp Data Recording'!Q:Q,'Saline Comp Data Recording'!C:C=B36), ""Select Col1""),TRUE)) &amp; ""/"" &amp; i"&amp;"f(COUNTA(query(ifna(filter('Saline Comp Data Recording'!Q:Q,'Saline Comp Data Recording'!C:C=B36),""""), ""Select Col1""))=0,""0"",COUNTA(query(ifna(filter('Saline Comp Data Recording'!Q:Q,'Saline Comp Data Recording'!C:C=B36),""""), ""Select Col1"")))"),"0/5")</f>
        <v>0/5</v>
      </c>
      <c r="AJ36" s="59">
        <f>IFERROR(__xludf.DUMMYFUNCTION("iferror(SUM(query(filter('Saline Comp Data Recording'!S:S,'Saline Comp Data Recording'!C:C=B36), ""Select Col1"")),""-"")"),0.0)</f>
        <v>0</v>
      </c>
      <c r="AK36" s="59">
        <f>IFERROR(__xludf.DUMMYFUNCTION("iferror(SUM(query(filter('Saline Comp Data Recording'!T:T,'Saline Comp Data Recording'!C:C=B36), ""Select Col1"")),""-"")"),0.0)</f>
        <v>0</v>
      </c>
      <c r="AL36" s="54" t="str">
        <f t="shared" si="7"/>
        <v>-</v>
      </c>
      <c r="AM36" s="55">
        <f>IFERROR(__xludf.DUMMYFUNCTION("iferror(AVERAGE(query(filter('Saline Comp Data Recording'!T:T,'Saline Comp Data Recording'!C:C=B36), ""Select Col1"")),""0.00"")"),0.0)</f>
        <v>0</v>
      </c>
      <c r="AN36" s="61">
        <f>IFERROR(__xludf.DUMMYFUNCTION("iferror(MAX(query(filter('Saline Comp Data Recording'!T:T,'Saline Comp Data Recording'!C:C=B36), ""Select Col1"")),""-"")"),0.0)</f>
        <v>0</v>
      </c>
      <c r="AO36" s="62">
        <f>IFERROR(__xludf.DUMMYFUNCTION("iferror(SUM(query(filter('Saline Comp Data Recording'!U:U,'Saline Comp Data Recording'!C:C=B36), ""Select Col1"")),""-"")"),0.0)</f>
        <v>0</v>
      </c>
      <c r="AP36" s="62">
        <f>IFERROR(__xludf.DUMMYFUNCTION("iferror(SUM(query(filter('Saline Comp Data Recording'!V:V,'Saline Comp Data Recording'!C:C=B36), ""Select Col1"")),""-"")"),0.0)</f>
        <v>0</v>
      </c>
      <c r="AQ36" s="63" t="str">
        <f t="shared" si="8"/>
        <v>-</v>
      </c>
      <c r="AR36" s="64">
        <f>IFERROR(__xludf.DUMMYFUNCTION("iferror(AVERAGE(query(filter('Saline Comp Data Recording'!V:V,'Saline Comp Data Recording'!C:C=B36), ""Select Col1"")),""0.00"")"),0.0)</f>
        <v>0</v>
      </c>
      <c r="AS36" s="65">
        <f>IFERROR(__xludf.DUMMYFUNCTION("iferror(MAX(query(filter('Saline Comp Data Recording'!V:V,'Saline Comp Data Recording'!C:C=B36), ""Select Col1"")),""-"")"),0.0)</f>
        <v>0</v>
      </c>
      <c r="AT36" s="62">
        <f>IFERROR(__xludf.DUMMYFUNCTION("iferror(SUM(query(filter('Saline Comp Data Recording'!W:W,'Saline Comp Data Recording'!C:C=B36), ""Select Col1"")),""-"")"),2.0)</f>
        <v>2</v>
      </c>
      <c r="AU36" s="62">
        <f>IFERROR(__xludf.DUMMYFUNCTION("iferror(SUM(query(filter('Saline Comp Data Recording'!X:X,'Saline Comp Data Recording'!C:C=B36), ""Select Col1"")),""-"")"),2.0)</f>
        <v>2</v>
      </c>
      <c r="AV36" s="63">
        <f t="shared" si="9"/>
        <v>1</v>
      </c>
      <c r="AW36" s="64">
        <f>IFERROR(__xludf.DUMMYFUNCTION("iferror(AVERAGE(query(filter('Saline Comp Data Recording'!X:X,'Saline Comp Data Recording'!C:C=B36), ""Select Col1"")),""0.00"")"),0.4)</f>
        <v>0.4</v>
      </c>
      <c r="AX36" s="65">
        <f>IFERROR(__xludf.DUMMYFUNCTION("iferror(MAX(query(filter('Saline Comp Data Recording'!X:X,'Saline Comp Data Recording'!C:C=B36), ""Select Col1"")),""-"")"),2.0)</f>
        <v>2</v>
      </c>
      <c r="AY36" s="62">
        <f>IFERROR(__xludf.DUMMYFUNCTION("iferror(SUM(query(filter('Saline Comp Data Recording'!Y:Y,'Saline Comp Data Recording'!C:C=B36), ""Select Col1"")),""-"")"),1.0)</f>
        <v>1</v>
      </c>
      <c r="AZ36" s="62">
        <f>IFERROR(__xludf.DUMMYFUNCTION("iferror(SUM(query(filter('Saline Comp Data Recording'!Z:Z,'Saline Comp Data Recording'!C:C=B36), ""Select Col1"")),""-"")"),1.0)</f>
        <v>1</v>
      </c>
      <c r="BA36" s="63">
        <f t="shared" si="10"/>
        <v>1</v>
      </c>
      <c r="BB36" s="64">
        <f>IFERROR(__xludf.DUMMYFUNCTION("iferror(AVERAGE(query(filter('Saline Comp Data Recording'!Z:Z,'Saline Comp Data Recording'!C:C=B36), ""Select Col1"")),""0.00"")"),0.2)</f>
        <v>0.2</v>
      </c>
      <c r="BC36" s="65">
        <f>IFERROR(__xludf.DUMMYFUNCTION("iferror(MAX(query(filter('Saline Comp Data Recording'!Z:Z,'Saline Comp Data Recording'!C:C=B36), ""Select Col1"")),""-"")"),1.0)</f>
        <v>1</v>
      </c>
      <c r="BD36" s="62">
        <f>IFERROR(__xludf.DUMMYFUNCTION("iferror(SUM(query(filter('Saline Comp Data Recording'!AA:AA,'Saline Comp Data Recording'!C:C=B36), ""Select Col1"")),""-"")"),0.0)</f>
        <v>0</v>
      </c>
      <c r="BE36" s="62">
        <f>IFERROR(__xludf.DUMMYFUNCTION("iferror(SUM(query(filter('Saline Comp Data Recording'!AB:AB,'Saline Comp Data Recording'!C:C=B36), ""Select Col1"")),""-"")"),0.0)</f>
        <v>0</v>
      </c>
      <c r="BF36" s="63" t="str">
        <f t="shared" si="11"/>
        <v>-</v>
      </c>
      <c r="BG36" s="64">
        <f>IFERROR(__xludf.DUMMYFUNCTION("iferror(AVERAGE(query(filter('Saline Comp Data Recording'!AB:AB,'Saline Comp Data Recording'!C:C=B36), ""Select Col1"")),""0.00"")"),0.0)</f>
        <v>0</v>
      </c>
      <c r="BH36" s="65">
        <f>IFERROR(__xludf.DUMMYFUNCTION("iferror(MAX(query(filter('Saline Comp Data Recording'!AB:AB,'Saline Comp Data Recording'!C:C=B36), ""Select Col1"")),""-"")"),0.0)</f>
        <v>0</v>
      </c>
      <c r="BI36" s="62">
        <f>IFERROR(__xludf.DUMMYFUNCTION("iferror(SUM(query(filter('Saline Comp Data Recording'!AC:AC,'Saline Comp Data Recording'!C:C=B36), ""Select Col1"")),""-"")"),3.0)</f>
        <v>3</v>
      </c>
      <c r="BJ36" s="62">
        <f>IFERROR(__xludf.DUMMYFUNCTION("iferror(SUM(query(filter('Saline Comp Data Recording'!AD:AD,'Saline Comp Data Recording'!C:C=B36), ""Select Col1"")),""-"")"),3.0)</f>
        <v>3</v>
      </c>
      <c r="BK36" s="63">
        <f t="shared" si="12"/>
        <v>1</v>
      </c>
      <c r="BL36" s="64">
        <f>IFERROR(__xludf.DUMMYFUNCTION("iferror(AVERAGE(query(filter('Saline Comp Data Recording'!AD:AD,'Saline Comp Data Recording'!C:C=B36), ""Select Col1"")),""0.00"")"),0.6)</f>
        <v>0.6</v>
      </c>
      <c r="BM36" s="65">
        <f>IFERROR(__xludf.DUMMYFUNCTION("iferror(MAX(query(filter('Saline Comp Data Recording'!AD:AD,'Saline Comp Data Recording'!C:C=B36), ""Select Col1"")),""-"")"),2.0)</f>
        <v>2</v>
      </c>
      <c r="BN36" s="66" t="str">
        <f>IFERROR(__xludf.DUMMYFUNCTION("if(countif(query(filter('Saline Comp Data Recording'!AE:AE,'Saline Comp Data Recording'!C:C=B36), ""Select Col1""),""TRUE"")=0,""0"",countif(query(filter('Saline Comp Data Recording'!AE:AE,'Saline Comp Data Recording'!C:C=B36), ""Select Col1""),""TRUE""))"&amp;" &amp; ""/"" &amp; if(COUNTA(query(ifna(filter('Saline Comp Data Recording'!AE:AE,'Saline Comp Data Recording'!C:C=B36),""""), ""Select Col1""))=0,""0"",COUNTA(query(ifna(filter('Saline Comp Data Recording'!AE:AE,'Saline Comp Data Recording'!C:C=B36),""""), ""Sel"&amp;"ect Col1"")))"),"0/5")</f>
        <v>0/5</v>
      </c>
      <c r="BO36" s="67" t="str">
        <f>IFERROR(__xludf.DUMMYFUNCTION("if(countif(query(filter('Saline Comp Data Recording'!AF:AF,'Saline Comp Data Recording'!C:C=B36), ""Select Col1""),""TRUE"")=0,""0"",countif(query(filter('Saline Comp Data Recording'!AF:AF,'Saline Comp Data Recording'!C:C=B36), ""Select Col1""),""TRUE""))"&amp;" &amp; ""/"" &amp; if(COUNTA(query(ifna(filter('Saline Comp Data Recording'!AF:AF,'Saline Comp Data Recording'!C:C=B36),""""), ""Select Col1""))=0,""0"",COUNTA(query(ifna(filter('Saline Comp Data Recording'!AF:AF,'Saline Comp Data Recording'!C:C=B36),""""), ""Sel"&amp;"ect Col1"")))"),"0/5")</f>
        <v>0/5</v>
      </c>
      <c r="BP36" s="60" t="str">
        <f>IFERROR(__xludf.DUMMYFUNCTION("if(countif(query(filter('Saline Comp Data Recording'!AI:AI,'Saline Comp Data Recording'!C:C=B36), ""Select Col1""),""TRUE"")=0,""0"",countif(query(filter('Saline Comp Data Recording'!AI:AI,'Saline Comp Data Recording'!C:C=B36), ""Select Col1""),""TRUE""))"&amp;" &amp; ""/"" &amp; if(COUNTA(query(ifna(filter('Saline Comp Data Recording'!AI:AI,'Saline Comp Data Recording'!C:C=B36),""""), ""Select Col1""))=0,""0"",COUNTA(query(ifna(filter('Saline Comp Data Recording'!AI:AI,'Saline Comp Data Recording'!C:C=B36),""""), ""Sel"&amp;"ect Col1"")))"),"0/5")</f>
        <v>0/5</v>
      </c>
      <c r="BQ36" s="55">
        <f>IFERROR(__xludf.DUMMYFUNCTION("iferror(average(query(filter('Saline Comp Data Recording'!AG:AG,'Saline Comp Data Recording'!C:C=B36), ""Select Col1"")),""-"")"),1.0)</f>
        <v>1</v>
      </c>
      <c r="BR36" s="69">
        <f>IFERROR(__xludf.DUMMYFUNCTION("iferror(average(query(filter('Saline Comp Data Recording'!AH:AH,'Saline Comp Data Recording'!C:C=B36), ""Select Col1"")),""-"")"),0.6)</f>
        <v>0.6</v>
      </c>
      <c r="BS36" s="70">
        <f>IFERROR(__xludf.DUMMYFUNCTION("iferror(AVERAGE(query(filter('Saline Comp Data Recording'!AK:AK,'Saline Comp Data Recording'!C:C=B36), ""Select Col1"")),""-"")"),3.0)</f>
        <v>3</v>
      </c>
      <c r="BT36" s="70">
        <f>IFERROR(__xludf.DUMMYFUNCTION("iferror(AVERAGE(query(filter('Saline Comp Data Recording'!AL:AL,'Saline Comp Data Recording'!C:C=B36), ""Select Col1"")),""-"")"),3.0)</f>
        <v>3</v>
      </c>
      <c r="BU36" s="71">
        <f>IFERROR(__xludf.DUMMYFUNCTION("iferror(max(query(filter('Saline Comp Data Recording'!AK:AK,'Saline Comp Data Recording'!C:C=B36), ""Select Col1"")),""-"")"),5.0)</f>
        <v>5</v>
      </c>
      <c r="BV36" s="72">
        <f>IFERROR(__xludf.DUMMYFUNCTION("iferror(MIN(query(filter('Saline Comp Data Recording'!AK:AK,'Saline Comp Data Recording'!C:C=B36), ""Select Col1"")),""-"")"),0.0)</f>
        <v>0</v>
      </c>
      <c r="BW36" s="73" t="str">
        <f>IFERROR(__xludf.DUMMYFUNCTION("iferror(if(DIVIDE(COUNTIF(query(filter('Saline Comp Data Recording'!P:P,'Saline Comp Data Recording'!C:C=B36), ""Select Col1""),TRUE),COUNTA(query(ifna(filter('Saline Comp Data Recording'!P:P,'Saline Comp Data Recording'!C:C=B36),""""), ""Select Col1"")))"&amp;"&gt;=(0.5),""1"",""0""),""-"")"),"0")</f>
        <v>0</v>
      </c>
      <c r="BX36" s="59" t="str">
        <f>IFERROR(__xludf.DUMMYFUNCTION("iferror(if(countif(query(filter('Saline Comp Data Recording'!Q:Q,'Saline Comp Data Recording'!C:C=B36), ""Select Col1""),TRUE)/COUNTA(query(ifna(filter('Saline Comp Data Recording'!Q:Q,'Saline Comp Data Recording'!C:C=B36),""""), ""Select Col1""))&gt;=(0.5),"&amp;"""1"",""0""),""-"")"),"0")</f>
        <v>0</v>
      </c>
      <c r="BY36" s="74" t="str">
        <f>IFERROR(__xludf.DUMMYFUNCTION("iferror(if(DIVIDE(COUNTIF(query(filter('Saline Comp Data Recording'!AE:AE,'Saline Comp Data Recording'!C:C=B36), ""Select Col1""),TRUE),COUNTA(query(ifna(filter('Saline Comp Data Recording'!AE:AE,'Saline Comp Data Recording'!C:C=B36),""""), ""Select Col1"&amp;""")))&gt;=(0.5),""1"",""0""),""-"")"),"0")</f>
        <v>0</v>
      </c>
      <c r="BZ36" s="59" t="str">
        <f>IFERROR(__xludf.DUMMYFUNCTION("iferror(if(countif(query(filter('Saline Comp Data Recording'!AF:AF,'Saline Comp Data Recording'!C:C=B36), ""Select Col1""),TRUE)/COUNTA(query(ifna(filter('Saline Comp Data Recording'!AF:AF,'Saline Comp Data Recording'!C:C=B36),""""), ""Select Col1""))&gt;=(0"&amp;".5),""1"",""0""),""-"")"),"0")</f>
        <v>0</v>
      </c>
      <c r="CA36" s="74" t="str">
        <f>IFERROR(__xludf.DUMMYFUNCTION("iferror(if(DIVIDE(countif(query(filter('Saline Comp Data Recording'!R:R,'Saline Comp Data Recording'!C:C=B36), ""Select Col1""),TRUE),COUNTA(query(ifna(filter('Saline Comp Data Recording'!R:R,'Saline Comp Data Recording'!C:C=B36),""""), ""Select Col1"")))"&amp;"&gt;=(0.5),""1"",""0""),""-"")"),"0")</f>
        <v>0</v>
      </c>
    </row>
    <row r="37">
      <c r="A37" s="51" t="s">
        <v>546</v>
      </c>
      <c r="B37" s="51">
        <v>4810.0</v>
      </c>
      <c r="C37" s="52" t="str">
        <f>IFERROR(__xludf.DUMMYFUNCTION("if(countif(query(filter('Saline Comp Data Recording'!R:R,'Saline Comp Data Recording'!C:C=B37), ""Select Col1""),""TRUE"")=0,""0"",countif(query(filter('Saline Comp Data Recording'!R:R,'Saline Comp Data Recording'!C:C=B37), ""Select Col1""),""TRUE"")) &amp; "&amp;"""/"" &amp; if(COUNTA(query(ifna(filter('Saline Comp Data Recording'!R:R,'Saline Comp Data Recording'!C:C=B37),""""), ""Select Col1""))=0,""0"",COUNTA(query(ifna(filter('Saline Comp Data Recording'!R:R,'Saline Comp Data Recording'!C:C=B37),""""), ""Select Col"&amp;"1"")))"),"5/7")</f>
        <v>5/7</v>
      </c>
      <c r="D37" s="53">
        <f>IFERROR(__xludf.DUMMYFUNCTION("iferror(SUM(query(filter('Saline Comp Data Recording'!D:D,'Saline Comp Data Recording'!C:C=B37), ""Select Col1"")),""-"")"),0.0)</f>
        <v>0</v>
      </c>
      <c r="E37" s="53">
        <f>IFERROR(__xludf.DUMMYFUNCTION("iferror(SUM(query(filter('Saline Comp Data Recording'!E:E,'Saline Comp Data Recording'!C:C=B37), ""Select Col1"")),""-"")"),0.0)</f>
        <v>0</v>
      </c>
      <c r="F37" s="54" t="str">
        <f t="shared" si="1"/>
        <v>-</v>
      </c>
      <c r="G37" s="55">
        <f>IFERROR(__xludf.DUMMYFUNCTION("iferror(AVERAGE(query(filter('Saline Comp Data Recording'!E:E,'Saline Comp Data Recording'!C:C=B37), ""Select Col1"")),""0.00"")"),0.0)</f>
        <v>0</v>
      </c>
      <c r="H37" s="53">
        <f>IFERROR(__xludf.DUMMYFUNCTION("iferror(MAX(query(filter('Saline Comp Data Recording'!E:E,'Saline Comp Data Recording'!C:C=B37), ""Select Col1"")),""-"")"),0.0)</f>
        <v>0</v>
      </c>
      <c r="I37" s="56">
        <f>IFERROR(__xludf.DUMMYFUNCTION("iferror(SUM(query(filter('Saline Comp Data Recording'!F:F,'Saline Comp Data Recording'!C:C=B37), ""Select Col1"")),""-"")"),0.0)</f>
        <v>0</v>
      </c>
      <c r="J37" s="57">
        <f>IFERROR(__xludf.DUMMYFUNCTION("iferror(SUM(query(filter('Saline Comp Data Recording'!G:G,'Saline Comp Data Recording'!C:C=B37), ""Select Col1"")),""-"")"),0.0)</f>
        <v>0</v>
      </c>
      <c r="K37" s="54" t="str">
        <f t="shared" si="2"/>
        <v>-</v>
      </c>
      <c r="L37" s="55">
        <f>IFERROR(__xludf.DUMMYFUNCTION("iferror(AVERAGE(query(filter('Saline Comp Data Recording'!G:G,'Saline Comp Data Recording'!C:C=B37), ""Select Col1"")),""0.00"")"),0.0)</f>
        <v>0</v>
      </c>
      <c r="M37" s="53">
        <f>IFERROR(__xludf.DUMMYFUNCTION("iferror(MAX(query(filter('Saline Comp Data Recording'!G:G,'Saline Comp Data Recording'!C:C=B37), ""Select Col1"")),""-"")"),0.0)</f>
        <v>0</v>
      </c>
      <c r="N37" s="58">
        <f>IFERROR(__xludf.DUMMYFUNCTION("iferror(SUM(query(filter('Saline Comp Data Recording'!H:H,'Saline Comp Data Recording'!C:C=B37), ""Select Col1"")),""-"")"),0.0)</f>
        <v>0</v>
      </c>
      <c r="O37" s="59">
        <f>IFERROR(__xludf.DUMMYFUNCTION("iferror(SUM(query(filter('Saline Comp Data Recording'!I:I,'Saline Comp Data Recording'!C:C=B37), ""Select Col1"")),""-"")"),0.0)</f>
        <v>0</v>
      </c>
      <c r="P37" s="54" t="str">
        <f t="shared" si="3"/>
        <v>-</v>
      </c>
      <c r="Q37" s="55">
        <f>IFERROR(__xludf.DUMMYFUNCTION("iferror(AVERAGE(query(filter('Saline Comp Data Recording'!I:I,'Saline Comp Data Recording'!C:C=B37), ""Select Col1"")),""0.00"")"),0.0)</f>
        <v>0</v>
      </c>
      <c r="R37" s="53">
        <f>IFERROR(__xludf.DUMMYFUNCTION("iferror(MAX(query(filter('Saline Comp Data Recording'!I:I,'Saline Comp Data Recording'!C:C=B37), ""Select Col1"")),""-"")"),0.0)</f>
        <v>0</v>
      </c>
      <c r="S37" s="58">
        <f>IFERROR(__xludf.DUMMYFUNCTION("iferror(SUM(query(filter('Saline Comp Data Recording'!J:J,'Saline Comp Data Recording'!C:C=B37), ""Select Col1"")),""-"")"),0.0)</f>
        <v>0</v>
      </c>
      <c r="T37" s="59">
        <f>IFERROR(__xludf.DUMMYFUNCTION("iferror(SUM(query(filter('Saline Comp Data Recording'!K:K,'Saline Comp Data Recording'!C:C=B37), ""Select Col1"")),""-"")"),0.0)</f>
        <v>0</v>
      </c>
      <c r="U37" s="54" t="str">
        <f t="shared" si="4"/>
        <v>-</v>
      </c>
      <c r="V37" s="55">
        <f>IFERROR(__xludf.DUMMYFUNCTION("iferror(AVERAGE(query(filter('Saline Comp Data Recording'!K:K,'Saline Comp Data Recording'!C:C=B37), ""Select Col1"")),""-"")"),0.0)</f>
        <v>0</v>
      </c>
      <c r="W37" s="52">
        <f>IFERROR(__xludf.DUMMYFUNCTION("iferror(MAX(query(filter('Saline Comp Data Recording'!K:K,'Saline Comp Data Recording'!C:C=B37), ""Select Col1"")),""-"")"),0.0)</f>
        <v>0</v>
      </c>
      <c r="X37" s="59">
        <f>IFERROR(__xludf.DUMMYFUNCTION("iferror(SUM(query(filter('Saline Comp Data Recording'!L:L,'Saline Comp Data Recording'!C:C=B37), ""Select Col1"")),""-"")"),5.0)</f>
        <v>5</v>
      </c>
      <c r="Y37" s="59">
        <f>IFERROR(__xludf.DUMMYFUNCTION("iferror(SUM(query(filter('Saline Comp Data Recording'!M:M,'Saline Comp Data Recording'!C:C=B37), ""Select Col1"")),""-"")"),4.0)</f>
        <v>4</v>
      </c>
      <c r="Z37" s="54">
        <f t="shared" si="5"/>
        <v>0.8</v>
      </c>
      <c r="AA37" s="55">
        <f>IFERROR(__xludf.DUMMYFUNCTION("iferror(AVERAGE(query(filter('Saline Comp Data Recording'!M:M,'Saline Comp Data Recording'!C:C=B37), ""Select Col1"")),""0.00"")"),0.5714285714285714)</f>
        <v>0.5714285714</v>
      </c>
      <c r="AB37" s="52">
        <f>IFERROR(__xludf.DUMMYFUNCTION("iferror(MAX(query(filter('Saline Comp Data Recording'!M:M,'Saline Comp Data Recording'!C:C=B37), ""Select Col1"")),""-"")"),1.0)</f>
        <v>1</v>
      </c>
      <c r="AC37" s="59">
        <f>IFERROR(__xludf.DUMMYFUNCTION("iferror(SUM(query(filter('Saline Comp Data Recording'!N:N,'Saline Comp Data Recording'!C:C=B37), ""Select Col1"")),""-"")"),1.0)</f>
        <v>1</v>
      </c>
      <c r="AD37" s="59">
        <f>IFERROR(__xludf.DUMMYFUNCTION("iferror(SUM(query(filter('Saline Comp Data Recording'!O:O,'Saline Comp Data Recording'!C:C=B37), ""Select Col1"")),""-"")"),1.0)</f>
        <v>1</v>
      </c>
      <c r="AE37" s="54">
        <f t="shared" si="6"/>
        <v>1</v>
      </c>
      <c r="AF37" s="55">
        <f>IFERROR(__xludf.DUMMYFUNCTION("iferror(AVERAGE(query(filter('Saline Comp Data Recording'!O:O,'Saline Comp Data Recording'!C:C=B37), ""Select Col1"")),""0.00"")"),0.14285714285714285)</f>
        <v>0.1428571429</v>
      </c>
      <c r="AG37" s="59">
        <f>IFERROR(__xludf.DUMMYFUNCTION("iferror(MAX(query(filter('Saline Comp Data Recording'!O:O,'Saline Comp Data Recording'!C:C=B37), ""Select Col1"")),""-"")"),1.0)</f>
        <v>1</v>
      </c>
      <c r="AH37" s="58" t="str">
        <f>IFERROR(__xludf.DUMMYFUNCTION("if(countif(query(filter('Saline Comp Data Recording'!P:P,'Saline Comp Data Recording'!C:C=B37), ""Select Col1""),TRUE)=0,""0"",countif(query(filter('Saline Comp Data Recording'!P:P,'Saline Comp Data Recording'!C:C=B37), ""Select Col1""),TRUE)) &amp; ""/"" &amp; i"&amp;"f(COUNTA(query(ifna(filter('Saline Comp Data Recording'!P:P,'Saline Comp Data Recording'!C:C=B37),""""), ""Select Col1""))=0,""0"",COUNTA(query(ifna(filter('Saline Comp Data Recording'!P:P,'Saline Comp Data Recording'!C:C=B37),""""), ""Select Col1"")))"),"0/7")</f>
        <v>0/7</v>
      </c>
      <c r="AI37" s="60" t="str">
        <f>IFERROR(__xludf.DUMMYFUNCTION("if(countif(query(filter('Saline Comp Data Recording'!Q:Q,'Saline Comp Data Recording'!C:C=B37), ""Select Col1""),TRUE)=0,""0"",countif(query(filter('Saline Comp Data Recording'!Q:Q,'Saline Comp Data Recording'!C:C=B37), ""Select Col1""),TRUE)) &amp; ""/"" &amp; i"&amp;"f(COUNTA(query(ifna(filter('Saline Comp Data Recording'!Q:Q,'Saline Comp Data Recording'!C:C=B37),""""), ""Select Col1""))=0,""0"",COUNTA(query(ifna(filter('Saline Comp Data Recording'!Q:Q,'Saline Comp Data Recording'!C:C=B37),""""), ""Select Col1"")))"),"0/7")</f>
        <v>0/7</v>
      </c>
      <c r="AJ37" s="59">
        <f>IFERROR(__xludf.DUMMYFUNCTION("iferror(SUM(query(filter('Saline Comp Data Recording'!S:S,'Saline Comp Data Recording'!C:C=B37), ""Select Col1"")),""-"")"),1.0)</f>
        <v>1</v>
      </c>
      <c r="AK37" s="59">
        <f>IFERROR(__xludf.DUMMYFUNCTION("iferror(SUM(query(filter('Saline Comp Data Recording'!T:T,'Saline Comp Data Recording'!C:C=B37), ""Select Col1"")),""-"")"),1.0)</f>
        <v>1</v>
      </c>
      <c r="AL37" s="54">
        <f t="shared" si="7"/>
        <v>1</v>
      </c>
      <c r="AM37" s="55">
        <f>IFERROR(__xludf.DUMMYFUNCTION("iferror(AVERAGE(query(filter('Saline Comp Data Recording'!T:T,'Saline Comp Data Recording'!C:C=B37), ""Select Col1"")),""0.00"")"),0.14285714285714285)</f>
        <v>0.1428571429</v>
      </c>
      <c r="AN37" s="61">
        <f>IFERROR(__xludf.DUMMYFUNCTION("iferror(MAX(query(filter('Saline Comp Data Recording'!T:T,'Saline Comp Data Recording'!C:C=B37), ""Select Col1"")),""-"")"),1.0)</f>
        <v>1</v>
      </c>
      <c r="AO37" s="62">
        <f>IFERROR(__xludf.DUMMYFUNCTION("iferror(SUM(query(filter('Saline Comp Data Recording'!U:U,'Saline Comp Data Recording'!C:C=B37), ""Select Col1"")),""-"")"),0.0)</f>
        <v>0</v>
      </c>
      <c r="AP37" s="62">
        <f>IFERROR(__xludf.DUMMYFUNCTION("iferror(SUM(query(filter('Saline Comp Data Recording'!V:V,'Saline Comp Data Recording'!C:C=B37), ""Select Col1"")),""-"")"),0.0)</f>
        <v>0</v>
      </c>
      <c r="AQ37" s="63" t="str">
        <f t="shared" si="8"/>
        <v>-</v>
      </c>
      <c r="AR37" s="64">
        <f>IFERROR(__xludf.DUMMYFUNCTION("iferror(AVERAGE(query(filter('Saline Comp Data Recording'!V:V,'Saline Comp Data Recording'!C:C=B37), ""Select Col1"")),""0.00"")"),0.0)</f>
        <v>0</v>
      </c>
      <c r="AS37" s="65">
        <f>IFERROR(__xludf.DUMMYFUNCTION("iferror(MAX(query(filter('Saline Comp Data Recording'!V:V,'Saline Comp Data Recording'!C:C=B37), ""Select Col1"")),""-"")"),0.0)</f>
        <v>0</v>
      </c>
      <c r="AT37" s="62">
        <f>IFERROR(__xludf.DUMMYFUNCTION("iferror(SUM(query(filter('Saline Comp Data Recording'!W:W,'Saline Comp Data Recording'!C:C=B37), ""Select Col1"")),""-"")"),0.0)</f>
        <v>0</v>
      </c>
      <c r="AU37" s="62">
        <f>IFERROR(__xludf.DUMMYFUNCTION("iferror(SUM(query(filter('Saline Comp Data Recording'!X:X,'Saline Comp Data Recording'!C:C=B37), ""Select Col1"")),""-"")"),0.0)</f>
        <v>0</v>
      </c>
      <c r="AV37" s="63" t="str">
        <f t="shared" si="9"/>
        <v>-</v>
      </c>
      <c r="AW37" s="64">
        <f>IFERROR(__xludf.DUMMYFUNCTION("iferror(AVERAGE(query(filter('Saline Comp Data Recording'!X:X,'Saline Comp Data Recording'!C:C=B37), ""Select Col1"")),""0.00"")"),0.0)</f>
        <v>0</v>
      </c>
      <c r="AX37" s="65">
        <f>IFERROR(__xludf.DUMMYFUNCTION("iferror(MAX(query(filter('Saline Comp Data Recording'!X:X,'Saline Comp Data Recording'!C:C=B37), ""Select Col1"")),""-"")"),0.0)</f>
        <v>0</v>
      </c>
      <c r="AY37" s="62">
        <f>IFERROR(__xludf.DUMMYFUNCTION("iferror(SUM(query(filter('Saline Comp Data Recording'!Y:Y,'Saline Comp Data Recording'!C:C=B37), ""Select Col1"")),""-"")"),2.0)</f>
        <v>2</v>
      </c>
      <c r="AZ37" s="62">
        <f>IFERROR(__xludf.DUMMYFUNCTION("iferror(SUM(query(filter('Saline Comp Data Recording'!Z:Z,'Saline Comp Data Recording'!C:C=B37), ""Select Col1"")),""-"")"),1.0)</f>
        <v>1</v>
      </c>
      <c r="BA37" s="63">
        <f t="shared" si="10"/>
        <v>0.5</v>
      </c>
      <c r="BB37" s="64">
        <f>IFERROR(__xludf.DUMMYFUNCTION("iferror(AVERAGE(query(filter('Saline Comp Data Recording'!Z:Z,'Saline Comp Data Recording'!C:C=B37), ""Select Col1"")),""0.00"")"),0.14285714285714285)</f>
        <v>0.1428571429</v>
      </c>
      <c r="BC37" s="65">
        <f>IFERROR(__xludf.DUMMYFUNCTION("iferror(MAX(query(filter('Saline Comp Data Recording'!Z:Z,'Saline Comp Data Recording'!C:C=B37), ""Select Col1"")),""-"")"),1.0)</f>
        <v>1</v>
      </c>
      <c r="BD37" s="62">
        <f>IFERROR(__xludf.DUMMYFUNCTION("iferror(SUM(query(filter('Saline Comp Data Recording'!AA:AA,'Saline Comp Data Recording'!C:C=B37), ""Select Col1"")),""-"")"),13.0)</f>
        <v>13</v>
      </c>
      <c r="BE37" s="62">
        <f>IFERROR(__xludf.DUMMYFUNCTION("iferror(SUM(query(filter('Saline Comp Data Recording'!AB:AB,'Saline Comp Data Recording'!C:C=B37), ""Select Col1"")),""-"")"),10.0)</f>
        <v>10</v>
      </c>
      <c r="BF37" s="63">
        <f t="shared" si="11"/>
        <v>0.7692307692</v>
      </c>
      <c r="BG37" s="64">
        <f>IFERROR(__xludf.DUMMYFUNCTION("iferror(AVERAGE(query(filter('Saline Comp Data Recording'!AB:AB,'Saline Comp Data Recording'!C:C=B37), ""Select Col1"")),""0.00"")"),1.4285714285714286)</f>
        <v>1.428571429</v>
      </c>
      <c r="BH37" s="65">
        <f>IFERROR(__xludf.DUMMYFUNCTION("iferror(MAX(query(filter('Saline Comp Data Recording'!AB:AB,'Saline Comp Data Recording'!C:C=B37), ""Select Col1"")),""-"")"),3.0)</f>
        <v>3</v>
      </c>
      <c r="BI37" s="62">
        <f>IFERROR(__xludf.DUMMYFUNCTION("iferror(SUM(query(filter('Saline Comp Data Recording'!AC:AC,'Saline Comp Data Recording'!C:C=B37), ""Select Col1"")),""-"")"),18.0)</f>
        <v>18</v>
      </c>
      <c r="BJ37" s="62">
        <f>IFERROR(__xludf.DUMMYFUNCTION("iferror(SUM(query(filter('Saline Comp Data Recording'!AD:AD,'Saline Comp Data Recording'!C:C=B37), ""Select Col1"")),""-"")"),16.0)</f>
        <v>16</v>
      </c>
      <c r="BK37" s="63">
        <f t="shared" si="12"/>
        <v>0.8888888889</v>
      </c>
      <c r="BL37" s="64">
        <f>IFERROR(__xludf.DUMMYFUNCTION("iferror(AVERAGE(query(filter('Saline Comp Data Recording'!AD:AD,'Saline Comp Data Recording'!C:C=B37), ""Select Col1"")),""0.00"")"),2.2857142857142856)</f>
        <v>2.285714286</v>
      </c>
      <c r="BM37" s="65">
        <f>IFERROR(__xludf.DUMMYFUNCTION("iferror(MAX(query(filter('Saline Comp Data Recording'!AD:AD,'Saline Comp Data Recording'!C:C=B37), ""Select Col1"")),""-"")"),4.0)</f>
        <v>4</v>
      </c>
      <c r="BN37" s="66" t="str">
        <f>IFERROR(__xludf.DUMMYFUNCTION("if(countif(query(filter('Saline Comp Data Recording'!AE:AE,'Saline Comp Data Recording'!C:C=B37), ""Select Col1""),""TRUE"")=0,""0"",countif(query(filter('Saline Comp Data Recording'!AE:AE,'Saline Comp Data Recording'!C:C=B37), ""Select Col1""),""TRUE""))"&amp;" &amp; ""/"" &amp; if(COUNTA(query(ifna(filter('Saline Comp Data Recording'!AE:AE,'Saline Comp Data Recording'!C:C=B37),""""), ""Select Col1""))=0,""0"",COUNTA(query(ifna(filter('Saline Comp Data Recording'!AE:AE,'Saline Comp Data Recording'!C:C=B37),""""), ""Sel"&amp;"ect Col1"")))"),"0/7")</f>
        <v>0/7</v>
      </c>
      <c r="BO37" s="67" t="str">
        <f>IFERROR(__xludf.DUMMYFUNCTION("if(countif(query(filter('Saline Comp Data Recording'!AF:AF,'Saline Comp Data Recording'!C:C=B37), ""Select Col1""),""TRUE"")=0,""0"",countif(query(filter('Saline Comp Data Recording'!AF:AF,'Saline Comp Data Recording'!C:C=B37), ""Select Col1""),""TRUE""))"&amp;" &amp; ""/"" &amp; if(COUNTA(query(ifna(filter('Saline Comp Data Recording'!AF:AF,'Saline Comp Data Recording'!C:C=B37),""""), ""Select Col1""))=0,""0"",COUNTA(query(ifna(filter('Saline Comp Data Recording'!AF:AF,'Saline Comp Data Recording'!C:C=B37),""""), ""Sel"&amp;"ect Col1"")))"),"0/7")</f>
        <v>0/7</v>
      </c>
      <c r="BP37" s="60" t="str">
        <f>IFERROR(__xludf.DUMMYFUNCTION("if(countif(query(filter('Saline Comp Data Recording'!AI:AI,'Saline Comp Data Recording'!C:C=B37), ""Select Col1""),""TRUE"")=0,""0"",countif(query(filter('Saline Comp Data Recording'!AI:AI,'Saline Comp Data Recording'!C:C=B37), ""Select Col1""),""TRUE""))"&amp;" &amp; ""/"" &amp; if(COUNTA(query(ifna(filter('Saline Comp Data Recording'!AI:AI,'Saline Comp Data Recording'!C:C=B37),""""), ""Select Col1""))=0,""0"",COUNTA(query(ifna(filter('Saline Comp Data Recording'!AI:AI,'Saline Comp Data Recording'!C:C=B37),""""), ""Sel"&amp;"ect Col1"")))"),"0/7")</f>
        <v>0/7</v>
      </c>
      <c r="BQ37" s="55">
        <f>IFERROR(__xludf.DUMMYFUNCTION("iferror(average(query(filter('Saline Comp Data Recording'!AG:AG,'Saline Comp Data Recording'!C:C=B37), ""Select Col1"")),""-"")"),2.5714285714285716)</f>
        <v>2.571428571</v>
      </c>
      <c r="BR37" s="69">
        <f>IFERROR(__xludf.DUMMYFUNCTION("iferror(average(query(filter('Saline Comp Data Recording'!AH:AH,'Saline Comp Data Recording'!C:C=B37), ""Select Col1"")),""-"")"),1.2857142857142858)</f>
        <v>1.285714286</v>
      </c>
      <c r="BS37" s="70">
        <f>IFERROR(__xludf.DUMMYFUNCTION("iferror(AVERAGE(query(filter('Saline Comp Data Recording'!AK:AK,'Saline Comp Data Recording'!C:C=B37), ""Select Col1"")),""-"")"),15.142857142857142)</f>
        <v>15.14285714</v>
      </c>
      <c r="BT37" s="70">
        <f>IFERROR(__xludf.DUMMYFUNCTION("iferror(AVERAGE(query(filter('Saline Comp Data Recording'!AL:AL,'Saline Comp Data Recording'!C:C=B37), ""Select Col1"")),""-"")"),15.142857142857142)</f>
        <v>15.14285714</v>
      </c>
      <c r="BU37" s="71">
        <f>IFERROR(__xludf.DUMMYFUNCTION("iferror(max(query(filter('Saline Comp Data Recording'!AK:AK,'Saline Comp Data Recording'!C:C=B37), ""Select Col1"")),""-"")"),21.0)</f>
        <v>21</v>
      </c>
      <c r="BV37" s="72">
        <f>IFERROR(__xludf.DUMMYFUNCTION("iferror(MIN(query(filter('Saline Comp Data Recording'!AK:AK,'Saline Comp Data Recording'!C:C=B37), ""Select Col1"")),""-"")"),11.0)</f>
        <v>11</v>
      </c>
      <c r="BW37" s="73" t="str">
        <f>IFERROR(__xludf.DUMMYFUNCTION("iferror(if(DIVIDE(COUNTIF(query(filter('Saline Comp Data Recording'!P:P,'Saline Comp Data Recording'!C:C=B37), ""Select Col1""),TRUE),COUNTA(query(ifna(filter('Saline Comp Data Recording'!P:P,'Saline Comp Data Recording'!C:C=B37),""""), ""Select Col1"")))"&amp;"&gt;=(0.5),""1"",""0""),""-"")"),"0")</f>
        <v>0</v>
      </c>
      <c r="BX37" s="59" t="str">
        <f>IFERROR(__xludf.DUMMYFUNCTION("iferror(if(countif(query(filter('Saline Comp Data Recording'!Q:Q,'Saline Comp Data Recording'!C:C=B37), ""Select Col1""),TRUE)/COUNTA(query(ifna(filter('Saline Comp Data Recording'!Q:Q,'Saline Comp Data Recording'!C:C=B37),""""), ""Select Col1""))&gt;=(0.5),"&amp;"""1"",""0""),""-"")"),"0")</f>
        <v>0</v>
      </c>
      <c r="BY37" s="74" t="str">
        <f>IFERROR(__xludf.DUMMYFUNCTION("iferror(if(DIVIDE(COUNTIF(query(filter('Saline Comp Data Recording'!AE:AE,'Saline Comp Data Recording'!C:C=B37), ""Select Col1""),TRUE),COUNTA(query(ifna(filter('Saline Comp Data Recording'!AE:AE,'Saline Comp Data Recording'!C:C=B37),""""), ""Select Col1"&amp;""")))&gt;=(0.5),""1"",""0""),""-"")"),"0")</f>
        <v>0</v>
      </c>
      <c r="BZ37" s="59" t="str">
        <f>IFERROR(__xludf.DUMMYFUNCTION("iferror(if(countif(query(filter('Saline Comp Data Recording'!AF:AF,'Saline Comp Data Recording'!C:C=B37), ""Select Col1""),TRUE)/COUNTA(query(ifna(filter('Saline Comp Data Recording'!AF:AF,'Saline Comp Data Recording'!C:C=B37),""""), ""Select Col1""))&gt;=(0"&amp;".5),""1"",""0""),""-"")"),"0")</f>
        <v>0</v>
      </c>
      <c r="CA37" s="74" t="str">
        <f>IFERROR(__xludf.DUMMYFUNCTION("iferror(if(DIVIDE(countif(query(filter('Saline Comp Data Recording'!R:R,'Saline Comp Data Recording'!C:C=B37), ""Select Col1""),TRUE),COUNTA(query(ifna(filter('Saline Comp Data Recording'!R:R,'Saline Comp Data Recording'!C:C=B37),""""), ""Select Col1"")))"&amp;"&gt;=(0.5),""1"",""0""),""-"")"),"1")</f>
        <v>1</v>
      </c>
    </row>
    <row r="38">
      <c r="A38" s="51" t="s">
        <v>547</v>
      </c>
      <c r="B38" s="51">
        <v>1711.0</v>
      </c>
      <c r="C38" s="52" t="str">
        <f>IFERROR(__xludf.DUMMYFUNCTION("if(countif(query(filter('Saline Comp Data Recording'!R:R,'Saline Comp Data Recording'!C:C=B38), ""Select Col1""),""TRUE"")=0,""0"",countif(query(filter('Saline Comp Data Recording'!R:R,'Saline Comp Data Recording'!C:C=B38), ""Select Col1""),""TRUE"")) &amp; "&amp;"""/"" &amp; if(COUNTA(query(ifna(filter('Saline Comp Data Recording'!R:R,'Saline Comp Data Recording'!C:C=B38),""""), ""Select Col1""))=0,""0"",COUNTA(query(ifna(filter('Saline Comp Data Recording'!R:R,'Saline Comp Data Recording'!C:C=B38),""""), ""Select Col"&amp;"1"")))"),"3/4")</f>
        <v>3/4</v>
      </c>
      <c r="D38" s="53">
        <f>IFERROR(__xludf.DUMMYFUNCTION("iferror(SUM(query(filter('Saline Comp Data Recording'!D:D,'Saline Comp Data Recording'!C:C=B38), ""Select Col1"")),""-"")"),0.0)</f>
        <v>0</v>
      </c>
      <c r="E38" s="53">
        <f>IFERROR(__xludf.DUMMYFUNCTION("iferror(SUM(query(filter('Saline Comp Data Recording'!E:E,'Saline Comp Data Recording'!C:C=B38), ""Select Col1"")),""-"")"),0.0)</f>
        <v>0</v>
      </c>
      <c r="F38" s="54" t="str">
        <f t="shared" si="1"/>
        <v>-</v>
      </c>
      <c r="G38" s="55">
        <f>IFERROR(__xludf.DUMMYFUNCTION("iferror(AVERAGE(query(filter('Saline Comp Data Recording'!E:E,'Saline Comp Data Recording'!C:C=B38), ""Select Col1"")),""0.00"")"),0.0)</f>
        <v>0</v>
      </c>
      <c r="H38" s="53">
        <f>IFERROR(__xludf.DUMMYFUNCTION("iferror(MAX(query(filter('Saline Comp Data Recording'!E:E,'Saline Comp Data Recording'!C:C=B38), ""Select Col1"")),""-"")"),0.0)</f>
        <v>0</v>
      </c>
      <c r="I38" s="56">
        <f>IFERROR(__xludf.DUMMYFUNCTION("iferror(SUM(query(filter('Saline Comp Data Recording'!F:F,'Saline Comp Data Recording'!C:C=B38), ""Select Col1"")),""-"")"),0.0)</f>
        <v>0</v>
      </c>
      <c r="J38" s="57">
        <f>IFERROR(__xludf.DUMMYFUNCTION("iferror(SUM(query(filter('Saline Comp Data Recording'!G:G,'Saline Comp Data Recording'!C:C=B38), ""Select Col1"")),""-"")"),0.0)</f>
        <v>0</v>
      </c>
      <c r="K38" s="54" t="str">
        <f t="shared" si="2"/>
        <v>-</v>
      </c>
      <c r="L38" s="55">
        <f>IFERROR(__xludf.DUMMYFUNCTION("iferror(AVERAGE(query(filter('Saline Comp Data Recording'!G:G,'Saline Comp Data Recording'!C:C=B38), ""Select Col1"")),""0.00"")"),0.0)</f>
        <v>0</v>
      </c>
      <c r="M38" s="53">
        <f>IFERROR(__xludf.DUMMYFUNCTION("iferror(MAX(query(filter('Saline Comp Data Recording'!G:G,'Saline Comp Data Recording'!C:C=B38), ""Select Col1"")),""-"")"),0.0)</f>
        <v>0</v>
      </c>
      <c r="N38" s="58">
        <f>IFERROR(__xludf.DUMMYFUNCTION("iferror(SUM(query(filter('Saline Comp Data Recording'!H:H,'Saline Comp Data Recording'!C:C=B38), ""Select Col1"")),""-"")"),0.0)</f>
        <v>0</v>
      </c>
      <c r="O38" s="59">
        <f>IFERROR(__xludf.DUMMYFUNCTION("iferror(SUM(query(filter('Saline Comp Data Recording'!I:I,'Saline Comp Data Recording'!C:C=B38), ""Select Col1"")),""-"")"),0.0)</f>
        <v>0</v>
      </c>
      <c r="P38" s="54" t="str">
        <f t="shared" si="3"/>
        <v>-</v>
      </c>
      <c r="Q38" s="55">
        <f>IFERROR(__xludf.DUMMYFUNCTION("iferror(AVERAGE(query(filter('Saline Comp Data Recording'!I:I,'Saline Comp Data Recording'!C:C=B38), ""Select Col1"")),""0.00"")"),0.0)</f>
        <v>0</v>
      </c>
      <c r="R38" s="53">
        <f>IFERROR(__xludf.DUMMYFUNCTION("iferror(MAX(query(filter('Saline Comp Data Recording'!I:I,'Saline Comp Data Recording'!C:C=B38), ""Select Col1"")),""-"")"),0.0)</f>
        <v>0</v>
      </c>
      <c r="S38" s="58">
        <f>IFERROR(__xludf.DUMMYFUNCTION("iferror(SUM(query(filter('Saline Comp Data Recording'!J:J,'Saline Comp Data Recording'!C:C=B38), ""Select Col1"")),""-"")"),1.0)</f>
        <v>1</v>
      </c>
      <c r="T38" s="59">
        <f>IFERROR(__xludf.DUMMYFUNCTION("iferror(SUM(query(filter('Saline Comp Data Recording'!K:K,'Saline Comp Data Recording'!C:C=B38), ""Select Col1"")),""-"")"),0.0)</f>
        <v>0</v>
      </c>
      <c r="U38" s="54">
        <f t="shared" si="4"/>
        <v>0</v>
      </c>
      <c r="V38" s="55">
        <f>IFERROR(__xludf.DUMMYFUNCTION("iferror(AVERAGE(query(filter('Saline Comp Data Recording'!K:K,'Saline Comp Data Recording'!C:C=B38), ""Select Col1"")),""-"")"),0.0)</f>
        <v>0</v>
      </c>
      <c r="W38" s="52">
        <f>IFERROR(__xludf.DUMMYFUNCTION("iferror(MAX(query(filter('Saline Comp Data Recording'!K:K,'Saline Comp Data Recording'!C:C=B38), ""Select Col1"")),""-"")"),0.0)</f>
        <v>0</v>
      </c>
      <c r="X38" s="59">
        <f>IFERROR(__xludf.DUMMYFUNCTION("iferror(SUM(query(filter('Saline Comp Data Recording'!L:L,'Saline Comp Data Recording'!C:C=B38), ""Select Col1"")),""-"")"),2.0)</f>
        <v>2</v>
      </c>
      <c r="Y38" s="59">
        <f>IFERROR(__xludf.DUMMYFUNCTION("iferror(SUM(query(filter('Saline Comp Data Recording'!M:M,'Saline Comp Data Recording'!C:C=B38), ""Select Col1"")),""-"")"),2.0)</f>
        <v>2</v>
      </c>
      <c r="Z38" s="54">
        <f t="shared" si="5"/>
        <v>1</v>
      </c>
      <c r="AA38" s="55">
        <f>IFERROR(__xludf.DUMMYFUNCTION("iferror(AVERAGE(query(filter('Saline Comp Data Recording'!M:M,'Saline Comp Data Recording'!C:C=B38), ""Select Col1"")),""0.00"")"),0.5)</f>
        <v>0.5</v>
      </c>
      <c r="AB38" s="52">
        <f>IFERROR(__xludf.DUMMYFUNCTION("iferror(MAX(query(filter('Saline Comp Data Recording'!M:M,'Saline Comp Data Recording'!C:C=B38), ""Select Col1"")),""-"")"),1.0)</f>
        <v>1</v>
      </c>
      <c r="AC38" s="59">
        <f>IFERROR(__xludf.DUMMYFUNCTION("iferror(SUM(query(filter('Saline Comp Data Recording'!N:N,'Saline Comp Data Recording'!C:C=B38), ""Select Col1"")),""-"")"),1.0)</f>
        <v>1</v>
      </c>
      <c r="AD38" s="59">
        <f>IFERROR(__xludf.DUMMYFUNCTION("iferror(SUM(query(filter('Saline Comp Data Recording'!O:O,'Saline Comp Data Recording'!C:C=B38), ""Select Col1"")),""-"")"),1.0)</f>
        <v>1</v>
      </c>
      <c r="AE38" s="54">
        <f t="shared" si="6"/>
        <v>1</v>
      </c>
      <c r="AF38" s="55">
        <f>IFERROR(__xludf.DUMMYFUNCTION("iferror(AVERAGE(query(filter('Saline Comp Data Recording'!O:O,'Saline Comp Data Recording'!C:C=B38), ""Select Col1"")),""0.00"")"),0.25)</f>
        <v>0.25</v>
      </c>
      <c r="AG38" s="59">
        <f>IFERROR(__xludf.DUMMYFUNCTION("iferror(MAX(query(filter('Saline Comp Data Recording'!O:O,'Saline Comp Data Recording'!C:C=B38), ""Select Col1"")),""-"")"),1.0)</f>
        <v>1</v>
      </c>
      <c r="AH38" s="58" t="str">
        <f>IFERROR(__xludf.DUMMYFUNCTION("if(countif(query(filter('Saline Comp Data Recording'!P:P,'Saline Comp Data Recording'!C:C=B38), ""Select Col1""),TRUE)=0,""0"",countif(query(filter('Saline Comp Data Recording'!P:P,'Saline Comp Data Recording'!C:C=B38), ""Select Col1""),TRUE)) &amp; ""/"" &amp; i"&amp;"f(COUNTA(query(ifna(filter('Saline Comp Data Recording'!P:P,'Saline Comp Data Recording'!C:C=B38),""""), ""Select Col1""))=0,""0"",COUNTA(query(ifna(filter('Saline Comp Data Recording'!P:P,'Saline Comp Data Recording'!C:C=B38),""""), ""Select Col1"")))"),"0/4")</f>
        <v>0/4</v>
      </c>
      <c r="AI38" s="60" t="str">
        <f>IFERROR(__xludf.DUMMYFUNCTION("if(countif(query(filter('Saline Comp Data Recording'!Q:Q,'Saline Comp Data Recording'!C:C=B38), ""Select Col1""),TRUE)=0,""0"",countif(query(filter('Saline Comp Data Recording'!Q:Q,'Saline Comp Data Recording'!C:C=B38), ""Select Col1""),TRUE)) &amp; ""/"" &amp; i"&amp;"f(COUNTA(query(ifna(filter('Saline Comp Data Recording'!Q:Q,'Saline Comp Data Recording'!C:C=B38),""""), ""Select Col1""))=0,""0"",COUNTA(query(ifna(filter('Saline Comp Data Recording'!Q:Q,'Saline Comp Data Recording'!C:C=B38),""""), ""Select Col1"")))"),"0/4")</f>
        <v>0/4</v>
      </c>
      <c r="AJ38" s="59">
        <f>IFERROR(__xludf.DUMMYFUNCTION("iferror(SUM(query(filter('Saline Comp Data Recording'!S:S,'Saline Comp Data Recording'!C:C=B38), ""Select Col1"")),""-"")"),0.0)</f>
        <v>0</v>
      </c>
      <c r="AK38" s="59">
        <f>IFERROR(__xludf.DUMMYFUNCTION("iferror(SUM(query(filter('Saline Comp Data Recording'!T:T,'Saline Comp Data Recording'!C:C=B38), ""Select Col1"")),""-"")"),0.0)</f>
        <v>0</v>
      </c>
      <c r="AL38" s="54" t="str">
        <f t="shared" si="7"/>
        <v>-</v>
      </c>
      <c r="AM38" s="55">
        <f>IFERROR(__xludf.DUMMYFUNCTION("iferror(AVERAGE(query(filter('Saline Comp Data Recording'!T:T,'Saline Comp Data Recording'!C:C=B38), ""Select Col1"")),""0.00"")"),0.0)</f>
        <v>0</v>
      </c>
      <c r="AN38" s="61">
        <f>IFERROR(__xludf.DUMMYFUNCTION("iferror(MAX(query(filter('Saline Comp Data Recording'!T:T,'Saline Comp Data Recording'!C:C=B38), ""Select Col1"")),""-"")"),0.0)</f>
        <v>0</v>
      </c>
      <c r="AO38" s="62">
        <f>IFERROR(__xludf.DUMMYFUNCTION("iferror(SUM(query(filter('Saline Comp Data Recording'!U:U,'Saline Comp Data Recording'!C:C=B38), ""Select Col1"")),""-"")"),0.0)</f>
        <v>0</v>
      </c>
      <c r="AP38" s="62">
        <f>IFERROR(__xludf.DUMMYFUNCTION("iferror(SUM(query(filter('Saline Comp Data Recording'!V:V,'Saline Comp Data Recording'!C:C=B38), ""Select Col1"")),""-"")"),0.0)</f>
        <v>0</v>
      </c>
      <c r="AQ38" s="63" t="str">
        <f t="shared" si="8"/>
        <v>-</v>
      </c>
      <c r="AR38" s="64">
        <f>IFERROR(__xludf.DUMMYFUNCTION("iferror(AVERAGE(query(filter('Saline Comp Data Recording'!V:V,'Saline Comp Data Recording'!C:C=B38), ""Select Col1"")),""0.00"")"),0.0)</f>
        <v>0</v>
      </c>
      <c r="AS38" s="65">
        <f>IFERROR(__xludf.DUMMYFUNCTION("iferror(MAX(query(filter('Saline Comp Data Recording'!V:V,'Saline Comp Data Recording'!C:C=B38), ""Select Col1"")),""-"")"),0.0)</f>
        <v>0</v>
      </c>
      <c r="AT38" s="62">
        <f>IFERROR(__xludf.DUMMYFUNCTION("iferror(SUM(query(filter('Saline Comp Data Recording'!W:W,'Saline Comp Data Recording'!C:C=B38), ""Select Col1"")),""-"")"),0.0)</f>
        <v>0</v>
      </c>
      <c r="AU38" s="62">
        <f>IFERROR(__xludf.DUMMYFUNCTION("iferror(SUM(query(filter('Saline Comp Data Recording'!X:X,'Saline Comp Data Recording'!C:C=B38), ""Select Col1"")),""-"")"),0.0)</f>
        <v>0</v>
      </c>
      <c r="AV38" s="63" t="str">
        <f t="shared" si="9"/>
        <v>-</v>
      </c>
      <c r="AW38" s="64">
        <f>IFERROR(__xludf.DUMMYFUNCTION("iferror(AVERAGE(query(filter('Saline Comp Data Recording'!X:X,'Saline Comp Data Recording'!C:C=B38), ""Select Col1"")),""0.00"")"),0.0)</f>
        <v>0</v>
      </c>
      <c r="AX38" s="65">
        <f>IFERROR(__xludf.DUMMYFUNCTION("iferror(MAX(query(filter('Saline Comp Data Recording'!X:X,'Saline Comp Data Recording'!C:C=B38), ""Select Col1"")),""-"")"),0.0)</f>
        <v>0</v>
      </c>
      <c r="AY38" s="62">
        <f>IFERROR(__xludf.DUMMYFUNCTION("iferror(SUM(query(filter('Saline Comp Data Recording'!Y:Y,'Saline Comp Data Recording'!C:C=B38), ""Select Col1"")),""-"")"),0.0)</f>
        <v>0</v>
      </c>
      <c r="AZ38" s="62">
        <f>IFERROR(__xludf.DUMMYFUNCTION("iferror(SUM(query(filter('Saline Comp Data Recording'!Z:Z,'Saline Comp Data Recording'!C:C=B38), ""Select Col1"")),""-"")"),0.0)</f>
        <v>0</v>
      </c>
      <c r="BA38" s="63" t="str">
        <f t="shared" si="10"/>
        <v>-</v>
      </c>
      <c r="BB38" s="64">
        <f>IFERROR(__xludf.DUMMYFUNCTION("iferror(AVERAGE(query(filter('Saline Comp Data Recording'!Z:Z,'Saline Comp Data Recording'!C:C=B38), ""Select Col1"")),""0.00"")"),0.0)</f>
        <v>0</v>
      </c>
      <c r="BC38" s="65">
        <f>IFERROR(__xludf.DUMMYFUNCTION("iferror(MAX(query(filter('Saline Comp Data Recording'!Z:Z,'Saline Comp Data Recording'!C:C=B38), ""Select Col1"")),""-"")"),0.0)</f>
        <v>0</v>
      </c>
      <c r="BD38" s="62">
        <f>IFERROR(__xludf.DUMMYFUNCTION("iferror(SUM(query(filter('Saline Comp Data Recording'!AA:AA,'Saline Comp Data Recording'!C:C=B38), ""Select Col1"")),""-"")"),3.0)</f>
        <v>3</v>
      </c>
      <c r="BE38" s="62">
        <f>IFERROR(__xludf.DUMMYFUNCTION("iferror(SUM(query(filter('Saline Comp Data Recording'!AB:AB,'Saline Comp Data Recording'!C:C=B38), ""Select Col1"")),""-"")"),2.0)</f>
        <v>2</v>
      </c>
      <c r="BF38" s="63">
        <f t="shared" si="11"/>
        <v>0.6666666667</v>
      </c>
      <c r="BG38" s="64">
        <f>IFERROR(__xludf.DUMMYFUNCTION("iferror(AVERAGE(query(filter('Saline Comp Data Recording'!AB:AB,'Saline Comp Data Recording'!C:C=B38), ""Select Col1"")),""0.00"")"),0.5)</f>
        <v>0.5</v>
      </c>
      <c r="BH38" s="65">
        <f>IFERROR(__xludf.DUMMYFUNCTION("iferror(MAX(query(filter('Saline Comp Data Recording'!AB:AB,'Saline Comp Data Recording'!C:C=B38), ""Select Col1"")),""-"")"),1.0)</f>
        <v>1</v>
      </c>
      <c r="BI38" s="62">
        <f>IFERROR(__xludf.DUMMYFUNCTION("iferror(SUM(query(filter('Saline Comp Data Recording'!AC:AC,'Saline Comp Data Recording'!C:C=B38), ""Select Col1"")),""-"")"),11.0)</f>
        <v>11</v>
      </c>
      <c r="BJ38" s="62">
        <f>IFERROR(__xludf.DUMMYFUNCTION("iferror(SUM(query(filter('Saline Comp Data Recording'!AD:AD,'Saline Comp Data Recording'!C:C=B38), ""Select Col1"")),""-"")"),11.0)</f>
        <v>11</v>
      </c>
      <c r="BK38" s="63">
        <f t="shared" si="12"/>
        <v>1</v>
      </c>
      <c r="BL38" s="64">
        <f>IFERROR(__xludf.DUMMYFUNCTION("iferror(AVERAGE(query(filter('Saline Comp Data Recording'!AD:AD,'Saline Comp Data Recording'!C:C=B38), ""Select Col1"")),""0.00"")"),2.75)</f>
        <v>2.75</v>
      </c>
      <c r="BM38" s="65">
        <f>IFERROR(__xludf.DUMMYFUNCTION("iferror(MAX(query(filter('Saline Comp Data Recording'!AD:AD,'Saline Comp Data Recording'!C:C=B38), ""Select Col1"")),""-"")"),4.0)</f>
        <v>4</v>
      </c>
      <c r="BN38" s="66" t="str">
        <f>IFERROR(__xludf.DUMMYFUNCTION("if(countif(query(filter('Saline Comp Data Recording'!AE:AE,'Saline Comp Data Recording'!C:C=B38), ""Select Col1""),""TRUE"")=0,""0"",countif(query(filter('Saline Comp Data Recording'!AE:AE,'Saline Comp Data Recording'!C:C=B38), ""Select Col1""),""TRUE""))"&amp;" &amp; ""/"" &amp; if(COUNTA(query(ifna(filter('Saline Comp Data Recording'!AE:AE,'Saline Comp Data Recording'!C:C=B38),""""), ""Select Col1""))=0,""0"",COUNTA(query(ifna(filter('Saline Comp Data Recording'!AE:AE,'Saline Comp Data Recording'!C:C=B38),""""), ""Sel"&amp;"ect Col1"")))"),"0/4")</f>
        <v>0/4</v>
      </c>
      <c r="BO38" s="67" t="str">
        <f>IFERROR(__xludf.DUMMYFUNCTION("if(countif(query(filter('Saline Comp Data Recording'!AF:AF,'Saline Comp Data Recording'!C:C=B38), ""Select Col1""),""TRUE"")=0,""0"",countif(query(filter('Saline Comp Data Recording'!AF:AF,'Saline Comp Data Recording'!C:C=B38), ""Select Col1""),""TRUE""))"&amp;" &amp; ""/"" &amp; if(COUNTA(query(ifna(filter('Saline Comp Data Recording'!AF:AF,'Saline Comp Data Recording'!C:C=B38),""""), ""Select Col1""))=0,""0"",COUNTA(query(ifna(filter('Saline Comp Data Recording'!AF:AF,'Saline Comp Data Recording'!C:C=B38),""""), ""Sel"&amp;"ect Col1"")))"),"0/4")</f>
        <v>0/4</v>
      </c>
      <c r="BP38" s="60" t="str">
        <f>IFERROR(__xludf.DUMMYFUNCTION("if(countif(query(filter('Saline Comp Data Recording'!AI:AI,'Saline Comp Data Recording'!C:C=B38), ""Select Col1""),""TRUE"")=0,""0"",countif(query(filter('Saline Comp Data Recording'!AI:AI,'Saline Comp Data Recording'!C:C=B38), ""Select Col1""),""TRUE""))"&amp;" &amp; ""/"" &amp; if(COUNTA(query(ifna(filter('Saline Comp Data Recording'!AI:AI,'Saline Comp Data Recording'!C:C=B38),""""), ""Select Col1""))=0,""0"",COUNTA(query(ifna(filter('Saline Comp Data Recording'!AI:AI,'Saline Comp Data Recording'!C:C=B38),""""), ""Sel"&amp;"ect Col1"")))"),"0/4")</f>
        <v>0/4</v>
      </c>
      <c r="BQ38" s="55">
        <f>IFERROR(__xludf.DUMMYFUNCTION("iferror(average(query(filter('Saline Comp Data Recording'!AG:AG,'Saline Comp Data Recording'!C:C=B38), ""Select Col1"")),""-"")"),1.0)</f>
        <v>1</v>
      </c>
      <c r="BR38" s="69">
        <f>IFERROR(__xludf.DUMMYFUNCTION("iferror(average(query(filter('Saline Comp Data Recording'!AH:AH,'Saline Comp Data Recording'!C:C=B38), ""Select Col1"")),""-"")"),1.0)</f>
        <v>1</v>
      </c>
      <c r="BS38" s="70">
        <f>IFERROR(__xludf.DUMMYFUNCTION("iferror(AVERAGE(query(filter('Saline Comp Data Recording'!AK:AK,'Saline Comp Data Recording'!C:C=B38), ""Select Col1"")),""-"")"),12.0)</f>
        <v>12</v>
      </c>
      <c r="BT38" s="70">
        <f>IFERROR(__xludf.DUMMYFUNCTION("iferror(AVERAGE(query(filter('Saline Comp Data Recording'!AL:AL,'Saline Comp Data Recording'!C:C=B38), ""Select Col1"")),""-"")"),12.0)</f>
        <v>12</v>
      </c>
      <c r="BU38" s="71">
        <f>IFERROR(__xludf.DUMMYFUNCTION("iferror(max(query(filter('Saline Comp Data Recording'!AK:AK,'Saline Comp Data Recording'!C:C=B38), ""Select Col1"")),""-"")"),18.0)</f>
        <v>18</v>
      </c>
      <c r="BV38" s="72">
        <f>IFERROR(__xludf.DUMMYFUNCTION("iferror(MIN(query(filter('Saline Comp Data Recording'!AK:AK,'Saline Comp Data Recording'!C:C=B38), ""Select Col1"")),""-"")"),2.0)</f>
        <v>2</v>
      </c>
      <c r="BW38" s="73" t="str">
        <f>IFERROR(__xludf.DUMMYFUNCTION("iferror(if(DIVIDE(COUNTIF(query(filter('Saline Comp Data Recording'!P:P,'Saline Comp Data Recording'!C:C=B38), ""Select Col1""),TRUE),COUNTA(query(ifna(filter('Saline Comp Data Recording'!P:P,'Saline Comp Data Recording'!C:C=B38),""""), ""Select Col1"")))"&amp;"&gt;=(0.5),""1"",""0""),""-"")"),"0")</f>
        <v>0</v>
      </c>
      <c r="BX38" s="59" t="str">
        <f>IFERROR(__xludf.DUMMYFUNCTION("iferror(if(countif(query(filter('Saline Comp Data Recording'!Q:Q,'Saline Comp Data Recording'!C:C=B38), ""Select Col1""),TRUE)/COUNTA(query(ifna(filter('Saline Comp Data Recording'!Q:Q,'Saline Comp Data Recording'!C:C=B38),""""), ""Select Col1""))&gt;=(0.5),"&amp;"""1"",""0""),""-"")"),"0")</f>
        <v>0</v>
      </c>
      <c r="BY38" s="74" t="str">
        <f>IFERROR(__xludf.DUMMYFUNCTION("iferror(if(DIVIDE(COUNTIF(query(filter('Saline Comp Data Recording'!AE:AE,'Saline Comp Data Recording'!C:C=B38), ""Select Col1""),TRUE),COUNTA(query(ifna(filter('Saline Comp Data Recording'!AE:AE,'Saline Comp Data Recording'!C:C=B38),""""), ""Select Col1"&amp;""")))&gt;=(0.5),""1"",""0""),""-"")"),"0")</f>
        <v>0</v>
      </c>
      <c r="BZ38" s="59" t="str">
        <f>IFERROR(__xludf.DUMMYFUNCTION("iferror(if(countif(query(filter('Saline Comp Data Recording'!AF:AF,'Saline Comp Data Recording'!C:C=B38), ""Select Col1""),TRUE)/COUNTA(query(ifna(filter('Saline Comp Data Recording'!AF:AF,'Saline Comp Data Recording'!C:C=B38),""""), ""Select Col1""))&gt;=(0"&amp;".5),""1"",""0""),""-"")"),"0")</f>
        <v>0</v>
      </c>
      <c r="CA38" s="74" t="str">
        <f>IFERROR(__xludf.DUMMYFUNCTION("iferror(if(DIVIDE(countif(query(filter('Saline Comp Data Recording'!R:R,'Saline Comp Data Recording'!C:C=B38), ""Select Col1""),TRUE),COUNTA(query(ifna(filter('Saline Comp Data Recording'!R:R,'Saline Comp Data Recording'!C:C=B38),""""), ""Select Col1"")))"&amp;"&gt;=(0.5),""1"",""0""),""-"")"),"1")</f>
        <v>1</v>
      </c>
    </row>
    <row r="39">
      <c r="A39" s="51" t="s">
        <v>548</v>
      </c>
      <c r="B39" s="51">
        <v>8145.0</v>
      </c>
      <c r="C39" s="52" t="str">
        <f>IFERROR(__xludf.DUMMYFUNCTION("if(countif(query(filter('Saline Comp Data Recording'!R:R,'Saline Comp Data Recording'!C:C=B39), ""Select Col1""),""TRUE"")=0,""0"",countif(query(filter('Saline Comp Data Recording'!R:R,'Saline Comp Data Recording'!C:C=B39), ""Select Col1""),""TRUE"")) &amp; "&amp;"""/"" &amp; if(COUNTA(query(ifna(filter('Saline Comp Data Recording'!R:R,'Saline Comp Data Recording'!C:C=B39),""""), ""Select Col1""))=0,""0"",COUNTA(query(ifna(filter('Saline Comp Data Recording'!R:R,'Saline Comp Data Recording'!C:C=B39),""""), ""Select Col"&amp;"1"")))"),"0/4")</f>
        <v>0/4</v>
      </c>
      <c r="D39" s="53">
        <f>IFERROR(__xludf.DUMMYFUNCTION("iferror(SUM(query(filter('Saline Comp Data Recording'!D:D,'Saline Comp Data Recording'!C:C=B39), ""Select Col1"")),""-"")"),0.0)</f>
        <v>0</v>
      </c>
      <c r="E39" s="53">
        <f>IFERROR(__xludf.DUMMYFUNCTION("iferror(SUM(query(filter('Saline Comp Data Recording'!E:E,'Saline Comp Data Recording'!C:C=B39), ""Select Col1"")),""-"")"),0.0)</f>
        <v>0</v>
      </c>
      <c r="F39" s="54" t="str">
        <f t="shared" si="1"/>
        <v>-</v>
      </c>
      <c r="G39" s="55">
        <f>IFERROR(__xludf.DUMMYFUNCTION("iferror(AVERAGE(query(filter('Saline Comp Data Recording'!E:E,'Saline Comp Data Recording'!C:C=B39), ""Select Col1"")),""0.00"")"),0.0)</f>
        <v>0</v>
      </c>
      <c r="H39" s="53">
        <f>IFERROR(__xludf.DUMMYFUNCTION("iferror(MAX(query(filter('Saline Comp Data Recording'!E:E,'Saline Comp Data Recording'!C:C=B39), ""Select Col1"")),""-"")"),0.0)</f>
        <v>0</v>
      </c>
      <c r="I39" s="56">
        <f>IFERROR(__xludf.DUMMYFUNCTION("iferror(SUM(query(filter('Saline Comp Data Recording'!F:F,'Saline Comp Data Recording'!C:C=B39), ""Select Col1"")),""-"")"),0.0)</f>
        <v>0</v>
      </c>
      <c r="J39" s="57">
        <f>IFERROR(__xludf.DUMMYFUNCTION("iferror(SUM(query(filter('Saline Comp Data Recording'!G:G,'Saline Comp Data Recording'!C:C=B39), ""Select Col1"")),""-"")"),0.0)</f>
        <v>0</v>
      </c>
      <c r="K39" s="54" t="str">
        <f t="shared" si="2"/>
        <v>-</v>
      </c>
      <c r="L39" s="55">
        <f>IFERROR(__xludf.DUMMYFUNCTION("iferror(AVERAGE(query(filter('Saline Comp Data Recording'!G:G,'Saline Comp Data Recording'!C:C=B39), ""Select Col1"")),""0.00"")"),0.0)</f>
        <v>0</v>
      </c>
      <c r="M39" s="53">
        <f>IFERROR(__xludf.DUMMYFUNCTION("iferror(MAX(query(filter('Saline Comp Data Recording'!G:G,'Saline Comp Data Recording'!C:C=B39), ""Select Col1"")),""-"")"),0.0)</f>
        <v>0</v>
      </c>
      <c r="N39" s="58">
        <f>IFERROR(__xludf.DUMMYFUNCTION("iferror(SUM(query(filter('Saline Comp Data Recording'!H:H,'Saline Comp Data Recording'!C:C=B39), ""Select Col1"")),""-"")"),0.0)</f>
        <v>0</v>
      </c>
      <c r="O39" s="59">
        <f>IFERROR(__xludf.DUMMYFUNCTION("iferror(SUM(query(filter('Saline Comp Data Recording'!I:I,'Saline Comp Data Recording'!C:C=B39), ""Select Col1"")),""-"")"),0.0)</f>
        <v>0</v>
      </c>
      <c r="P39" s="54" t="str">
        <f t="shared" si="3"/>
        <v>-</v>
      </c>
      <c r="Q39" s="55">
        <f>IFERROR(__xludf.DUMMYFUNCTION("iferror(AVERAGE(query(filter('Saline Comp Data Recording'!I:I,'Saline Comp Data Recording'!C:C=B39), ""Select Col1"")),""0.00"")"),0.0)</f>
        <v>0</v>
      </c>
      <c r="R39" s="53">
        <f>IFERROR(__xludf.DUMMYFUNCTION("iferror(MAX(query(filter('Saline Comp Data Recording'!I:I,'Saline Comp Data Recording'!C:C=B39), ""Select Col1"")),""-"")"),0.0)</f>
        <v>0</v>
      </c>
      <c r="S39" s="58">
        <f>IFERROR(__xludf.DUMMYFUNCTION("iferror(SUM(query(filter('Saline Comp Data Recording'!J:J,'Saline Comp Data Recording'!C:C=B39), ""Select Col1"")),""-"")"),1.0)</f>
        <v>1</v>
      </c>
      <c r="T39" s="59">
        <f>IFERROR(__xludf.DUMMYFUNCTION("iferror(SUM(query(filter('Saline Comp Data Recording'!K:K,'Saline Comp Data Recording'!C:C=B39), ""Select Col1"")),""-"")"),0.0)</f>
        <v>0</v>
      </c>
      <c r="U39" s="54">
        <f t="shared" si="4"/>
        <v>0</v>
      </c>
      <c r="V39" s="55">
        <f>IFERROR(__xludf.DUMMYFUNCTION("iferror(AVERAGE(query(filter('Saline Comp Data Recording'!K:K,'Saline Comp Data Recording'!C:C=B39), ""Select Col1"")),""-"")"),0.0)</f>
        <v>0</v>
      </c>
      <c r="W39" s="52">
        <f>IFERROR(__xludf.DUMMYFUNCTION("iferror(MAX(query(filter('Saline Comp Data Recording'!K:K,'Saline Comp Data Recording'!C:C=B39), ""Select Col1"")),""-"")"),0.0)</f>
        <v>0</v>
      </c>
      <c r="X39" s="59">
        <f>IFERROR(__xludf.DUMMYFUNCTION("iferror(SUM(query(filter('Saline Comp Data Recording'!L:L,'Saline Comp Data Recording'!C:C=B39), ""Select Col1"")),""-"")"),0.0)</f>
        <v>0</v>
      </c>
      <c r="Y39" s="59">
        <f>IFERROR(__xludf.DUMMYFUNCTION("iferror(SUM(query(filter('Saline Comp Data Recording'!M:M,'Saline Comp Data Recording'!C:C=B39), ""Select Col1"")),""-"")"),0.0)</f>
        <v>0</v>
      </c>
      <c r="Z39" s="54" t="str">
        <f t="shared" si="5"/>
        <v>-</v>
      </c>
      <c r="AA39" s="55">
        <f>IFERROR(__xludf.DUMMYFUNCTION("iferror(AVERAGE(query(filter('Saline Comp Data Recording'!M:M,'Saline Comp Data Recording'!C:C=B39), ""Select Col1"")),""0.00"")"),0.0)</f>
        <v>0</v>
      </c>
      <c r="AB39" s="52">
        <f>IFERROR(__xludf.DUMMYFUNCTION("iferror(MAX(query(filter('Saline Comp Data Recording'!M:M,'Saline Comp Data Recording'!C:C=B39), ""Select Col1"")),""-"")"),0.0)</f>
        <v>0</v>
      </c>
      <c r="AC39" s="59">
        <f>IFERROR(__xludf.DUMMYFUNCTION("iferror(SUM(query(filter('Saline Comp Data Recording'!N:N,'Saline Comp Data Recording'!C:C=B39), ""Select Col1"")),""-"")"),3.0)</f>
        <v>3</v>
      </c>
      <c r="AD39" s="59">
        <f>IFERROR(__xludf.DUMMYFUNCTION("iferror(SUM(query(filter('Saline Comp Data Recording'!O:O,'Saline Comp Data Recording'!C:C=B39), ""Select Col1"")),""-"")"),2.0)</f>
        <v>2</v>
      </c>
      <c r="AE39" s="54">
        <f t="shared" si="6"/>
        <v>0.6666666667</v>
      </c>
      <c r="AF39" s="55">
        <f>IFERROR(__xludf.DUMMYFUNCTION("iferror(AVERAGE(query(filter('Saline Comp Data Recording'!O:O,'Saline Comp Data Recording'!C:C=B39), ""Select Col1"")),""0.00"")"),0.5)</f>
        <v>0.5</v>
      </c>
      <c r="AG39" s="59">
        <f>IFERROR(__xludf.DUMMYFUNCTION("iferror(MAX(query(filter('Saline Comp Data Recording'!O:O,'Saline Comp Data Recording'!C:C=B39), ""Select Col1"")),""-"")"),1.0)</f>
        <v>1</v>
      </c>
      <c r="AH39" s="58" t="str">
        <f>IFERROR(__xludf.DUMMYFUNCTION("if(countif(query(filter('Saline Comp Data Recording'!P:P,'Saline Comp Data Recording'!C:C=B39), ""Select Col1""),TRUE)=0,""0"",countif(query(filter('Saline Comp Data Recording'!P:P,'Saline Comp Data Recording'!C:C=B39), ""Select Col1""),TRUE)) &amp; ""/"" &amp; i"&amp;"f(COUNTA(query(ifna(filter('Saline Comp Data Recording'!P:P,'Saline Comp Data Recording'!C:C=B39),""""), ""Select Col1""))=0,""0"",COUNTA(query(ifna(filter('Saline Comp Data Recording'!P:P,'Saline Comp Data Recording'!C:C=B39),""""), ""Select Col1"")))"),"0/4")</f>
        <v>0/4</v>
      </c>
      <c r="AI39" s="60" t="str">
        <f>IFERROR(__xludf.DUMMYFUNCTION("if(countif(query(filter('Saline Comp Data Recording'!Q:Q,'Saline Comp Data Recording'!C:C=B39), ""Select Col1""),TRUE)=0,""0"",countif(query(filter('Saline Comp Data Recording'!Q:Q,'Saline Comp Data Recording'!C:C=B39), ""Select Col1""),TRUE)) &amp; ""/"" &amp; i"&amp;"f(COUNTA(query(ifna(filter('Saline Comp Data Recording'!Q:Q,'Saline Comp Data Recording'!C:C=B39),""""), ""Select Col1""))=0,""0"",COUNTA(query(ifna(filter('Saline Comp Data Recording'!Q:Q,'Saline Comp Data Recording'!C:C=B39),""""), ""Select Col1"")))"),"0/4")</f>
        <v>0/4</v>
      </c>
      <c r="AJ39" s="59">
        <f>IFERROR(__xludf.DUMMYFUNCTION("iferror(SUM(query(filter('Saline Comp Data Recording'!S:S,'Saline Comp Data Recording'!C:C=B39), ""Select Col1"")),""-"")"),0.0)</f>
        <v>0</v>
      </c>
      <c r="AK39" s="59">
        <f>IFERROR(__xludf.DUMMYFUNCTION("iferror(SUM(query(filter('Saline Comp Data Recording'!T:T,'Saline Comp Data Recording'!C:C=B39), ""Select Col1"")),""-"")"),0.0)</f>
        <v>0</v>
      </c>
      <c r="AL39" s="54" t="str">
        <f t="shared" si="7"/>
        <v>-</v>
      </c>
      <c r="AM39" s="55">
        <f>IFERROR(__xludf.DUMMYFUNCTION("iferror(AVERAGE(query(filter('Saline Comp Data Recording'!T:T,'Saline Comp Data Recording'!C:C=B39), ""Select Col1"")),""0.00"")"),0.0)</f>
        <v>0</v>
      </c>
      <c r="AN39" s="61">
        <f>IFERROR(__xludf.DUMMYFUNCTION("iferror(MAX(query(filter('Saline Comp Data Recording'!T:T,'Saline Comp Data Recording'!C:C=B39), ""Select Col1"")),""-"")"),0.0)</f>
        <v>0</v>
      </c>
      <c r="AO39" s="62">
        <f>IFERROR(__xludf.DUMMYFUNCTION("iferror(SUM(query(filter('Saline Comp Data Recording'!U:U,'Saline Comp Data Recording'!C:C=B39), ""Select Col1"")),""-"")"),0.0)</f>
        <v>0</v>
      </c>
      <c r="AP39" s="62">
        <f>IFERROR(__xludf.DUMMYFUNCTION("iferror(SUM(query(filter('Saline Comp Data Recording'!V:V,'Saline Comp Data Recording'!C:C=B39), ""Select Col1"")),""-"")"),0.0)</f>
        <v>0</v>
      </c>
      <c r="AQ39" s="63" t="str">
        <f t="shared" si="8"/>
        <v>-</v>
      </c>
      <c r="AR39" s="64">
        <f>IFERROR(__xludf.DUMMYFUNCTION("iferror(AVERAGE(query(filter('Saline Comp Data Recording'!V:V,'Saline Comp Data Recording'!C:C=B39), ""Select Col1"")),""0.00"")"),0.0)</f>
        <v>0</v>
      </c>
      <c r="AS39" s="65">
        <f>IFERROR(__xludf.DUMMYFUNCTION("iferror(MAX(query(filter('Saline Comp Data Recording'!V:V,'Saline Comp Data Recording'!C:C=B39), ""Select Col1"")),""-"")"),0.0)</f>
        <v>0</v>
      </c>
      <c r="AT39" s="62">
        <f>IFERROR(__xludf.DUMMYFUNCTION("iferror(SUM(query(filter('Saline Comp Data Recording'!W:W,'Saline Comp Data Recording'!C:C=B39), ""Select Col1"")),""-"")"),0.0)</f>
        <v>0</v>
      </c>
      <c r="AU39" s="62">
        <f>IFERROR(__xludf.DUMMYFUNCTION("iferror(SUM(query(filter('Saline Comp Data Recording'!X:X,'Saline Comp Data Recording'!C:C=B39), ""Select Col1"")),""-"")"),0.0)</f>
        <v>0</v>
      </c>
      <c r="AV39" s="63" t="str">
        <f t="shared" si="9"/>
        <v>-</v>
      </c>
      <c r="AW39" s="64">
        <f>IFERROR(__xludf.DUMMYFUNCTION("iferror(AVERAGE(query(filter('Saline Comp Data Recording'!X:X,'Saline Comp Data Recording'!C:C=B39), ""Select Col1"")),""0.00"")"),0.0)</f>
        <v>0</v>
      </c>
      <c r="AX39" s="65">
        <f>IFERROR(__xludf.DUMMYFUNCTION("iferror(MAX(query(filter('Saline Comp Data Recording'!X:X,'Saline Comp Data Recording'!C:C=B39), ""Select Col1"")),""-"")"),0.0)</f>
        <v>0</v>
      </c>
      <c r="AY39" s="62">
        <f>IFERROR(__xludf.DUMMYFUNCTION("iferror(SUM(query(filter('Saline Comp Data Recording'!Y:Y,'Saline Comp Data Recording'!C:C=B39), ""Select Col1"")),""-"")"),0.0)</f>
        <v>0</v>
      </c>
      <c r="AZ39" s="62">
        <f>IFERROR(__xludf.DUMMYFUNCTION("iferror(SUM(query(filter('Saline Comp Data Recording'!Z:Z,'Saline Comp Data Recording'!C:C=B39), ""Select Col1"")),""-"")"),0.0)</f>
        <v>0</v>
      </c>
      <c r="BA39" s="63" t="str">
        <f t="shared" si="10"/>
        <v>-</v>
      </c>
      <c r="BB39" s="64">
        <f>IFERROR(__xludf.DUMMYFUNCTION("iferror(AVERAGE(query(filter('Saline Comp Data Recording'!Z:Z,'Saline Comp Data Recording'!C:C=B39), ""Select Col1"")),""0.00"")"),0.0)</f>
        <v>0</v>
      </c>
      <c r="BC39" s="65">
        <f>IFERROR(__xludf.DUMMYFUNCTION("iferror(MAX(query(filter('Saline Comp Data Recording'!Z:Z,'Saline Comp Data Recording'!C:C=B39), ""Select Col1"")),""-"")"),0.0)</f>
        <v>0</v>
      </c>
      <c r="BD39" s="62">
        <f>IFERROR(__xludf.DUMMYFUNCTION("iferror(SUM(query(filter('Saline Comp Data Recording'!AA:AA,'Saline Comp Data Recording'!C:C=B39), ""Select Col1"")),""-"")"),2.0)</f>
        <v>2</v>
      </c>
      <c r="BE39" s="62">
        <f>IFERROR(__xludf.DUMMYFUNCTION("iferror(SUM(query(filter('Saline Comp Data Recording'!AB:AB,'Saline Comp Data Recording'!C:C=B39), ""Select Col1"")),""-"")"),2.0)</f>
        <v>2</v>
      </c>
      <c r="BF39" s="63">
        <f t="shared" si="11"/>
        <v>1</v>
      </c>
      <c r="BG39" s="64">
        <f>IFERROR(__xludf.DUMMYFUNCTION("iferror(AVERAGE(query(filter('Saline Comp Data Recording'!AB:AB,'Saline Comp Data Recording'!C:C=B39), ""Select Col1"")),""0.00"")"),0.5)</f>
        <v>0.5</v>
      </c>
      <c r="BH39" s="65">
        <f>IFERROR(__xludf.DUMMYFUNCTION("iferror(MAX(query(filter('Saline Comp Data Recording'!AB:AB,'Saline Comp Data Recording'!C:C=B39), ""Select Col1"")),""-"")"),1.0)</f>
        <v>1</v>
      </c>
      <c r="BI39" s="62">
        <f>IFERROR(__xludf.DUMMYFUNCTION("iferror(SUM(query(filter('Saline Comp Data Recording'!AC:AC,'Saline Comp Data Recording'!C:C=B39), ""Select Col1"")),""-"")"),6.0)</f>
        <v>6</v>
      </c>
      <c r="BJ39" s="62">
        <f>IFERROR(__xludf.DUMMYFUNCTION("iferror(SUM(query(filter('Saline Comp Data Recording'!AD:AD,'Saline Comp Data Recording'!C:C=B39), ""Select Col1"")),""-"")"),5.0)</f>
        <v>5</v>
      </c>
      <c r="BK39" s="63">
        <f t="shared" si="12"/>
        <v>0.8333333333</v>
      </c>
      <c r="BL39" s="64">
        <f>IFERROR(__xludf.DUMMYFUNCTION("iferror(AVERAGE(query(filter('Saline Comp Data Recording'!AD:AD,'Saline Comp Data Recording'!C:C=B39), ""Select Col1"")),""0.00"")"),1.25)</f>
        <v>1.25</v>
      </c>
      <c r="BM39" s="65">
        <f>IFERROR(__xludf.DUMMYFUNCTION("iferror(MAX(query(filter('Saline Comp Data Recording'!AD:AD,'Saline Comp Data Recording'!C:C=B39), ""Select Col1"")),""-"")"),2.0)</f>
        <v>2</v>
      </c>
      <c r="BN39" s="66" t="str">
        <f>IFERROR(__xludf.DUMMYFUNCTION("if(countif(query(filter('Saline Comp Data Recording'!AE:AE,'Saline Comp Data Recording'!C:C=B39), ""Select Col1""),""TRUE"")=0,""0"",countif(query(filter('Saline Comp Data Recording'!AE:AE,'Saline Comp Data Recording'!C:C=B39), ""Select Col1""),""TRUE""))"&amp;" &amp; ""/"" &amp; if(COUNTA(query(ifna(filter('Saline Comp Data Recording'!AE:AE,'Saline Comp Data Recording'!C:C=B39),""""), ""Select Col1""))=0,""0"",COUNTA(query(ifna(filter('Saline Comp Data Recording'!AE:AE,'Saline Comp Data Recording'!C:C=B39),""""), ""Sel"&amp;"ect Col1"")))"),"0/4")</f>
        <v>0/4</v>
      </c>
      <c r="BO39" s="67" t="str">
        <f>IFERROR(__xludf.DUMMYFUNCTION("if(countif(query(filter('Saline Comp Data Recording'!AF:AF,'Saline Comp Data Recording'!C:C=B39), ""Select Col1""),""TRUE"")=0,""0"",countif(query(filter('Saline Comp Data Recording'!AF:AF,'Saline Comp Data Recording'!C:C=B39), ""Select Col1""),""TRUE""))"&amp;" &amp; ""/"" &amp; if(COUNTA(query(ifna(filter('Saline Comp Data Recording'!AF:AF,'Saline Comp Data Recording'!C:C=B39),""""), ""Select Col1""))=0,""0"",COUNTA(query(ifna(filter('Saline Comp Data Recording'!AF:AF,'Saline Comp Data Recording'!C:C=B39),""""), ""Sel"&amp;"ect Col1"")))"),"0/4")</f>
        <v>0/4</v>
      </c>
      <c r="BP39" s="60" t="str">
        <f>IFERROR(__xludf.DUMMYFUNCTION("if(countif(query(filter('Saline Comp Data Recording'!AI:AI,'Saline Comp Data Recording'!C:C=B39), ""Select Col1""),""TRUE"")=0,""0"",countif(query(filter('Saline Comp Data Recording'!AI:AI,'Saline Comp Data Recording'!C:C=B39), ""Select Col1""),""TRUE""))"&amp;" &amp; ""/"" &amp; if(COUNTA(query(ifna(filter('Saline Comp Data Recording'!AI:AI,'Saline Comp Data Recording'!C:C=B39),""""), ""Select Col1""))=0,""0"",COUNTA(query(ifna(filter('Saline Comp Data Recording'!AI:AI,'Saline Comp Data Recording'!C:C=B39),""""), ""Sel"&amp;"ect Col1"")))"),"0/4")</f>
        <v>0/4</v>
      </c>
      <c r="BQ39" s="55">
        <f>IFERROR(__xludf.DUMMYFUNCTION("iferror(average(query(filter('Saline Comp Data Recording'!AG:AG,'Saline Comp Data Recording'!C:C=B39), ""Select Col1"")),""-"")"),1.25)</f>
        <v>1.25</v>
      </c>
      <c r="BR39" s="69">
        <f>IFERROR(__xludf.DUMMYFUNCTION("iferror(average(query(filter('Saline Comp Data Recording'!AH:AH,'Saline Comp Data Recording'!C:C=B39), ""Select Col1"")),""-"")"),1.75)</f>
        <v>1.75</v>
      </c>
      <c r="BS39" s="70">
        <f>IFERROR(__xludf.DUMMYFUNCTION("iferror(AVERAGE(query(filter('Saline Comp Data Recording'!AK:AK,'Saline Comp Data Recording'!C:C=B39), ""Select Col1"")),""-"")"),5.5)</f>
        <v>5.5</v>
      </c>
      <c r="BT39" s="70">
        <f>IFERROR(__xludf.DUMMYFUNCTION("iferror(AVERAGE(query(filter('Saline Comp Data Recording'!AL:AL,'Saline Comp Data Recording'!C:C=B39), ""Select Col1"")),""-"")"),5.5)</f>
        <v>5.5</v>
      </c>
      <c r="BU39" s="71">
        <f>IFERROR(__xludf.DUMMYFUNCTION("iferror(max(query(filter('Saline Comp Data Recording'!AK:AK,'Saline Comp Data Recording'!C:C=B39), ""Select Col1"")),""-"")"),10.0)</f>
        <v>10</v>
      </c>
      <c r="BV39" s="72">
        <f>IFERROR(__xludf.DUMMYFUNCTION("iferror(MIN(query(filter('Saline Comp Data Recording'!AK:AK,'Saline Comp Data Recording'!C:C=B39), ""Select Col1"")),""-"")"),3.0)</f>
        <v>3</v>
      </c>
      <c r="BW39" s="73" t="str">
        <f>IFERROR(__xludf.DUMMYFUNCTION("iferror(if(DIVIDE(COUNTIF(query(filter('Saline Comp Data Recording'!P:P,'Saline Comp Data Recording'!C:C=B39), ""Select Col1""),TRUE),COUNTA(query(ifna(filter('Saline Comp Data Recording'!P:P,'Saline Comp Data Recording'!C:C=B39),""""), ""Select Col1"")))"&amp;"&gt;=(0.5),""1"",""0""),""-"")"),"0")</f>
        <v>0</v>
      </c>
      <c r="BX39" s="59" t="str">
        <f>IFERROR(__xludf.DUMMYFUNCTION("iferror(if(countif(query(filter('Saline Comp Data Recording'!Q:Q,'Saline Comp Data Recording'!C:C=B39), ""Select Col1""),TRUE)/COUNTA(query(ifna(filter('Saline Comp Data Recording'!Q:Q,'Saline Comp Data Recording'!C:C=B39),""""), ""Select Col1""))&gt;=(0.5),"&amp;"""1"",""0""),""-"")"),"0")</f>
        <v>0</v>
      </c>
      <c r="BY39" s="74" t="str">
        <f>IFERROR(__xludf.DUMMYFUNCTION("iferror(if(DIVIDE(COUNTIF(query(filter('Saline Comp Data Recording'!AE:AE,'Saline Comp Data Recording'!C:C=B39), ""Select Col1""),TRUE),COUNTA(query(ifna(filter('Saline Comp Data Recording'!AE:AE,'Saline Comp Data Recording'!C:C=B39),""""), ""Select Col1"&amp;""")))&gt;=(0.5),""1"",""0""),""-"")"),"0")</f>
        <v>0</v>
      </c>
      <c r="BZ39" s="59" t="str">
        <f>IFERROR(__xludf.DUMMYFUNCTION("iferror(if(countif(query(filter('Saline Comp Data Recording'!AF:AF,'Saline Comp Data Recording'!C:C=B39), ""Select Col1""),TRUE)/COUNTA(query(ifna(filter('Saline Comp Data Recording'!AF:AF,'Saline Comp Data Recording'!C:C=B39),""""), ""Select Col1""))&gt;=(0"&amp;".5),""1"",""0""),""-"")"),"0")</f>
        <v>0</v>
      </c>
      <c r="CA39" s="74" t="str">
        <f>IFERROR(__xludf.DUMMYFUNCTION("iferror(if(DIVIDE(countif(query(filter('Saline Comp Data Recording'!R:R,'Saline Comp Data Recording'!C:C=B39), ""Select Col1""),TRUE),COUNTA(query(ifna(filter('Saline Comp Data Recording'!R:R,'Saline Comp Data Recording'!C:C=B39),""""), ""Select Col1"")))"&amp;"&gt;=(0.5),""1"",""0""),""-"")"),"0")</f>
        <v>0</v>
      </c>
    </row>
    <row r="40">
      <c r="A40" s="51" t="s">
        <v>549</v>
      </c>
      <c r="B40" s="51">
        <v>5577.0</v>
      </c>
      <c r="C40" s="52" t="str">
        <f>IFERROR(__xludf.DUMMYFUNCTION("if(countif(query(filter('Saline Comp Data Recording'!R:R,'Saline Comp Data Recording'!C:C=B40), ""Select Col1""),""TRUE"")=0,""0"",countif(query(filter('Saline Comp Data Recording'!R:R,'Saline Comp Data Recording'!C:C=B40), ""Select Col1""),""TRUE"")) &amp; "&amp;"""/"" &amp; if(COUNTA(query(ifna(filter('Saline Comp Data Recording'!R:R,'Saline Comp Data Recording'!C:C=B40),""""), ""Select Col1""))=0,""0"",COUNTA(query(ifna(filter('Saline Comp Data Recording'!R:R,'Saline Comp Data Recording'!C:C=B40),""""), ""Select Col"&amp;"1"")))"),"2/5")</f>
        <v>2/5</v>
      </c>
      <c r="D40" s="53">
        <f>IFERROR(__xludf.DUMMYFUNCTION("iferror(SUM(query(filter('Saline Comp Data Recording'!D:D,'Saline Comp Data Recording'!C:C=B40), ""Select Col1"")),""-"")"),0.0)</f>
        <v>0</v>
      </c>
      <c r="E40" s="53">
        <f>IFERROR(__xludf.DUMMYFUNCTION("iferror(SUM(query(filter('Saline Comp Data Recording'!E:E,'Saline Comp Data Recording'!C:C=B40), ""Select Col1"")),""-"")"),0.0)</f>
        <v>0</v>
      </c>
      <c r="F40" s="54" t="str">
        <f t="shared" si="1"/>
        <v>-</v>
      </c>
      <c r="G40" s="55">
        <f>IFERROR(__xludf.DUMMYFUNCTION("iferror(AVERAGE(query(filter('Saline Comp Data Recording'!E:E,'Saline Comp Data Recording'!C:C=B40), ""Select Col1"")),""0.00"")"),0.0)</f>
        <v>0</v>
      </c>
      <c r="H40" s="53">
        <f>IFERROR(__xludf.DUMMYFUNCTION("iferror(MAX(query(filter('Saline Comp Data Recording'!E:E,'Saline Comp Data Recording'!C:C=B40), ""Select Col1"")),""-"")"),0.0)</f>
        <v>0</v>
      </c>
      <c r="I40" s="56">
        <f>IFERROR(__xludf.DUMMYFUNCTION("iferror(SUM(query(filter('Saline Comp Data Recording'!F:F,'Saline Comp Data Recording'!C:C=B40), ""Select Col1"")),""-"")"),0.0)</f>
        <v>0</v>
      </c>
      <c r="J40" s="57">
        <f>IFERROR(__xludf.DUMMYFUNCTION("iferror(SUM(query(filter('Saline Comp Data Recording'!G:G,'Saline Comp Data Recording'!C:C=B40), ""Select Col1"")),""-"")"),0.0)</f>
        <v>0</v>
      </c>
      <c r="K40" s="54" t="str">
        <f t="shared" si="2"/>
        <v>-</v>
      </c>
      <c r="L40" s="55">
        <f>IFERROR(__xludf.DUMMYFUNCTION("iferror(AVERAGE(query(filter('Saline Comp Data Recording'!G:G,'Saline Comp Data Recording'!C:C=B40), ""Select Col1"")),""0.00"")"),0.0)</f>
        <v>0</v>
      </c>
      <c r="M40" s="53">
        <f>IFERROR(__xludf.DUMMYFUNCTION("iferror(MAX(query(filter('Saline Comp Data Recording'!G:G,'Saline Comp Data Recording'!C:C=B40), ""Select Col1"")),""-"")"),0.0)</f>
        <v>0</v>
      </c>
      <c r="N40" s="58">
        <f>IFERROR(__xludf.DUMMYFUNCTION("iferror(SUM(query(filter('Saline Comp Data Recording'!H:H,'Saline Comp Data Recording'!C:C=B40), ""Select Col1"")),""-"")"),0.0)</f>
        <v>0</v>
      </c>
      <c r="O40" s="59">
        <f>IFERROR(__xludf.DUMMYFUNCTION("iferror(SUM(query(filter('Saline Comp Data Recording'!I:I,'Saline Comp Data Recording'!C:C=B40), ""Select Col1"")),""-"")"),0.0)</f>
        <v>0</v>
      </c>
      <c r="P40" s="54" t="str">
        <f t="shared" si="3"/>
        <v>-</v>
      </c>
      <c r="Q40" s="55">
        <f>IFERROR(__xludf.DUMMYFUNCTION("iferror(AVERAGE(query(filter('Saline Comp Data Recording'!I:I,'Saline Comp Data Recording'!C:C=B40), ""Select Col1"")),""0.00"")"),0.0)</f>
        <v>0</v>
      </c>
      <c r="R40" s="53">
        <f>IFERROR(__xludf.DUMMYFUNCTION("iferror(MAX(query(filter('Saline Comp Data Recording'!I:I,'Saline Comp Data Recording'!C:C=B40), ""Select Col1"")),""-"")"),0.0)</f>
        <v>0</v>
      </c>
      <c r="S40" s="58">
        <f>IFERROR(__xludf.DUMMYFUNCTION("iferror(SUM(query(filter('Saline Comp Data Recording'!J:J,'Saline Comp Data Recording'!C:C=B40), ""Select Col1"")),""-"")"),0.0)</f>
        <v>0</v>
      </c>
      <c r="T40" s="59">
        <f>IFERROR(__xludf.DUMMYFUNCTION("iferror(SUM(query(filter('Saline Comp Data Recording'!K:K,'Saline Comp Data Recording'!C:C=B40), ""Select Col1"")),""-"")"),0.0)</f>
        <v>0</v>
      </c>
      <c r="U40" s="54" t="str">
        <f t="shared" si="4"/>
        <v>-</v>
      </c>
      <c r="V40" s="55">
        <f>IFERROR(__xludf.DUMMYFUNCTION("iferror(AVERAGE(query(filter('Saline Comp Data Recording'!K:K,'Saline Comp Data Recording'!C:C=B40), ""Select Col1"")),""-"")"),0.0)</f>
        <v>0</v>
      </c>
      <c r="W40" s="52">
        <f>IFERROR(__xludf.DUMMYFUNCTION("iferror(MAX(query(filter('Saline Comp Data Recording'!K:K,'Saline Comp Data Recording'!C:C=B40), ""Select Col1"")),""-"")"),0.0)</f>
        <v>0</v>
      </c>
      <c r="X40" s="59">
        <f>IFERROR(__xludf.DUMMYFUNCTION("iferror(SUM(query(filter('Saline Comp Data Recording'!L:L,'Saline Comp Data Recording'!C:C=B40), ""Select Col1"")),""-"")"),0.0)</f>
        <v>0</v>
      </c>
      <c r="Y40" s="59">
        <f>IFERROR(__xludf.DUMMYFUNCTION("iferror(SUM(query(filter('Saline Comp Data Recording'!M:M,'Saline Comp Data Recording'!C:C=B40), ""Select Col1"")),""-"")"),0.0)</f>
        <v>0</v>
      </c>
      <c r="Z40" s="54" t="str">
        <f t="shared" si="5"/>
        <v>-</v>
      </c>
      <c r="AA40" s="55">
        <f>IFERROR(__xludf.DUMMYFUNCTION("iferror(AVERAGE(query(filter('Saline Comp Data Recording'!M:M,'Saline Comp Data Recording'!C:C=B40), ""Select Col1"")),""0.00"")"),0.0)</f>
        <v>0</v>
      </c>
      <c r="AB40" s="52">
        <f>IFERROR(__xludf.DUMMYFUNCTION("iferror(MAX(query(filter('Saline Comp Data Recording'!M:M,'Saline Comp Data Recording'!C:C=B40), ""Select Col1"")),""-"")"),0.0)</f>
        <v>0</v>
      </c>
      <c r="AC40" s="59">
        <f>IFERROR(__xludf.DUMMYFUNCTION("iferror(SUM(query(filter('Saline Comp Data Recording'!N:N,'Saline Comp Data Recording'!C:C=B40), ""Select Col1"")),""-"")"),2.0)</f>
        <v>2</v>
      </c>
      <c r="AD40" s="59">
        <f>IFERROR(__xludf.DUMMYFUNCTION("iferror(SUM(query(filter('Saline Comp Data Recording'!O:O,'Saline Comp Data Recording'!C:C=B40), ""Select Col1"")),""-"")"),2.0)</f>
        <v>2</v>
      </c>
      <c r="AE40" s="54">
        <f t="shared" si="6"/>
        <v>1</v>
      </c>
      <c r="AF40" s="55">
        <f>IFERROR(__xludf.DUMMYFUNCTION("iferror(AVERAGE(query(filter('Saline Comp Data Recording'!O:O,'Saline Comp Data Recording'!C:C=B40), ""Select Col1"")),""0.00"")"),0.4)</f>
        <v>0.4</v>
      </c>
      <c r="AG40" s="59">
        <f>IFERROR(__xludf.DUMMYFUNCTION("iferror(MAX(query(filter('Saline Comp Data Recording'!O:O,'Saline Comp Data Recording'!C:C=B40), ""Select Col1"")),""-"")"),1.0)</f>
        <v>1</v>
      </c>
      <c r="AH40" s="58" t="str">
        <f>IFERROR(__xludf.DUMMYFUNCTION("if(countif(query(filter('Saline Comp Data Recording'!P:P,'Saline Comp Data Recording'!C:C=B40), ""Select Col1""),TRUE)=0,""0"",countif(query(filter('Saline Comp Data Recording'!P:P,'Saline Comp Data Recording'!C:C=B40), ""Select Col1""),TRUE)) &amp; ""/"" &amp; i"&amp;"f(COUNTA(query(ifna(filter('Saline Comp Data Recording'!P:P,'Saline Comp Data Recording'!C:C=B40),""""), ""Select Col1""))=0,""0"",COUNTA(query(ifna(filter('Saline Comp Data Recording'!P:P,'Saline Comp Data Recording'!C:C=B40),""""), ""Select Col1"")))"),"0/5")</f>
        <v>0/5</v>
      </c>
      <c r="AI40" s="60" t="str">
        <f>IFERROR(__xludf.DUMMYFUNCTION("if(countif(query(filter('Saline Comp Data Recording'!Q:Q,'Saline Comp Data Recording'!C:C=B40), ""Select Col1""),TRUE)=0,""0"",countif(query(filter('Saline Comp Data Recording'!Q:Q,'Saline Comp Data Recording'!C:C=B40), ""Select Col1""),TRUE)) &amp; ""/"" &amp; i"&amp;"f(COUNTA(query(ifna(filter('Saline Comp Data Recording'!Q:Q,'Saline Comp Data Recording'!C:C=B40),""""), ""Select Col1""))=0,""0"",COUNTA(query(ifna(filter('Saline Comp Data Recording'!Q:Q,'Saline Comp Data Recording'!C:C=B40),""""), ""Select Col1"")))"),"0/5")</f>
        <v>0/5</v>
      </c>
      <c r="AJ40" s="59">
        <f>IFERROR(__xludf.DUMMYFUNCTION("iferror(SUM(query(filter('Saline Comp Data Recording'!S:S,'Saline Comp Data Recording'!C:C=B40), ""Select Col1"")),""-"")"),0.0)</f>
        <v>0</v>
      </c>
      <c r="AK40" s="59">
        <f>IFERROR(__xludf.DUMMYFUNCTION("iferror(SUM(query(filter('Saline Comp Data Recording'!T:T,'Saline Comp Data Recording'!C:C=B40), ""Select Col1"")),""-"")"),0.0)</f>
        <v>0</v>
      </c>
      <c r="AL40" s="54" t="str">
        <f t="shared" si="7"/>
        <v>-</v>
      </c>
      <c r="AM40" s="55">
        <f>IFERROR(__xludf.DUMMYFUNCTION("iferror(AVERAGE(query(filter('Saline Comp Data Recording'!T:T,'Saline Comp Data Recording'!C:C=B40), ""Select Col1"")),""0.00"")"),0.0)</f>
        <v>0</v>
      </c>
      <c r="AN40" s="61">
        <f>IFERROR(__xludf.DUMMYFUNCTION("iferror(MAX(query(filter('Saline Comp Data Recording'!T:T,'Saline Comp Data Recording'!C:C=B40), ""Select Col1"")),""-"")"),0.0)</f>
        <v>0</v>
      </c>
      <c r="AO40" s="62">
        <f>IFERROR(__xludf.DUMMYFUNCTION("iferror(SUM(query(filter('Saline Comp Data Recording'!U:U,'Saline Comp Data Recording'!C:C=B40), ""Select Col1"")),""-"")"),0.0)</f>
        <v>0</v>
      </c>
      <c r="AP40" s="62">
        <f>IFERROR(__xludf.DUMMYFUNCTION("iferror(SUM(query(filter('Saline Comp Data Recording'!V:V,'Saline Comp Data Recording'!C:C=B40), ""Select Col1"")),""-"")"),0.0)</f>
        <v>0</v>
      </c>
      <c r="AQ40" s="63" t="str">
        <f t="shared" si="8"/>
        <v>-</v>
      </c>
      <c r="AR40" s="64">
        <f>IFERROR(__xludf.DUMMYFUNCTION("iferror(AVERAGE(query(filter('Saline Comp Data Recording'!V:V,'Saline Comp Data Recording'!C:C=B40), ""Select Col1"")),""0.00"")"),0.0)</f>
        <v>0</v>
      </c>
      <c r="AS40" s="65">
        <f>IFERROR(__xludf.DUMMYFUNCTION("iferror(MAX(query(filter('Saline Comp Data Recording'!V:V,'Saline Comp Data Recording'!C:C=B40), ""Select Col1"")),""-"")"),0.0)</f>
        <v>0</v>
      </c>
      <c r="AT40" s="62">
        <f>IFERROR(__xludf.DUMMYFUNCTION("iferror(SUM(query(filter('Saline Comp Data Recording'!W:W,'Saline Comp Data Recording'!C:C=B40), ""Select Col1"")),""-"")"),0.0)</f>
        <v>0</v>
      </c>
      <c r="AU40" s="62">
        <f>IFERROR(__xludf.DUMMYFUNCTION("iferror(SUM(query(filter('Saline Comp Data Recording'!X:X,'Saline Comp Data Recording'!C:C=B40), ""Select Col1"")),""-"")"),0.0)</f>
        <v>0</v>
      </c>
      <c r="AV40" s="63" t="str">
        <f t="shared" si="9"/>
        <v>-</v>
      </c>
      <c r="AW40" s="64">
        <f>IFERROR(__xludf.DUMMYFUNCTION("iferror(AVERAGE(query(filter('Saline Comp Data Recording'!X:X,'Saline Comp Data Recording'!C:C=B40), ""Select Col1"")),""0.00"")"),0.0)</f>
        <v>0</v>
      </c>
      <c r="AX40" s="65">
        <f>IFERROR(__xludf.DUMMYFUNCTION("iferror(MAX(query(filter('Saline Comp Data Recording'!X:X,'Saline Comp Data Recording'!C:C=B40), ""Select Col1"")),""-"")"),0.0)</f>
        <v>0</v>
      </c>
      <c r="AY40" s="62">
        <f>IFERROR(__xludf.DUMMYFUNCTION("iferror(SUM(query(filter('Saline Comp Data Recording'!Y:Y,'Saline Comp Data Recording'!C:C=B40), ""Select Col1"")),""-"")"),0.0)</f>
        <v>0</v>
      </c>
      <c r="AZ40" s="62">
        <f>IFERROR(__xludf.DUMMYFUNCTION("iferror(SUM(query(filter('Saline Comp Data Recording'!Z:Z,'Saline Comp Data Recording'!C:C=B40), ""Select Col1"")),""-"")"),0.0)</f>
        <v>0</v>
      </c>
      <c r="BA40" s="63" t="str">
        <f t="shared" si="10"/>
        <v>-</v>
      </c>
      <c r="BB40" s="64">
        <f>IFERROR(__xludf.DUMMYFUNCTION("iferror(AVERAGE(query(filter('Saline Comp Data Recording'!Z:Z,'Saline Comp Data Recording'!C:C=B40), ""Select Col1"")),""0.00"")"),0.0)</f>
        <v>0</v>
      </c>
      <c r="BC40" s="65">
        <f>IFERROR(__xludf.DUMMYFUNCTION("iferror(MAX(query(filter('Saline Comp Data Recording'!Z:Z,'Saline Comp Data Recording'!C:C=B40), ""Select Col1"")),""-"")"),0.0)</f>
        <v>0</v>
      </c>
      <c r="BD40" s="62">
        <f>IFERROR(__xludf.DUMMYFUNCTION("iferror(SUM(query(filter('Saline Comp Data Recording'!AA:AA,'Saline Comp Data Recording'!C:C=B40), ""Select Col1"")),""-"")"),0.0)</f>
        <v>0</v>
      </c>
      <c r="BE40" s="62">
        <f>IFERROR(__xludf.DUMMYFUNCTION("iferror(SUM(query(filter('Saline Comp Data Recording'!AB:AB,'Saline Comp Data Recording'!C:C=B40), ""Select Col1"")),""-"")"),0.0)</f>
        <v>0</v>
      </c>
      <c r="BF40" s="63" t="str">
        <f t="shared" si="11"/>
        <v>-</v>
      </c>
      <c r="BG40" s="64">
        <f>IFERROR(__xludf.DUMMYFUNCTION("iferror(AVERAGE(query(filter('Saline Comp Data Recording'!AB:AB,'Saline Comp Data Recording'!C:C=B40), ""Select Col1"")),""0.00"")"),0.0)</f>
        <v>0</v>
      </c>
      <c r="BH40" s="65">
        <f>IFERROR(__xludf.DUMMYFUNCTION("iferror(MAX(query(filter('Saline Comp Data Recording'!AB:AB,'Saline Comp Data Recording'!C:C=B40), ""Select Col1"")),""-"")"),0.0)</f>
        <v>0</v>
      </c>
      <c r="BI40" s="62">
        <f>IFERROR(__xludf.DUMMYFUNCTION("iferror(SUM(query(filter('Saline Comp Data Recording'!AC:AC,'Saline Comp Data Recording'!C:C=B40), ""Select Col1"")),""-"")"),6.0)</f>
        <v>6</v>
      </c>
      <c r="BJ40" s="62">
        <f>IFERROR(__xludf.DUMMYFUNCTION("iferror(SUM(query(filter('Saline Comp Data Recording'!AD:AD,'Saline Comp Data Recording'!C:C=B40), ""Select Col1"")),""-"")"),6.0)</f>
        <v>6</v>
      </c>
      <c r="BK40" s="63">
        <f t="shared" si="12"/>
        <v>1</v>
      </c>
      <c r="BL40" s="64">
        <f>IFERROR(__xludf.DUMMYFUNCTION("iferror(AVERAGE(query(filter('Saline Comp Data Recording'!AD:AD,'Saline Comp Data Recording'!C:C=B40), ""Select Col1"")),""0.00"")"),1.2)</f>
        <v>1.2</v>
      </c>
      <c r="BM40" s="65">
        <f>IFERROR(__xludf.DUMMYFUNCTION("iferror(MAX(query(filter('Saline Comp Data Recording'!AD:AD,'Saline Comp Data Recording'!C:C=B40), ""Select Col1"")),""-"")"),3.0)</f>
        <v>3</v>
      </c>
      <c r="BN40" s="66" t="str">
        <f>IFERROR(__xludf.DUMMYFUNCTION("if(countif(query(filter('Saline Comp Data Recording'!AE:AE,'Saline Comp Data Recording'!C:C=B40), ""Select Col1""),""TRUE"")=0,""0"",countif(query(filter('Saline Comp Data Recording'!AE:AE,'Saline Comp Data Recording'!C:C=B40), ""Select Col1""),""TRUE""))"&amp;" &amp; ""/"" &amp; if(COUNTA(query(ifna(filter('Saline Comp Data Recording'!AE:AE,'Saline Comp Data Recording'!C:C=B40),""""), ""Select Col1""))=0,""0"",COUNTA(query(ifna(filter('Saline Comp Data Recording'!AE:AE,'Saline Comp Data Recording'!C:C=B40),""""), ""Sel"&amp;"ect Col1"")))"),"0/5")</f>
        <v>0/5</v>
      </c>
      <c r="BO40" s="67" t="str">
        <f>IFERROR(__xludf.DUMMYFUNCTION("if(countif(query(filter('Saline Comp Data Recording'!AF:AF,'Saline Comp Data Recording'!C:C=B40), ""Select Col1""),""TRUE"")=0,""0"",countif(query(filter('Saline Comp Data Recording'!AF:AF,'Saline Comp Data Recording'!C:C=B40), ""Select Col1""),""TRUE""))"&amp;" &amp; ""/"" &amp; if(COUNTA(query(ifna(filter('Saline Comp Data Recording'!AF:AF,'Saline Comp Data Recording'!C:C=B40),""""), ""Select Col1""))=0,""0"",COUNTA(query(ifna(filter('Saline Comp Data Recording'!AF:AF,'Saline Comp Data Recording'!C:C=B40),""""), ""Sel"&amp;"ect Col1"")))"),"0/5")</f>
        <v>0/5</v>
      </c>
      <c r="BP40" s="60" t="str">
        <f>IFERROR(__xludf.DUMMYFUNCTION("if(countif(query(filter('Saline Comp Data Recording'!AI:AI,'Saline Comp Data Recording'!C:C=B40), ""Select Col1""),""TRUE"")=0,""0"",countif(query(filter('Saline Comp Data Recording'!AI:AI,'Saline Comp Data Recording'!C:C=B40), ""Select Col1""),""TRUE""))"&amp;" &amp; ""/"" &amp; if(COUNTA(query(ifna(filter('Saline Comp Data Recording'!AI:AI,'Saline Comp Data Recording'!C:C=B40),""""), ""Select Col1""))=0,""0"",COUNTA(query(ifna(filter('Saline Comp Data Recording'!AI:AI,'Saline Comp Data Recording'!C:C=B40),""""), ""Sel"&amp;"ect Col1"")))"),"2/5")</f>
        <v>2/5</v>
      </c>
      <c r="BQ40" s="55">
        <f>IFERROR(__xludf.DUMMYFUNCTION("iferror(average(query(filter('Saline Comp Data Recording'!AG:AG,'Saline Comp Data Recording'!C:C=B40), ""Select Col1"")),""-"")"),0.8)</f>
        <v>0.8</v>
      </c>
      <c r="BR40" s="69">
        <f>IFERROR(__xludf.DUMMYFUNCTION("iferror(average(query(filter('Saline Comp Data Recording'!AH:AH,'Saline Comp Data Recording'!C:C=B40), ""Select Col1"")),""-"")"),2.2)</f>
        <v>2.2</v>
      </c>
      <c r="BS40" s="70">
        <f>IFERROR(__xludf.DUMMYFUNCTION("iferror(AVERAGE(query(filter('Saline Comp Data Recording'!AK:AK,'Saline Comp Data Recording'!C:C=B40), ""Select Col1"")),""-"")"),4.8)</f>
        <v>4.8</v>
      </c>
      <c r="BT40" s="70">
        <f>IFERROR(__xludf.DUMMYFUNCTION("iferror(AVERAGE(query(filter('Saline Comp Data Recording'!AL:AL,'Saline Comp Data Recording'!C:C=B40), ""Select Col1"")),""-"")"),4.8)</f>
        <v>4.8</v>
      </c>
      <c r="BU40" s="71">
        <f>IFERROR(__xludf.DUMMYFUNCTION("iferror(max(query(filter('Saline Comp Data Recording'!AK:AK,'Saline Comp Data Recording'!C:C=B40), ""Select Col1"")),""-"")"),12.0)</f>
        <v>12</v>
      </c>
      <c r="BV40" s="72">
        <f>IFERROR(__xludf.DUMMYFUNCTION("iferror(MIN(query(filter('Saline Comp Data Recording'!AK:AK,'Saline Comp Data Recording'!C:C=B40), ""Select Col1"")),""-"")"),0.0)</f>
        <v>0</v>
      </c>
      <c r="BW40" s="73" t="str">
        <f>IFERROR(__xludf.DUMMYFUNCTION("iferror(if(DIVIDE(COUNTIF(query(filter('Saline Comp Data Recording'!P:P,'Saline Comp Data Recording'!C:C=B40), ""Select Col1""),TRUE),COUNTA(query(ifna(filter('Saline Comp Data Recording'!P:P,'Saline Comp Data Recording'!C:C=B40),""""), ""Select Col1"")))"&amp;"&gt;=(0.5),""1"",""0""),""-"")"),"0")</f>
        <v>0</v>
      </c>
      <c r="BX40" s="59" t="str">
        <f>IFERROR(__xludf.DUMMYFUNCTION("iferror(if(countif(query(filter('Saline Comp Data Recording'!Q:Q,'Saline Comp Data Recording'!C:C=B40), ""Select Col1""),TRUE)/COUNTA(query(ifna(filter('Saline Comp Data Recording'!Q:Q,'Saline Comp Data Recording'!C:C=B40),""""), ""Select Col1""))&gt;=(0.5),"&amp;"""1"",""0""),""-"")"),"0")</f>
        <v>0</v>
      </c>
      <c r="BY40" s="74" t="str">
        <f>IFERROR(__xludf.DUMMYFUNCTION("iferror(if(DIVIDE(COUNTIF(query(filter('Saline Comp Data Recording'!AE:AE,'Saline Comp Data Recording'!C:C=B40), ""Select Col1""),TRUE),COUNTA(query(ifna(filter('Saline Comp Data Recording'!AE:AE,'Saline Comp Data Recording'!C:C=B40),""""), ""Select Col1"&amp;""")))&gt;=(0.5),""1"",""0""),""-"")"),"0")</f>
        <v>0</v>
      </c>
      <c r="BZ40" s="59" t="str">
        <f>IFERROR(__xludf.DUMMYFUNCTION("iferror(if(countif(query(filter('Saline Comp Data Recording'!AF:AF,'Saline Comp Data Recording'!C:C=B40), ""Select Col1""),TRUE)/COUNTA(query(ifna(filter('Saline Comp Data Recording'!AF:AF,'Saline Comp Data Recording'!C:C=B40),""""), ""Select Col1""))&gt;=(0"&amp;".5),""1"",""0""),""-"")"),"0")</f>
        <v>0</v>
      </c>
      <c r="CA40" s="74" t="str">
        <f>IFERROR(__xludf.DUMMYFUNCTION("iferror(if(DIVIDE(countif(query(filter('Saline Comp Data Recording'!R:R,'Saline Comp Data Recording'!C:C=B40), ""Select Col1""),TRUE),COUNTA(query(ifna(filter('Saline Comp Data Recording'!R:R,'Saline Comp Data Recording'!C:C=B40),""""), ""Select Col1"")))"&amp;"&gt;=(0.5),""1"",""0""),""-"")"),"0")</f>
        <v>0</v>
      </c>
    </row>
    <row r="41">
      <c r="A41" s="51" t="s">
        <v>550</v>
      </c>
      <c r="B41" s="51">
        <v>8222.0</v>
      </c>
      <c r="C41" s="52" t="str">
        <f>IFERROR(__xludf.DUMMYFUNCTION("if(countif(query(filter('Saline Comp Data Recording'!R:R,'Saline Comp Data Recording'!C:C=B41), ""Select Col1""),""TRUE"")=0,""0"",countif(query(filter('Saline Comp Data Recording'!R:R,'Saline Comp Data Recording'!C:C=B41), ""Select Col1""),""TRUE"")) &amp; "&amp;"""/"" &amp; if(COUNTA(query(ifna(filter('Saline Comp Data Recording'!R:R,'Saline Comp Data Recording'!C:C=B41),""""), ""Select Col1""))=0,""0"",COUNTA(query(ifna(filter('Saline Comp Data Recording'!R:R,'Saline Comp Data Recording'!C:C=B41),""""), ""Select Col"&amp;"1"")))"),"0/5")</f>
        <v>0/5</v>
      </c>
      <c r="D41" s="53">
        <f>IFERROR(__xludf.DUMMYFUNCTION("iferror(SUM(query(filter('Saline Comp Data Recording'!D:D,'Saline Comp Data Recording'!C:C=B41), ""Select Col1"")),""-"")"),4.0)</f>
        <v>4</v>
      </c>
      <c r="E41" s="53">
        <f>IFERROR(__xludf.DUMMYFUNCTION("iferror(SUM(query(filter('Saline Comp Data Recording'!E:E,'Saline Comp Data Recording'!C:C=B41), ""Select Col1"")),""-"")"),3.0)</f>
        <v>3</v>
      </c>
      <c r="F41" s="54">
        <f t="shared" si="1"/>
        <v>0.75</v>
      </c>
      <c r="G41" s="55">
        <f>IFERROR(__xludf.DUMMYFUNCTION("iferror(AVERAGE(query(filter('Saline Comp Data Recording'!E:E,'Saline Comp Data Recording'!C:C=B41), ""Select Col1"")),""0.00"")"),0.6)</f>
        <v>0.6</v>
      </c>
      <c r="H41" s="53">
        <f>IFERROR(__xludf.DUMMYFUNCTION("iferror(MAX(query(filter('Saline Comp Data Recording'!E:E,'Saline Comp Data Recording'!C:C=B41), ""Select Col1"")),""-"")"),1.0)</f>
        <v>1</v>
      </c>
      <c r="I41" s="56">
        <f>IFERROR(__xludf.DUMMYFUNCTION("iferror(SUM(query(filter('Saline Comp Data Recording'!F:F,'Saline Comp Data Recording'!C:C=B41), ""Select Col1"")),""-"")"),0.0)</f>
        <v>0</v>
      </c>
      <c r="J41" s="57">
        <f>IFERROR(__xludf.DUMMYFUNCTION("iferror(SUM(query(filter('Saline Comp Data Recording'!G:G,'Saline Comp Data Recording'!C:C=B41), ""Select Col1"")),""-"")"),0.0)</f>
        <v>0</v>
      </c>
      <c r="K41" s="54" t="str">
        <f t="shared" si="2"/>
        <v>-</v>
      </c>
      <c r="L41" s="55">
        <f>IFERROR(__xludf.DUMMYFUNCTION("iferror(AVERAGE(query(filter('Saline Comp Data Recording'!G:G,'Saline Comp Data Recording'!C:C=B41), ""Select Col1"")),""0.00"")"),0.0)</f>
        <v>0</v>
      </c>
      <c r="M41" s="53">
        <f>IFERROR(__xludf.DUMMYFUNCTION("iferror(MAX(query(filter('Saline Comp Data Recording'!G:G,'Saline Comp Data Recording'!C:C=B41), ""Select Col1"")),""-"")"),0.0)</f>
        <v>0</v>
      </c>
      <c r="N41" s="58">
        <f>IFERROR(__xludf.DUMMYFUNCTION("iferror(SUM(query(filter('Saline Comp Data Recording'!H:H,'Saline Comp Data Recording'!C:C=B41), ""Select Col1"")),""-"")"),0.0)</f>
        <v>0</v>
      </c>
      <c r="O41" s="59">
        <f>IFERROR(__xludf.DUMMYFUNCTION("iferror(SUM(query(filter('Saline Comp Data Recording'!I:I,'Saline Comp Data Recording'!C:C=B41), ""Select Col1"")),""-"")"),0.0)</f>
        <v>0</v>
      </c>
      <c r="P41" s="54" t="str">
        <f t="shared" si="3"/>
        <v>-</v>
      </c>
      <c r="Q41" s="55">
        <f>IFERROR(__xludf.DUMMYFUNCTION("iferror(AVERAGE(query(filter('Saline Comp Data Recording'!I:I,'Saline Comp Data Recording'!C:C=B41), ""Select Col1"")),""0.00"")"),0.0)</f>
        <v>0</v>
      </c>
      <c r="R41" s="53">
        <f>IFERROR(__xludf.DUMMYFUNCTION("iferror(MAX(query(filter('Saline Comp Data Recording'!I:I,'Saline Comp Data Recording'!C:C=B41), ""Select Col1"")),""-"")"),0.0)</f>
        <v>0</v>
      </c>
      <c r="S41" s="58">
        <f>IFERROR(__xludf.DUMMYFUNCTION("iferror(SUM(query(filter('Saline Comp Data Recording'!J:J,'Saline Comp Data Recording'!C:C=B41), ""Select Col1"")),""-"")"),0.0)</f>
        <v>0</v>
      </c>
      <c r="T41" s="59">
        <f>IFERROR(__xludf.DUMMYFUNCTION("iferror(SUM(query(filter('Saline Comp Data Recording'!K:K,'Saline Comp Data Recording'!C:C=B41), ""Select Col1"")),""-"")"),0.0)</f>
        <v>0</v>
      </c>
      <c r="U41" s="54" t="str">
        <f t="shared" si="4"/>
        <v>-</v>
      </c>
      <c r="V41" s="55">
        <f>IFERROR(__xludf.DUMMYFUNCTION("iferror(AVERAGE(query(filter('Saline Comp Data Recording'!K:K,'Saline Comp Data Recording'!C:C=B41), ""Select Col1"")),""-"")"),0.0)</f>
        <v>0</v>
      </c>
      <c r="W41" s="52">
        <f>IFERROR(__xludf.DUMMYFUNCTION("iferror(MAX(query(filter('Saline Comp Data Recording'!K:K,'Saline Comp Data Recording'!C:C=B41), ""Select Col1"")),""-"")"),0.0)</f>
        <v>0</v>
      </c>
      <c r="X41" s="59">
        <f>IFERROR(__xludf.DUMMYFUNCTION("iferror(SUM(query(filter('Saline Comp Data Recording'!L:L,'Saline Comp Data Recording'!C:C=B41), ""Select Col1"")),""-"")"),0.0)</f>
        <v>0</v>
      </c>
      <c r="Y41" s="59">
        <f>IFERROR(__xludf.DUMMYFUNCTION("iferror(SUM(query(filter('Saline Comp Data Recording'!M:M,'Saline Comp Data Recording'!C:C=B41), ""Select Col1"")),""-"")"),0.0)</f>
        <v>0</v>
      </c>
      <c r="Z41" s="54" t="str">
        <f t="shared" si="5"/>
        <v>-</v>
      </c>
      <c r="AA41" s="55">
        <f>IFERROR(__xludf.DUMMYFUNCTION("iferror(AVERAGE(query(filter('Saline Comp Data Recording'!M:M,'Saline Comp Data Recording'!C:C=B41), ""Select Col1"")),""0.00"")"),0.0)</f>
        <v>0</v>
      </c>
      <c r="AB41" s="52">
        <f>IFERROR(__xludf.DUMMYFUNCTION("iferror(MAX(query(filter('Saline Comp Data Recording'!M:M,'Saline Comp Data Recording'!C:C=B41), ""Select Col1"")),""-"")"),0.0)</f>
        <v>0</v>
      </c>
      <c r="AC41" s="59">
        <f>IFERROR(__xludf.DUMMYFUNCTION("iferror(SUM(query(filter('Saline Comp Data Recording'!N:N,'Saline Comp Data Recording'!C:C=B41), ""Select Col1"")),""-"")"),0.0)</f>
        <v>0</v>
      </c>
      <c r="AD41" s="59">
        <f>IFERROR(__xludf.DUMMYFUNCTION("iferror(SUM(query(filter('Saline Comp Data Recording'!O:O,'Saline Comp Data Recording'!C:C=B41), ""Select Col1"")),""-"")"),0.0)</f>
        <v>0</v>
      </c>
      <c r="AE41" s="54" t="str">
        <f t="shared" si="6"/>
        <v>-</v>
      </c>
      <c r="AF41" s="55">
        <f>IFERROR(__xludf.DUMMYFUNCTION("iferror(AVERAGE(query(filter('Saline Comp Data Recording'!O:O,'Saline Comp Data Recording'!C:C=B41), ""Select Col1"")),""0.00"")"),0.0)</f>
        <v>0</v>
      </c>
      <c r="AG41" s="59">
        <f>IFERROR(__xludf.DUMMYFUNCTION("iferror(MAX(query(filter('Saline Comp Data Recording'!O:O,'Saline Comp Data Recording'!C:C=B41), ""Select Col1"")),""-"")"),0.0)</f>
        <v>0</v>
      </c>
      <c r="AH41" s="58" t="str">
        <f>IFERROR(__xludf.DUMMYFUNCTION("if(countif(query(filter('Saline Comp Data Recording'!P:P,'Saline Comp Data Recording'!C:C=B41), ""Select Col1""),TRUE)=0,""0"",countif(query(filter('Saline Comp Data Recording'!P:P,'Saline Comp Data Recording'!C:C=B41), ""Select Col1""),TRUE)) &amp; ""/"" &amp; i"&amp;"f(COUNTA(query(ifna(filter('Saline Comp Data Recording'!P:P,'Saline Comp Data Recording'!C:C=B41),""""), ""Select Col1""))=0,""0"",COUNTA(query(ifna(filter('Saline Comp Data Recording'!P:P,'Saline Comp Data Recording'!C:C=B41),""""), ""Select Col1"")))"),"0/5")</f>
        <v>0/5</v>
      </c>
      <c r="AI41" s="60" t="str">
        <f>IFERROR(__xludf.DUMMYFUNCTION("if(countif(query(filter('Saline Comp Data Recording'!Q:Q,'Saline Comp Data Recording'!C:C=B41), ""Select Col1""),TRUE)=0,""0"",countif(query(filter('Saline Comp Data Recording'!Q:Q,'Saline Comp Data Recording'!C:C=B41), ""Select Col1""),TRUE)) &amp; ""/"" &amp; i"&amp;"f(COUNTA(query(ifna(filter('Saline Comp Data Recording'!Q:Q,'Saline Comp Data Recording'!C:C=B41),""""), ""Select Col1""))=0,""0"",COUNTA(query(ifna(filter('Saline Comp Data Recording'!Q:Q,'Saline Comp Data Recording'!C:C=B41),""""), ""Select Col1"")))"),"0/5")</f>
        <v>0/5</v>
      </c>
      <c r="AJ41" s="59">
        <f>IFERROR(__xludf.DUMMYFUNCTION("iferror(SUM(query(filter('Saline Comp Data Recording'!S:S,'Saline Comp Data Recording'!C:C=B41), ""Select Col1"")),""-"")"),0.0)</f>
        <v>0</v>
      </c>
      <c r="AK41" s="59">
        <f>IFERROR(__xludf.DUMMYFUNCTION("iferror(SUM(query(filter('Saline Comp Data Recording'!T:T,'Saline Comp Data Recording'!C:C=B41), ""Select Col1"")),""-"")"),0.0)</f>
        <v>0</v>
      </c>
      <c r="AL41" s="54" t="str">
        <f t="shared" si="7"/>
        <v>-</v>
      </c>
      <c r="AM41" s="55">
        <f>IFERROR(__xludf.DUMMYFUNCTION("iferror(AVERAGE(query(filter('Saline Comp Data Recording'!T:T,'Saline Comp Data Recording'!C:C=B41), ""Select Col1"")),""0.00"")"),0.0)</f>
        <v>0</v>
      </c>
      <c r="AN41" s="61">
        <f>IFERROR(__xludf.DUMMYFUNCTION("iferror(MAX(query(filter('Saline Comp Data Recording'!T:T,'Saline Comp Data Recording'!C:C=B41), ""Select Col1"")),""-"")"),0.0)</f>
        <v>0</v>
      </c>
      <c r="AO41" s="62">
        <f>IFERROR(__xludf.DUMMYFUNCTION("iferror(SUM(query(filter('Saline Comp Data Recording'!U:U,'Saline Comp Data Recording'!C:C=B41), ""Select Col1"")),""-"")"),0.0)</f>
        <v>0</v>
      </c>
      <c r="AP41" s="62">
        <f>IFERROR(__xludf.DUMMYFUNCTION("iferror(SUM(query(filter('Saline Comp Data Recording'!V:V,'Saline Comp Data Recording'!C:C=B41), ""Select Col1"")),""-"")"),0.0)</f>
        <v>0</v>
      </c>
      <c r="AQ41" s="63" t="str">
        <f t="shared" si="8"/>
        <v>-</v>
      </c>
      <c r="AR41" s="64">
        <f>IFERROR(__xludf.DUMMYFUNCTION("iferror(AVERAGE(query(filter('Saline Comp Data Recording'!V:V,'Saline Comp Data Recording'!C:C=B41), ""Select Col1"")),""0.00"")"),0.0)</f>
        <v>0</v>
      </c>
      <c r="AS41" s="65">
        <f>IFERROR(__xludf.DUMMYFUNCTION("iferror(MAX(query(filter('Saline Comp Data Recording'!V:V,'Saline Comp Data Recording'!C:C=B41), ""Select Col1"")),""-"")"),0.0)</f>
        <v>0</v>
      </c>
      <c r="AT41" s="62">
        <f>IFERROR(__xludf.DUMMYFUNCTION("iferror(SUM(query(filter('Saline Comp Data Recording'!W:W,'Saline Comp Data Recording'!C:C=B41), ""Select Col1"")),""-"")"),2.0)</f>
        <v>2</v>
      </c>
      <c r="AU41" s="62">
        <f>IFERROR(__xludf.DUMMYFUNCTION("iferror(SUM(query(filter('Saline Comp Data Recording'!X:X,'Saline Comp Data Recording'!C:C=B41), ""Select Col1"")),""-"")"),1.0)</f>
        <v>1</v>
      </c>
      <c r="AV41" s="63">
        <f t="shared" si="9"/>
        <v>0.5</v>
      </c>
      <c r="AW41" s="64">
        <f>IFERROR(__xludf.DUMMYFUNCTION("iferror(AVERAGE(query(filter('Saline Comp Data Recording'!X:X,'Saline Comp Data Recording'!C:C=B41), ""Select Col1"")),""0.00"")"),0.2)</f>
        <v>0.2</v>
      </c>
      <c r="AX41" s="65">
        <f>IFERROR(__xludf.DUMMYFUNCTION("iferror(MAX(query(filter('Saline Comp Data Recording'!X:X,'Saline Comp Data Recording'!C:C=B41), ""Select Col1"")),""-"")"),1.0)</f>
        <v>1</v>
      </c>
      <c r="AY41" s="62">
        <f>IFERROR(__xludf.DUMMYFUNCTION("iferror(SUM(query(filter('Saline Comp Data Recording'!Y:Y,'Saline Comp Data Recording'!C:C=B41), ""Select Col1"")),""-"")"),0.0)</f>
        <v>0</v>
      </c>
      <c r="AZ41" s="62">
        <f>IFERROR(__xludf.DUMMYFUNCTION("iferror(SUM(query(filter('Saline Comp Data Recording'!Z:Z,'Saline Comp Data Recording'!C:C=B41), ""Select Col1"")),""-"")"),0.0)</f>
        <v>0</v>
      </c>
      <c r="BA41" s="63" t="str">
        <f t="shared" si="10"/>
        <v>-</v>
      </c>
      <c r="BB41" s="64">
        <f>IFERROR(__xludf.DUMMYFUNCTION("iferror(AVERAGE(query(filter('Saline Comp Data Recording'!Z:Z,'Saline Comp Data Recording'!C:C=B41), ""Select Col1"")),""0.00"")"),0.0)</f>
        <v>0</v>
      </c>
      <c r="BC41" s="65">
        <f>IFERROR(__xludf.DUMMYFUNCTION("iferror(MAX(query(filter('Saline Comp Data Recording'!Z:Z,'Saline Comp Data Recording'!C:C=B41), ""Select Col1"")),""-"")"),0.0)</f>
        <v>0</v>
      </c>
      <c r="BD41" s="62">
        <f>IFERROR(__xludf.DUMMYFUNCTION("iferror(SUM(query(filter('Saline Comp Data Recording'!AA:AA,'Saline Comp Data Recording'!C:C=B41), ""Select Col1"")),""-"")"),0.0)</f>
        <v>0</v>
      </c>
      <c r="BE41" s="62">
        <f>IFERROR(__xludf.DUMMYFUNCTION("iferror(SUM(query(filter('Saline Comp Data Recording'!AB:AB,'Saline Comp Data Recording'!C:C=B41), ""Select Col1"")),""-"")"),0.0)</f>
        <v>0</v>
      </c>
      <c r="BF41" s="63" t="str">
        <f t="shared" si="11"/>
        <v>-</v>
      </c>
      <c r="BG41" s="64">
        <f>IFERROR(__xludf.DUMMYFUNCTION("iferror(AVERAGE(query(filter('Saline Comp Data Recording'!AB:AB,'Saline Comp Data Recording'!C:C=B41), ""Select Col1"")),""0.00"")"),0.0)</f>
        <v>0</v>
      </c>
      <c r="BH41" s="65">
        <f>IFERROR(__xludf.DUMMYFUNCTION("iferror(MAX(query(filter('Saline Comp Data Recording'!AB:AB,'Saline Comp Data Recording'!C:C=B41), ""Select Col1"")),""-"")"),0.0)</f>
        <v>0</v>
      </c>
      <c r="BI41" s="62">
        <f>IFERROR(__xludf.DUMMYFUNCTION("iferror(SUM(query(filter('Saline Comp Data Recording'!AC:AC,'Saline Comp Data Recording'!C:C=B41), ""Select Col1"")),""-"")"),0.0)</f>
        <v>0</v>
      </c>
      <c r="BJ41" s="62">
        <f>IFERROR(__xludf.DUMMYFUNCTION("iferror(SUM(query(filter('Saline Comp Data Recording'!AD:AD,'Saline Comp Data Recording'!C:C=B41), ""Select Col1"")),""-"")"),0.0)</f>
        <v>0</v>
      </c>
      <c r="BK41" s="63" t="str">
        <f t="shared" si="12"/>
        <v>-</v>
      </c>
      <c r="BL41" s="64">
        <f>IFERROR(__xludf.DUMMYFUNCTION("iferror(AVERAGE(query(filter('Saline Comp Data Recording'!AD:AD,'Saline Comp Data Recording'!C:C=B41), ""Select Col1"")),""0.00"")"),0.0)</f>
        <v>0</v>
      </c>
      <c r="BM41" s="65">
        <f>IFERROR(__xludf.DUMMYFUNCTION("iferror(MAX(query(filter('Saline Comp Data Recording'!AD:AD,'Saline Comp Data Recording'!C:C=B41), ""Select Col1"")),""-"")"),0.0)</f>
        <v>0</v>
      </c>
      <c r="BN41" s="66" t="str">
        <f>IFERROR(__xludf.DUMMYFUNCTION("if(countif(query(filter('Saline Comp Data Recording'!AE:AE,'Saline Comp Data Recording'!C:C=B41), ""Select Col1""),""TRUE"")=0,""0"",countif(query(filter('Saline Comp Data Recording'!AE:AE,'Saline Comp Data Recording'!C:C=B41), ""Select Col1""),""TRUE""))"&amp;" &amp; ""/"" &amp; if(COUNTA(query(ifna(filter('Saline Comp Data Recording'!AE:AE,'Saline Comp Data Recording'!C:C=B41),""""), ""Select Col1""))=0,""0"",COUNTA(query(ifna(filter('Saline Comp Data Recording'!AE:AE,'Saline Comp Data Recording'!C:C=B41),""""), ""Sel"&amp;"ect Col1"")))"),"0/5")</f>
        <v>0/5</v>
      </c>
      <c r="BO41" s="67" t="str">
        <f>IFERROR(__xludf.DUMMYFUNCTION("if(countif(query(filter('Saline Comp Data Recording'!AF:AF,'Saline Comp Data Recording'!C:C=B41), ""Select Col1""),""TRUE"")=0,""0"",countif(query(filter('Saline Comp Data Recording'!AF:AF,'Saline Comp Data Recording'!C:C=B41), ""Select Col1""),""TRUE""))"&amp;" &amp; ""/"" &amp; if(COUNTA(query(ifna(filter('Saline Comp Data Recording'!AF:AF,'Saline Comp Data Recording'!C:C=B41),""""), ""Select Col1""))=0,""0"",COUNTA(query(ifna(filter('Saline Comp Data Recording'!AF:AF,'Saline Comp Data Recording'!C:C=B41),""""), ""Sel"&amp;"ect Col1"")))"),"0/5")</f>
        <v>0/5</v>
      </c>
      <c r="BP41" s="60" t="str">
        <f>IFERROR(__xludf.DUMMYFUNCTION("if(countif(query(filter('Saline Comp Data Recording'!AI:AI,'Saline Comp Data Recording'!C:C=B41), ""Select Col1""),""TRUE"")=0,""0"",countif(query(filter('Saline Comp Data Recording'!AI:AI,'Saline Comp Data Recording'!C:C=B41), ""Select Col1""),""TRUE""))"&amp;" &amp; ""/"" &amp; if(COUNTA(query(ifna(filter('Saline Comp Data Recording'!AI:AI,'Saline Comp Data Recording'!C:C=B41),""""), ""Select Col1""))=0,""0"",COUNTA(query(ifna(filter('Saline Comp Data Recording'!AI:AI,'Saline Comp Data Recording'!C:C=B41),""""), ""Sel"&amp;"ect Col1"")))"),"1/5")</f>
        <v>1/5</v>
      </c>
      <c r="BQ41" s="55">
        <f>IFERROR(__xludf.DUMMYFUNCTION("iferror(average(query(filter('Saline Comp Data Recording'!AG:AG,'Saline Comp Data Recording'!C:C=B41), ""Select Col1"")),""-"")"),0.6)</f>
        <v>0.6</v>
      </c>
      <c r="BR41" s="69">
        <f>IFERROR(__xludf.DUMMYFUNCTION("iferror(average(query(filter('Saline Comp Data Recording'!AH:AH,'Saline Comp Data Recording'!C:C=B41), ""Select Col1"")),""-"")"),1.0)</f>
        <v>1</v>
      </c>
      <c r="BS41" s="70">
        <f>IFERROR(__xludf.DUMMYFUNCTION("iferror(AVERAGE(query(filter('Saline Comp Data Recording'!AK:AK,'Saline Comp Data Recording'!C:C=B41), ""Select Col1"")),""-"")"),4.0)</f>
        <v>4</v>
      </c>
      <c r="BT41" s="70">
        <f>IFERROR(__xludf.DUMMYFUNCTION("iferror(AVERAGE(query(filter('Saline Comp Data Recording'!AL:AL,'Saline Comp Data Recording'!C:C=B41), ""Select Col1"")),""-"")"),4.0)</f>
        <v>4</v>
      </c>
      <c r="BU41" s="71">
        <f>IFERROR(__xludf.DUMMYFUNCTION("iferror(max(query(filter('Saline Comp Data Recording'!AK:AK,'Saline Comp Data Recording'!C:C=B41), ""Select Col1"")),""-"")"),6.0)</f>
        <v>6</v>
      </c>
      <c r="BV41" s="72">
        <f>IFERROR(__xludf.DUMMYFUNCTION("iferror(MIN(query(filter('Saline Comp Data Recording'!AK:AK,'Saline Comp Data Recording'!C:C=B41), ""Select Col1"")),""-"")"),0.0)</f>
        <v>0</v>
      </c>
      <c r="BW41" s="73" t="str">
        <f>IFERROR(__xludf.DUMMYFUNCTION("iferror(if(DIVIDE(COUNTIF(query(filter('Saline Comp Data Recording'!P:P,'Saline Comp Data Recording'!C:C=B41), ""Select Col1""),TRUE),COUNTA(query(ifna(filter('Saline Comp Data Recording'!P:P,'Saline Comp Data Recording'!C:C=B41),""""), ""Select Col1"")))"&amp;"&gt;=(0.5),""1"",""0""),""-"")"),"0")</f>
        <v>0</v>
      </c>
      <c r="BX41" s="59" t="str">
        <f>IFERROR(__xludf.DUMMYFUNCTION("iferror(if(countif(query(filter('Saline Comp Data Recording'!Q:Q,'Saline Comp Data Recording'!C:C=B41), ""Select Col1""),TRUE)/COUNTA(query(ifna(filter('Saline Comp Data Recording'!Q:Q,'Saline Comp Data Recording'!C:C=B41),""""), ""Select Col1""))&gt;=(0.5),"&amp;"""1"",""0""),""-"")"),"0")</f>
        <v>0</v>
      </c>
      <c r="BY41" s="74" t="str">
        <f>IFERROR(__xludf.DUMMYFUNCTION("iferror(if(DIVIDE(COUNTIF(query(filter('Saline Comp Data Recording'!AE:AE,'Saline Comp Data Recording'!C:C=B41), ""Select Col1""),TRUE),COUNTA(query(ifna(filter('Saline Comp Data Recording'!AE:AE,'Saline Comp Data Recording'!C:C=B41),""""), ""Select Col1"&amp;""")))&gt;=(0.5),""1"",""0""),""-"")"),"0")</f>
        <v>0</v>
      </c>
      <c r="BZ41" s="59" t="str">
        <f>IFERROR(__xludf.DUMMYFUNCTION("iferror(if(countif(query(filter('Saline Comp Data Recording'!AF:AF,'Saline Comp Data Recording'!C:C=B41), ""Select Col1""),TRUE)/COUNTA(query(ifna(filter('Saline Comp Data Recording'!AF:AF,'Saline Comp Data Recording'!C:C=B41),""""), ""Select Col1""))&gt;=(0"&amp;".5),""1"",""0""),""-"")"),"0")</f>
        <v>0</v>
      </c>
      <c r="CA41" s="74" t="str">
        <f>IFERROR(__xludf.DUMMYFUNCTION("iferror(if(DIVIDE(countif(query(filter('Saline Comp Data Recording'!R:R,'Saline Comp Data Recording'!C:C=B41), ""Select Col1""),TRUE),COUNTA(query(ifna(filter('Saline Comp Data Recording'!R:R,'Saline Comp Data Recording'!C:C=B41),""""), ""Select Col1"")))"&amp;"&gt;=(0.5),""1"",""0""),""-"")"),"0")</f>
        <v>0</v>
      </c>
    </row>
    <row r="42">
      <c r="A42" s="51" t="s">
        <v>551</v>
      </c>
      <c r="B42" s="51">
        <v>9996.0</v>
      </c>
      <c r="C42" s="52" t="str">
        <f>IFERROR(__xludf.DUMMYFUNCTION("if(countif(query(filter('Saline Comp Data Recording'!R:R,'Saline Comp Data Recording'!C:C=B42), ""Select Col1""),""TRUE"")=0,""0"",countif(query(filter('Saline Comp Data Recording'!R:R,'Saline Comp Data Recording'!C:C=B42), ""Select Col1""),""TRUE"")) &amp; "&amp;"""/"" &amp; if(COUNTA(query(ifna(filter('Saline Comp Data Recording'!R:R,'Saline Comp Data Recording'!C:C=B42),""""), ""Select Col1""))=0,""0"",COUNTA(query(ifna(filter('Saline Comp Data Recording'!R:R,'Saline Comp Data Recording'!C:C=B42),""""), ""Select Col"&amp;"1"")))"),"2/5")</f>
        <v>2/5</v>
      </c>
      <c r="D42" s="53">
        <f>IFERROR(__xludf.DUMMYFUNCTION("iferror(SUM(query(filter('Saline Comp Data Recording'!D:D,'Saline Comp Data Recording'!C:C=B42), ""Select Col1"")),""-"")"),0.0)</f>
        <v>0</v>
      </c>
      <c r="E42" s="53">
        <f>IFERROR(__xludf.DUMMYFUNCTION("iferror(SUM(query(filter('Saline Comp Data Recording'!E:E,'Saline Comp Data Recording'!C:C=B42), ""Select Col1"")),""-"")"),0.0)</f>
        <v>0</v>
      </c>
      <c r="F42" s="54" t="str">
        <f t="shared" si="1"/>
        <v>-</v>
      </c>
      <c r="G42" s="55">
        <f>IFERROR(__xludf.DUMMYFUNCTION("iferror(AVERAGE(query(filter('Saline Comp Data Recording'!E:E,'Saline Comp Data Recording'!C:C=B42), ""Select Col1"")),""0.00"")"),0.0)</f>
        <v>0</v>
      </c>
      <c r="H42" s="53">
        <f>IFERROR(__xludf.DUMMYFUNCTION("iferror(MAX(query(filter('Saline Comp Data Recording'!E:E,'Saline Comp Data Recording'!C:C=B42), ""Select Col1"")),""-"")"),0.0)</f>
        <v>0</v>
      </c>
      <c r="I42" s="56">
        <f>IFERROR(__xludf.DUMMYFUNCTION("iferror(SUM(query(filter('Saline Comp Data Recording'!F:F,'Saline Comp Data Recording'!C:C=B42), ""Select Col1"")),""-"")"),0.0)</f>
        <v>0</v>
      </c>
      <c r="J42" s="57">
        <f>IFERROR(__xludf.DUMMYFUNCTION("iferror(SUM(query(filter('Saline Comp Data Recording'!G:G,'Saline Comp Data Recording'!C:C=B42), ""Select Col1"")),""-"")"),0.0)</f>
        <v>0</v>
      </c>
      <c r="K42" s="54" t="str">
        <f t="shared" si="2"/>
        <v>-</v>
      </c>
      <c r="L42" s="55">
        <f>IFERROR(__xludf.DUMMYFUNCTION("iferror(AVERAGE(query(filter('Saline Comp Data Recording'!G:G,'Saline Comp Data Recording'!C:C=B42), ""Select Col1"")),""0.00"")"),0.0)</f>
        <v>0</v>
      </c>
      <c r="M42" s="53">
        <f>IFERROR(__xludf.DUMMYFUNCTION("iferror(MAX(query(filter('Saline Comp Data Recording'!G:G,'Saline Comp Data Recording'!C:C=B42), ""Select Col1"")),""-"")"),0.0)</f>
        <v>0</v>
      </c>
      <c r="N42" s="58">
        <f>IFERROR(__xludf.DUMMYFUNCTION("iferror(SUM(query(filter('Saline Comp Data Recording'!H:H,'Saline Comp Data Recording'!C:C=B42), ""Select Col1"")),""-"")"),0.0)</f>
        <v>0</v>
      </c>
      <c r="O42" s="59">
        <f>IFERROR(__xludf.DUMMYFUNCTION("iferror(SUM(query(filter('Saline Comp Data Recording'!I:I,'Saline Comp Data Recording'!C:C=B42), ""Select Col1"")),""-"")"),0.0)</f>
        <v>0</v>
      </c>
      <c r="P42" s="54" t="str">
        <f t="shared" si="3"/>
        <v>-</v>
      </c>
      <c r="Q42" s="55">
        <f>IFERROR(__xludf.DUMMYFUNCTION("iferror(AVERAGE(query(filter('Saline Comp Data Recording'!I:I,'Saline Comp Data Recording'!C:C=B42), ""Select Col1"")),""0.00"")"),0.0)</f>
        <v>0</v>
      </c>
      <c r="R42" s="53">
        <f>IFERROR(__xludf.DUMMYFUNCTION("iferror(MAX(query(filter('Saline Comp Data Recording'!I:I,'Saline Comp Data Recording'!C:C=B42), ""Select Col1"")),""-"")"),0.0)</f>
        <v>0</v>
      </c>
      <c r="S42" s="58">
        <f>IFERROR(__xludf.DUMMYFUNCTION("iferror(SUM(query(filter('Saline Comp Data Recording'!J:J,'Saline Comp Data Recording'!C:C=B42), ""Select Col1"")),""-"")"),0.0)</f>
        <v>0</v>
      </c>
      <c r="T42" s="59">
        <f>IFERROR(__xludf.DUMMYFUNCTION("iferror(SUM(query(filter('Saline Comp Data Recording'!K:K,'Saline Comp Data Recording'!C:C=B42), ""Select Col1"")),""-"")"),0.0)</f>
        <v>0</v>
      </c>
      <c r="U42" s="54" t="str">
        <f t="shared" si="4"/>
        <v>-</v>
      </c>
      <c r="V42" s="55">
        <f>IFERROR(__xludf.DUMMYFUNCTION("iferror(AVERAGE(query(filter('Saline Comp Data Recording'!K:K,'Saline Comp Data Recording'!C:C=B42), ""Select Col1"")),""-"")"),0.0)</f>
        <v>0</v>
      </c>
      <c r="W42" s="52">
        <f>IFERROR(__xludf.DUMMYFUNCTION("iferror(MAX(query(filter('Saline Comp Data Recording'!K:K,'Saline Comp Data Recording'!C:C=B42), ""Select Col1"")),""-"")"),0.0)</f>
        <v>0</v>
      </c>
      <c r="X42" s="59">
        <f>IFERROR(__xludf.DUMMYFUNCTION("iferror(SUM(query(filter('Saline Comp Data Recording'!L:L,'Saline Comp Data Recording'!C:C=B42), ""Select Col1"")),""-"")"),1.0)</f>
        <v>1</v>
      </c>
      <c r="Y42" s="59">
        <f>IFERROR(__xludf.DUMMYFUNCTION("iferror(SUM(query(filter('Saline Comp Data Recording'!M:M,'Saline Comp Data Recording'!C:C=B42), ""Select Col1"")),""-"")"),0.0)</f>
        <v>0</v>
      </c>
      <c r="Z42" s="54">
        <f t="shared" si="5"/>
        <v>0</v>
      </c>
      <c r="AA42" s="55">
        <f>IFERROR(__xludf.DUMMYFUNCTION("iferror(AVERAGE(query(filter('Saline Comp Data Recording'!M:M,'Saline Comp Data Recording'!C:C=B42), ""Select Col1"")),""0.00"")"),0.0)</f>
        <v>0</v>
      </c>
      <c r="AB42" s="52">
        <f>IFERROR(__xludf.DUMMYFUNCTION("iferror(MAX(query(filter('Saline Comp Data Recording'!M:M,'Saline Comp Data Recording'!C:C=B42), ""Select Col1"")),""-"")"),0.0)</f>
        <v>0</v>
      </c>
      <c r="AC42" s="59">
        <f>IFERROR(__xludf.DUMMYFUNCTION("iferror(SUM(query(filter('Saline Comp Data Recording'!N:N,'Saline Comp Data Recording'!C:C=B42), ""Select Col1"")),""-"")"),2.0)</f>
        <v>2</v>
      </c>
      <c r="AD42" s="59">
        <f>IFERROR(__xludf.DUMMYFUNCTION("iferror(SUM(query(filter('Saline Comp Data Recording'!O:O,'Saline Comp Data Recording'!C:C=B42), ""Select Col1"")),""-"")"),2.0)</f>
        <v>2</v>
      </c>
      <c r="AE42" s="54">
        <f t="shared" si="6"/>
        <v>1</v>
      </c>
      <c r="AF42" s="55">
        <f>IFERROR(__xludf.DUMMYFUNCTION("iferror(AVERAGE(query(filter('Saline Comp Data Recording'!O:O,'Saline Comp Data Recording'!C:C=B42), ""Select Col1"")),""0.00"")"),0.4)</f>
        <v>0.4</v>
      </c>
      <c r="AG42" s="59">
        <f>IFERROR(__xludf.DUMMYFUNCTION("iferror(MAX(query(filter('Saline Comp Data Recording'!O:O,'Saline Comp Data Recording'!C:C=B42), ""Select Col1"")),""-"")"),1.0)</f>
        <v>1</v>
      </c>
      <c r="AH42" s="58" t="str">
        <f>IFERROR(__xludf.DUMMYFUNCTION("if(countif(query(filter('Saline Comp Data Recording'!P:P,'Saline Comp Data Recording'!C:C=B42), ""Select Col1""),TRUE)=0,""0"",countif(query(filter('Saline Comp Data Recording'!P:P,'Saline Comp Data Recording'!C:C=B42), ""Select Col1""),TRUE)) &amp; ""/"" &amp; i"&amp;"f(COUNTA(query(ifna(filter('Saline Comp Data Recording'!P:P,'Saline Comp Data Recording'!C:C=B42),""""), ""Select Col1""))=0,""0"",COUNTA(query(ifna(filter('Saline Comp Data Recording'!P:P,'Saline Comp Data Recording'!C:C=B42),""""), ""Select Col1"")))"),"0/5")</f>
        <v>0/5</v>
      </c>
      <c r="AI42" s="60" t="str">
        <f>IFERROR(__xludf.DUMMYFUNCTION("if(countif(query(filter('Saline Comp Data Recording'!Q:Q,'Saline Comp Data Recording'!C:C=B42), ""Select Col1""),TRUE)=0,""0"",countif(query(filter('Saline Comp Data Recording'!Q:Q,'Saline Comp Data Recording'!C:C=B42), ""Select Col1""),TRUE)) &amp; ""/"" &amp; i"&amp;"f(COUNTA(query(ifna(filter('Saline Comp Data Recording'!Q:Q,'Saline Comp Data Recording'!C:C=B42),""""), ""Select Col1""))=0,""0"",COUNTA(query(ifna(filter('Saline Comp Data Recording'!Q:Q,'Saline Comp Data Recording'!C:C=B42),""""), ""Select Col1"")))"),"0/5")</f>
        <v>0/5</v>
      </c>
      <c r="AJ42" s="59">
        <f>IFERROR(__xludf.DUMMYFUNCTION("iferror(SUM(query(filter('Saline Comp Data Recording'!S:S,'Saline Comp Data Recording'!C:C=B42), ""Select Col1"")),""-"")"),0.0)</f>
        <v>0</v>
      </c>
      <c r="AK42" s="59">
        <f>IFERROR(__xludf.DUMMYFUNCTION("iferror(SUM(query(filter('Saline Comp Data Recording'!T:T,'Saline Comp Data Recording'!C:C=B42), ""Select Col1"")),""-"")"),0.0)</f>
        <v>0</v>
      </c>
      <c r="AL42" s="54" t="str">
        <f t="shared" si="7"/>
        <v>-</v>
      </c>
      <c r="AM42" s="55">
        <f>IFERROR(__xludf.DUMMYFUNCTION("iferror(AVERAGE(query(filter('Saline Comp Data Recording'!T:T,'Saline Comp Data Recording'!C:C=B42), ""Select Col1"")),""0.00"")"),0.0)</f>
        <v>0</v>
      </c>
      <c r="AN42" s="61">
        <f>IFERROR(__xludf.DUMMYFUNCTION("iferror(MAX(query(filter('Saline Comp Data Recording'!T:T,'Saline Comp Data Recording'!C:C=B42), ""Select Col1"")),""-"")"),0.0)</f>
        <v>0</v>
      </c>
      <c r="AO42" s="62">
        <f>IFERROR(__xludf.DUMMYFUNCTION("iferror(SUM(query(filter('Saline Comp Data Recording'!U:U,'Saline Comp Data Recording'!C:C=B42), ""Select Col1"")),""-"")"),0.0)</f>
        <v>0</v>
      </c>
      <c r="AP42" s="62">
        <f>IFERROR(__xludf.DUMMYFUNCTION("iferror(SUM(query(filter('Saline Comp Data Recording'!V:V,'Saline Comp Data Recording'!C:C=B42), ""Select Col1"")),""-"")"),0.0)</f>
        <v>0</v>
      </c>
      <c r="AQ42" s="63" t="str">
        <f t="shared" si="8"/>
        <v>-</v>
      </c>
      <c r="AR42" s="64">
        <f>IFERROR(__xludf.DUMMYFUNCTION("iferror(AVERAGE(query(filter('Saline Comp Data Recording'!V:V,'Saline Comp Data Recording'!C:C=B42), ""Select Col1"")),""0.00"")"),0.0)</f>
        <v>0</v>
      </c>
      <c r="AS42" s="65">
        <f>IFERROR(__xludf.DUMMYFUNCTION("iferror(MAX(query(filter('Saline Comp Data Recording'!V:V,'Saline Comp Data Recording'!C:C=B42), ""Select Col1"")),""-"")"),0.0)</f>
        <v>0</v>
      </c>
      <c r="AT42" s="62">
        <f>IFERROR(__xludf.DUMMYFUNCTION("iferror(SUM(query(filter('Saline Comp Data Recording'!W:W,'Saline Comp Data Recording'!C:C=B42), ""Select Col1"")),""-"")"),0.0)</f>
        <v>0</v>
      </c>
      <c r="AU42" s="62">
        <f>IFERROR(__xludf.DUMMYFUNCTION("iferror(SUM(query(filter('Saline Comp Data Recording'!X:X,'Saline Comp Data Recording'!C:C=B42), ""Select Col1"")),""-"")"),0.0)</f>
        <v>0</v>
      </c>
      <c r="AV42" s="63" t="str">
        <f t="shared" si="9"/>
        <v>-</v>
      </c>
      <c r="AW42" s="64">
        <f>IFERROR(__xludf.DUMMYFUNCTION("iferror(AVERAGE(query(filter('Saline Comp Data Recording'!X:X,'Saline Comp Data Recording'!C:C=B42), ""Select Col1"")),""0.00"")"),0.0)</f>
        <v>0</v>
      </c>
      <c r="AX42" s="65">
        <f>IFERROR(__xludf.DUMMYFUNCTION("iferror(MAX(query(filter('Saline Comp Data Recording'!X:X,'Saline Comp Data Recording'!C:C=B42), ""Select Col1"")),""-"")"),0.0)</f>
        <v>0</v>
      </c>
      <c r="AY42" s="62">
        <f>IFERROR(__xludf.DUMMYFUNCTION("iferror(SUM(query(filter('Saline Comp Data Recording'!Y:Y,'Saline Comp Data Recording'!C:C=B42), ""Select Col1"")),""-"")"),0.0)</f>
        <v>0</v>
      </c>
      <c r="AZ42" s="62">
        <f>IFERROR(__xludf.DUMMYFUNCTION("iferror(SUM(query(filter('Saline Comp Data Recording'!Z:Z,'Saline Comp Data Recording'!C:C=B42), ""Select Col1"")),""-"")"),0.0)</f>
        <v>0</v>
      </c>
      <c r="BA42" s="63" t="str">
        <f t="shared" si="10"/>
        <v>-</v>
      </c>
      <c r="BB42" s="64">
        <f>IFERROR(__xludf.DUMMYFUNCTION("iferror(AVERAGE(query(filter('Saline Comp Data Recording'!Z:Z,'Saline Comp Data Recording'!C:C=B42), ""Select Col1"")),""0.00"")"),0.0)</f>
        <v>0</v>
      </c>
      <c r="BC42" s="65">
        <f>IFERROR(__xludf.DUMMYFUNCTION("iferror(MAX(query(filter('Saline Comp Data Recording'!Z:Z,'Saline Comp Data Recording'!C:C=B42), ""Select Col1"")),""-"")"),0.0)</f>
        <v>0</v>
      </c>
      <c r="BD42" s="62">
        <f>IFERROR(__xludf.DUMMYFUNCTION("iferror(SUM(query(filter('Saline Comp Data Recording'!AA:AA,'Saline Comp Data Recording'!C:C=B42), ""Select Col1"")),""-"")"),0.0)</f>
        <v>0</v>
      </c>
      <c r="BE42" s="62">
        <f>IFERROR(__xludf.DUMMYFUNCTION("iferror(SUM(query(filter('Saline Comp Data Recording'!AB:AB,'Saline Comp Data Recording'!C:C=B42), ""Select Col1"")),""-"")"),0.0)</f>
        <v>0</v>
      </c>
      <c r="BF42" s="63" t="str">
        <f t="shared" si="11"/>
        <v>-</v>
      </c>
      <c r="BG42" s="64">
        <f>IFERROR(__xludf.DUMMYFUNCTION("iferror(AVERAGE(query(filter('Saline Comp Data Recording'!AB:AB,'Saline Comp Data Recording'!C:C=B42), ""Select Col1"")),""0.00"")"),0.0)</f>
        <v>0</v>
      </c>
      <c r="BH42" s="65">
        <f>IFERROR(__xludf.DUMMYFUNCTION("iferror(MAX(query(filter('Saline Comp Data Recording'!AB:AB,'Saline Comp Data Recording'!C:C=B42), ""Select Col1"")),""-"")"),0.0)</f>
        <v>0</v>
      </c>
      <c r="BI42" s="62">
        <f>IFERROR(__xludf.DUMMYFUNCTION("iferror(SUM(query(filter('Saline Comp Data Recording'!AC:AC,'Saline Comp Data Recording'!C:C=B42), ""Select Col1"")),""-"")"),2.0)</f>
        <v>2</v>
      </c>
      <c r="BJ42" s="62">
        <f>IFERROR(__xludf.DUMMYFUNCTION("iferror(SUM(query(filter('Saline Comp Data Recording'!AD:AD,'Saline Comp Data Recording'!C:C=B42), ""Select Col1"")),""-"")"),2.0)</f>
        <v>2</v>
      </c>
      <c r="BK42" s="63">
        <f t="shared" si="12"/>
        <v>1</v>
      </c>
      <c r="BL42" s="64">
        <f>IFERROR(__xludf.DUMMYFUNCTION("iferror(AVERAGE(query(filter('Saline Comp Data Recording'!AD:AD,'Saline Comp Data Recording'!C:C=B42), ""Select Col1"")),""0.00"")"),0.4)</f>
        <v>0.4</v>
      </c>
      <c r="BM42" s="65">
        <f>IFERROR(__xludf.DUMMYFUNCTION("iferror(MAX(query(filter('Saline Comp Data Recording'!AD:AD,'Saline Comp Data Recording'!C:C=B42), ""Select Col1"")),""-"")"),2.0)</f>
        <v>2</v>
      </c>
      <c r="BN42" s="66" t="str">
        <f>IFERROR(__xludf.DUMMYFUNCTION("if(countif(query(filter('Saline Comp Data Recording'!AE:AE,'Saline Comp Data Recording'!C:C=B42), ""Select Col1""),""TRUE"")=0,""0"",countif(query(filter('Saline Comp Data Recording'!AE:AE,'Saline Comp Data Recording'!C:C=B42), ""Select Col1""),""TRUE""))"&amp;" &amp; ""/"" &amp; if(COUNTA(query(ifna(filter('Saline Comp Data Recording'!AE:AE,'Saline Comp Data Recording'!C:C=B42),""""), ""Select Col1""))=0,""0"",COUNTA(query(ifna(filter('Saline Comp Data Recording'!AE:AE,'Saline Comp Data Recording'!C:C=B42),""""), ""Sel"&amp;"ect Col1"")))"),"0/5")</f>
        <v>0/5</v>
      </c>
      <c r="BO42" s="67" t="str">
        <f>IFERROR(__xludf.DUMMYFUNCTION("if(countif(query(filter('Saline Comp Data Recording'!AF:AF,'Saline Comp Data Recording'!C:C=B42), ""Select Col1""),""TRUE"")=0,""0"",countif(query(filter('Saline Comp Data Recording'!AF:AF,'Saline Comp Data Recording'!C:C=B42), ""Select Col1""),""TRUE""))"&amp;" &amp; ""/"" &amp; if(COUNTA(query(ifna(filter('Saline Comp Data Recording'!AF:AF,'Saline Comp Data Recording'!C:C=B42),""""), ""Select Col1""))=0,""0"",COUNTA(query(ifna(filter('Saline Comp Data Recording'!AF:AF,'Saline Comp Data Recording'!C:C=B42),""""), ""Sel"&amp;"ect Col1"")))"),"0/5")</f>
        <v>0/5</v>
      </c>
      <c r="BP42" s="60" t="str">
        <f>IFERROR(__xludf.DUMMYFUNCTION("if(countif(query(filter('Saline Comp Data Recording'!AI:AI,'Saline Comp Data Recording'!C:C=B42), ""Select Col1""),""TRUE"")=0,""0"",countif(query(filter('Saline Comp Data Recording'!AI:AI,'Saline Comp Data Recording'!C:C=B42), ""Select Col1""),""TRUE""))"&amp;" &amp; ""/"" &amp; if(COUNTA(query(ifna(filter('Saline Comp Data Recording'!AI:AI,'Saline Comp Data Recording'!C:C=B42),""""), ""Select Col1""))=0,""0"",COUNTA(query(ifna(filter('Saline Comp Data Recording'!AI:AI,'Saline Comp Data Recording'!C:C=B42),""""), ""Sel"&amp;"ect Col1"")))"),"4/5")</f>
        <v>4/5</v>
      </c>
      <c r="BQ42" s="55">
        <f>IFERROR(__xludf.DUMMYFUNCTION("iferror(average(query(filter('Saline Comp Data Recording'!AG:AG,'Saline Comp Data Recording'!C:C=B42), ""Select Col1"")),""-"")"),1.0)</f>
        <v>1</v>
      </c>
      <c r="BR42" s="69">
        <f>IFERROR(__xludf.DUMMYFUNCTION("iferror(average(query(filter('Saline Comp Data Recording'!AH:AH,'Saline Comp Data Recording'!C:C=B42), ""Select Col1"")),""-"")"),1.2)</f>
        <v>1.2</v>
      </c>
      <c r="BS42" s="70">
        <f>IFERROR(__xludf.DUMMYFUNCTION("iferror(AVERAGE(query(filter('Saline Comp Data Recording'!AK:AK,'Saline Comp Data Recording'!C:C=B42), ""Select Col1"")),""-"")"),3.2)</f>
        <v>3.2</v>
      </c>
      <c r="BT42" s="70">
        <f>IFERROR(__xludf.DUMMYFUNCTION("iferror(AVERAGE(query(filter('Saline Comp Data Recording'!AL:AL,'Saline Comp Data Recording'!C:C=B42), ""Select Col1"")),""-"")"),3.2)</f>
        <v>3.2</v>
      </c>
      <c r="BU42" s="71">
        <f>IFERROR(__xludf.DUMMYFUNCTION("iferror(max(query(filter('Saline Comp Data Recording'!AK:AK,'Saline Comp Data Recording'!C:C=B42), ""Select Col1"")),""-"")"),10.0)</f>
        <v>10</v>
      </c>
      <c r="BV42" s="72">
        <f>IFERROR(__xludf.DUMMYFUNCTION("iferror(MIN(query(filter('Saline Comp Data Recording'!AK:AK,'Saline Comp Data Recording'!C:C=B42), ""Select Col1"")),""-"")"),0.0)</f>
        <v>0</v>
      </c>
      <c r="BW42" s="73" t="str">
        <f>IFERROR(__xludf.DUMMYFUNCTION("iferror(if(DIVIDE(COUNTIF(query(filter('Saline Comp Data Recording'!P:P,'Saline Comp Data Recording'!C:C=B42), ""Select Col1""),TRUE),COUNTA(query(ifna(filter('Saline Comp Data Recording'!P:P,'Saline Comp Data Recording'!C:C=B42),""""), ""Select Col1"")))"&amp;"&gt;=(0.5),""1"",""0""),""-"")"),"0")</f>
        <v>0</v>
      </c>
      <c r="BX42" s="59" t="str">
        <f>IFERROR(__xludf.DUMMYFUNCTION("iferror(if(countif(query(filter('Saline Comp Data Recording'!Q:Q,'Saline Comp Data Recording'!C:C=B42), ""Select Col1""),TRUE)/COUNTA(query(ifna(filter('Saline Comp Data Recording'!Q:Q,'Saline Comp Data Recording'!C:C=B42),""""), ""Select Col1""))&gt;=(0.5),"&amp;"""1"",""0""),""-"")"),"0")</f>
        <v>0</v>
      </c>
      <c r="BY42" s="74" t="str">
        <f>IFERROR(__xludf.DUMMYFUNCTION("iferror(if(DIVIDE(COUNTIF(query(filter('Saline Comp Data Recording'!AE:AE,'Saline Comp Data Recording'!C:C=B42), ""Select Col1""),TRUE),COUNTA(query(ifna(filter('Saline Comp Data Recording'!AE:AE,'Saline Comp Data Recording'!C:C=B42),""""), ""Select Col1"&amp;""")))&gt;=(0.5),""1"",""0""),""-"")"),"0")</f>
        <v>0</v>
      </c>
      <c r="BZ42" s="59" t="str">
        <f>IFERROR(__xludf.DUMMYFUNCTION("iferror(if(countif(query(filter('Saline Comp Data Recording'!AF:AF,'Saline Comp Data Recording'!C:C=B42), ""Select Col1""),TRUE)/COUNTA(query(ifna(filter('Saline Comp Data Recording'!AF:AF,'Saline Comp Data Recording'!C:C=B42),""""), ""Select Col1""))&gt;=(0"&amp;".5),""1"",""0""),""-"")"),"0")</f>
        <v>0</v>
      </c>
      <c r="CA42" s="74" t="str">
        <f>IFERROR(__xludf.DUMMYFUNCTION("iferror(if(DIVIDE(countif(query(filter('Saline Comp Data Recording'!R:R,'Saline Comp Data Recording'!C:C=B42), ""Select Col1""),TRUE),COUNTA(query(ifna(filter('Saline Comp Data Recording'!R:R,'Saline Comp Data Recording'!C:C=B42),""""), ""Select Col1"")))"&amp;"&gt;=(0.5),""1"",""0""),""-"")"),"0")</f>
        <v>0</v>
      </c>
    </row>
  </sheetData>
  <autoFilter ref="$A$4:$CA$42">
    <sortState ref="A4:CA42">
      <sortCondition descending="1" ref="AR4:AR42"/>
      <sortCondition descending="1" ref="BB4:BB42"/>
      <sortCondition descending="1" ref="AM4:AM42"/>
      <sortCondition descending="1" ref="BS4:BS42"/>
      <sortCondition descending="1" ref="BT4:BT42"/>
      <sortCondition descending="1" ref="AY4:AY42"/>
      <sortCondition descending="1" ref="BQ4:BQ42"/>
      <sortCondition descending="1" ref="AQ4:AQ42"/>
      <sortCondition descending="1" ref="AN4:AN42"/>
      <sortCondition descending="1" ref="AL4:AL42"/>
      <sortCondition descending="1" ref="U4:U42"/>
      <sortCondition descending="1" ref="T4:T42"/>
      <sortCondition ref="BO4:BO42"/>
      <sortCondition descending="1" ref="BU4:BU42"/>
      <sortCondition ref="B4:B42"/>
      <sortCondition descending="1" ref="AO4:AO42"/>
      <sortCondition descending="1" ref="AJ4:AJ42"/>
      <sortCondition ref="BP4:BP42"/>
      <sortCondition descending="1" ref="BL4:BL42"/>
      <sortCondition descending="1" ref="AW4:AW42"/>
      <sortCondition descending="1" ref="BN4:BN42"/>
      <sortCondition descending="1" ref="BR4:BR42"/>
      <sortCondition descending="1" ref="BV4:BV42"/>
      <sortCondition descending="1" ref="AI4:AI42"/>
      <sortCondition descending="1" ref="C4:C42"/>
    </sortState>
  </autoFilter>
  <mergeCells count="26">
    <mergeCell ref="S2:AG2"/>
    <mergeCell ref="AH2:AI3"/>
    <mergeCell ref="S3:W3"/>
    <mergeCell ref="X3:AB3"/>
    <mergeCell ref="AC3:AG3"/>
    <mergeCell ref="A1:B3"/>
    <mergeCell ref="C1:AI1"/>
    <mergeCell ref="AJ1:BP1"/>
    <mergeCell ref="BQ1:BV1"/>
    <mergeCell ref="BW1:CA3"/>
    <mergeCell ref="D2:R2"/>
    <mergeCell ref="BS2:BV3"/>
    <mergeCell ref="AJ2:AX2"/>
    <mergeCell ref="AY2:BM2"/>
    <mergeCell ref="BN2:BO3"/>
    <mergeCell ref="BQ2:BR3"/>
    <mergeCell ref="C2:C3"/>
    <mergeCell ref="D3:H3"/>
    <mergeCell ref="I3:M3"/>
    <mergeCell ref="N3:R3"/>
    <mergeCell ref="AJ3:AN3"/>
    <mergeCell ref="AO3:AS3"/>
    <mergeCell ref="AT3:AX3"/>
    <mergeCell ref="AY3:BC3"/>
    <mergeCell ref="BD3:BH3"/>
    <mergeCell ref="BI3:BM3"/>
  </mergeCells>
  <conditionalFormatting sqref="BW5:CA42">
    <cfRule type="cellIs" dxfId="0" priority="1" operator="equal">
      <formula>1</formula>
    </cfRule>
  </conditionalFormatting>
  <conditionalFormatting sqref="BS5:BS42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T5:BT42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6.63"/>
  </cols>
  <sheetData>
    <row r="1">
      <c r="A1" s="106" t="s">
        <v>552</v>
      </c>
      <c r="B1" s="106" t="s">
        <v>553</v>
      </c>
      <c r="C1" s="106" t="s">
        <v>554</v>
      </c>
      <c r="D1" s="106" t="s">
        <v>555</v>
      </c>
      <c r="E1" s="106" t="s">
        <v>556</v>
      </c>
      <c r="F1" s="106"/>
      <c r="G1" s="106" t="s">
        <v>349</v>
      </c>
    </row>
    <row r="2">
      <c r="A2" s="106">
        <v>1.0</v>
      </c>
      <c r="B2" s="107">
        <v>5050.0</v>
      </c>
      <c r="C2" s="108" t="str">
        <f>IFERROR(__xludf.DUMMYFUNCTION("FILTER('Comp Scouting - Saline'!BS:BS,'Comp Scouting - Saline'!B:B=B2)"),"#N/A")</f>
        <v>#N/A</v>
      </c>
      <c r="D2" s="108" t="str">
        <f>IFERROR(__xludf.DUMMYFUNCTION("FILTER('Comp Scouting - Saline'!BT:BT,'Comp Scouting - Saline'!B:B=B2)"),"#N/A")</f>
        <v>#N/A</v>
      </c>
      <c r="E2" s="108" t="str">
        <f>IFERROR(__xludf.DUMMYFUNCTION("if(countif(query(filter('Saline Comp Data Recording'!AF:AF,'Saline Comp Data Recording'!C:C=B2), ""Select Col1""),""TRUE"")=0,""0"",countif(query(filter('Saline Comp Data Recording'!AF:AF,'Saline Comp Data Recording'!C:C=B2), ""Select Col1""),""TRUE"")) &amp;"&amp;" ""/"" &amp; if(COUNTA(query(ifna(filter('Saline Comp Data Recording'!AF:AF,'Saline Comp Data Recording'!C:C=B5),""""), ""Select Col1""))=0,""0"",COUNTA(query(ifna(filter('Saline Comp Data Recording'!AF:AF,'Saline Comp Data Recording'!C:C=B2),""""), ""Select "&amp;"Col1"")))"),"0/0")</f>
        <v>0/0</v>
      </c>
      <c r="F2" s="108"/>
      <c r="G2" s="106" t="s">
        <v>557</v>
      </c>
    </row>
    <row r="3">
      <c r="A3" s="106">
        <v>2.0</v>
      </c>
      <c r="B3" s="109">
        <v>107.0</v>
      </c>
      <c r="C3" s="108" t="str">
        <f>IFERROR(__xludf.DUMMYFUNCTION("FILTER('Comp Scouting - Saline'!BS:BS,'Comp Scouting - Saline'!B:B=B3)"),"#N/A")</f>
        <v>#N/A</v>
      </c>
      <c r="D3" s="108" t="str">
        <f>IFERROR(__xludf.DUMMYFUNCTION("FILTER('Comp Scouting - Saline'!BT:BT,'Comp Scouting - Saline'!B:B=B3)"),"#N/A")</f>
        <v>#N/A</v>
      </c>
      <c r="E3" s="108" t="str">
        <f>IFERROR(__xludf.DUMMYFUNCTION("if(countif(query(filter('Saline Comp Data Recording'!AF:AF,'Saline Comp Data Recording'!C:C=B3), ""Select Col1""),""TRUE"")=0,""0"",countif(query(filter('Saline Comp Data Recording'!AF:AF,'Saline Comp Data Recording'!C:C=B3), ""Select Col1""),""TRUE"")) &amp;"&amp;" ""/"" &amp; if(COUNTA(query(ifna(filter('Saline Comp Data Recording'!AF:AF,'Saline Comp Data Recording'!C:C=B6),""""), ""Select Col1""))=0,""0"",COUNTA(query(ifna(filter('Saline Comp Data Recording'!AF:AF,'Saline Comp Data Recording'!C:C=B3),""""), ""Select "&amp;"Col1"")))"),"0/0")</f>
        <v>0/0</v>
      </c>
      <c r="F3" s="108"/>
      <c r="G3" s="106" t="s">
        <v>557</v>
      </c>
    </row>
    <row r="4">
      <c r="A4" s="106">
        <v>3.0</v>
      </c>
      <c r="B4" s="107">
        <v>4405.0</v>
      </c>
      <c r="C4" s="108" t="str">
        <f>IFERROR(__xludf.DUMMYFUNCTION("FILTER('Comp Scouting - Saline'!BS:BS,'Comp Scouting - Saline'!B:B=B4)"),"#N/A")</f>
        <v>#N/A</v>
      </c>
      <c r="D4" s="108" t="str">
        <f>IFERROR(__xludf.DUMMYFUNCTION("FILTER('Comp Scouting - Saline'!BT:BT,'Comp Scouting - Saline'!B:B=B4)"),"#N/A")</f>
        <v>#N/A</v>
      </c>
      <c r="E4" s="108" t="str">
        <f>IFERROR(__xludf.DUMMYFUNCTION("if(countif(query(filter('Saline Comp Data Recording'!AF:AF,'Saline Comp Data Recording'!C:C=B4), ""Select Col1""),""TRUE"")=0,""0"",countif(query(filter('Saline Comp Data Recording'!AF:AF,'Saline Comp Data Recording'!C:C=B4), ""Select Col1""),""TRUE"")) &amp;"&amp;" ""/"" &amp; if(COUNTA(query(ifna(filter('Saline Comp Data Recording'!AF:AF,'Saline Comp Data Recording'!C:C=B7),""""), ""Select Col1""))=0,""0"",COUNTA(query(ifna(filter('Saline Comp Data Recording'!AF:AF,'Saline Comp Data Recording'!C:C=B4),""""), ""Select "&amp;"Col1"")))"),"0/0")</f>
        <v>0/0</v>
      </c>
      <c r="F4" s="108"/>
      <c r="G4" s="106" t="s">
        <v>557</v>
      </c>
    </row>
    <row r="5">
      <c r="A5" s="106">
        <v>4.0</v>
      </c>
      <c r="B5" s="107">
        <v>862.0</v>
      </c>
      <c r="C5" s="108" t="str">
        <f>IFERROR(__xludf.DUMMYFUNCTION("FILTER('Comp Scouting - Saline'!BS:BS,'Comp Scouting - Saline'!B:B=B5)"),"#N/A")</f>
        <v>#N/A</v>
      </c>
      <c r="D5" s="108" t="str">
        <f>IFERROR(__xludf.DUMMYFUNCTION("FILTER('Comp Scouting - Saline'!BT:BT,'Comp Scouting - Saline'!B:B=B5)"),"#N/A")</f>
        <v>#N/A</v>
      </c>
      <c r="E5" s="108" t="str">
        <f>IFERROR(__xludf.DUMMYFUNCTION("if(countif(query(filter('Saline Comp Data Recording'!AF:AF,'Saline Comp Data Recording'!C:C=B5), ""Select Col1""),""TRUE"")=0,""0"",countif(query(filter('Saline Comp Data Recording'!AF:AF,'Saline Comp Data Recording'!C:C=B5), ""Select Col1""),""TRUE"")) &amp;"&amp;" ""/"" &amp; if(COUNTA(query(ifna(filter('Saline Comp Data Recording'!AF:AF,'Saline Comp Data Recording'!C:C=B8),""""), ""Select Col1""))=0,""0"",COUNTA(query(ifna(filter('Saline Comp Data Recording'!AF:AF,'Saline Comp Data Recording'!C:C=B5),""""), ""Select "&amp;"Col1"")))"),"0/0")</f>
        <v>0/0</v>
      </c>
      <c r="F5" s="108"/>
      <c r="G5" s="106" t="s">
        <v>557</v>
      </c>
    </row>
    <row r="6">
      <c r="A6" s="106">
        <v>5.0</v>
      </c>
      <c r="B6" s="109">
        <v>6081.0</v>
      </c>
      <c r="C6" s="108" t="str">
        <f>IFERROR(__xludf.DUMMYFUNCTION("FILTER('Comp Scouting - Saline'!BS:BS,'Comp Scouting - Saline'!B:B=B6)"),"#N/A")</f>
        <v>#N/A</v>
      </c>
      <c r="D6" s="108" t="str">
        <f>IFERROR(__xludf.DUMMYFUNCTION("FILTER('Comp Scouting - Saline'!BT:BT,'Comp Scouting - Saline'!B:B=B6)"),"#N/A")</f>
        <v>#N/A</v>
      </c>
      <c r="E6" s="108" t="str">
        <f>IFERROR(__xludf.DUMMYFUNCTION("if(countif(query(filter('Saline Comp Data Recording'!AF:AF,'Saline Comp Data Recording'!C:C=B6), ""Select Col1""),""TRUE"")=0,""0"",countif(query(filter('Saline Comp Data Recording'!AF:AF,'Saline Comp Data Recording'!C:C=B6), ""Select Col1""),""TRUE"")) &amp;"&amp;" ""/"" &amp; if(COUNTA(query(ifna(filter('Saline Comp Data Recording'!AF:AF,'Saline Comp Data Recording'!C:C=B9),""""), ""Select Col1""))=0,""0"",COUNTA(query(ifna(filter('Saline Comp Data Recording'!AF:AF,'Saline Comp Data Recording'!C:C=B6),""""), ""Select "&amp;"Col1"")))"),"0/0")</f>
        <v>0/0</v>
      </c>
      <c r="F6" s="108"/>
      <c r="G6" s="106" t="s">
        <v>557</v>
      </c>
    </row>
    <row r="7">
      <c r="A7" s="106">
        <v>6.0</v>
      </c>
      <c r="B7" s="110">
        <v>3322.0</v>
      </c>
      <c r="C7" s="111">
        <f>IFERROR(__xludf.DUMMYFUNCTION("FILTER('Comp Scouting - Saline'!BS:BS,'Comp Scouting - Saline'!B:B=B7)"),23.166666666666668)</f>
        <v>23.16666667</v>
      </c>
      <c r="D7" s="111">
        <f>IFERROR(__xludf.DUMMYFUNCTION("FILTER('Comp Scouting - Saline'!BT:BT,'Comp Scouting - Saline'!B:B=B7)"),12.166666666666666)</f>
        <v>12.16666667</v>
      </c>
      <c r="E7" s="108" t="str">
        <f>IFERROR(__xludf.DUMMYFUNCTION("if(countif(query(filter('Saline Comp Data Recording'!AF:AF,'Saline Comp Data Recording'!C:C=B7), ""Select Col1""),""TRUE"")=0,""0"",countif(query(filter('Saline Comp Data Recording'!AF:AF,'Saline Comp Data Recording'!C:C=B7), ""Select Col1""),""TRUE"")) &amp;"&amp;" ""/"" &amp; if(COUNTA(query(ifna(filter('Saline Comp Data Recording'!AF:AF,'Saline Comp Data Recording'!C:C=B10),""""), ""Select Col1""))=0,""0"",COUNTA(query(ifna(filter('Saline Comp Data Recording'!AF:AF,'Saline Comp Data Recording'!C:C=B7),""""), ""Select"&amp;" Col1"")))"),"4/0")</f>
        <v>4/0</v>
      </c>
      <c r="F7" s="108"/>
      <c r="G7" s="106"/>
    </row>
    <row r="8">
      <c r="A8" s="106">
        <v>7.0</v>
      </c>
      <c r="B8" s="112">
        <v>5674.0</v>
      </c>
      <c r="C8" s="108" t="str">
        <f>IFERROR(__xludf.DUMMYFUNCTION("FILTER('Comp Scouting - Saline'!BS:BS,'Comp Scouting - Saline'!B:B=B8)"),"#N/A")</f>
        <v>#N/A</v>
      </c>
      <c r="D8" s="108" t="str">
        <f>IFERROR(__xludf.DUMMYFUNCTION("FILTER('Comp Scouting - Saline'!BT:BT,'Comp Scouting - Saline'!B:B=B8)"),"#N/A")</f>
        <v>#N/A</v>
      </c>
      <c r="E8" s="108" t="str">
        <f>IFERROR(__xludf.DUMMYFUNCTION("if(countif(query(filter('Saline Comp Data Recording'!AF:AF,'Saline Comp Data Recording'!C:C=B8), ""Select Col1""),""TRUE"")=0,""0"",countif(query(filter('Saline Comp Data Recording'!AF:AF,'Saline Comp Data Recording'!C:C=B8), ""Select Col1""),""TRUE"")) &amp;"&amp;" ""/"" &amp; if(COUNTA(query(ifna(filter('Saline Comp Data Recording'!AF:AF,'Saline Comp Data Recording'!C:C=B11),""""), ""Select Col1""))=0,""0"",COUNTA(query(ifna(filter('Saline Comp Data Recording'!AF:AF,'Saline Comp Data Recording'!C:C=B8),""""), ""Select"&amp;" Col1"")))"),"0/0")</f>
        <v>0/0</v>
      </c>
      <c r="F8" s="108"/>
      <c r="G8" s="106" t="s">
        <v>558</v>
      </c>
    </row>
    <row r="9">
      <c r="A9" s="106">
        <v>8.0</v>
      </c>
      <c r="B9" s="113">
        <v>1076.0</v>
      </c>
      <c r="C9" s="108" t="str">
        <f>IFERROR(__xludf.DUMMYFUNCTION("FILTER('Comp Scouting - Saline'!BS:BS,'Comp Scouting - Saline'!B:B=B9)"),"#N/A")</f>
        <v>#N/A</v>
      </c>
      <c r="D9" s="108" t="str">
        <f>IFERROR(__xludf.DUMMYFUNCTION("FILTER('Comp Scouting - Saline'!BT:BT,'Comp Scouting - Saline'!B:B=B9)"),"#N/A")</f>
        <v>#N/A</v>
      </c>
      <c r="E9" s="108" t="str">
        <f>IFERROR(__xludf.DUMMYFUNCTION("if(countif(query(filter('Saline Comp Data Recording'!AF:AF,'Saline Comp Data Recording'!C:C=B9), ""Select Col1""),""TRUE"")=0,""0"",countif(query(filter('Saline Comp Data Recording'!AF:AF,'Saline Comp Data Recording'!C:C=B9), ""Select Col1""),""TRUE"")) &amp;"&amp;" ""/"" &amp; if(COUNTA(query(ifna(filter('Saline Comp Data Recording'!AF:AF,'Saline Comp Data Recording'!C:C=B12),""""), ""Select Col1""))=0,""0"",COUNTA(query(ifna(filter('Saline Comp Data Recording'!AF:AF,'Saline Comp Data Recording'!C:C=B9),""""), ""Select"&amp;" Col1"")))"),"0/0")</f>
        <v>0/0</v>
      </c>
      <c r="F9" s="108"/>
      <c r="G9" s="106" t="s">
        <v>559</v>
      </c>
    </row>
    <row r="10">
      <c r="A10" s="106">
        <v>9.0</v>
      </c>
      <c r="B10" s="114">
        <v>9209.0</v>
      </c>
      <c r="C10" s="108" t="str">
        <f>IFERROR(__xludf.DUMMYFUNCTION("FILTER('Comp Scouting - Saline'!BS:BS,'Comp Scouting - Saline'!B:B=B10)"),"#N/A")</f>
        <v>#N/A</v>
      </c>
      <c r="D10" s="108" t="str">
        <f>IFERROR(__xludf.DUMMYFUNCTION("FILTER('Comp Scouting - Saline'!BT:BT,'Comp Scouting - Saline'!B:B=B10)"),"#N/A")</f>
        <v>#N/A</v>
      </c>
      <c r="E10" s="108" t="str">
        <f>IFERROR(__xludf.DUMMYFUNCTION("if(countif(query(filter('Saline Comp Data Recording'!AF:AF,'Saline Comp Data Recording'!C:C=B10), ""Select Col1""),""TRUE"")=0,""0"",countif(query(filter('Saline Comp Data Recording'!AF:AF,'Saline Comp Data Recording'!C:C=B10), ""Select Col1""),""TRUE""))"&amp;" &amp; ""/"" &amp; if(COUNTA(query(ifna(filter('Saline Comp Data Recording'!AF:AF,'Saline Comp Data Recording'!C:C=B13),""""), ""Select Col1""))=0,""0"",COUNTA(query(ifna(filter('Saline Comp Data Recording'!AF:AF,'Saline Comp Data Recording'!C:C=B10),""""), ""Sel"&amp;"ect Col1"")))"),"0/0")</f>
        <v>0/0</v>
      </c>
      <c r="F10" s="108"/>
      <c r="G10" s="106" t="s">
        <v>560</v>
      </c>
    </row>
    <row r="11">
      <c r="A11" s="106">
        <v>10.0</v>
      </c>
      <c r="B11" s="115">
        <v>904.0</v>
      </c>
      <c r="C11" s="108" t="str">
        <f>IFERROR(__xludf.DUMMYFUNCTION("FILTER('Comp Scouting - Saline'!BS:BS,'Comp Scouting - Saline'!B:B=B11)"),"#N/A")</f>
        <v>#N/A</v>
      </c>
      <c r="D11" s="108" t="str">
        <f>IFERROR(__xludf.DUMMYFUNCTION("FILTER('Comp Scouting - Saline'!BT:BT,'Comp Scouting - Saline'!B:B=B11)"),"#N/A")</f>
        <v>#N/A</v>
      </c>
      <c r="E11" s="108" t="str">
        <f>IFERROR(__xludf.DUMMYFUNCTION("if(countif(query(filter('Saline Comp Data Recording'!AF:AF,'Saline Comp Data Recording'!C:C=B11), ""Select Col1""),""TRUE"")=0,""0"",countif(query(filter('Saline Comp Data Recording'!AF:AF,'Saline Comp Data Recording'!C:C=B11), ""Select Col1""),""TRUE""))"&amp;" &amp; ""/"" &amp; if(COUNTA(query(ifna(filter('Saline Comp Data Recording'!AF:AF,'Saline Comp Data Recording'!C:C=B14),""""), ""Select Col1""))=0,""0"",COUNTA(query(ifna(filter('Saline Comp Data Recording'!AF:AF,'Saline Comp Data Recording'!C:C=B11),""""), ""Sel"&amp;"ect Col1"")))"),"0/0")</f>
        <v>0/0</v>
      </c>
      <c r="F11" s="108"/>
      <c r="G11" s="106"/>
    </row>
    <row r="12">
      <c r="A12" s="106">
        <v>11.0</v>
      </c>
      <c r="B12" s="112">
        <v>8374.0</v>
      </c>
      <c r="C12" s="108" t="str">
        <f>IFERROR(__xludf.DUMMYFUNCTION("FILTER('Comp Scouting - Saline'!BS:BS,'Comp Scouting - Saline'!B:B=B12)"),"#N/A")</f>
        <v>#N/A</v>
      </c>
      <c r="D12" s="108" t="str">
        <f>IFERROR(__xludf.DUMMYFUNCTION("FILTER('Comp Scouting - Saline'!BT:BT,'Comp Scouting - Saline'!B:B=B12)"),"#N/A")</f>
        <v>#N/A</v>
      </c>
      <c r="E12" s="108" t="str">
        <f>IFERROR(__xludf.DUMMYFUNCTION("if(countif(query(filter('Saline Comp Data Recording'!AF:AF,'Saline Comp Data Recording'!C:C=B12), ""Select Col1""),""TRUE"")=0,""0"",countif(query(filter('Saline Comp Data Recording'!AF:AF,'Saline Comp Data Recording'!C:C=B12), ""Select Col1""),""TRUE""))"&amp;" &amp; ""/"" &amp; if(COUNTA(query(ifna(filter('Saline Comp Data Recording'!AF:AF,'Saline Comp Data Recording'!C:C=B15),""""), ""Select Col1""))=0,""0"",COUNTA(query(ifna(filter('Saline Comp Data Recording'!AF:AF,'Saline Comp Data Recording'!C:C=B12),""""), ""Sel"&amp;"ect Col1"")))"),"0/0")</f>
        <v>0/0</v>
      </c>
      <c r="F12" s="108"/>
      <c r="G12" s="106" t="s">
        <v>561</v>
      </c>
    </row>
    <row r="13">
      <c r="A13" s="106">
        <v>12.0</v>
      </c>
      <c r="B13" s="114">
        <v>6556.0</v>
      </c>
      <c r="C13" s="108" t="str">
        <f>IFERROR(__xludf.DUMMYFUNCTION("FILTER('Comp Scouting - Saline'!BS:BS,'Comp Scouting - Saline'!B:B=B13)"),"#N/A")</f>
        <v>#N/A</v>
      </c>
      <c r="D13" s="108" t="str">
        <f>IFERROR(__xludf.DUMMYFUNCTION("FILTER('Comp Scouting - Saline'!BT:BT,'Comp Scouting - Saline'!B:B=B13)"),"#N/A")</f>
        <v>#N/A</v>
      </c>
      <c r="E13" s="108" t="str">
        <f>IFERROR(__xludf.DUMMYFUNCTION("if(countif(query(filter('Saline Comp Data Recording'!AF:AF,'Saline Comp Data Recording'!C:C=B13), ""Select Col1""),""TRUE"")=0,""0"",countif(query(filter('Saline Comp Data Recording'!AF:AF,'Saline Comp Data Recording'!C:C=B13), ""Select Col1""),""TRUE""))"&amp;" &amp; ""/"" &amp; if(COUNTA(query(ifna(filter('Saline Comp Data Recording'!AF:AF,'Saline Comp Data Recording'!C:C=B16),""""), ""Select Col1""))=0,""0"",COUNTA(query(ifna(filter('Saline Comp Data Recording'!AF:AF,'Saline Comp Data Recording'!C:C=B13),""""), ""Sel"&amp;"ect Col1"")))"),"0/0")</f>
        <v>0/0</v>
      </c>
      <c r="F13" s="108"/>
      <c r="G13" s="108"/>
    </row>
    <row r="14">
      <c r="A14" s="106">
        <v>13.0</v>
      </c>
      <c r="B14" s="116">
        <v>815.0</v>
      </c>
      <c r="C14" s="108" t="str">
        <f>IFERROR(__xludf.DUMMYFUNCTION("FILTER('Comp Scouting - Saline'!BS:BS,'Comp Scouting - Saline'!B:B=B14)"),"#N/A")</f>
        <v>#N/A</v>
      </c>
      <c r="D14" s="108" t="str">
        <f>IFERROR(__xludf.DUMMYFUNCTION("FILTER('Comp Scouting - Saline'!BT:BT,'Comp Scouting - Saline'!B:B=B14)"),"#N/A")</f>
        <v>#N/A</v>
      </c>
      <c r="E14" s="108" t="str">
        <f>IFERROR(__xludf.DUMMYFUNCTION("if(countif(query(filter('Saline Comp Data Recording'!AF:AF,'Saline Comp Data Recording'!C:C=B14), ""Select Col1""),""TRUE"")=0,""0"",countif(query(filter('Saline Comp Data Recording'!AF:AF,'Saline Comp Data Recording'!C:C=B14), ""Select Col1""),""TRUE""))"&amp;" &amp; ""/"" &amp; if(COUNTA(query(ifna(filter('Saline Comp Data Recording'!AF:AF,'Saline Comp Data Recording'!C:C=B17),""""), ""Select Col1""))=0,""0"",COUNTA(query(ifna(filter('Saline Comp Data Recording'!AF:AF,'Saline Comp Data Recording'!C:C=B14),""""), ""Sel"&amp;"ect Col1"")))"),"0/0")</f>
        <v>0/0</v>
      </c>
      <c r="F14" s="108"/>
      <c r="G14" s="108"/>
    </row>
    <row r="15">
      <c r="A15" s="106">
        <v>14.0</v>
      </c>
      <c r="B15" s="117">
        <v>5066.0</v>
      </c>
      <c r="C15" s="108" t="str">
        <f>IFERROR(__xludf.DUMMYFUNCTION("FILTER('Comp Scouting - Saline'!BS:BS,'Comp Scouting - Saline'!B:B=B15)"),"#N/A")</f>
        <v>#N/A</v>
      </c>
      <c r="D15" s="108" t="str">
        <f>IFERROR(__xludf.DUMMYFUNCTION("FILTER('Comp Scouting - Saline'!BT:BT,'Comp Scouting - Saline'!B:B=B15)"),"#N/A")</f>
        <v>#N/A</v>
      </c>
      <c r="E15" s="108" t="str">
        <f>IFERROR(__xludf.DUMMYFUNCTION("if(countif(query(filter('Saline Comp Data Recording'!AF:AF,'Saline Comp Data Recording'!C:C=B15), ""Select Col1""),""TRUE"")=0,""0"",countif(query(filter('Saline Comp Data Recording'!AF:AF,'Saline Comp Data Recording'!C:C=B15), ""Select Col1""),""TRUE""))"&amp;" &amp; ""/"" &amp; if(COUNTA(query(ifna(filter('Saline Comp Data Recording'!AF:AF,'Saline Comp Data Recording'!C:C=B18),""""), ""Select Col1""))=0,""0"",COUNTA(query(ifna(filter('Saline Comp Data Recording'!AF:AF,'Saline Comp Data Recording'!C:C=B15),""""), ""Sel"&amp;"ect Col1"")))"),"0/0")</f>
        <v>0/0</v>
      </c>
      <c r="F15" s="108"/>
      <c r="G15" s="106" t="s">
        <v>562</v>
      </c>
    </row>
    <row r="16">
      <c r="A16" s="106">
        <v>15.0</v>
      </c>
      <c r="B16" s="114">
        <v>9241.0</v>
      </c>
      <c r="C16" s="108" t="str">
        <f>IFERROR(__xludf.DUMMYFUNCTION("FILTER('Comp Scouting - Saline'!BS:BS,'Comp Scouting - Saline'!B:B=B16)"),"#N/A")</f>
        <v>#N/A</v>
      </c>
      <c r="D16" s="108" t="str">
        <f>IFERROR(__xludf.DUMMYFUNCTION("FILTER('Comp Scouting - Saline'!BT:BT,'Comp Scouting - Saline'!B:B=B16)"),"#N/A")</f>
        <v>#N/A</v>
      </c>
      <c r="E16" s="108" t="str">
        <f>IFERROR(__xludf.DUMMYFUNCTION("if(countif(query(filter('Saline Comp Data Recording'!AF:AF,'Saline Comp Data Recording'!C:C=B16), ""Select Col1""),""TRUE"")=0,""0"",countif(query(filter('Saline Comp Data Recording'!AF:AF,'Saline Comp Data Recording'!C:C=B16), ""Select Col1""),""TRUE""))"&amp;" &amp; ""/"" &amp; if(COUNTA(query(ifna(filter('Saline Comp Data Recording'!AF:AF,'Saline Comp Data Recording'!C:C=B19),""""), ""Select Col1""))=0,""0"",COUNTA(query(ifna(filter('Saline Comp Data Recording'!AF:AF,'Saline Comp Data Recording'!C:C=B16),""""), ""Sel"&amp;"ect Col1"")))"),"0/0")</f>
        <v>0/0</v>
      </c>
      <c r="F16" s="108"/>
      <c r="G16" s="108"/>
    </row>
    <row r="17">
      <c r="A17" s="106">
        <v>16.0</v>
      </c>
      <c r="B17" s="117">
        <v>5067.0</v>
      </c>
      <c r="C17" s="108" t="str">
        <f>IFERROR(__xludf.DUMMYFUNCTION("FILTER('Comp Scouting - Saline'!BS:BS,'Comp Scouting - Saline'!B:B=B17)"),"#N/A")</f>
        <v>#N/A</v>
      </c>
      <c r="D17" s="108" t="str">
        <f>IFERROR(__xludf.DUMMYFUNCTION("FILTER('Comp Scouting - Saline'!BT:BT,'Comp Scouting - Saline'!B:B=B17)"),"#N/A")</f>
        <v>#N/A</v>
      </c>
      <c r="E17" s="108" t="str">
        <f>IFERROR(__xludf.DUMMYFUNCTION("if(countif(query(filter('Saline Comp Data Recording'!AF:AF,'Saline Comp Data Recording'!C:C=B17), ""Select Col1""),""TRUE"")=0,""0"",countif(query(filter('Saline Comp Data Recording'!AF:AF,'Saline Comp Data Recording'!C:C=B17), ""Select Col1""),""TRUE""))"&amp;" &amp; ""/"" &amp; if(COUNTA(query(ifna(filter('Saline Comp Data Recording'!AF:AF,'Saline Comp Data Recording'!C:C=B20),""""), ""Select Col1""))=0,""0"",COUNTA(query(ifna(filter('Saline Comp Data Recording'!AF:AF,'Saline Comp Data Recording'!C:C=B17),""""), ""Sel"&amp;"ect Col1"")))"),"0/0")</f>
        <v>0/0</v>
      </c>
      <c r="F17" s="108"/>
      <c r="G17" s="106" t="s">
        <v>563</v>
      </c>
    </row>
    <row r="18">
      <c r="A18" s="106">
        <v>17.0</v>
      </c>
      <c r="B18" s="114">
        <v>8832.0</v>
      </c>
      <c r="C18" s="108" t="str">
        <f>IFERROR(__xludf.DUMMYFUNCTION("FILTER('Comp Scouting - Saline'!BS:BS,'Comp Scouting - Saline'!B:B=B18)"),"#N/A")</f>
        <v>#N/A</v>
      </c>
      <c r="D18" s="108" t="str">
        <f>IFERROR(__xludf.DUMMYFUNCTION("FILTER('Comp Scouting - Saline'!BT:BT,'Comp Scouting - Saline'!B:B=B18)"),"#N/A")</f>
        <v>#N/A</v>
      </c>
      <c r="E18" s="108" t="str">
        <f>IFERROR(__xludf.DUMMYFUNCTION("if(countif(query(filter('Saline Comp Data Recording'!AF:AF,'Saline Comp Data Recording'!C:C=B18), ""Select Col1""),""TRUE"")=0,""0"",countif(query(filter('Saline Comp Data Recording'!AF:AF,'Saline Comp Data Recording'!C:C=B18), ""Select Col1""),""TRUE""))"&amp;" &amp; ""/"" &amp; if(COUNTA(query(ifna(filter('Saline Comp Data Recording'!AF:AF,'Saline Comp Data Recording'!C:C=B21),""""), ""Select Col1""))=0,""0"",COUNTA(query(ifna(filter('Saline Comp Data Recording'!AF:AF,'Saline Comp Data Recording'!C:C=B18),""""), ""Sel"&amp;"ect Col1"")))"),"0/0")</f>
        <v>0/0</v>
      </c>
      <c r="F18" s="108"/>
      <c r="G18" s="108"/>
    </row>
    <row r="19">
      <c r="A19" s="106">
        <v>18.0</v>
      </c>
      <c r="B19" s="115">
        <v>5641.0</v>
      </c>
      <c r="C19" s="108" t="str">
        <f>IFERROR(__xludf.DUMMYFUNCTION("FILTER('Comp Scouting - Saline'!BS:BS,'Comp Scouting - Saline'!B:B=B19)"),"#N/A")</f>
        <v>#N/A</v>
      </c>
      <c r="D19" s="108" t="str">
        <f>IFERROR(__xludf.DUMMYFUNCTION("FILTER('Comp Scouting - Saline'!BT:BT,'Comp Scouting - Saline'!B:B=B19)"),"#N/A")</f>
        <v>#N/A</v>
      </c>
      <c r="E19" s="108" t="str">
        <f>IFERROR(__xludf.DUMMYFUNCTION("if(countif(query(filter('Saline Comp Data Recording'!AF:AF,'Saline Comp Data Recording'!C:C=B19), ""Select Col1""),""TRUE"")=0,""0"",countif(query(filter('Saline Comp Data Recording'!AF:AF,'Saline Comp Data Recording'!C:C=B19), ""Select Col1""),""TRUE""))"&amp;" &amp; ""/"" &amp; if(COUNTA(query(ifna(filter('Saline Comp Data Recording'!AF:AF,'Saline Comp Data Recording'!C:C=B22),""""), ""Select Col1""))=0,""0"",COUNTA(query(ifna(filter('Saline Comp Data Recording'!AF:AF,'Saline Comp Data Recording'!C:C=B19),""""), ""Sel"&amp;"ect Col1"")))"),"0/0")</f>
        <v>0/0</v>
      </c>
      <c r="F19" s="108"/>
      <c r="G19" s="108"/>
    </row>
    <row r="20">
      <c r="A20" s="106">
        <v>19.0</v>
      </c>
      <c r="B20" s="115">
        <v>1504.0</v>
      </c>
      <c r="C20" s="108" t="str">
        <f>IFERROR(__xludf.DUMMYFUNCTION("FILTER('Comp Scouting - Saline'!BS:BS,'Comp Scouting - Saline'!B:B=B20)"),"#N/A")</f>
        <v>#N/A</v>
      </c>
      <c r="D20" s="108" t="str">
        <f>IFERROR(__xludf.DUMMYFUNCTION("FILTER('Comp Scouting - Saline'!BT:BT,'Comp Scouting - Saline'!B:B=B20)"),"#N/A")</f>
        <v>#N/A</v>
      </c>
      <c r="E20" s="108" t="str">
        <f>IFERROR(__xludf.DUMMYFUNCTION("if(countif(query(filter('Saline Comp Data Recording'!AF:AF,'Saline Comp Data Recording'!C:C=B20), ""Select Col1""),""TRUE"")=0,""0"",countif(query(filter('Saline Comp Data Recording'!AF:AF,'Saline Comp Data Recording'!C:C=B20), ""Select Col1""),""TRUE""))"&amp;" &amp; ""/"" &amp; if(COUNTA(query(ifna(filter('Saline Comp Data Recording'!AF:AF,'Saline Comp Data Recording'!C:C=B23),""""), ""Select Col1""))=0,""0"",COUNTA(query(ifna(filter('Saline Comp Data Recording'!AF:AF,'Saline Comp Data Recording'!C:C=B20),""""), ""Sel"&amp;"ect Col1"")))"),"0/0")</f>
        <v>0/0</v>
      </c>
      <c r="F20" s="108"/>
      <c r="G20" s="106" t="s">
        <v>564</v>
      </c>
    </row>
    <row r="21">
      <c r="A21" s="106">
        <v>20.0</v>
      </c>
      <c r="B21" s="106">
        <v>3773.0</v>
      </c>
      <c r="C21" s="108" t="str">
        <f>IFERROR(__xludf.DUMMYFUNCTION("FILTER('Comp Scouting - Saline'!BS:BS,'Comp Scouting - Saline'!B:B=B21)"),"#N/A")</f>
        <v>#N/A</v>
      </c>
      <c r="D21" s="108" t="str">
        <f>IFERROR(__xludf.DUMMYFUNCTION("FILTER('Comp Scouting - Saline'!BT:BT,'Comp Scouting - Saline'!B:B=B21)"),"#N/A")</f>
        <v>#N/A</v>
      </c>
      <c r="E21" s="108" t="str">
        <f>IFERROR(__xludf.DUMMYFUNCTION("if(countif(query(filter('Saline Comp Data Recording'!AF:AF,'Saline Comp Data Recording'!C:C=B21), ""Select Col1""),""TRUE"")=0,""0"",countif(query(filter('Saline Comp Data Recording'!AF:AF,'Saline Comp Data Recording'!C:C=B21), ""Select Col1""),""TRUE""))"&amp;" &amp; ""/"" &amp; if(COUNTA(query(ifna(filter('Saline Comp Data Recording'!AF:AF,'Saline Comp Data Recording'!C:C=B24),""""), ""Select Col1""))=0,""0"",COUNTA(query(ifna(filter('Saline Comp Data Recording'!AF:AF,'Saline Comp Data Recording'!C:C=B21),""""), ""Sel"&amp;"ect Col1"")))"),"0/0")</f>
        <v>0/0</v>
      </c>
      <c r="F21" s="108"/>
      <c r="G21" s="108"/>
    </row>
    <row r="22">
      <c r="A22" s="106">
        <v>21.0</v>
      </c>
      <c r="B22" s="115">
        <v>1502.0</v>
      </c>
      <c r="C22" s="108" t="str">
        <f>IFERROR(__xludf.DUMMYFUNCTION("FILTER('Comp Scouting - Saline'!BS:BS,'Comp Scouting - Saline'!B:B=B22)"),"#N/A")</f>
        <v>#N/A</v>
      </c>
      <c r="D22" s="108" t="str">
        <f>IFERROR(__xludf.DUMMYFUNCTION("FILTER('Comp Scouting - Saline'!BT:BT,'Comp Scouting - Saline'!B:B=B22)"),"#N/A")</f>
        <v>#N/A</v>
      </c>
      <c r="E22" s="108" t="str">
        <f>IFERROR(__xludf.DUMMYFUNCTION("if(countif(query(filter('Saline Comp Data Recording'!AF:AF,'Saline Comp Data Recording'!C:C=B22), ""Select Col1""),""TRUE"")=0,""0"",countif(query(filter('Saline Comp Data Recording'!AF:AF,'Saline Comp Data Recording'!C:C=B22), ""Select Col1""),""TRUE""))"&amp;" &amp; ""/"" &amp; if(COUNTA(query(ifna(filter('Saline Comp Data Recording'!AF:AF,'Saline Comp Data Recording'!C:C=B25),""""), ""Select Col1""))=0,""0"",COUNTA(query(ifna(filter('Saline Comp Data Recording'!AF:AF,'Saline Comp Data Recording'!C:C=B22),""""), ""Sel"&amp;"ect Col1"")))"),"0/0")</f>
        <v>0/0</v>
      </c>
      <c r="F22" s="108"/>
      <c r="G22" s="106"/>
    </row>
    <row r="23">
      <c r="A23" s="106">
        <v>22.0</v>
      </c>
      <c r="B23" s="106">
        <v>5708.0</v>
      </c>
      <c r="C23" s="108" t="str">
        <f>IFERROR(__xludf.DUMMYFUNCTION("FILTER('Comp Scouting - Saline'!BS:BS,'Comp Scouting - Saline'!B:B=B23)"),"#N/A")</f>
        <v>#N/A</v>
      </c>
      <c r="D23" s="108" t="str">
        <f>IFERROR(__xludf.DUMMYFUNCTION("FILTER('Comp Scouting - Saline'!BT:BT,'Comp Scouting - Saline'!B:B=B23)"),"#N/A")</f>
        <v>#N/A</v>
      </c>
      <c r="E23" s="108" t="str">
        <f>IFERROR(__xludf.DUMMYFUNCTION("if(countif(query(filter('Saline Comp Data Recording'!AF:AF,'Saline Comp Data Recording'!C:C=B23), ""Select Col1""),""TRUE"")=0,""0"",countif(query(filter('Saline Comp Data Recording'!AF:AF,'Saline Comp Data Recording'!C:C=B23), ""Select Col1""),""TRUE""))"&amp;" &amp; ""/"" &amp; if(COUNTA(query(ifna(filter('Saline Comp Data Recording'!AF:AF,'Saline Comp Data Recording'!C:C=B26),""""), ""Select Col1""))=0,""0"",COUNTA(query(ifna(filter('Saline Comp Data Recording'!AF:AF,'Saline Comp Data Recording'!C:C=B23),""""), ""Sel"&amp;"ect Col1"")))"),"0/0")</f>
        <v>0/0</v>
      </c>
      <c r="F23" s="108"/>
      <c r="G23" s="108"/>
    </row>
    <row r="24">
      <c r="A24" s="106">
        <v>23.0</v>
      </c>
      <c r="B24" s="114">
        <v>7598.0</v>
      </c>
      <c r="C24" s="108" t="str">
        <f>IFERROR(__xludf.DUMMYFUNCTION("FILTER('Comp Scouting - Saline'!BS:BS,'Comp Scouting - Saline'!B:B=B24)"),"#N/A")</f>
        <v>#N/A</v>
      </c>
      <c r="D24" s="108" t="str">
        <f>IFERROR(__xludf.DUMMYFUNCTION("FILTER('Comp Scouting - Saline'!BT:BT,'Comp Scouting - Saline'!B:B=B24)"),"#N/A")</f>
        <v>#N/A</v>
      </c>
      <c r="E24" s="108" t="str">
        <f>IFERROR(__xludf.DUMMYFUNCTION("if(countif(query(filter('Saline Comp Data Recording'!AF:AF,'Saline Comp Data Recording'!C:C=B24), ""Select Col1""),""TRUE"")=0,""0"",countif(query(filter('Saline Comp Data Recording'!AF:AF,'Saline Comp Data Recording'!C:C=B24), ""Select Col1""),""TRUE""))"&amp;" &amp; ""/"" &amp; if(COUNTA(query(ifna(filter('Saline Comp Data Recording'!AF:AF,'Saline Comp Data Recording'!C:C=B27),""""), ""Select Col1""))=0,""0"",COUNTA(query(ifna(filter('Saline Comp Data Recording'!AF:AF,'Saline Comp Data Recording'!C:C=B24),""""), ""Sel"&amp;"ect Col1"")))"),"0/0")</f>
        <v>0/0</v>
      </c>
      <c r="F24" s="108"/>
      <c r="G24" s="108"/>
    </row>
    <row r="25">
      <c r="A25" s="106">
        <v>24.0</v>
      </c>
      <c r="B25" s="114">
        <v>8895.0</v>
      </c>
      <c r="C25" s="108" t="str">
        <f>IFERROR(__xludf.DUMMYFUNCTION("FILTER('Comp Scouting - Saline'!BS:BS,'Comp Scouting - Saline'!B:B=B25)"),"#N/A")</f>
        <v>#N/A</v>
      </c>
      <c r="D25" s="108" t="str">
        <f>IFERROR(__xludf.DUMMYFUNCTION("FILTER('Comp Scouting - Saline'!BT:BT,'Comp Scouting - Saline'!B:B=B25)"),"#N/A")</f>
        <v>#N/A</v>
      </c>
      <c r="E25" s="108" t="str">
        <f>IFERROR(__xludf.DUMMYFUNCTION("if(countif(query(filter('Saline Comp Data Recording'!AF:AF,'Saline Comp Data Recording'!C:C=B25), ""Select Col1""),""TRUE"")=0,""0"",countif(query(filter('Saline Comp Data Recording'!AF:AF,'Saline Comp Data Recording'!C:C=B25), ""Select Col1""),""TRUE""))"&amp;" &amp; ""/"" &amp; if(COUNTA(query(ifna(filter('Saline Comp Data Recording'!AF:AF,'Saline Comp Data Recording'!C:C=B28),""""), ""Select Col1""))=0,""0"",COUNTA(query(ifna(filter('Saline Comp Data Recording'!AF:AF,'Saline Comp Data Recording'!C:C=B25),""""), ""Sel"&amp;"ect Col1"")))"),"0/0")</f>
        <v>0/0</v>
      </c>
      <c r="F25" s="108"/>
      <c r="G25" s="108"/>
    </row>
    <row r="26">
      <c r="A26" s="106">
        <v>25.0</v>
      </c>
      <c r="B26" s="118">
        <v>6615.0</v>
      </c>
      <c r="C26" s="108" t="str">
        <f>IFERROR(__xludf.DUMMYFUNCTION("FILTER('Comp Scouting - Saline'!BS:BS,'Comp Scouting - Saline'!B:B=B26)"),"#N/A")</f>
        <v>#N/A</v>
      </c>
      <c r="D26" s="108" t="str">
        <f>IFERROR(__xludf.DUMMYFUNCTION("FILTER('Comp Scouting - Saline'!BT:BT,'Comp Scouting - Saline'!B:B=B26)"),"#N/A")</f>
        <v>#N/A</v>
      </c>
      <c r="E26" s="108" t="str">
        <f>IFERROR(__xludf.DUMMYFUNCTION("if(countif(query(filter('Saline Comp Data Recording'!AF:AF,'Saline Comp Data Recording'!C:C=B26), ""Select Col1""),""TRUE"")=0,""0"",countif(query(filter('Saline Comp Data Recording'!AF:AF,'Saline Comp Data Recording'!C:C=B26), ""Select Col1""),""TRUE""))"&amp;" &amp; ""/"" &amp; if(COUNTA(query(ifna(filter('Saline Comp Data Recording'!AF:AF,'Saline Comp Data Recording'!C:C=B29),""""), ""Select Col1""))=0,""0"",COUNTA(query(ifna(filter('Saline Comp Data Recording'!AF:AF,'Saline Comp Data Recording'!C:C=B26),""""), ""Sel"&amp;"ect Col1"")))"),"0/0")</f>
        <v>0/0</v>
      </c>
      <c r="F26" s="108"/>
      <c r="G26" s="108"/>
    </row>
    <row r="27">
      <c r="A27" s="106">
        <v>26.0</v>
      </c>
      <c r="B27" s="114">
        <v>7221.0</v>
      </c>
      <c r="C27" s="108" t="str">
        <f>IFERROR(__xludf.DUMMYFUNCTION("FILTER('Comp Scouting - Saline'!BS:BS,'Comp Scouting - Saline'!B:B=B27)"),"#N/A")</f>
        <v>#N/A</v>
      </c>
      <c r="D27" s="108" t="str">
        <f>IFERROR(__xludf.DUMMYFUNCTION("FILTER('Comp Scouting - Saline'!BT:BT,'Comp Scouting - Saline'!B:B=B27)"),"#N/A")</f>
        <v>#N/A</v>
      </c>
      <c r="E27" s="108" t="str">
        <f>IFERROR(__xludf.DUMMYFUNCTION("if(countif(query(filter('Saline Comp Data Recording'!AF:AF,'Saline Comp Data Recording'!C:C=B27), ""Select Col1""),""TRUE"")=0,""0"",countif(query(filter('Saline Comp Data Recording'!AF:AF,'Saline Comp Data Recording'!C:C=B27), ""Select Col1""),""TRUE""))"&amp;" &amp; ""/"" &amp; if(COUNTA(query(ifna(filter('Saline Comp Data Recording'!AF:AF,'Saline Comp Data Recording'!C:C=B30),""""), ""Select Col1""))=0,""0"",COUNTA(query(ifna(filter('Saline Comp Data Recording'!AF:AF,'Saline Comp Data Recording'!C:C=B27),""""), ""Sel"&amp;"ect Col1"")))"),"0/0")</f>
        <v>0/0</v>
      </c>
      <c r="F27" s="108"/>
      <c r="G27" s="106" t="s">
        <v>565</v>
      </c>
    </row>
    <row r="28">
      <c r="A28" s="106">
        <v>27.0</v>
      </c>
      <c r="B28" s="119">
        <v>8424.0</v>
      </c>
      <c r="C28" s="108" t="str">
        <f>IFERROR(__xludf.DUMMYFUNCTION("FILTER('Comp Scouting - Saline'!BS:BS,'Comp Scouting - Saline'!B:B=B28)"),"#N/A")</f>
        <v>#N/A</v>
      </c>
      <c r="D28" s="108" t="str">
        <f>IFERROR(__xludf.DUMMYFUNCTION("FILTER('Comp Scouting - Saline'!BT:BT,'Comp Scouting - Saline'!B:B=B28)"),"#N/A")</f>
        <v>#N/A</v>
      </c>
      <c r="E28" s="108" t="str">
        <f>IFERROR(__xludf.DUMMYFUNCTION("if(countif(query(filter('Saline Comp Data Recording'!AF:AF,'Saline Comp Data Recording'!C:C=B28), ""Select Col1""),""TRUE"")=0,""0"",countif(query(filter('Saline Comp Data Recording'!AF:AF,'Saline Comp Data Recording'!C:C=B28), ""Select Col1""),""TRUE""))"&amp;" &amp; ""/"" &amp; if(COUNTA(query(ifna(filter('Saline Comp Data Recording'!AF:AF,'Saline Comp Data Recording'!C:C=B31),""""), ""Select Col1""))=0,""0"",COUNTA(query(ifna(filter('Saline Comp Data Recording'!AF:AF,'Saline Comp Data Recording'!C:C=B28),""""), ""Sel"&amp;"ect Col1"")))"),"0/0")</f>
        <v>0/0</v>
      </c>
      <c r="F28" s="108"/>
      <c r="G28" s="106" t="s">
        <v>566</v>
      </c>
    </row>
    <row r="29">
      <c r="A29" s="106">
        <v>28.0</v>
      </c>
      <c r="B29" s="118">
        <v>6101.0</v>
      </c>
      <c r="C29" s="108" t="str">
        <f>IFERROR(__xludf.DUMMYFUNCTION("FILTER('Comp Scouting - Saline'!BS:BS,'Comp Scouting - Saline'!B:B=B29)"),"#N/A")</f>
        <v>#N/A</v>
      </c>
      <c r="D29" s="108" t="str">
        <f>IFERROR(__xludf.DUMMYFUNCTION("FILTER('Comp Scouting - Saline'!BT:BT,'Comp Scouting - Saline'!B:B=B29)"),"#N/A")</f>
        <v>#N/A</v>
      </c>
      <c r="E29" s="108" t="str">
        <f>IFERROR(__xludf.DUMMYFUNCTION("if(countif(query(filter('Saline Comp Data Recording'!AF:AF,'Saline Comp Data Recording'!C:C=B29), ""Select Col1""),""TRUE"")=0,""0"",countif(query(filter('Saline Comp Data Recording'!AF:AF,'Saline Comp Data Recording'!C:C=B29), ""Select Col1""),""TRUE""))"&amp;" &amp; ""/"" &amp; if(COUNTA(query(ifna(filter('Saline Comp Data Recording'!AF:AF,'Saline Comp Data Recording'!C:C=B32),""""), ""Select Col1""))=0,""0"",COUNTA(query(ifna(filter('Saline Comp Data Recording'!AF:AF,'Saline Comp Data Recording'!C:C=B29),""""), ""Sel"&amp;"ect Col1"")))"),"0/0")</f>
        <v>0/0</v>
      </c>
      <c r="F29" s="108"/>
      <c r="G29" s="108"/>
    </row>
    <row r="30">
      <c r="A30" s="106">
        <v>29.0</v>
      </c>
      <c r="B30" s="114">
        <v>7225.0</v>
      </c>
      <c r="C30" s="111">
        <f>IFERROR(__xludf.DUMMYFUNCTION("FILTER('Comp Scouting - Saline'!BS:BS,'Comp Scouting - Saline'!B:B=B30)"),5.833333333333333)</f>
        <v>5.833333333</v>
      </c>
      <c r="D30" s="111">
        <f>IFERROR(__xludf.DUMMYFUNCTION("FILTER('Comp Scouting - Saline'!BT:BT,'Comp Scouting - Saline'!B:B=B30)"),5.833333333333333)</f>
        <v>5.833333333</v>
      </c>
      <c r="E30" s="108" t="str">
        <f>IFERROR(__xludf.DUMMYFUNCTION("if(countif(query(filter('Saline Comp Data Recording'!AF:AF,'Saline Comp Data Recording'!C:C=B30), ""Select Col1""),""TRUE"")=0,""0"",countif(query(filter('Saline Comp Data Recording'!AF:AF,'Saline Comp Data Recording'!C:C=B30), ""Select Col1""),""TRUE""))"&amp;" &amp; ""/"" &amp; if(COUNTA(query(ifna(filter('Saline Comp Data Recording'!AF:AF,'Saline Comp Data Recording'!C:C=B33),""""), ""Select Col1""))=0,""0"",COUNTA(query(ifna(filter('Saline Comp Data Recording'!AF:AF,'Saline Comp Data Recording'!C:C=B30),""""), ""Sel"&amp;"ect Col1"")))"),"0/0")</f>
        <v>0/0</v>
      </c>
      <c r="F30" s="108"/>
      <c r="G30" s="108"/>
    </row>
    <row r="31">
      <c r="A31" s="106">
        <v>30.0</v>
      </c>
      <c r="B31" s="114">
        <v>9210.0</v>
      </c>
      <c r="C31" s="108" t="str">
        <f>IFERROR(__xludf.DUMMYFUNCTION("FILTER('Comp Scouting - Saline'!BS:BS,'Comp Scouting - Saline'!B:B=B31)"),"#N/A")</f>
        <v>#N/A</v>
      </c>
      <c r="D31" s="108" t="str">
        <f>IFERROR(__xludf.DUMMYFUNCTION("FILTER('Comp Scouting - Saline'!BT:BT,'Comp Scouting - Saline'!B:B=B31)"),"#N/A")</f>
        <v>#N/A</v>
      </c>
      <c r="E31" s="108" t="str">
        <f>IFERROR(__xludf.DUMMYFUNCTION("if(countif(query(filter('Saline Comp Data Recording'!AF:AF,'Saline Comp Data Recording'!C:C=B31), ""Select Col1""),""TRUE"")=0,""0"",countif(query(filter('Saline Comp Data Recording'!AF:AF,'Saline Comp Data Recording'!C:C=B31), ""Select Col1""),""TRUE""))"&amp;" &amp; ""/"" &amp; if(COUNTA(query(ifna(filter('Saline Comp Data Recording'!AF:AF,'Saline Comp Data Recording'!C:C=B34),""""), ""Select Col1""))=0,""0"",COUNTA(query(ifna(filter('Saline Comp Data Recording'!AF:AF,'Saline Comp Data Recording'!C:C=B31),""""), ""Sel"&amp;"ect Col1"")))"),"0/0")</f>
        <v>0/0</v>
      </c>
      <c r="F31" s="108"/>
      <c r="G31" s="106" t="s">
        <v>567</v>
      </c>
    </row>
    <row r="32">
      <c r="A32" s="106">
        <v>31.0</v>
      </c>
      <c r="B32" s="114">
        <v>4395.0</v>
      </c>
      <c r="C32" s="108" t="str">
        <f>IFERROR(__xludf.DUMMYFUNCTION("FILTER('Comp Scouting - Saline'!BS:BS,'Comp Scouting - Saline'!B:B=B32)"),"#N/A")</f>
        <v>#N/A</v>
      </c>
      <c r="D32" s="108" t="str">
        <f>IFERROR(__xludf.DUMMYFUNCTION("FILTER('Comp Scouting - Saline'!BT:BT,'Comp Scouting - Saline'!B:B=B32)"),"#N/A")</f>
        <v>#N/A</v>
      </c>
      <c r="E32" s="108" t="str">
        <f>IFERROR(__xludf.DUMMYFUNCTION("if(countif(query(filter('Saline Comp Data Recording'!AF:AF,'Saline Comp Data Recording'!C:C=B32), ""Select Col1""),""TRUE"")=0,""0"",countif(query(filter('Saline Comp Data Recording'!AF:AF,'Saline Comp Data Recording'!C:C=B32), ""Select Col1""),""TRUE""))"&amp;" &amp; ""/"" &amp; if(COUNTA(query(ifna(filter('Saline Comp Data Recording'!AF:AF,'Saline Comp Data Recording'!C:C=B35),""""), ""Select Col1""))=0,""0"",COUNTA(query(ifna(filter('Saline Comp Data Recording'!AF:AF,'Saline Comp Data Recording'!C:C=B32),""""), ""Sel"&amp;"ect Col1"")))"),"0/0")</f>
        <v>0/0</v>
      </c>
      <c r="F32" s="108"/>
      <c r="G32" s="108"/>
    </row>
    <row r="33">
      <c r="A33" s="106">
        <v>32.0</v>
      </c>
      <c r="B33" s="115">
        <v>9211.0</v>
      </c>
      <c r="C33" s="108" t="str">
        <f>IFERROR(__xludf.DUMMYFUNCTION("FILTER('Comp Scouting - Saline'!BS:BS,'Comp Scouting - Saline'!B:B=B33)"),"#N/A")</f>
        <v>#N/A</v>
      </c>
      <c r="D33" s="108" t="str">
        <f>IFERROR(__xludf.DUMMYFUNCTION("FILTER('Comp Scouting - Saline'!BT:BT,'Comp Scouting - Saline'!B:B=B33)"),"#N/A")</f>
        <v>#N/A</v>
      </c>
      <c r="E33" s="108" t="str">
        <f>IFERROR(__xludf.DUMMYFUNCTION("if(countif(query(filter('Saline Comp Data Recording'!AF:AF,'Saline Comp Data Recording'!C:C=B33), ""Select Col1""),""TRUE"")=0,""0"",countif(query(filter('Saline Comp Data Recording'!AF:AF,'Saline Comp Data Recording'!C:C=B33), ""Select Col1""),""TRUE""))"&amp;" &amp; ""/"" &amp; if(COUNTA(query(ifna(filter('Saline Comp Data Recording'!AF:AF,'Saline Comp Data Recording'!C:C=B36),""""), ""Select Col1""))=0,""0"",COUNTA(query(ifna(filter('Saline Comp Data Recording'!AF:AF,'Saline Comp Data Recording'!C:C=B33),""""), ""Sel"&amp;"ect Col1"")))"),"0/0")</f>
        <v>0/0</v>
      </c>
      <c r="F33" s="108"/>
      <c r="G33" s="106" t="s">
        <v>568</v>
      </c>
    </row>
    <row r="34">
      <c r="A34" s="106">
        <v>33.0</v>
      </c>
      <c r="B34" s="115">
        <v>3568.0</v>
      </c>
      <c r="C34" s="108" t="str">
        <f>IFERROR(__xludf.DUMMYFUNCTION("FILTER('Comp Scouting - Saline'!BS:BS,'Comp Scouting - Saline'!B:B=B34)"),"#N/A")</f>
        <v>#N/A</v>
      </c>
      <c r="D34" s="108" t="str">
        <f>IFERROR(__xludf.DUMMYFUNCTION("FILTER('Comp Scouting - Saline'!BT:BT,'Comp Scouting - Saline'!B:B=B34)"),"#N/A")</f>
        <v>#N/A</v>
      </c>
      <c r="E34" s="108" t="str">
        <f>IFERROR(__xludf.DUMMYFUNCTION("if(countif(query(filter('Saline Comp Data Recording'!AF:AF,'Saline Comp Data Recording'!C:C=B34), ""Select Col1""),""TRUE"")=0,""0"",countif(query(filter('Saline Comp Data Recording'!AF:AF,'Saline Comp Data Recording'!C:C=B34), ""Select Col1""),""TRUE""))"&amp;" &amp; ""/"" &amp; if(COUNTA(query(ifna(filter('Saline Comp Data Recording'!AF:AF,'Saline Comp Data Recording'!C:C=B37),""""), ""Select Col1""))=0,""0"",COUNTA(query(ifna(filter('Saline Comp Data Recording'!AF:AF,'Saline Comp Data Recording'!C:C=B34),""""), ""Sel"&amp;"ect Col1"")))"),"0/0")</f>
        <v>0/0</v>
      </c>
      <c r="F34" s="108"/>
      <c r="G34" s="106" t="s">
        <v>569</v>
      </c>
    </row>
    <row r="35">
      <c r="A35" s="106">
        <v>34.0</v>
      </c>
      <c r="B35" s="114">
        <v>6089.0</v>
      </c>
      <c r="C35" s="108" t="str">
        <f>IFERROR(__xludf.DUMMYFUNCTION("FILTER('Comp Scouting - Saline'!BS:BS,'Comp Scouting - Saline'!B:B=B35)"),"#N/A")</f>
        <v>#N/A</v>
      </c>
      <c r="D35" s="108" t="str">
        <f>IFERROR(__xludf.DUMMYFUNCTION("FILTER('Comp Scouting - Saline'!BT:BT,'Comp Scouting - Saline'!B:B=B35)"),"#N/A")</f>
        <v>#N/A</v>
      </c>
      <c r="E35" s="108" t="str">
        <f>IFERROR(__xludf.DUMMYFUNCTION("if(countif(query(filter('Saline Comp Data Recording'!AF:AF,'Saline Comp Data Recording'!C:C=B35), ""Select Col1""),""TRUE"")=0,""0"",countif(query(filter('Saline Comp Data Recording'!AF:AF,'Saline Comp Data Recording'!C:C=B35), ""Select Col1""),""TRUE""))"&amp;" &amp; ""/"" &amp; if(COUNTA(query(ifna(filter('Saline Comp Data Recording'!AF:AF,'Saline Comp Data Recording'!C:C=B38),""""), ""Select Col1""))=0,""0"",COUNTA(query(ifna(filter('Saline Comp Data Recording'!AF:AF,'Saline Comp Data Recording'!C:C=B35),""""), ""Sel"&amp;"ect Col1"")))"),"0/0")</f>
        <v>0/0</v>
      </c>
      <c r="F35" s="108"/>
      <c r="G35" s="108"/>
    </row>
    <row r="36">
      <c r="A36" s="106">
        <v>35.0</v>
      </c>
      <c r="B36" s="120">
        <v>3707.0</v>
      </c>
      <c r="C36" s="108" t="str">
        <f>IFERROR(__xludf.DUMMYFUNCTION("FILTER('Comp Scouting - Saline'!BS:BS,'Comp Scouting - Saline'!B:B=B36)"),"#N/A")</f>
        <v>#N/A</v>
      </c>
      <c r="D36" s="108" t="str">
        <f>IFERROR(__xludf.DUMMYFUNCTION("FILTER('Comp Scouting - Saline'!BT:BT,'Comp Scouting - Saline'!B:B=B36)"),"#N/A")</f>
        <v>#N/A</v>
      </c>
      <c r="E36" s="108" t="str">
        <f>IFERROR(__xludf.DUMMYFUNCTION("if(countif(query(filter('Saline Comp Data Recording'!AF:AF,'Saline Comp Data Recording'!C:C=B36), ""Select Col1""),""TRUE"")=0,""0"",countif(query(filter('Saline Comp Data Recording'!AF:AF,'Saline Comp Data Recording'!C:C=B36), ""Select Col1""),""TRUE""))"&amp;" &amp; ""/"" &amp; if(COUNTA(query(ifna(filter('Saline Comp Data Recording'!AF:AF,'Saline Comp Data Recording'!C:C=B39),""""), ""Select Col1""))=0,""0"",COUNTA(query(ifna(filter('Saline Comp Data Recording'!AF:AF,'Saline Comp Data Recording'!C:C=B36),""""), ""Sel"&amp;"ect Col1"")))"),"0/0")</f>
        <v>0/0</v>
      </c>
      <c r="F36" s="108"/>
      <c r="G36" s="108"/>
    </row>
    <row r="37">
      <c r="A37" s="106">
        <v>36.0</v>
      </c>
      <c r="B37" s="121">
        <v>5509.0</v>
      </c>
      <c r="C37" s="108" t="str">
        <f>IFERROR(__xludf.DUMMYFUNCTION("FILTER('Comp Scouting - Saline'!BS:BS,'Comp Scouting - Saline'!B:B=B37)"),"#N/A")</f>
        <v>#N/A</v>
      </c>
      <c r="D37" s="108" t="str">
        <f>IFERROR(__xludf.DUMMYFUNCTION("FILTER('Comp Scouting - Saline'!BT:BT,'Comp Scouting - Saline'!B:B=B37)"),"#N/A")</f>
        <v>#N/A</v>
      </c>
      <c r="E37" s="108" t="str">
        <f>IFERROR(__xludf.DUMMYFUNCTION("if(countif(query(filter('Saline Comp Data Recording'!AF:AF,'Saline Comp Data Recording'!C:C=B37), ""Select Col1""),""TRUE"")=0,""0"",countif(query(filter('Saline Comp Data Recording'!AF:AF,'Saline Comp Data Recording'!C:C=B37), ""Select Col1""),""TRUE""))"&amp;" &amp; ""/"" &amp; if(COUNTA(query(ifna(filter('Saline Comp Data Recording'!AF:AF,'Saline Comp Data Recording'!C:C=B40),""""), ""Select Col1""))=0,""0"",COUNTA(query(ifna(filter('Saline Comp Data Recording'!AF:AF,'Saline Comp Data Recording'!C:C=B37),""""), ""Sel"&amp;"ect Col1"")))"),"0/0")</f>
        <v>0/0</v>
      </c>
      <c r="F37" s="108"/>
      <c r="G37" s="10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35" max="35" width="51.88"/>
  </cols>
  <sheetData>
    <row r="1">
      <c r="A1" s="122" t="s">
        <v>570</v>
      </c>
      <c r="B1" s="123" t="s">
        <v>80</v>
      </c>
      <c r="C1" s="124"/>
      <c r="D1" s="124"/>
      <c r="E1" s="124"/>
      <c r="F1" s="124"/>
      <c r="G1" s="124"/>
      <c r="H1" s="124"/>
      <c r="I1" s="124"/>
      <c r="J1" s="124"/>
      <c r="K1" s="124"/>
      <c r="L1" s="123" t="s">
        <v>571</v>
      </c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5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</row>
    <row r="2">
      <c r="A2" s="127"/>
      <c r="B2" s="128">
        <v>3322.0</v>
      </c>
      <c r="L2" s="129" t="str">
        <f>IFERROR(__xludf.DUMMYFUNCTION("filter(Pit!B:B,Pit!A:A=B2)"),"Eagle Evolution")</f>
        <v>Eagle Evolution</v>
      </c>
      <c r="W2" s="127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</row>
    <row r="3">
      <c r="A3" s="127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1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</row>
    <row r="4">
      <c r="A4" s="127"/>
      <c r="B4" s="132" t="s">
        <v>572</v>
      </c>
      <c r="D4" s="132" t="s">
        <v>573</v>
      </c>
      <c r="F4" s="132" t="s">
        <v>574</v>
      </c>
      <c r="G4" s="132" t="s">
        <v>575</v>
      </c>
      <c r="I4" s="132" t="s">
        <v>576</v>
      </c>
      <c r="K4" s="132" t="s">
        <v>577</v>
      </c>
      <c r="M4" s="132" t="s">
        <v>578</v>
      </c>
      <c r="O4" s="132" t="s">
        <v>579</v>
      </c>
      <c r="Q4" s="132" t="s">
        <v>580</v>
      </c>
      <c r="T4" s="132" t="s">
        <v>581</v>
      </c>
      <c r="W4" s="127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</row>
    <row r="5">
      <c r="A5" s="127"/>
      <c r="B5" s="134" t="str">
        <f>IFERROR(__xludf.DUMMYFUNCTION("if(filter(Pit!N:N,Pit!A:A=B2)=TRUE,""Yes"",""No"")"),"Yes")</f>
        <v>Yes</v>
      </c>
      <c r="D5" s="135" t="str">
        <f>IFERROR(__xludf.DUMMYFUNCTION("if(filter(Pit!O:O,Pit!A:A=B2)=TRUE,""Yes"",""No"")"),"Yes")</f>
        <v>Yes</v>
      </c>
      <c r="F5" s="135" t="str">
        <f>IFERROR(__xludf.DUMMYFUNCTION("FILTER(Pit!C:C,Pit!A:A=B2) &amp; ""in"" &amp; "" by "" &amp; FILTER(Pit!D:D,Pit!A:A=B2) &amp; ""in"""),"in by in")</f>
        <v>in by in</v>
      </c>
      <c r="G5" s="134" t="b">
        <f>IFERROR(__xludf.DUMMYFUNCTION("filter(Pit!J:J,Pit!A:A=B2)"),FALSE)</f>
        <v>0</v>
      </c>
      <c r="I5" s="134" t="str">
        <f>IFERROR(__xludf.DUMMYFUNCTION("CONCATENATE(Ifs(filter(Pit!E:E,Pit!A:A=B2)=false, """",filter(Pit!E:E,Pit!A:A=B2)=true, ""Low, ""), Ifs(filter(Pit!F:F,Pit!A:A=B2)=false, """",filter(Pit!F:F,Pit!A:A=B2)=true, ""Mid, ""), Ifs(filter(Pit!G:G,Pit!A:A=B2)=false, """",filter(Pit!G:G,Pit!A:A=B"&amp;"2)=true, ""High""))"),"Low, Mid, High")</f>
        <v>Low, Mid, High</v>
      </c>
      <c r="K5" s="135" t="str">
        <f>IFERROR(__xludf.DUMMYFUNCTION("filter(Pit!H:H,Pit!A:A=B2)"),"Both")</f>
        <v>Both</v>
      </c>
      <c r="M5" s="134" t="str">
        <f>IFERROR(__xludf.DUMMYFUNCTION("filter(#REF!,Pit!A:A=B2)"),"#REF!")</f>
        <v>#REF!</v>
      </c>
      <c r="O5" s="134" t="str">
        <f>IFERROR(__xludf.DUMMYFUNCTION("filter(Pit!M:M,Pit!A:A=B2)"),"")</f>
        <v/>
      </c>
      <c r="Q5" s="136" t="str">
        <f>IFERROR(__xludf.DUMMYFUNCTION("filter(Pit!P:P,Pit!A:A=B2)"),"")</f>
        <v/>
      </c>
      <c r="T5" s="137" t="str">
        <f>IFERROR(__xludf.DUMMYFUNCTION("filter(Pit!Q:Q,Pit!A:A=B2)"),"")</f>
        <v/>
      </c>
      <c r="W5" s="127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</row>
    <row r="6">
      <c r="A6" s="127"/>
      <c r="W6" s="127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</row>
    <row r="7">
      <c r="A7" s="127"/>
      <c r="B7" s="132" t="s">
        <v>582</v>
      </c>
      <c r="F7" s="133"/>
      <c r="J7" s="132"/>
      <c r="N7" s="132"/>
      <c r="Q7" s="132" t="s">
        <v>583</v>
      </c>
      <c r="W7" s="127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</row>
    <row r="8">
      <c r="A8" s="127"/>
      <c r="B8" s="134" t="str">
        <f>IFERROR(__xludf.DUMMYFUNCTION("filter(#REF!,Pit!A:A=B2)"),"#REF!")</f>
        <v>#REF!</v>
      </c>
      <c r="F8" s="134"/>
      <c r="J8" s="134"/>
      <c r="N8" s="139"/>
      <c r="Q8" s="139" t="str">
        <f>IFERROR(__xludf.DUMMYFUNCTION("filter(Pit!I:I,Pit!A:A=B2)"),"")</f>
        <v/>
      </c>
      <c r="W8" s="127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</row>
    <row r="9">
      <c r="A9" s="127"/>
      <c r="W9" s="127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</row>
    <row r="10">
      <c r="A10" s="127"/>
      <c r="B10" s="140" t="s">
        <v>584</v>
      </c>
      <c r="C10" s="141" t="s">
        <v>1</v>
      </c>
      <c r="W10" s="127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</row>
    <row r="11" ht="15.75" customHeight="1">
      <c r="A11" s="127"/>
      <c r="C11" s="143" t="s">
        <v>15</v>
      </c>
      <c r="D11" s="143" t="s">
        <v>585</v>
      </c>
      <c r="E11" s="143" t="s">
        <v>586</v>
      </c>
      <c r="F11" s="143" t="s">
        <v>587</v>
      </c>
      <c r="G11" s="143" t="s">
        <v>588</v>
      </c>
      <c r="H11" s="143" t="s">
        <v>589</v>
      </c>
      <c r="I11" s="143" t="s">
        <v>590</v>
      </c>
      <c r="J11" s="144" t="s">
        <v>591</v>
      </c>
      <c r="K11" s="144" t="s">
        <v>592</v>
      </c>
      <c r="L11" s="144" t="s">
        <v>593</v>
      </c>
      <c r="M11" s="143" t="s">
        <v>594</v>
      </c>
      <c r="N11" s="143" t="s">
        <v>595</v>
      </c>
      <c r="O11" s="143" t="s">
        <v>596</v>
      </c>
      <c r="P11" s="143" t="s">
        <v>597</v>
      </c>
      <c r="Q11" s="143" t="s">
        <v>598</v>
      </c>
      <c r="R11" s="143" t="s">
        <v>599</v>
      </c>
      <c r="S11" s="144" t="s">
        <v>600</v>
      </c>
      <c r="T11" s="144" t="s">
        <v>601</v>
      </c>
      <c r="U11" s="144" t="s">
        <v>602</v>
      </c>
      <c r="V11" s="144" t="s">
        <v>603</v>
      </c>
      <c r="W11" s="145" t="s">
        <v>604</v>
      </c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</row>
    <row r="12">
      <c r="A12" s="127"/>
      <c r="C12" s="138" t="str">
        <f>IFERROR(__xludf.DUMMYFUNCTION("filter('Comp Scouting - Saline'!C:C,'Comp Scouting - Saline'!B:B=B2)"),"5/6")</f>
        <v>5/6</v>
      </c>
      <c r="D12" s="146">
        <f>IFERROR(__xludf.DUMMYFUNCTION("filter('Comp Scouting - Saline'!D:D,'Comp Scouting - Saline'!B:B=B2)"),0.0)</f>
        <v>0</v>
      </c>
      <c r="E12" s="146">
        <f>IFERROR(__xludf.DUMMYFUNCTION("filter('Comp Scouting - Saline'!E:E,'Comp Scouting - Saline'!B:B=B2)"),0.0)</f>
        <v>0</v>
      </c>
      <c r="F12" s="147" t="str">
        <f>iferror(E12/D12,"0.00%")</f>
        <v>0.00%</v>
      </c>
      <c r="G12" s="148">
        <f>IFERROR(__xludf.DUMMYFUNCTION("filter('Comp Scouting - Saline'!I:I,'Comp Scouting - Saline'!B:B=B2)"),5.0)</f>
        <v>5</v>
      </c>
      <c r="H12" s="148">
        <f>IFERROR(__xludf.DUMMYFUNCTION("filter('Comp Scouting - Saline'!J:J,'Comp Scouting - Saline'!B:B=B2)"),4.0)</f>
        <v>4</v>
      </c>
      <c r="I12" s="149">
        <f>iferror(H12/G12,"0.00%")</f>
        <v>0.8</v>
      </c>
      <c r="J12" s="59">
        <f>IFERROR(__xludf.DUMMYFUNCTION("filter('Comp Scouting - Saline'!N:N,'Comp Scouting - Saline'!B:B=B2)"),1.0)</f>
        <v>1</v>
      </c>
      <c r="K12" s="59">
        <f>IFERROR(__xludf.DUMMYFUNCTION("filter('Comp Scouting - Saline'!O:O,'Comp Scouting - Saline'!B:B=B2)"),1.0)</f>
        <v>1</v>
      </c>
      <c r="L12" s="54">
        <f>iferror(K12/J12,"0.00%")</f>
        <v>1</v>
      </c>
      <c r="M12" s="59">
        <f>IFERROR(__xludf.DUMMYFUNCTION("filter('Comp Scouting - Saline'!S:S,'Comp Scouting - Saline'!B:B=B2)"),0.0)</f>
        <v>0</v>
      </c>
      <c r="N12" s="59">
        <f>IFERROR(__xludf.DUMMYFUNCTION("filter('Comp Scouting - Saline'!T:T,'Comp Scouting - Saline'!B:B=B2)"),0.0)</f>
        <v>0</v>
      </c>
      <c r="O12" s="54" t="str">
        <f>iferror(N12/M12,"0.00%")</f>
        <v>0.00%</v>
      </c>
      <c r="P12" s="59">
        <f>IFERROR(__xludf.DUMMYFUNCTION("filter('Comp Scouting - Saline'!X:X,'Comp Scouting - Saline'!B:B=B2)"),0.0)</f>
        <v>0</v>
      </c>
      <c r="Q12" s="59">
        <f>IFERROR(__xludf.DUMMYFUNCTION("filter('Comp Scouting - Saline'!Y:Y,'Comp Scouting - Saline'!B:B=B2)"),0.0)</f>
        <v>0</v>
      </c>
      <c r="R12" s="54" t="str">
        <f>iferror(Q12/P12,"0.00%")</f>
        <v>0.00%</v>
      </c>
      <c r="S12" s="59">
        <f>IFERROR(__xludf.DUMMYFUNCTION("filter('Comp Scouting - Saline'!AC:AC,'Comp Scouting - Saline'!B:B=B2)"),0.0)</f>
        <v>0</v>
      </c>
      <c r="T12" s="138">
        <f>IFERROR(__xludf.DUMMYFUNCTION("filter('Comp Scouting - Saline'!AD:AD,'Comp Scouting - Saline'!B:B=B2)"),0.0)</f>
        <v>0</v>
      </c>
      <c r="U12" s="147" t="str">
        <f>iferror(T12/S12,"0.00%")</f>
        <v>0.00%</v>
      </c>
      <c r="V12" s="138" t="str">
        <f>IFERROR(__xludf.DUMMYFUNCTION("filter('Comp Scouting - Saline'!AH:AH,'Comp Scouting - Saline'!B:B=B2)"),"3/6")</f>
        <v>3/6</v>
      </c>
      <c r="W12" s="150" t="str">
        <f>IFERROR(__xludf.DUMMYFUNCTION("filter('Comp Scouting - Saline'!AI:AI,'Comp Scouting - Saline'!B:B=B2)"),"4/6")</f>
        <v>4/6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</row>
    <row r="13">
      <c r="A13" s="127"/>
      <c r="C13" s="141" t="s">
        <v>605</v>
      </c>
      <c r="W13" s="127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</row>
    <row r="14">
      <c r="A14" s="127"/>
      <c r="C14" s="143" t="s">
        <v>585</v>
      </c>
      <c r="D14" s="143" t="s">
        <v>586</v>
      </c>
      <c r="E14" s="143" t="s">
        <v>587</v>
      </c>
      <c r="F14" s="143" t="s">
        <v>588</v>
      </c>
      <c r="G14" s="143" t="s">
        <v>589</v>
      </c>
      <c r="H14" s="143" t="s">
        <v>590</v>
      </c>
      <c r="I14" s="144" t="s">
        <v>591</v>
      </c>
      <c r="J14" s="144" t="s">
        <v>592</v>
      </c>
      <c r="K14" s="144" t="s">
        <v>593</v>
      </c>
      <c r="L14" s="143" t="s">
        <v>594</v>
      </c>
      <c r="M14" s="143" t="s">
        <v>595</v>
      </c>
      <c r="N14" s="143" t="s">
        <v>596</v>
      </c>
      <c r="O14" s="143" t="s">
        <v>597</v>
      </c>
      <c r="P14" s="143" t="s">
        <v>598</v>
      </c>
      <c r="Q14" s="143" t="s">
        <v>599</v>
      </c>
      <c r="R14" s="144" t="s">
        <v>600</v>
      </c>
      <c r="S14" s="144" t="s">
        <v>601</v>
      </c>
      <c r="T14" s="144" t="s">
        <v>602</v>
      </c>
      <c r="U14" s="144" t="s">
        <v>603</v>
      </c>
      <c r="V14" s="144" t="s">
        <v>604</v>
      </c>
      <c r="W14" s="151" t="s">
        <v>23</v>
      </c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</row>
    <row r="15" ht="15.0" customHeight="1">
      <c r="A15" s="127"/>
      <c r="C15" s="59">
        <f>IFERROR(__xludf.DUMMYFUNCTION("filter('Comp Scouting - Saline'!AJ:AJ,'Comp Scouting - Saline'!B:B=B2)"),0.0)</f>
        <v>0</v>
      </c>
      <c r="D15" s="59">
        <f>IFERROR(__xludf.DUMMYFUNCTION("filter('Comp Scouting - Saline'!AK:AK,'Comp Scouting - Saline'!B:B=B2)"),0.0)</f>
        <v>0</v>
      </c>
      <c r="E15" s="54" t="str">
        <f>iferror(D15/C15,"0.00%")</f>
        <v>0.00%</v>
      </c>
      <c r="F15" s="59">
        <f>IFERROR(__xludf.DUMMYFUNCTION("filter('Comp Scouting - Saline'!AO:AO,'Comp Scouting - Saline'!B:B=B2)"),6.0)</f>
        <v>6</v>
      </c>
      <c r="G15" s="59">
        <f>IFERROR(__xludf.DUMMYFUNCTION("filter('Comp Scouting - Saline'!AP:AP,'Comp Scouting - Saline'!B:B=B2)"),6.0)</f>
        <v>6</v>
      </c>
      <c r="H15" s="54">
        <f>iferror(G15/F15,"0.00%")</f>
        <v>1</v>
      </c>
      <c r="I15" s="59">
        <f>IFERROR(__xludf.DUMMYFUNCTION("filter('Comp Scouting - Saline'!AT:AT,'Comp Scouting - Saline'!B:B=B2)"),0.0)</f>
        <v>0</v>
      </c>
      <c r="J15" s="59">
        <f>IFERROR(__xludf.DUMMYFUNCTION("filter('Comp Scouting - Saline'!AU:AU,'Comp Scouting - Saline'!B:B=B2)"),0.0)</f>
        <v>0</v>
      </c>
      <c r="K15" s="54" t="str">
        <f>iferror(J15/I15,"0.00%")</f>
        <v>0.00%</v>
      </c>
      <c r="L15" s="59">
        <f>IFERROR(__xludf.DUMMYFUNCTION("filter('Comp Scouting - Saline'!AY:AY,'Comp Scouting - Saline'!B:B=B2)"),2.0)</f>
        <v>2</v>
      </c>
      <c r="M15" s="59">
        <f>IFERROR(__xludf.DUMMYFUNCTION("filter('Comp Scouting - Saline'!AZ:AZ,'Comp Scouting - Saline'!B:B=B2)"),1.0)</f>
        <v>1</v>
      </c>
      <c r="N15" s="54">
        <f>iferror(M15/L15,"0.00%")</f>
        <v>0.5</v>
      </c>
      <c r="O15" s="59">
        <f>IFERROR(__xludf.DUMMYFUNCTION("filter('Comp Scouting - Saline'!BD:BD,'Comp Scouting - Saline'!B:B=B2)"),3.0)</f>
        <v>3</v>
      </c>
      <c r="P15" s="59">
        <f>IFERROR(__xludf.DUMMYFUNCTION("filter('Comp Scouting - Saline'!BE:BE,'Comp Scouting - Saline'!B:B=B2)"),2.0)</f>
        <v>2</v>
      </c>
      <c r="Q15" s="54">
        <f>iferror(P15/O15,"0.00%")</f>
        <v>0.6666666667</v>
      </c>
      <c r="R15" s="59">
        <f>IFERROR(__xludf.DUMMYFUNCTION("filter('Comp Scouting - Saline'!BI:BI,'Comp Scouting - Saline'!B:B=B2)"),5.0)</f>
        <v>5</v>
      </c>
      <c r="S15" s="59">
        <f>IFERROR(__xludf.DUMMYFUNCTION("filter('Comp Scouting - Saline'!BJ:BJ,'Comp Scouting - Saline'!B:B=B2)"),5.0)</f>
        <v>5</v>
      </c>
      <c r="T15" s="54">
        <f>iferror(S15/R15,"0.00%")</f>
        <v>1</v>
      </c>
      <c r="U15" s="59" t="str">
        <f>IFERROR(__xludf.DUMMYFUNCTION("filter('Comp Scouting - Saline'!BN:BN,'Comp Scouting - Saline'!B:B=B2)"),"3/6")</f>
        <v>3/6</v>
      </c>
      <c r="V15" s="59" t="str">
        <f>IFERROR(__xludf.DUMMYFUNCTION("filter('Comp Scouting - Saline'!BO:BO,'Comp Scouting - Saline'!B:B=B2)"),"4/6")</f>
        <v>4/6</v>
      </c>
      <c r="W15" s="153" t="str">
        <f>IFERROR(__xludf.DUMMYFUNCTION("filter('Comp Scouting - Saline'!BP:BP,'Comp Scouting - Saline'!B:B=B2)"),"0/6")</f>
        <v>0/6</v>
      </c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</row>
    <row r="16">
      <c r="A16" s="127"/>
      <c r="C16" s="154" t="s">
        <v>606</v>
      </c>
      <c r="G16" s="155"/>
      <c r="H16" s="156"/>
      <c r="I16" s="157"/>
      <c r="J16" s="155"/>
      <c r="K16" s="155"/>
      <c r="L16" s="138"/>
      <c r="M16" s="155"/>
      <c r="N16" s="155"/>
      <c r="O16" s="156"/>
      <c r="P16" s="157"/>
      <c r="Q16" s="155"/>
      <c r="R16" s="155"/>
      <c r="S16" s="138"/>
      <c r="T16" s="138"/>
      <c r="U16" s="138"/>
      <c r="V16" s="138"/>
      <c r="W16" s="150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</row>
    <row r="17">
      <c r="A17" s="127"/>
      <c r="C17" s="158" t="s">
        <v>607</v>
      </c>
      <c r="D17" s="158" t="s">
        <v>608</v>
      </c>
      <c r="E17" s="51" t="s">
        <v>28</v>
      </c>
      <c r="F17" s="158" t="s">
        <v>609</v>
      </c>
      <c r="G17" s="155"/>
      <c r="H17" s="156"/>
      <c r="I17" s="157"/>
      <c r="J17" s="155"/>
      <c r="K17" s="155"/>
      <c r="L17" s="138"/>
      <c r="M17" s="155"/>
      <c r="N17" s="155"/>
      <c r="O17" s="156"/>
      <c r="P17" s="157"/>
      <c r="Q17" s="158"/>
      <c r="R17" s="159"/>
      <c r="S17" s="138"/>
      <c r="T17" s="152"/>
      <c r="U17" s="138"/>
      <c r="V17" s="138"/>
      <c r="W17" s="150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</row>
    <row r="18">
      <c r="A18" s="131"/>
      <c r="C18" s="55">
        <f>IFERROR(__xludf.DUMMYFUNCTION("filter('Comp Scouting - Saline'!BR:BR,'Comp Scouting - Saline'!B:B=B2)"),1.0)</f>
        <v>1</v>
      </c>
      <c r="D18" s="59" t="str">
        <f>IFERROR(__xludf.DUMMYFUNCTION("filter(#REF!,'Comp Scouting - Saline'!B:B=B2)"),"#REF!")</f>
        <v>#REF!</v>
      </c>
      <c r="E18" s="55">
        <f>IFERROR(__xludf.DUMMYFUNCTION("filter('Comp Scouting - Saline'!BT:BT,'Comp Scouting - Saline'!B:B=B2)"),12.166666666666666)</f>
        <v>12.16666667</v>
      </c>
      <c r="F18" s="59" t="str">
        <f>IFERROR(__xludf.DUMMYFUNCTION("filter(#REF!,'Comp Scouting - Saline'!B:B=B2)"),"#REF!")</f>
        <v>#REF!</v>
      </c>
      <c r="G18" s="155"/>
      <c r="H18" s="155"/>
      <c r="I18" s="160"/>
      <c r="J18" s="155"/>
      <c r="K18" s="155"/>
      <c r="L18" s="160"/>
      <c r="M18" s="155"/>
      <c r="N18" s="155"/>
      <c r="O18" s="156"/>
      <c r="P18" s="157"/>
      <c r="Q18" s="155"/>
      <c r="R18" s="155"/>
      <c r="S18" s="138"/>
      <c r="T18" s="138"/>
      <c r="U18" s="138"/>
      <c r="V18" s="138"/>
      <c r="W18" s="150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</row>
    <row r="19">
      <c r="A19" s="161" t="s">
        <v>610</v>
      </c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1"/>
      <c r="X19" s="162"/>
      <c r="Y19" s="162"/>
      <c r="Z19" s="162"/>
      <c r="AA19" s="162"/>
      <c r="AB19" s="162"/>
      <c r="AC19" s="162"/>
      <c r="AD19" s="162"/>
      <c r="AE19" s="162"/>
      <c r="AF19" s="162"/>
      <c r="AG19" s="162"/>
      <c r="AH19" s="162"/>
      <c r="AI19" s="162"/>
    </row>
    <row r="20" ht="24.75" customHeight="1">
      <c r="A20" s="163" t="s">
        <v>315</v>
      </c>
      <c r="B20" s="164" t="s">
        <v>316</v>
      </c>
      <c r="C20" s="164" t="s">
        <v>331</v>
      </c>
      <c r="D20" s="164" t="s">
        <v>317</v>
      </c>
      <c r="E20" s="164" t="s">
        <v>318</v>
      </c>
      <c r="F20" s="164" t="s">
        <v>319</v>
      </c>
      <c r="G20" s="164" t="s">
        <v>320</v>
      </c>
      <c r="H20" s="164" t="s">
        <v>321</v>
      </c>
      <c r="I20" s="164" t="s">
        <v>322</v>
      </c>
      <c r="J20" s="164" t="s">
        <v>323</v>
      </c>
      <c r="K20" s="164" t="s">
        <v>324</v>
      </c>
      <c r="L20" s="164" t="s">
        <v>325</v>
      </c>
      <c r="M20" s="164" t="s">
        <v>326</v>
      </c>
      <c r="N20" s="164" t="s">
        <v>327</v>
      </c>
      <c r="O20" s="164" t="s">
        <v>328</v>
      </c>
      <c r="P20" s="165" t="s">
        <v>611</v>
      </c>
      <c r="Q20" s="164" t="s">
        <v>332</v>
      </c>
      <c r="R20" s="164" t="s">
        <v>333</v>
      </c>
      <c r="S20" s="164" t="s">
        <v>334</v>
      </c>
      <c r="T20" s="164" t="s">
        <v>335</v>
      </c>
      <c r="U20" s="164" t="s">
        <v>336</v>
      </c>
      <c r="V20" s="164" t="s">
        <v>337</v>
      </c>
      <c r="W20" s="164" t="s">
        <v>338</v>
      </c>
      <c r="X20" s="164" t="s">
        <v>339</v>
      </c>
      <c r="Y20" s="164" t="s">
        <v>340</v>
      </c>
      <c r="Z20" s="164" t="s">
        <v>341</v>
      </c>
      <c r="AA20" s="164" t="s">
        <v>342</v>
      </c>
      <c r="AB20" s="164" t="s">
        <v>343</v>
      </c>
      <c r="AC20" s="164" t="s">
        <v>612</v>
      </c>
      <c r="AD20" s="164" t="s">
        <v>346</v>
      </c>
      <c r="AE20" s="164" t="s">
        <v>347</v>
      </c>
      <c r="AF20" s="164" t="s">
        <v>348</v>
      </c>
      <c r="AG20" s="164" t="s">
        <v>349</v>
      </c>
      <c r="AH20" s="51" t="s">
        <v>100</v>
      </c>
    </row>
    <row r="21">
      <c r="A21" s="108">
        <f>IFERROR(__xludf.DUMMYFUNCTION("ifna(sort(query(filter('Data Recording'!B:AJ,'Data Recording'!D:D=B2), ""Select Col2, Col3, Col4, Col5, Col6, Col7, Col8, Col9, Col10, Col11, Col12, Col13, Col14, Col15, Col16, Col17, Col18, Col19, Col20, Col21, Col22, Col23, Col24, Col25, Col26, Col27, C"&amp;"ol28, Col29, Col30, Col31, Col32, Col33, Col34, Col35""),1,TRUE),"""")"),1.0)</f>
        <v>1</v>
      </c>
      <c r="B21" s="108">
        <f>IFERROR(__xludf.DUMMYFUNCTION("""COMPUTED_VALUE"""),3322.0)</f>
        <v>3322</v>
      </c>
      <c r="C21" s="108" t="str">
        <f>IFERROR(__xludf.DUMMYFUNCTION("""COMPUTED_VALUE"""),"No")</f>
        <v>No</v>
      </c>
      <c r="D21" s="108">
        <f>IFERROR(__xludf.DUMMYFUNCTION("""COMPUTED_VALUE"""),0.0)</f>
        <v>0</v>
      </c>
      <c r="E21" s="108">
        <f>IFERROR(__xludf.DUMMYFUNCTION("""COMPUTED_VALUE"""),0.0)</f>
        <v>0</v>
      </c>
      <c r="F21" s="108">
        <f>IFERROR(__xludf.DUMMYFUNCTION("""COMPUTED_VALUE"""),1.0)</f>
        <v>1</v>
      </c>
      <c r="G21" s="108">
        <f>IFERROR(__xludf.DUMMYFUNCTION("""COMPUTED_VALUE"""),0.0)</f>
        <v>0</v>
      </c>
      <c r="H21" s="108">
        <f>IFERROR(__xludf.DUMMYFUNCTION("""COMPUTED_VALUE"""),1.0)</f>
        <v>1</v>
      </c>
      <c r="I21" s="108">
        <f>IFERROR(__xludf.DUMMYFUNCTION("""COMPUTED_VALUE"""),1.0)</f>
        <v>1</v>
      </c>
      <c r="J21" s="108">
        <f>IFERROR(__xludf.DUMMYFUNCTION("""COMPUTED_VALUE"""),0.0)</f>
        <v>0</v>
      </c>
      <c r="K21" s="108">
        <f>IFERROR(__xludf.DUMMYFUNCTION("""COMPUTED_VALUE"""),0.0)</f>
        <v>0</v>
      </c>
      <c r="L21" s="108">
        <f>IFERROR(__xludf.DUMMYFUNCTION("""COMPUTED_VALUE"""),0.0)</f>
        <v>0</v>
      </c>
      <c r="M21" s="108">
        <f>IFERROR(__xludf.DUMMYFUNCTION("""COMPUTED_VALUE"""),0.0)</f>
        <v>0</v>
      </c>
      <c r="N21" s="108">
        <f>IFERROR(__xludf.DUMMYFUNCTION("""COMPUTED_VALUE"""),0.0)</f>
        <v>0</v>
      </c>
      <c r="O21" s="108">
        <f>IFERROR(__xludf.DUMMYFUNCTION("""COMPUTED_VALUE"""),0.0)</f>
        <v>0</v>
      </c>
      <c r="P21" s="108" t="str">
        <f>IFERROR(__xludf.DUMMYFUNCTION("""COMPUTED_VALUE"""),"No")</f>
        <v>No</v>
      </c>
      <c r="Q21" s="108">
        <f>IFERROR(__xludf.DUMMYFUNCTION("""COMPUTED_VALUE"""),0.0)</f>
        <v>0</v>
      </c>
      <c r="R21" s="108">
        <f>IFERROR(__xludf.DUMMYFUNCTION("""COMPUTED_VALUE"""),0.0)</f>
        <v>0</v>
      </c>
      <c r="S21" s="108">
        <f>IFERROR(__xludf.DUMMYFUNCTION("""COMPUTED_VALUE"""),0.0)</f>
        <v>0</v>
      </c>
      <c r="T21" s="108">
        <f>IFERROR(__xludf.DUMMYFUNCTION("""COMPUTED_VALUE"""),0.0)</f>
        <v>0</v>
      </c>
      <c r="U21" s="108">
        <f>IFERROR(__xludf.DUMMYFUNCTION("""COMPUTED_VALUE"""),0.0)</f>
        <v>0</v>
      </c>
      <c r="V21" s="108">
        <f>IFERROR(__xludf.DUMMYFUNCTION("""COMPUTED_VALUE"""),0.0)</f>
        <v>0</v>
      </c>
      <c r="W21" s="108">
        <f>IFERROR(__xludf.DUMMYFUNCTION("""COMPUTED_VALUE"""),0.0)</f>
        <v>0</v>
      </c>
      <c r="X21" s="108">
        <f>IFERROR(__xludf.DUMMYFUNCTION("""COMPUTED_VALUE"""),0.0)</f>
        <v>0</v>
      </c>
      <c r="Y21" s="108">
        <f>IFERROR(__xludf.DUMMYFUNCTION("""COMPUTED_VALUE"""),2.0)</f>
        <v>2</v>
      </c>
      <c r="Z21" s="108">
        <f>IFERROR(__xludf.DUMMYFUNCTION("""COMPUTED_VALUE"""),2.0)</f>
        <v>2</v>
      </c>
      <c r="AA21" s="108">
        <f>IFERROR(__xludf.DUMMYFUNCTION("""COMPUTED_VALUE"""),0.0)</f>
        <v>0</v>
      </c>
      <c r="AB21" s="108">
        <f>IFERROR(__xludf.DUMMYFUNCTION("""COMPUTED_VALUE"""),0.0)</f>
        <v>0</v>
      </c>
      <c r="AC21" s="108" t="str">
        <f>IFERROR(__xludf.DUMMYFUNCTION("""COMPUTED_VALUE"""),"No")</f>
        <v>No</v>
      </c>
      <c r="AD21" s="108">
        <f>IFERROR(__xludf.DUMMYFUNCTION("""COMPUTED_VALUE"""),2.0)</f>
        <v>2</v>
      </c>
      <c r="AE21" s="108">
        <f>IFERROR(__xludf.DUMMYFUNCTION("""COMPUTED_VALUE"""),0.0)</f>
        <v>0</v>
      </c>
      <c r="AF21" s="108" t="str">
        <f>IFERROR(__xludf.DUMMYFUNCTION("""COMPUTED_VALUE"""),"No")</f>
        <v>No</v>
      </c>
      <c r="AG21" s="108"/>
      <c r="AH21" s="108">
        <f>IFERROR(__xludf.DUMMYFUNCTION("""COMPUTED_VALUE"""),9.0)</f>
        <v>9</v>
      </c>
      <c r="AI21" s="166"/>
    </row>
    <row r="22">
      <c r="A22" s="108">
        <f>IFERROR(__xludf.DUMMYFUNCTION("""COMPUTED_VALUE"""),7.0)</f>
        <v>7</v>
      </c>
      <c r="B22" s="108">
        <f>IFERROR(__xludf.DUMMYFUNCTION("""COMPUTED_VALUE"""),3322.0)</f>
        <v>3322</v>
      </c>
      <c r="C22" s="108" t="str">
        <f>IFERROR(__xludf.DUMMYFUNCTION("""COMPUTED_VALUE"""),"Yes")</f>
        <v>Yes</v>
      </c>
      <c r="D22" s="108"/>
      <c r="E22" s="108"/>
      <c r="F22" s="108">
        <f>IFERROR(__xludf.DUMMYFUNCTION("""COMPUTED_VALUE"""),1.0)</f>
        <v>1</v>
      </c>
      <c r="G22" s="108">
        <f>IFERROR(__xludf.DUMMYFUNCTION("""COMPUTED_VALUE"""),1.0)</f>
        <v>1</v>
      </c>
      <c r="H22" s="108"/>
      <c r="I22" s="108"/>
      <c r="J22" s="108"/>
      <c r="K22" s="108"/>
      <c r="L22" s="108"/>
      <c r="M22" s="108"/>
      <c r="N22" s="108"/>
      <c r="O22" s="108"/>
      <c r="P22" s="108" t="str">
        <f>IFERROR(__xludf.DUMMYFUNCTION("""COMPUTED_VALUE"""),"No")</f>
        <v>No</v>
      </c>
      <c r="Q22" s="108"/>
      <c r="R22" s="108"/>
      <c r="S22" s="108"/>
      <c r="T22" s="108"/>
      <c r="U22" s="108">
        <f>IFERROR(__xludf.DUMMYFUNCTION("""COMPUTED_VALUE"""),1.0)</f>
        <v>1</v>
      </c>
      <c r="V22" s="108">
        <f>IFERROR(__xludf.DUMMYFUNCTION("""COMPUTED_VALUE"""),1.0)</f>
        <v>1</v>
      </c>
      <c r="W22" s="108"/>
      <c r="X22" s="108"/>
      <c r="Y22" s="108">
        <f>IFERROR(__xludf.DUMMYFUNCTION("""COMPUTED_VALUE"""),2.0)</f>
        <v>2</v>
      </c>
      <c r="Z22" s="108">
        <f>IFERROR(__xludf.DUMMYFUNCTION("""COMPUTED_VALUE"""),2.0)</f>
        <v>2</v>
      </c>
      <c r="AA22" s="108">
        <f>IFERROR(__xludf.DUMMYFUNCTION("""COMPUTED_VALUE"""),2.0)</f>
        <v>2</v>
      </c>
      <c r="AB22" s="108">
        <f>IFERROR(__xludf.DUMMYFUNCTION("""COMPUTED_VALUE"""),2.0)</f>
        <v>2</v>
      </c>
      <c r="AC22" s="108" t="str">
        <f>IFERROR(__xludf.DUMMYFUNCTION("""COMPUTED_VALUE"""),"Parked")</f>
        <v>Parked</v>
      </c>
      <c r="AD22" s="108">
        <f>IFERROR(__xludf.DUMMYFUNCTION("""COMPUTED_VALUE"""),3.0)</f>
        <v>3</v>
      </c>
      <c r="AE22" s="108">
        <f>IFERROR(__xludf.DUMMYFUNCTION("""COMPUTED_VALUE"""),0.0)</f>
        <v>0</v>
      </c>
      <c r="AF22" s="108" t="str">
        <f>IFERROR(__xludf.DUMMYFUNCTION("""COMPUTED_VALUE"""),"No")</f>
        <v>No</v>
      </c>
      <c r="AG22" s="108"/>
      <c r="AH22" s="108">
        <f>IFERROR(__xludf.DUMMYFUNCTION("""COMPUTED_VALUE"""),22.0)</f>
        <v>22</v>
      </c>
      <c r="AI22" s="166"/>
    </row>
    <row r="23">
      <c r="A23" s="108">
        <f>IFERROR(__xludf.DUMMYFUNCTION("""COMPUTED_VALUE"""),13.0)</f>
        <v>13</v>
      </c>
      <c r="B23" s="108">
        <f>IFERROR(__xludf.DUMMYFUNCTION("""COMPUTED_VALUE"""),3322.0)</f>
        <v>3322</v>
      </c>
      <c r="C23" s="108" t="str">
        <f>IFERROR(__xludf.DUMMYFUNCTION("""COMPUTED_VALUE"""),"Yes")</f>
        <v>Yes</v>
      </c>
      <c r="D23" s="108"/>
      <c r="E23" s="108"/>
      <c r="F23" s="108">
        <f>IFERROR(__xludf.DUMMYFUNCTION("""COMPUTED_VALUE"""),1.0)</f>
        <v>1</v>
      </c>
      <c r="G23" s="108">
        <f>IFERROR(__xludf.DUMMYFUNCTION("""COMPUTED_VALUE"""),1.0)</f>
        <v>1</v>
      </c>
      <c r="H23" s="108"/>
      <c r="I23" s="108"/>
      <c r="J23" s="108"/>
      <c r="K23" s="108"/>
      <c r="L23" s="108"/>
      <c r="M23" s="108"/>
      <c r="N23" s="108"/>
      <c r="O23" s="108"/>
      <c r="P23" s="108" t="str">
        <f>IFERROR(__xludf.DUMMYFUNCTION("""COMPUTED_VALUE"""),"No")</f>
        <v>No</v>
      </c>
      <c r="Q23" s="108"/>
      <c r="R23" s="108"/>
      <c r="S23" s="108"/>
      <c r="T23" s="108"/>
      <c r="U23" s="108">
        <f>IFERROR(__xludf.DUMMYFUNCTION("""COMPUTED_VALUE"""),1.0)</f>
        <v>1</v>
      </c>
      <c r="V23" s="108">
        <f>IFERROR(__xludf.DUMMYFUNCTION("""COMPUTED_VALUE"""),1.0)</f>
        <v>1</v>
      </c>
      <c r="W23" s="108">
        <f>IFERROR(__xludf.DUMMYFUNCTION("""COMPUTED_VALUE"""),0.0)</f>
        <v>0</v>
      </c>
      <c r="X23" s="108">
        <f>IFERROR(__xludf.DUMMYFUNCTION("""COMPUTED_VALUE"""),0.0)</f>
        <v>0</v>
      </c>
      <c r="Y23" s="108">
        <f>IFERROR(__xludf.DUMMYFUNCTION("""COMPUTED_VALUE"""),0.0)</f>
        <v>0</v>
      </c>
      <c r="Z23" s="108">
        <f>IFERROR(__xludf.DUMMYFUNCTION("""COMPUTED_VALUE"""),0.0)</f>
        <v>0</v>
      </c>
      <c r="AA23" s="108">
        <f>IFERROR(__xludf.DUMMYFUNCTION("""COMPUTED_VALUE"""),0.0)</f>
        <v>0</v>
      </c>
      <c r="AB23" s="108">
        <f>IFERROR(__xludf.DUMMYFUNCTION("""COMPUTED_VALUE"""),0.0)</f>
        <v>0</v>
      </c>
      <c r="AC23" s="108" t="str">
        <f>IFERROR(__xludf.DUMMYFUNCTION("""COMPUTED_VALUE"""),"Yes, Engaged")</f>
        <v>Yes, Engaged</v>
      </c>
      <c r="AD23" s="108">
        <f>IFERROR(__xludf.DUMMYFUNCTION("""COMPUTED_VALUE"""),1.0)</f>
        <v>1</v>
      </c>
      <c r="AE23" s="108">
        <f>IFERROR(__xludf.DUMMYFUNCTION("""COMPUTED_VALUE"""),4.0)</f>
        <v>4</v>
      </c>
      <c r="AF23" s="108" t="str">
        <f>IFERROR(__xludf.DUMMYFUNCTION("""COMPUTED_VALUE"""),"No")</f>
        <v>No</v>
      </c>
      <c r="AG23" s="108" t="str">
        <f>IFERROR(__xludf.DUMMYFUNCTION("""COMPUTED_VALUE"""),"Cone got stuck in intake :(")</f>
        <v>Cone got stuck in intake :(</v>
      </c>
      <c r="AH23" s="108">
        <f>IFERROR(__xludf.DUMMYFUNCTION("""COMPUTED_VALUE"""),19.0)</f>
        <v>19</v>
      </c>
      <c r="AI23" s="108"/>
    </row>
    <row r="24">
      <c r="A24" s="108">
        <f>IFERROR(__xludf.DUMMYFUNCTION("""COMPUTED_VALUE"""),20.0)</f>
        <v>20</v>
      </c>
      <c r="B24" s="108">
        <f>IFERROR(__xludf.DUMMYFUNCTION("""COMPUTED_VALUE"""),3322.0)</f>
        <v>3322</v>
      </c>
      <c r="C24" s="108" t="str">
        <f>IFERROR(__xludf.DUMMYFUNCTION("""COMPUTED_VALUE"""),"No")</f>
        <v>No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 t="str">
        <f>IFERROR(__xludf.DUMMYFUNCTION("""COMPUTED_VALUE"""),"No")</f>
        <v>No</v>
      </c>
      <c r="Q24" s="108"/>
      <c r="R24" s="108"/>
      <c r="S24" s="108"/>
      <c r="T24" s="108"/>
      <c r="U24" s="108">
        <f>IFERROR(__xludf.DUMMYFUNCTION("""COMPUTED_VALUE"""),2.0)</f>
        <v>2</v>
      </c>
      <c r="V24" s="108">
        <f>IFERROR(__xludf.DUMMYFUNCTION("""COMPUTED_VALUE"""),2.0)</f>
        <v>2</v>
      </c>
      <c r="W24" s="108"/>
      <c r="X24" s="108"/>
      <c r="Y24" s="108"/>
      <c r="Z24" s="108"/>
      <c r="AA24" s="108"/>
      <c r="AB24" s="108"/>
      <c r="AC24" s="108" t="str">
        <f>IFERROR(__xludf.DUMMYFUNCTION("""COMPUTED_VALUE"""),"Yes, Engaged")</f>
        <v>Yes, Engaged</v>
      </c>
      <c r="AD24" s="108">
        <f>IFERROR(__xludf.DUMMYFUNCTION("""COMPUTED_VALUE"""),3.0)</f>
        <v>3</v>
      </c>
      <c r="AE24" s="108">
        <f>IFERROR(__xludf.DUMMYFUNCTION("""COMPUTED_VALUE"""),0.0)</f>
        <v>0</v>
      </c>
      <c r="AF24" s="108" t="str">
        <f>IFERROR(__xludf.DUMMYFUNCTION("""COMPUTED_VALUE"""),"No")</f>
        <v>No</v>
      </c>
      <c r="AG24" s="108" t="str">
        <f>IFERROR(__xludf.DUMMYFUNCTION("""COMPUTED_VALUE"""),"Sad intake or whatever it was")</f>
        <v>Sad intake or whatever it was</v>
      </c>
      <c r="AH24" s="108">
        <f>IFERROR(__xludf.DUMMYFUNCTION("""COMPUTED_VALUE"""),14.0)</f>
        <v>14</v>
      </c>
      <c r="AI24" s="108"/>
    </row>
    <row r="25">
      <c r="A25" s="108">
        <f>IFERROR(__xludf.DUMMYFUNCTION("""COMPUTED_VALUE"""),27.0)</f>
        <v>27</v>
      </c>
      <c r="B25" s="108">
        <f>IFERROR(__xludf.DUMMYFUNCTION("""COMPUTED_VALUE"""),3322.0)</f>
        <v>3322</v>
      </c>
      <c r="C25" s="108" t="str">
        <f>IFERROR(__xludf.DUMMYFUNCTION("""COMPUTED_VALUE"""),"No")</f>
        <v>No</v>
      </c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 t="str">
        <f>IFERROR(__xludf.DUMMYFUNCTION("""COMPUTED_VALUE"""),"No")</f>
        <v>No</v>
      </c>
      <c r="Q25" s="108"/>
      <c r="R25" s="108"/>
      <c r="S25" s="108">
        <f>IFERROR(__xludf.DUMMYFUNCTION("""COMPUTED_VALUE"""),1.0)</f>
        <v>1</v>
      </c>
      <c r="T25" s="108">
        <f>IFERROR(__xludf.DUMMYFUNCTION("""COMPUTED_VALUE"""),0.0)</f>
        <v>0</v>
      </c>
      <c r="U25" s="108">
        <f>IFERROR(__xludf.DUMMYFUNCTION("""COMPUTED_VALUE"""),2.0)</f>
        <v>2</v>
      </c>
      <c r="V25" s="108">
        <f>IFERROR(__xludf.DUMMYFUNCTION("""COMPUTED_VALUE"""),2.0)</f>
        <v>2</v>
      </c>
      <c r="W25" s="108"/>
      <c r="X25" s="108"/>
      <c r="Y25" s="108">
        <f>IFERROR(__xludf.DUMMYFUNCTION("""COMPUTED_VALUE"""),1.0)</f>
        <v>1</v>
      </c>
      <c r="Z25" s="108">
        <f>IFERROR(__xludf.DUMMYFUNCTION("""COMPUTED_VALUE"""),1.0)</f>
        <v>1</v>
      </c>
      <c r="AA25" s="108">
        <f>IFERROR(__xludf.DUMMYFUNCTION("""COMPUTED_VALUE"""),1.0)</f>
        <v>1</v>
      </c>
      <c r="AB25" s="108">
        <f>IFERROR(__xludf.DUMMYFUNCTION("""COMPUTED_VALUE"""),1.0)</f>
        <v>1</v>
      </c>
      <c r="AC25" s="108" t="str">
        <f>IFERROR(__xludf.DUMMYFUNCTION("""COMPUTED_VALUE"""),"No")</f>
        <v>No</v>
      </c>
      <c r="AD25" s="108">
        <f>IFERROR(__xludf.DUMMYFUNCTION("""COMPUTED_VALUE"""),2.0)</f>
        <v>2</v>
      </c>
      <c r="AE25" s="108">
        <f>IFERROR(__xludf.DUMMYFUNCTION("""COMPUTED_VALUE"""),0.0)</f>
        <v>0</v>
      </c>
      <c r="AF25" s="108" t="str">
        <f>IFERROR(__xludf.DUMMYFUNCTION("""COMPUTED_VALUE"""),"No")</f>
        <v>No</v>
      </c>
      <c r="AG25" s="108"/>
      <c r="AH25" s="108">
        <f>IFERROR(__xludf.DUMMYFUNCTION("""COMPUTED_VALUE"""),9.0)</f>
        <v>9</v>
      </c>
      <c r="AI25" s="108"/>
    </row>
    <row r="26">
      <c r="A26" s="108">
        <f>IFERROR(__xludf.DUMMYFUNCTION("""COMPUTED_VALUE"""),38.0)</f>
        <v>38</v>
      </c>
      <c r="B26" s="108">
        <f>IFERROR(__xludf.DUMMYFUNCTION("""COMPUTED_VALUE"""),3322.0)</f>
        <v>3322</v>
      </c>
      <c r="C26" s="108" t="str">
        <f>IFERROR(__xludf.DUMMYFUNCTION("""COMPUTED_VALUE"""),"Yes")</f>
        <v>Yes</v>
      </c>
      <c r="D26" s="108"/>
      <c r="E26" s="108"/>
      <c r="F26" s="108"/>
      <c r="G26" s="108"/>
      <c r="H26" s="108"/>
      <c r="I26" s="108"/>
      <c r="J26" s="108"/>
      <c r="K26" s="108"/>
      <c r="L26" s="108">
        <f>IFERROR(__xludf.DUMMYFUNCTION("""COMPUTED_VALUE"""),1.0)</f>
        <v>1</v>
      </c>
      <c r="M26" s="108">
        <f>IFERROR(__xludf.DUMMYFUNCTION("""COMPUTED_VALUE"""),1.0)</f>
        <v>1</v>
      </c>
      <c r="N26" s="108"/>
      <c r="O26" s="108"/>
      <c r="P26" s="108" t="str">
        <f>IFERROR(__xludf.DUMMYFUNCTION("""COMPUTED_VALUE"""),"No")</f>
        <v>No</v>
      </c>
      <c r="Q26" s="108"/>
      <c r="R26" s="108"/>
      <c r="S26" s="108">
        <f>IFERROR(__xludf.DUMMYFUNCTION("""COMPUTED_VALUE"""),1.0)</f>
        <v>1</v>
      </c>
      <c r="T26" s="108">
        <f>IFERROR(__xludf.DUMMYFUNCTION("""COMPUTED_VALUE"""),0.0)</f>
        <v>0</v>
      </c>
      <c r="U26" s="108">
        <f>IFERROR(__xludf.DUMMYFUNCTION("""COMPUTED_VALUE"""),1.0)</f>
        <v>1</v>
      </c>
      <c r="V26" s="108">
        <f>IFERROR(__xludf.DUMMYFUNCTION("""COMPUTED_VALUE"""),1.0)</f>
        <v>1</v>
      </c>
      <c r="W26" s="108"/>
      <c r="X26" s="108"/>
      <c r="Y26" s="108">
        <f>IFERROR(__xludf.DUMMYFUNCTION("""COMPUTED_VALUE"""),2.0)</f>
        <v>2</v>
      </c>
      <c r="Z26" s="108">
        <f>IFERROR(__xludf.DUMMYFUNCTION("""COMPUTED_VALUE"""),2.0)</f>
        <v>2</v>
      </c>
      <c r="AA26" s="108">
        <f>IFERROR(__xludf.DUMMYFUNCTION("""COMPUTED_VALUE"""),2.0)</f>
        <v>2</v>
      </c>
      <c r="AB26" s="108">
        <f>IFERROR(__xludf.DUMMYFUNCTION("""COMPUTED_VALUE"""),2.0)</f>
        <v>2</v>
      </c>
      <c r="AC26" s="108" t="str">
        <f>IFERROR(__xludf.DUMMYFUNCTION("""COMPUTED_VALUE"""),"Yes, Engaged")</f>
        <v>Yes, Engaged</v>
      </c>
      <c r="AD26" s="108">
        <f>IFERROR(__xludf.DUMMYFUNCTION("""COMPUTED_VALUE"""),3.0)</f>
        <v>3</v>
      </c>
      <c r="AE26" s="108">
        <f>IFERROR(__xludf.DUMMYFUNCTION("""COMPUTED_VALUE"""),0.0)</f>
        <v>0</v>
      </c>
      <c r="AF26" s="108" t="str">
        <f>IFERROR(__xludf.DUMMYFUNCTION("""COMPUTED_VALUE"""),"No")</f>
        <v>No</v>
      </c>
      <c r="AG26" s="108"/>
      <c r="AH26" s="108">
        <f>IFERROR(__xludf.DUMMYFUNCTION("""COMPUTED_VALUE"""),29.0)</f>
        <v>29</v>
      </c>
      <c r="AI26" s="108"/>
    </row>
    <row r="27">
      <c r="A27" s="108">
        <f>IFERROR(__xludf.DUMMYFUNCTION("""COMPUTED_VALUE"""),45.0)</f>
        <v>45</v>
      </c>
      <c r="B27" s="108">
        <f>IFERROR(__xludf.DUMMYFUNCTION("""COMPUTED_VALUE"""),3322.0)</f>
        <v>3322</v>
      </c>
      <c r="C27" s="108" t="str">
        <f>IFERROR(__xludf.DUMMYFUNCTION("""COMPUTED_VALUE"""),"Yes")</f>
        <v>Yes</v>
      </c>
      <c r="D27" s="108"/>
      <c r="E27" s="108"/>
      <c r="F27" s="108">
        <f>IFERROR(__xludf.DUMMYFUNCTION("""COMPUTED_VALUE"""),1.0)</f>
        <v>1</v>
      </c>
      <c r="G27" s="108">
        <f>IFERROR(__xludf.DUMMYFUNCTION("""COMPUTED_VALUE"""),1.0)</f>
        <v>1</v>
      </c>
      <c r="H27" s="108"/>
      <c r="I27" s="108"/>
      <c r="J27" s="108"/>
      <c r="K27" s="108"/>
      <c r="L27" s="108"/>
      <c r="M27" s="108"/>
      <c r="N27" s="108"/>
      <c r="O27" s="108"/>
      <c r="P27" s="108" t="str">
        <f>IFERROR(__xludf.DUMMYFUNCTION("""COMPUTED_VALUE"""),"No")</f>
        <v>No</v>
      </c>
      <c r="Q27" s="108"/>
      <c r="R27" s="108"/>
      <c r="S27" s="108">
        <f>IFERROR(__xludf.DUMMYFUNCTION("""COMPUTED_VALUE"""),1.0)</f>
        <v>1</v>
      </c>
      <c r="T27" s="108">
        <f>IFERROR(__xludf.DUMMYFUNCTION("""COMPUTED_VALUE"""),1.0)</f>
        <v>1</v>
      </c>
      <c r="U27" s="108"/>
      <c r="V27" s="108"/>
      <c r="W27" s="108"/>
      <c r="X27" s="108"/>
      <c r="Y27" s="108">
        <f>IFERROR(__xludf.DUMMYFUNCTION("""COMPUTED_VALUE"""),1.0)</f>
        <v>1</v>
      </c>
      <c r="Z27" s="108">
        <f>IFERROR(__xludf.DUMMYFUNCTION("""COMPUTED_VALUE"""),1.0)</f>
        <v>1</v>
      </c>
      <c r="AA27" s="108">
        <f>IFERROR(__xludf.DUMMYFUNCTION("""COMPUTED_VALUE"""),3.0)</f>
        <v>3</v>
      </c>
      <c r="AB27" s="108">
        <f>IFERROR(__xludf.DUMMYFUNCTION("""COMPUTED_VALUE"""),3.0)</f>
        <v>3</v>
      </c>
      <c r="AC27" s="108" t="str">
        <f>IFERROR(__xludf.DUMMYFUNCTION("""COMPUTED_VALUE"""),"Yes, Engaged")</f>
        <v>Yes, Engaged</v>
      </c>
      <c r="AD27" s="108">
        <f>IFERROR(__xludf.DUMMYFUNCTION("""COMPUTED_VALUE"""),3.0)</f>
        <v>3</v>
      </c>
      <c r="AE27" s="108">
        <f>IFERROR(__xludf.DUMMYFUNCTION("""COMPUTED_VALUE"""),0.0)</f>
        <v>0</v>
      </c>
      <c r="AF27" s="108" t="str">
        <f>IFERROR(__xludf.DUMMYFUNCTION("""COMPUTED_VALUE"""),"No")</f>
        <v>No</v>
      </c>
      <c r="AG27" s="108"/>
      <c r="AH27" s="108">
        <f>IFERROR(__xludf.DUMMYFUNCTION("""COMPUTED_VALUE"""),29.0)</f>
        <v>29</v>
      </c>
      <c r="AI27" s="108"/>
    </row>
    <row r="28">
      <c r="A28" s="108">
        <f>IFERROR(__xludf.DUMMYFUNCTION("""COMPUTED_VALUE"""),57.0)</f>
        <v>57</v>
      </c>
      <c r="B28" s="108">
        <f>IFERROR(__xludf.DUMMYFUNCTION("""COMPUTED_VALUE"""),3322.0)</f>
        <v>3322</v>
      </c>
      <c r="C28" s="108" t="str">
        <f>IFERROR(__xludf.DUMMYFUNCTION("""COMPUTED_VALUE"""),"Yes")</f>
        <v>Yes</v>
      </c>
      <c r="D28" s="108"/>
      <c r="E28" s="108"/>
      <c r="F28" s="108"/>
      <c r="G28" s="108"/>
      <c r="H28" s="108"/>
      <c r="I28" s="108"/>
      <c r="J28" s="108"/>
      <c r="K28" s="108"/>
      <c r="L28" s="108">
        <f>IFERROR(__xludf.DUMMYFUNCTION("""COMPUTED_VALUE"""),1.0)</f>
        <v>1</v>
      </c>
      <c r="M28" s="108">
        <f>IFERROR(__xludf.DUMMYFUNCTION("""COMPUTED_VALUE"""),1.0)</f>
        <v>1</v>
      </c>
      <c r="N28" s="108">
        <f>IFERROR(__xludf.DUMMYFUNCTION("""COMPUTED_VALUE"""),1.0)</f>
        <v>1</v>
      </c>
      <c r="O28" s="108">
        <f>IFERROR(__xludf.DUMMYFUNCTION("""COMPUTED_VALUE"""),1.0)</f>
        <v>1</v>
      </c>
      <c r="P28" s="108" t="str">
        <f>IFERROR(__xludf.DUMMYFUNCTION("""COMPUTED_VALUE"""),"No")</f>
        <v>No</v>
      </c>
      <c r="Q28" s="108"/>
      <c r="R28" s="108"/>
      <c r="S28" s="108">
        <f>IFERROR(__xludf.DUMMYFUNCTION("""COMPUTED_VALUE"""),2.0)</f>
        <v>2</v>
      </c>
      <c r="T28" s="108">
        <f>IFERROR(__xludf.DUMMYFUNCTION("""COMPUTED_VALUE"""),2.0)</f>
        <v>2</v>
      </c>
      <c r="U28" s="108"/>
      <c r="V28" s="108"/>
      <c r="W28" s="108"/>
      <c r="X28" s="108"/>
      <c r="Y28" s="108">
        <f>IFERROR(__xludf.DUMMYFUNCTION("""COMPUTED_VALUE"""),1.0)</f>
        <v>1</v>
      </c>
      <c r="Z28" s="108">
        <f>IFERROR(__xludf.DUMMYFUNCTION("""COMPUTED_VALUE"""),1.0)</f>
        <v>1</v>
      </c>
      <c r="AA28" s="108"/>
      <c r="AB28" s="108"/>
      <c r="AC28" s="108" t="str">
        <f>IFERROR(__xludf.DUMMYFUNCTION("""COMPUTED_VALUE"""),"Parked")</f>
        <v>Parked</v>
      </c>
      <c r="AD28" s="108">
        <f>IFERROR(__xludf.DUMMYFUNCTION("""COMPUTED_VALUE"""),3.0)</f>
        <v>3</v>
      </c>
      <c r="AE28" s="108">
        <f>IFERROR(__xludf.DUMMYFUNCTION("""COMPUTED_VALUE"""),0.0)</f>
        <v>0</v>
      </c>
      <c r="AF28" s="108" t="str">
        <f>IFERROR(__xludf.DUMMYFUNCTION("""COMPUTED_VALUE"""),"No")</f>
        <v>No</v>
      </c>
      <c r="AG28" s="108"/>
      <c r="AH28" s="108">
        <f>IFERROR(__xludf.DUMMYFUNCTION("""COMPUTED_VALUE"""),22.0)</f>
        <v>22</v>
      </c>
      <c r="AI28" s="108"/>
    </row>
    <row r="29">
      <c r="A29" s="108">
        <f>IFERROR(__xludf.DUMMYFUNCTION("""COMPUTED_VALUE"""),59.0)</f>
        <v>59</v>
      </c>
      <c r="B29" s="108">
        <f>IFERROR(__xludf.DUMMYFUNCTION("""COMPUTED_VALUE"""),3322.0)</f>
        <v>3322</v>
      </c>
      <c r="C29" s="108" t="str">
        <f>IFERROR(__xludf.DUMMYFUNCTION("""COMPUTED_VALUE"""),"Yes")</f>
        <v>Yes</v>
      </c>
      <c r="D29" s="108"/>
      <c r="E29" s="108"/>
      <c r="F29" s="108">
        <f>IFERROR(__xludf.DUMMYFUNCTION("""COMPUTED_VALUE"""),1.0)</f>
        <v>1</v>
      </c>
      <c r="G29" s="108">
        <f>IFERROR(__xludf.DUMMYFUNCTION("""COMPUTED_VALUE"""),1.0)</f>
        <v>1</v>
      </c>
      <c r="H29" s="108"/>
      <c r="I29" s="108"/>
      <c r="J29" s="108"/>
      <c r="K29" s="108"/>
      <c r="L29" s="108"/>
      <c r="M29" s="108"/>
      <c r="N29" s="108"/>
      <c r="O29" s="108"/>
      <c r="P29" s="108" t="str">
        <f>IFERROR(__xludf.DUMMYFUNCTION("""COMPUTED_VALUE"""),"No")</f>
        <v>No</v>
      </c>
      <c r="Q29" s="108"/>
      <c r="R29" s="108"/>
      <c r="S29" s="108">
        <f>IFERROR(__xludf.DUMMYFUNCTION("""COMPUTED_VALUE"""),1.0)</f>
        <v>1</v>
      </c>
      <c r="T29" s="108">
        <f>IFERROR(__xludf.DUMMYFUNCTION("""COMPUTED_VALUE"""),0.0)</f>
        <v>0</v>
      </c>
      <c r="U29" s="108"/>
      <c r="V29" s="108"/>
      <c r="W29" s="108"/>
      <c r="X29" s="108"/>
      <c r="Y29" s="108">
        <f>IFERROR(__xludf.DUMMYFUNCTION("""COMPUTED_VALUE"""),1.0)</f>
        <v>1</v>
      </c>
      <c r="Z29" s="108">
        <f>IFERROR(__xludf.DUMMYFUNCTION("""COMPUTED_VALUE"""),1.0)</f>
        <v>1</v>
      </c>
      <c r="AA29" s="108">
        <f>IFERROR(__xludf.DUMMYFUNCTION("""COMPUTED_VALUE"""),3.0)</f>
        <v>3</v>
      </c>
      <c r="AB29" s="108">
        <f>IFERROR(__xludf.DUMMYFUNCTION("""COMPUTED_VALUE"""),3.0)</f>
        <v>3</v>
      </c>
      <c r="AC29" s="108" t="str">
        <f>IFERROR(__xludf.DUMMYFUNCTION("""COMPUTED_VALUE"""),"Yes, Docked")</f>
        <v>Yes, Docked</v>
      </c>
      <c r="AD29" s="108">
        <f>IFERROR(__xludf.DUMMYFUNCTION("""COMPUTED_VALUE"""),2.0)</f>
        <v>2</v>
      </c>
      <c r="AE29" s="108">
        <f>IFERROR(__xludf.DUMMYFUNCTION("""COMPUTED_VALUE"""),0.0)</f>
        <v>0</v>
      </c>
      <c r="AF29" s="108" t="str">
        <f>IFERROR(__xludf.DUMMYFUNCTION("""COMPUTED_VALUE"""),"No")</f>
        <v>No</v>
      </c>
      <c r="AG29" s="108"/>
      <c r="AH29" s="108">
        <f>IFERROR(__xludf.DUMMYFUNCTION("""COMPUTED_VALUE"""),22.0)</f>
        <v>22</v>
      </c>
      <c r="AI29" s="108"/>
    </row>
    <row r="30">
      <c r="A30" s="108">
        <f>IFERROR(__xludf.DUMMYFUNCTION("""COMPUTED_VALUE"""),62.0)</f>
        <v>62</v>
      </c>
      <c r="B30" s="108">
        <f>IFERROR(__xludf.DUMMYFUNCTION("""COMPUTED_VALUE"""),3322.0)</f>
        <v>3322</v>
      </c>
      <c r="C30" s="108" t="str">
        <f>IFERROR(__xludf.DUMMYFUNCTION("""COMPUTED_VALUE"""),"Yes")</f>
        <v>Yes</v>
      </c>
      <c r="D30" s="108"/>
      <c r="E30" s="108"/>
      <c r="F30" s="108">
        <f>IFERROR(__xludf.DUMMYFUNCTION("""COMPUTED_VALUE"""),1.0)</f>
        <v>1</v>
      </c>
      <c r="G30" s="108">
        <f>IFERROR(__xludf.DUMMYFUNCTION("""COMPUTED_VALUE"""),1.0)</f>
        <v>1</v>
      </c>
      <c r="H30" s="108"/>
      <c r="I30" s="108"/>
      <c r="J30" s="108"/>
      <c r="K30" s="108"/>
      <c r="L30" s="108"/>
      <c r="M30" s="108"/>
      <c r="N30" s="108"/>
      <c r="O30" s="108"/>
      <c r="P30" s="108" t="str">
        <f>IFERROR(__xludf.DUMMYFUNCTION("""COMPUTED_VALUE"""),"No")</f>
        <v>No</v>
      </c>
      <c r="Q30" s="108"/>
      <c r="R30" s="108"/>
      <c r="S30" s="108"/>
      <c r="T30" s="108"/>
      <c r="U30" s="108">
        <f>IFERROR(__xludf.DUMMYFUNCTION("""COMPUTED_VALUE"""),1.0)</f>
        <v>1</v>
      </c>
      <c r="V30" s="108">
        <f>IFERROR(__xludf.DUMMYFUNCTION("""COMPUTED_VALUE"""),1.0)</f>
        <v>1</v>
      </c>
      <c r="W30" s="108"/>
      <c r="X30" s="108"/>
      <c r="Y30" s="108">
        <f>IFERROR(__xludf.DUMMYFUNCTION("""COMPUTED_VALUE"""),1.0)</f>
        <v>1</v>
      </c>
      <c r="Z30" s="108">
        <f>IFERROR(__xludf.DUMMYFUNCTION("""COMPUTED_VALUE"""),1.0)</f>
        <v>1</v>
      </c>
      <c r="AA30" s="108"/>
      <c r="AB30" s="108"/>
      <c r="AC30" s="108" t="str">
        <f>IFERROR(__xludf.DUMMYFUNCTION("""COMPUTED_VALUE"""),"Parked")</f>
        <v>Parked</v>
      </c>
      <c r="AD30" s="108">
        <f>IFERROR(__xludf.DUMMYFUNCTION("""COMPUTED_VALUE"""),2.0)</f>
        <v>2</v>
      </c>
      <c r="AE30" s="108">
        <f>IFERROR(__xludf.DUMMYFUNCTION("""COMPUTED_VALUE"""),2.0)</f>
        <v>2</v>
      </c>
      <c r="AF30" s="108" t="str">
        <f>IFERROR(__xludf.DUMMYFUNCTION("""COMPUTED_VALUE"""),"No")</f>
        <v>No</v>
      </c>
      <c r="AG30" s="108" t="str">
        <f>IFERROR(__xludf.DUMMYFUNCTION("""COMPUTED_VALUE"""),"Intake plz")</f>
        <v>Intake plz</v>
      </c>
      <c r="AH30" s="108">
        <f>IFERROR(__xludf.DUMMYFUNCTION("""COMPUTED_VALUE"""),15.0)</f>
        <v>15</v>
      </c>
      <c r="AI30" s="108"/>
    </row>
    <row r="31">
      <c r="A31" s="108">
        <f>IFERROR(__xludf.DUMMYFUNCTION("""COMPUTED_VALUE"""),69.0)</f>
        <v>69</v>
      </c>
      <c r="B31" s="108">
        <f>IFERROR(__xludf.DUMMYFUNCTION("""COMPUTED_VALUE"""),3322.0)</f>
        <v>3322</v>
      </c>
      <c r="C31" s="108" t="str">
        <f>IFERROR(__xludf.DUMMYFUNCTION("""COMPUTED_VALUE"""),"Yes")</f>
        <v>Yes</v>
      </c>
      <c r="D31" s="108"/>
      <c r="E31" s="108"/>
      <c r="F31" s="108">
        <f>IFERROR(__xludf.DUMMYFUNCTION("""COMPUTED_VALUE"""),1.0)</f>
        <v>1</v>
      </c>
      <c r="G31" s="108">
        <f>IFERROR(__xludf.DUMMYFUNCTION("""COMPUTED_VALUE"""),1.0)</f>
        <v>1</v>
      </c>
      <c r="H31" s="108"/>
      <c r="I31" s="108"/>
      <c r="J31" s="108"/>
      <c r="K31" s="108"/>
      <c r="L31" s="108"/>
      <c r="M31" s="108"/>
      <c r="N31" s="108"/>
      <c r="O31" s="108"/>
      <c r="P31" s="108" t="str">
        <f>IFERROR(__xludf.DUMMYFUNCTION("""COMPUTED_VALUE"""),"No")</f>
        <v>No</v>
      </c>
      <c r="Q31" s="108"/>
      <c r="R31" s="108"/>
      <c r="S31" s="108"/>
      <c r="T31" s="108"/>
      <c r="U31" s="108"/>
      <c r="V31" s="108"/>
      <c r="W31" s="108"/>
      <c r="X31" s="108"/>
      <c r="Y31" s="108">
        <f>IFERROR(__xludf.DUMMYFUNCTION("""COMPUTED_VALUE"""),1.0)</f>
        <v>1</v>
      </c>
      <c r="Z31" s="108">
        <f>IFERROR(__xludf.DUMMYFUNCTION("""COMPUTED_VALUE"""),1.0)</f>
        <v>1</v>
      </c>
      <c r="AA31" s="108">
        <f>IFERROR(__xludf.DUMMYFUNCTION("""COMPUTED_VALUE"""),4.0)</f>
        <v>4</v>
      </c>
      <c r="AB31" s="108">
        <f>IFERROR(__xludf.DUMMYFUNCTION("""COMPUTED_VALUE"""),4.0)</f>
        <v>4</v>
      </c>
      <c r="AC31" s="108" t="str">
        <f>IFERROR(__xludf.DUMMYFUNCTION("""COMPUTED_VALUE"""),"Yes, Docked")</f>
        <v>Yes, Docked</v>
      </c>
      <c r="AD31" s="108">
        <f>IFERROR(__xludf.DUMMYFUNCTION("""COMPUTED_VALUE"""),2.0)</f>
        <v>2</v>
      </c>
      <c r="AE31" s="108">
        <f>IFERROR(__xludf.DUMMYFUNCTION("""COMPUTED_VALUE"""),0.0)</f>
        <v>0</v>
      </c>
      <c r="AF31" s="108" t="str">
        <f>IFERROR(__xludf.DUMMYFUNCTION("""COMPUTED_VALUE"""),"No")</f>
        <v>No</v>
      </c>
      <c r="AG31" s="108"/>
      <c r="AH31" s="108">
        <f>IFERROR(__xludf.DUMMYFUNCTION("""COMPUTED_VALUE"""),24.0)</f>
        <v>24</v>
      </c>
      <c r="AI31" s="108"/>
    </row>
    <row r="32">
      <c r="A32" s="108">
        <f>IFERROR(__xludf.DUMMYFUNCTION("""COMPUTED_VALUE"""),74.0)</f>
        <v>74</v>
      </c>
      <c r="B32" s="108">
        <f>IFERROR(__xludf.DUMMYFUNCTION("""COMPUTED_VALUE"""),3322.0)</f>
        <v>3322</v>
      </c>
      <c r="C32" s="108" t="str">
        <f>IFERROR(__xludf.DUMMYFUNCTION("""COMPUTED_VALUE"""),"Yes")</f>
        <v>Yes</v>
      </c>
      <c r="D32" s="108"/>
      <c r="E32" s="108"/>
      <c r="F32" s="108">
        <f>IFERROR(__xludf.DUMMYFUNCTION("""COMPUTED_VALUE"""),1.0)</f>
        <v>1</v>
      </c>
      <c r="G32" s="108">
        <f>IFERROR(__xludf.DUMMYFUNCTION("""COMPUTED_VALUE"""),1.0)</f>
        <v>1</v>
      </c>
      <c r="H32" s="108"/>
      <c r="I32" s="108"/>
      <c r="J32" s="108"/>
      <c r="K32" s="108"/>
      <c r="L32" s="108"/>
      <c r="M32" s="108"/>
      <c r="N32" s="108"/>
      <c r="O32" s="108"/>
      <c r="P32" s="108" t="str">
        <f>IFERROR(__xludf.DUMMYFUNCTION("""COMPUTED_VALUE"""),"No")</f>
        <v>No</v>
      </c>
      <c r="Q32" s="108"/>
      <c r="R32" s="108"/>
      <c r="S32" s="108">
        <f>IFERROR(__xludf.DUMMYFUNCTION("""COMPUTED_VALUE"""),2.0)</f>
        <v>2</v>
      </c>
      <c r="T32" s="108">
        <f>IFERROR(__xludf.DUMMYFUNCTION("""COMPUTED_VALUE"""),2.0)</f>
        <v>2</v>
      </c>
      <c r="U32" s="108"/>
      <c r="V32" s="108"/>
      <c r="W32" s="108"/>
      <c r="X32" s="108"/>
      <c r="Y32" s="108">
        <f>IFERROR(__xludf.DUMMYFUNCTION("""COMPUTED_VALUE"""),1.0)</f>
        <v>1</v>
      </c>
      <c r="Z32" s="108">
        <f>IFERROR(__xludf.DUMMYFUNCTION("""COMPUTED_VALUE"""),1.0)</f>
        <v>1</v>
      </c>
      <c r="AA32" s="108"/>
      <c r="AB32" s="108"/>
      <c r="AC32" s="108" t="str">
        <f>IFERROR(__xludf.DUMMYFUNCTION("""COMPUTED_VALUE"""),"Parked")</f>
        <v>Parked</v>
      </c>
      <c r="AD32" s="108">
        <f>IFERROR(__xludf.DUMMYFUNCTION("""COMPUTED_VALUE"""),3.0)</f>
        <v>3</v>
      </c>
      <c r="AE32" s="108">
        <f>IFERROR(__xludf.DUMMYFUNCTION("""COMPUTED_VALUE"""),0.0)</f>
        <v>0</v>
      </c>
      <c r="AF32" s="108" t="str">
        <f>IFERROR(__xludf.DUMMYFUNCTION("""COMPUTED_VALUE"""),"No")</f>
        <v>No</v>
      </c>
      <c r="AG32" s="108"/>
      <c r="AH32" s="108">
        <f>IFERROR(__xludf.DUMMYFUNCTION("""COMPUTED_VALUE"""),19.0)</f>
        <v>19</v>
      </c>
      <c r="AI32" s="108"/>
    </row>
    <row r="33">
      <c r="A33" s="108"/>
      <c r="B33" s="108">
        <f>IFERROR(__xludf.DUMMYFUNCTION("""COMPUTED_VALUE"""),3322.0)</f>
        <v>3322</v>
      </c>
      <c r="C33" s="108" t="str">
        <f>IFERROR(__xludf.DUMMYFUNCTION("""COMPUTED_VALUE"""),"Yes")</f>
        <v>Yes</v>
      </c>
      <c r="D33" s="108"/>
      <c r="E33" s="108"/>
      <c r="F33" s="108">
        <f>IFERROR(__xludf.DUMMYFUNCTION("""COMPUTED_VALUE"""),1.0)</f>
        <v>1</v>
      </c>
      <c r="G33" s="108">
        <f>IFERROR(__xludf.DUMMYFUNCTION("""COMPUTED_VALUE"""),1.0)</f>
        <v>1</v>
      </c>
      <c r="H33" s="108"/>
      <c r="I33" s="108"/>
      <c r="J33" s="108"/>
      <c r="K33" s="108"/>
      <c r="L33" s="108"/>
      <c r="M33" s="108"/>
      <c r="N33" s="108"/>
      <c r="O33" s="108"/>
      <c r="P33" s="108" t="str">
        <f>IFERROR(__xludf.DUMMYFUNCTION("""COMPUTED_VALUE"""),"No")</f>
        <v>No</v>
      </c>
      <c r="Q33" s="108"/>
      <c r="R33" s="108"/>
      <c r="S33" s="108"/>
      <c r="T33" s="108"/>
      <c r="U33" s="108"/>
      <c r="V33" s="108"/>
      <c r="W33" s="108"/>
      <c r="X33" s="108"/>
      <c r="Y33" s="108">
        <f>IFERROR(__xludf.DUMMYFUNCTION("""COMPUTED_VALUE"""),3.0)</f>
        <v>3</v>
      </c>
      <c r="Z33" s="108">
        <f>IFERROR(__xludf.DUMMYFUNCTION("""COMPUTED_VALUE"""),3.0)</f>
        <v>3</v>
      </c>
      <c r="AA33" s="108">
        <f>IFERROR(__xludf.DUMMYFUNCTION("""COMPUTED_VALUE"""),1.0)</f>
        <v>1</v>
      </c>
      <c r="AB33" s="108">
        <f>IFERROR(__xludf.DUMMYFUNCTION("""COMPUTED_VALUE"""),1.0)</f>
        <v>1</v>
      </c>
      <c r="AC33" s="108" t="str">
        <f>IFERROR(__xludf.DUMMYFUNCTION("""COMPUTED_VALUE"""),"Yes, Engaged")</f>
        <v>Yes, Engaged</v>
      </c>
      <c r="AD33" s="108">
        <f>IFERROR(__xludf.DUMMYFUNCTION("""COMPUTED_VALUE"""),4.0)</f>
        <v>4</v>
      </c>
      <c r="AE33" s="108">
        <f>IFERROR(__xludf.DUMMYFUNCTION("""COMPUTED_VALUE"""),0.0)</f>
        <v>0</v>
      </c>
      <c r="AF33" s="108" t="str">
        <f>IFERROR(__xludf.DUMMYFUNCTION("""COMPUTED_VALUE"""),"No")</f>
        <v>No</v>
      </c>
      <c r="AG33" s="108"/>
      <c r="AH33" s="108">
        <f>IFERROR(__xludf.DUMMYFUNCTION("""COMPUTED_VALUE"""),28.0)</f>
        <v>28</v>
      </c>
      <c r="AI33" s="108"/>
    </row>
    <row r="34">
      <c r="A34" s="108"/>
      <c r="B34" s="108">
        <f>IFERROR(__xludf.DUMMYFUNCTION("""COMPUTED_VALUE"""),3322.0)</f>
        <v>3322</v>
      </c>
      <c r="C34" s="108" t="str">
        <f>IFERROR(__xludf.DUMMYFUNCTION("""COMPUTED_VALUE"""),"Yes")</f>
        <v>Yes</v>
      </c>
      <c r="D34" s="108"/>
      <c r="E34" s="108"/>
      <c r="F34" s="108">
        <f>IFERROR(__xludf.DUMMYFUNCTION("""COMPUTED_VALUE"""),1.0)</f>
        <v>1</v>
      </c>
      <c r="G34" s="108">
        <f>IFERROR(__xludf.DUMMYFUNCTION("""COMPUTED_VALUE"""),1.0)</f>
        <v>1</v>
      </c>
      <c r="H34" s="108"/>
      <c r="I34" s="108"/>
      <c r="J34" s="108"/>
      <c r="K34" s="108"/>
      <c r="L34" s="108"/>
      <c r="M34" s="108"/>
      <c r="N34" s="108"/>
      <c r="O34" s="108"/>
      <c r="P34" s="108" t="str">
        <f>IFERROR(__xludf.DUMMYFUNCTION("""COMPUTED_VALUE"""),"No")</f>
        <v>No</v>
      </c>
      <c r="Q34" s="108"/>
      <c r="R34" s="108"/>
      <c r="S34" s="108"/>
      <c r="T34" s="108"/>
      <c r="U34" s="108"/>
      <c r="V34" s="108"/>
      <c r="W34" s="108"/>
      <c r="X34" s="108"/>
      <c r="Y34" s="108">
        <f>IFERROR(__xludf.DUMMYFUNCTION("""COMPUTED_VALUE"""),3.0)</f>
        <v>3</v>
      </c>
      <c r="Z34" s="108">
        <f>IFERROR(__xludf.DUMMYFUNCTION("""COMPUTED_VALUE"""),3.0)</f>
        <v>3</v>
      </c>
      <c r="AA34" s="108">
        <f>IFERROR(__xludf.DUMMYFUNCTION("""COMPUTED_VALUE"""),3.0)</f>
        <v>3</v>
      </c>
      <c r="AB34" s="108">
        <f>IFERROR(__xludf.DUMMYFUNCTION("""COMPUTED_VALUE"""),3.0)</f>
        <v>3</v>
      </c>
      <c r="AC34" s="108" t="str">
        <f>IFERROR(__xludf.DUMMYFUNCTION("""COMPUTED_VALUE"""),"Yes, Engaged")</f>
        <v>Yes, Engaged</v>
      </c>
      <c r="AD34" s="108">
        <f>IFERROR(__xludf.DUMMYFUNCTION("""COMPUTED_VALUE"""),5.0)</f>
        <v>5</v>
      </c>
      <c r="AE34" s="108">
        <f>IFERROR(__xludf.DUMMYFUNCTION("""COMPUTED_VALUE"""),0.0)</f>
        <v>0</v>
      </c>
      <c r="AF34" s="108" t="str">
        <f>IFERROR(__xludf.DUMMYFUNCTION("""COMPUTED_VALUE"""),"No")</f>
        <v>No</v>
      </c>
      <c r="AG34" s="108"/>
      <c r="AH34" s="108">
        <f>IFERROR(__xludf.DUMMYFUNCTION("""COMPUTED_VALUE"""),32.0)</f>
        <v>32</v>
      </c>
      <c r="AI34" s="108"/>
    </row>
    <row r="35">
      <c r="A35" s="108"/>
      <c r="B35" s="108">
        <f>IFERROR(__xludf.DUMMYFUNCTION("""COMPUTED_VALUE"""),3322.0)</f>
        <v>3322</v>
      </c>
      <c r="C35" s="108" t="str">
        <f>IFERROR(__xludf.DUMMYFUNCTION("""COMPUTED_VALUE"""),"Yes")</f>
        <v>Yes</v>
      </c>
      <c r="D35" s="108"/>
      <c r="E35" s="108"/>
      <c r="F35" s="108">
        <f>IFERROR(__xludf.DUMMYFUNCTION("""COMPUTED_VALUE"""),1.0)</f>
        <v>1</v>
      </c>
      <c r="G35" s="108">
        <f>IFERROR(__xludf.DUMMYFUNCTION("""COMPUTED_VALUE"""),1.0)</f>
        <v>1</v>
      </c>
      <c r="H35" s="108"/>
      <c r="I35" s="108"/>
      <c r="J35" s="108"/>
      <c r="K35" s="108"/>
      <c r="L35" s="108"/>
      <c r="M35" s="108"/>
      <c r="N35" s="108"/>
      <c r="O35" s="108"/>
      <c r="P35" s="108" t="str">
        <f>IFERROR(__xludf.DUMMYFUNCTION("""COMPUTED_VALUE"""),"No")</f>
        <v>No</v>
      </c>
      <c r="Q35" s="108"/>
      <c r="R35" s="108"/>
      <c r="S35" s="108"/>
      <c r="T35" s="108"/>
      <c r="U35" s="108"/>
      <c r="V35" s="108"/>
      <c r="W35" s="108"/>
      <c r="X35" s="108"/>
      <c r="Y35" s="108">
        <f>IFERROR(__xludf.DUMMYFUNCTION("""COMPUTED_VALUE"""),3.0)</f>
        <v>3</v>
      </c>
      <c r="Z35" s="108">
        <f>IFERROR(__xludf.DUMMYFUNCTION("""COMPUTED_VALUE"""),3.0)</f>
        <v>3</v>
      </c>
      <c r="AA35" s="108">
        <f>IFERROR(__xludf.DUMMYFUNCTION("""COMPUTED_VALUE"""),2.0)</f>
        <v>2</v>
      </c>
      <c r="AB35" s="108">
        <f>IFERROR(__xludf.DUMMYFUNCTION("""COMPUTED_VALUE"""),2.0)</f>
        <v>2</v>
      </c>
      <c r="AC35" s="108" t="str">
        <f>IFERROR(__xludf.DUMMYFUNCTION("""COMPUTED_VALUE"""),"Yes, Engaged")</f>
        <v>Yes, Engaged</v>
      </c>
      <c r="AD35" s="108">
        <f>IFERROR(__xludf.DUMMYFUNCTION("""COMPUTED_VALUE"""),5.0)</f>
        <v>5</v>
      </c>
      <c r="AE35" s="108">
        <f>IFERROR(__xludf.DUMMYFUNCTION("""COMPUTED_VALUE"""),0.0)</f>
        <v>0</v>
      </c>
      <c r="AF35" s="108" t="str">
        <f>IFERROR(__xludf.DUMMYFUNCTION("""COMPUTED_VALUE"""),"No")</f>
        <v>No</v>
      </c>
      <c r="AG35" s="108"/>
      <c r="AH35" s="108">
        <f>IFERROR(__xludf.DUMMYFUNCTION("""COMPUTED_VALUE"""),30.0)</f>
        <v>30</v>
      </c>
      <c r="AI35" s="108"/>
    </row>
    <row r="36">
      <c r="A36" s="108"/>
      <c r="B36" s="108">
        <f>IFERROR(__xludf.DUMMYFUNCTION("""COMPUTED_VALUE"""),3322.0)</f>
        <v>3322</v>
      </c>
      <c r="C36" s="108" t="str">
        <f>IFERROR(__xludf.DUMMYFUNCTION("""COMPUTED_VALUE"""),"Yes")</f>
        <v>Yes</v>
      </c>
      <c r="D36" s="108"/>
      <c r="E36" s="108"/>
      <c r="F36" s="108">
        <f>IFERROR(__xludf.DUMMYFUNCTION("""COMPUTED_VALUE"""),1.0)</f>
        <v>1</v>
      </c>
      <c r="G36" s="108">
        <f>IFERROR(__xludf.DUMMYFUNCTION("""COMPUTED_VALUE"""),1.0)</f>
        <v>1</v>
      </c>
      <c r="H36" s="108"/>
      <c r="I36" s="108"/>
      <c r="J36" s="108"/>
      <c r="K36" s="108"/>
      <c r="L36" s="108"/>
      <c r="M36" s="108"/>
      <c r="N36" s="108"/>
      <c r="O36" s="108"/>
      <c r="P36" s="108" t="str">
        <f>IFERROR(__xludf.DUMMYFUNCTION("""COMPUTED_VALUE"""),"No")</f>
        <v>No</v>
      </c>
      <c r="Q36" s="108"/>
      <c r="R36" s="108"/>
      <c r="S36" s="108">
        <f>IFERROR(__xludf.DUMMYFUNCTION("""COMPUTED_VALUE"""),1.0)</f>
        <v>1</v>
      </c>
      <c r="T36" s="108">
        <f>IFERROR(__xludf.DUMMYFUNCTION("""COMPUTED_VALUE"""),1.0)</f>
        <v>1</v>
      </c>
      <c r="U36" s="108"/>
      <c r="V36" s="108"/>
      <c r="W36" s="108"/>
      <c r="X36" s="108"/>
      <c r="Y36" s="108">
        <f>IFERROR(__xludf.DUMMYFUNCTION("""COMPUTED_VALUE"""),3.0)</f>
        <v>3</v>
      </c>
      <c r="Z36" s="108">
        <f>IFERROR(__xludf.DUMMYFUNCTION("""COMPUTED_VALUE"""),3.0)</f>
        <v>3</v>
      </c>
      <c r="AA36" s="108"/>
      <c r="AB36" s="108"/>
      <c r="AC36" s="108" t="str">
        <f>IFERROR(__xludf.DUMMYFUNCTION("""COMPUTED_VALUE"""),"Yes, Engaged")</f>
        <v>Yes, Engaged</v>
      </c>
      <c r="AD36" s="108">
        <f>IFERROR(__xludf.DUMMYFUNCTION("""COMPUTED_VALUE"""),4.0)</f>
        <v>4</v>
      </c>
      <c r="AE36" s="108">
        <f>IFERROR(__xludf.DUMMYFUNCTION("""COMPUTED_VALUE"""),2.0)</f>
        <v>2</v>
      </c>
      <c r="AF36" s="108" t="str">
        <f>IFERROR(__xludf.DUMMYFUNCTION("""COMPUTED_VALUE"""),"No")</f>
        <v>No</v>
      </c>
      <c r="AG36" s="108"/>
      <c r="AH36" s="108">
        <f>IFERROR(__xludf.DUMMYFUNCTION("""COMPUTED_VALUE"""),29.0)</f>
        <v>29</v>
      </c>
      <c r="AI36" s="108"/>
    </row>
    <row r="37">
      <c r="A37" s="108"/>
      <c r="B37" s="108">
        <f>IFERROR(__xludf.DUMMYFUNCTION("""COMPUTED_VALUE"""),3322.0)</f>
        <v>3322</v>
      </c>
      <c r="C37" s="108" t="str">
        <f>IFERROR(__xludf.DUMMYFUNCTION("""COMPUTED_VALUE"""),"Yes")</f>
        <v>Yes</v>
      </c>
      <c r="D37" s="108"/>
      <c r="E37" s="108"/>
      <c r="F37" s="108">
        <f>IFERROR(__xludf.DUMMYFUNCTION("""COMPUTED_VALUE"""),1.0)</f>
        <v>1</v>
      </c>
      <c r="G37" s="108">
        <f>IFERROR(__xludf.DUMMYFUNCTION("""COMPUTED_VALUE"""),1.0)</f>
        <v>1</v>
      </c>
      <c r="H37" s="108"/>
      <c r="I37" s="108"/>
      <c r="J37" s="108"/>
      <c r="K37" s="108"/>
      <c r="L37" s="108"/>
      <c r="M37" s="108"/>
      <c r="N37" s="108"/>
      <c r="O37" s="108"/>
      <c r="P37" s="108" t="str">
        <f>IFERROR(__xludf.DUMMYFUNCTION("""COMPUTED_VALUE"""),"No")</f>
        <v>No</v>
      </c>
      <c r="Q37" s="108"/>
      <c r="R37" s="108"/>
      <c r="S37" s="108">
        <f>IFERROR(__xludf.DUMMYFUNCTION("""COMPUTED_VALUE"""),1.0)</f>
        <v>1</v>
      </c>
      <c r="T37" s="108">
        <f>IFERROR(__xludf.DUMMYFUNCTION("""COMPUTED_VALUE"""),1.0)</f>
        <v>1</v>
      </c>
      <c r="U37" s="108"/>
      <c r="V37" s="108"/>
      <c r="W37" s="108"/>
      <c r="X37" s="108"/>
      <c r="Y37" s="108">
        <f>IFERROR(__xludf.DUMMYFUNCTION("""COMPUTED_VALUE"""),3.0)</f>
        <v>3</v>
      </c>
      <c r="Z37" s="108">
        <f>IFERROR(__xludf.DUMMYFUNCTION("""COMPUTED_VALUE"""),3.0)</f>
        <v>3</v>
      </c>
      <c r="AA37" s="108">
        <f>IFERROR(__xludf.DUMMYFUNCTION("""COMPUTED_VALUE"""),1.0)</f>
        <v>1</v>
      </c>
      <c r="AB37" s="108">
        <f>IFERROR(__xludf.DUMMYFUNCTION("""COMPUTED_VALUE"""),1.0)</f>
        <v>1</v>
      </c>
      <c r="AC37" s="108" t="str">
        <f>IFERROR(__xludf.DUMMYFUNCTION("""COMPUTED_VALUE"""),"Yes, Engaged")</f>
        <v>Yes, Engaged</v>
      </c>
      <c r="AD37" s="108">
        <f>IFERROR(__xludf.DUMMYFUNCTION("""COMPUTED_VALUE"""),4.0)</f>
        <v>4</v>
      </c>
      <c r="AE37" s="108">
        <f>IFERROR(__xludf.DUMMYFUNCTION("""COMPUTED_VALUE"""),1.0)</f>
        <v>1</v>
      </c>
      <c r="AF37" s="108" t="str">
        <f>IFERROR(__xludf.DUMMYFUNCTION("""COMPUTED_VALUE"""),"No")</f>
        <v>No</v>
      </c>
      <c r="AG37" s="108"/>
      <c r="AH37" s="108">
        <f>IFERROR(__xludf.DUMMYFUNCTION("""COMPUTED_VALUE"""),31.0)</f>
        <v>31</v>
      </c>
      <c r="AI37" s="108"/>
    </row>
    <row r="38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</row>
    <row r="39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</row>
    <row r="40">
      <c r="A40" s="108"/>
      <c r="B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</row>
    <row r="41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</row>
    <row r="42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</row>
    <row r="43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</row>
    <row r="44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</row>
    <row r="45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</row>
    <row r="46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</row>
    <row r="47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</row>
    <row r="48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</row>
    <row r="49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</row>
    <row r="50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</row>
    <row r="51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</row>
    <row r="52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</row>
    <row r="53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</row>
    <row r="54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</row>
    <row r="55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</row>
    <row r="56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</row>
    <row r="57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</row>
    <row r="58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</row>
    <row r="59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</row>
    <row r="60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</row>
    <row r="61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</row>
    <row r="62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</row>
    <row r="63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</row>
    <row r="6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</row>
    <row r="65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</row>
    <row r="66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</row>
    <row r="67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</row>
    <row r="68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</row>
    <row r="69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</row>
    <row r="70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</row>
    <row r="71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</row>
    <row r="72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</row>
    <row r="73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</row>
    <row r="74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</row>
    <row r="75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</row>
    <row r="76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</row>
    <row r="77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</row>
    <row r="78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</row>
    <row r="79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</row>
    <row r="80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</row>
    <row r="81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</row>
    <row r="82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</row>
    <row r="83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</row>
    <row r="84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</row>
    <row r="85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</row>
    <row r="86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</row>
    <row r="87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</row>
    <row r="88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</row>
    <row r="89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</row>
    <row r="90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</row>
    <row r="91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</row>
    <row r="92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</row>
    <row r="93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</row>
    <row r="94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</row>
    <row r="95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</row>
    <row r="96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</row>
    <row r="97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</row>
    <row r="98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</row>
    <row r="99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</row>
    <row r="100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</row>
    <row r="101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</row>
    <row r="10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</row>
    <row r="103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</row>
    <row r="104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</row>
    <row r="105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</row>
    <row r="106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</row>
    <row r="107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</row>
    <row r="108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</row>
    <row r="109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</row>
    <row r="110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</row>
    <row r="111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</row>
    <row r="112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</row>
    <row r="113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</row>
    <row r="114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</row>
    <row r="115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</row>
    <row r="116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</row>
    <row r="117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</row>
    <row r="118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</row>
    <row r="119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</row>
    <row r="120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</row>
    <row r="121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</row>
    <row r="122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</row>
    <row r="123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  <c r="AH123" s="108"/>
      <c r="AI123" s="108"/>
    </row>
    <row r="124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</row>
    <row r="125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</row>
    <row r="126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</row>
    <row r="127">
      <c r="A127" s="108"/>
      <c r="B127" s="108"/>
      <c r="C127" s="108"/>
      <c r="D127" s="108"/>
      <c r="E127" s="108"/>
      <c r="F127" s="108"/>
      <c r="G127" s="108"/>
      <c r="H127" s="108"/>
      <c r="I127" s="108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  <c r="AH127" s="108"/>
      <c r="AI127" s="108"/>
    </row>
    <row r="128">
      <c r="A128" s="108"/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</row>
    <row r="129">
      <c r="A129" s="108"/>
      <c r="B129" s="108"/>
      <c r="C129" s="108"/>
      <c r="D129" s="108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  <c r="AH129" s="108"/>
      <c r="AI129" s="108"/>
    </row>
    <row r="130">
      <c r="A130" s="108"/>
      <c r="B130" s="108"/>
      <c r="C130" s="108"/>
      <c r="D130" s="108"/>
      <c r="E130" s="108"/>
      <c r="F130" s="108"/>
      <c r="G130" s="108"/>
      <c r="H130" s="108"/>
      <c r="I130" s="108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</row>
    <row r="131">
      <c r="A131" s="108"/>
      <c r="B131" s="108"/>
      <c r="C131" s="108"/>
      <c r="D131" s="108"/>
      <c r="E131" s="108"/>
      <c r="F131" s="108"/>
      <c r="G131" s="108"/>
      <c r="H131" s="108"/>
      <c r="I131" s="108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  <c r="AH131" s="108"/>
      <c r="AI131" s="108"/>
    </row>
    <row r="132">
      <c r="A132" s="108"/>
      <c r="B132" s="108"/>
      <c r="C132" s="108"/>
      <c r="D132" s="108"/>
      <c r="E132" s="108"/>
      <c r="F132" s="108"/>
      <c r="G132" s="108"/>
      <c r="H132" s="108"/>
      <c r="I132" s="108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</row>
    <row r="133">
      <c r="A133" s="108"/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  <c r="AH133" s="108"/>
      <c r="AI133" s="108"/>
    </row>
    <row r="134">
      <c r="A134" s="108"/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</row>
    <row r="135">
      <c r="A135" s="108"/>
      <c r="B135" s="108"/>
      <c r="C135" s="108"/>
      <c r="D135" s="108"/>
      <c r="E135" s="108"/>
      <c r="F135" s="108"/>
      <c r="G135" s="108"/>
      <c r="H135" s="108"/>
      <c r="I135" s="108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  <c r="AH135" s="108"/>
      <c r="AI135" s="108"/>
    </row>
    <row r="136">
      <c r="A136" s="108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</row>
    <row r="137">
      <c r="A137" s="108"/>
      <c r="B137" s="108"/>
      <c r="C137" s="108"/>
      <c r="D137" s="108"/>
      <c r="E137" s="108"/>
      <c r="F137" s="108"/>
      <c r="G137" s="108"/>
      <c r="H137" s="108"/>
      <c r="I137" s="108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  <c r="AH137" s="108"/>
      <c r="AI137" s="108"/>
    </row>
    <row r="138">
      <c r="A138" s="108"/>
      <c r="B138" s="108"/>
      <c r="C138" s="108"/>
      <c r="D138" s="108"/>
      <c r="E138" s="108"/>
      <c r="F138" s="108"/>
      <c r="G138" s="108"/>
      <c r="H138" s="108"/>
      <c r="I138" s="108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  <c r="AH138" s="108"/>
      <c r="AI138" s="108"/>
    </row>
    <row r="139">
      <c r="A139" s="108"/>
      <c r="B139" s="108"/>
      <c r="C139" s="108"/>
      <c r="D139" s="108"/>
      <c r="E139" s="108"/>
      <c r="F139" s="108"/>
      <c r="G139" s="108"/>
      <c r="H139" s="108"/>
      <c r="I139" s="108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</row>
    <row r="140">
      <c r="A140" s="108"/>
      <c r="B140" s="108"/>
      <c r="C140" s="108"/>
      <c r="D140" s="108"/>
      <c r="E140" s="108"/>
      <c r="F140" s="108"/>
      <c r="G140" s="108"/>
      <c r="H140" s="108"/>
      <c r="I140" s="108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  <c r="AH140" s="108"/>
      <c r="AI140" s="108"/>
    </row>
    <row r="141">
      <c r="A141" s="108"/>
      <c r="B141" s="108"/>
      <c r="C141" s="108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</row>
    <row r="142">
      <c r="A142" s="108"/>
      <c r="B142" s="108"/>
      <c r="C142" s="108"/>
      <c r="D142" s="108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  <c r="AH142" s="108"/>
      <c r="AI142" s="108"/>
    </row>
    <row r="143">
      <c r="A143" s="108"/>
      <c r="B143" s="108"/>
      <c r="C143" s="108"/>
      <c r="D143" s="108"/>
      <c r="E143" s="108"/>
      <c r="F143" s="108"/>
      <c r="G143" s="108"/>
      <c r="H143" s="108"/>
      <c r="I143" s="108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</row>
    <row r="144">
      <c r="A144" s="108"/>
      <c r="B144" s="108"/>
      <c r="C144" s="108"/>
      <c r="D144" s="108"/>
      <c r="E144" s="108"/>
      <c r="F144" s="108"/>
      <c r="G144" s="108"/>
      <c r="H144" s="108"/>
      <c r="I144" s="108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  <c r="AH144" s="108"/>
      <c r="AI144" s="108"/>
    </row>
    <row r="145">
      <c r="A145" s="108"/>
      <c r="B145" s="108"/>
      <c r="C145" s="108"/>
      <c r="D145" s="108"/>
      <c r="E145" s="108"/>
      <c r="F145" s="108"/>
      <c r="G145" s="108"/>
      <c r="H145" s="108"/>
      <c r="I145" s="108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</row>
    <row r="146">
      <c r="A146" s="108"/>
      <c r="B146" s="108"/>
      <c r="C146" s="108"/>
      <c r="D146" s="108"/>
      <c r="E146" s="108"/>
      <c r="F146" s="108"/>
      <c r="G146" s="108"/>
      <c r="H146" s="108"/>
      <c r="I146" s="108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  <c r="AH146" s="108"/>
      <c r="AI146" s="108"/>
    </row>
    <row r="147">
      <c r="A147" s="108"/>
      <c r="B147" s="108"/>
      <c r="C147" s="108"/>
      <c r="D147" s="108"/>
      <c r="E147" s="108"/>
      <c r="F147" s="108"/>
      <c r="G147" s="108"/>
      <c r="H147" s="108"/>
      <c r="I147" s="108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  <c r="AH147" s="108"/>
      <c r="AI147" s="108"/>
    </row>
    <row r="148">
      <c r="A148" s="108"/>
      <c r="B148" s="108"/>
      <c r="C148" s="108"/>
      <c r="D148" s="108"/>
      <c r="E148" s="108"/>
      <c r="F148" s="108"/>
      <c r="G148" s="108"/>
      <c r="H148" s="108"/>
      <c r="I148" s="108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</row>
    <row r="149">
      <c r="A149" s="108"/>
      <c r="B149" s="108"/>
      <c r="C149" s="108"/>
      <c r="D149" s="108"/>
      <c r="E149" s="108"/>
      <c r="F149" s="108"/>
      <c r="G149" s="108"/>
      <c r="H149" s="108"/>
      <c r="I149" s="108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  <c r="AH149" s="108"/>
      <c r="AI149" s="108"/>
    </row>
    <row r="150">
      <c r="A150" s="108"/>
      <c r="B150" s="108"/>
      <c r="C150" s="108"/>
      <c r="D150" s="108"/>
      <c r="E150" s="108"/>
      <c r="F150" s="108"/>
      <c r="G150" s="108"/>
      <c r="H150" s="108"/>
      <c r="I150" s="108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  <c r="AH150" s="108"/>
      <c r="AI150" s="108"/>
    </row>
    <row r="151">
      <c r="A151" s="108"/>
      <c r="B151" s="108"/>
      <c r="C151" s="108"/>
      <c r="D151" s="108"/>
      <c r="E151" s="108"/>
      <c r="F151" s="108"/>
      <c r="G151" s="108"/>
      <c r="H151" s="108"/>
      <c r="I151" s="108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  <c r="AH151" s="108"/>
      <c r="AI151" s="108"/>
    </row>
    <row r="152">
      <c r="A152" s="108"/>
      <c r="B152" s="108"/>
      <c r="C152" s="108"/>
      <c r="D152" s="108"/>
      <c r="E152" s="108"/>
      <c r="F152" s="108"/>
      <c r="G152" s="108"/>
      <c r="H152" s="108"/>
      <c r="I152" s="108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  <c r="AH152" s="108"/>
      <c r="AI152" s="108"/>
    </row>
    <row r="153">
      <c r="A153" s="108"/>
      <c r="B153" s="108"/>
      <c r="C153" s="108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  <c r="AH153" s="108"/>
      <c r="AI153" s="108"/>
    </row>
    <row r="154">
      <c r="A154" s="108"/>
      <c r="B154" s="108"/>
      <c r="C154" s="108"/>
      <c r="D154" s="108"/>
      <c r="E154" s="108"/>
      <c r="F154" s="108"/>
      <c r="G154" s="108"/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  <c r="AH154" s="108"/>
      <c r="AI154" s="108"/>
    </row>
    <row r="155">
      <c r="A155" s="108"/>
      <c r="B155" s="108"/>
      <c r="C155" s="108"/>
      <c r="D155" s="108"/>
      <c r="E155" s="108"/>
      <c r="F155" s="108"/>
      <c r="G155" s="108"/>
      <c r="H155" s="108"/>
      <c r="I155" s="108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  <c r="AH155" s="108"/>
      <c r="AI155" s="108"/>
    </row>
    <row r="156">
      <c r="A156" s="108"/>
      <c r="B156" s="108"/>
      <c r="C156" s="108"/>
      <c r="D156" s="108"/>
      <c r="E156" s="108"/>
      <c r="F156" s="108"/>
      <c r="G156" s="108"/>
      <c r="H156" s="108"/>
      <c r="I156" s="108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  <c r="AH156" s="108"/>
      <c r="AI156" s="108"/>
    </row>
    <row r="157">
      <c r="A157" s="108"/>
      <c r="B157" s="108"/>
      <c r="C157" s="108"/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  <c r="AH157" s="108"/>
      <c r="AI157" s="108"/>
    </row>
    <row r="158">
      <c r="A158" s="108"/>
      <c r="B158" s="108"/>
      <c r="C158" s="108"/>
      <c r="D158" s="108"/>
      <c r="E158" s="108"/>
      <c r="F158" s="108"/>
      <c r="G158" s="108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  <c r="AH158" s="108"/>
      <c r="AI158" s="108"/>
    </row>
    <row r="159">
      <c r="A159" s="108"/>
      <c r="B159" s="108"/>
      <c r="C159" s="108"/>
      <c r="D159" s="108"/>
      <c r="E159" s="108"/>
      <c r="F159" s="108"/>
      <c r="G159" s="108"/>
      <c r="H159" s="108"/>
      <c r="I159" s="108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  <c r="AH159" s="108"/>
      <c r="AI159" s="108"/>
    </row>
    <row r="160">
      <c r="A160" s="108"/>
      <c r="B160" s="108"/>
      <c r="C160" s="108"/>
      <c r="D160" s="108"/>
      <c r="E160" s="108"/>
      <c r="F160" s="108"/>
      <c r="G160" s="108"/>
      <c r="H160" s="108"/>
      <c r="I160" s="108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  <c r="AH160" s="108"/>
      <c r="AI160" s="108"/>
    </row>
    <row r="161">
      <c r="A161" s="108"/>
      <c r="B161" s="108"/>
      <c r="C161" s="108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  <c r="AH161" s="108"/>
      <c r="AI161" s="108"/>
    </row>
    <row r="162">
      <c r="A162" s="108"/>
      <c r="B162" s="108"/>
      <c r="C162" s="108"/>
      <c r="D162" s="108"/>
      <c r="E162" s="108"/>
      <c r="F162" s="108"/>
      <c r="G162" s="108"/>
      <c r="H162" s="108"/>
      <c r="I162" s="108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  <c r="AH162" s="108"/>
      <c r="AI162" s="108"/>
    </row>
    <row r="163">
      <c r="A163" s="108"/>
      <c r="B163" s="108"/>
      <c r="C163" s="108"/>
      <c r="D163" s="108"/>
      <c r="E163" s="108"/>
      <c r="F163" s="108"/>
      <c r="G163" s="108"/>
      <c r="H163" s="108"/>
      <c r="I163" s="108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  <c r="AH163" s="108"/>
      <c r="AI163" s="108"/>
    </row>
    <row r="164">
      <c r="A164" s="108"/>
      <c r="B164" s="108"/>
      <c r="C164" s="108"/>
      <c r="D164" s="108"/>
      <c r="E164" s="108"/>
      <c r="F164" s="108"/>
      <c r="G164" s="108"/>
      <c r="H164" s="108"/>
      <c r="I164" s="108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</row>
    <row r="165">
      <c r="A165" s="108"/>
      <c r="B165" s="108"/>
      <c r="C165" s="108"/>
      <c r="D165" s="108"/>
      <c r="E165" s="108"/>
      <c r="F165" s="108"/>
      <c r="G165" s="108"/>
      <c r="H165" s="108"/>
      <c r="I165" s="108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</row>
    <row r="166">
      <c r="A166" s="108"/>
      <c r="B166" s="108"/>
      <c r="C166" s="108"/>
      <c r="D166" s="108"/>
      <c r="E166" s="108"/>
      <c r="F166" s="108"/>
      <c r="G166" s="108"/>
      <c r="H166" s="108"/>
      <c r="I166" s="108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</row>
    <row r="167">
      <c r="A167" s="108"/>
      <c r="B167" s="108"/>
      <c r="C167" s="108"/>
      <c r="D167" s="108"/>
      <c r="E167" s="108"/>
      <c r="F167" s="108"/>
      <c r="G167" s="108"/>
      <c r="H167" s="108"/>
      <c r="I167" s="108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</row>
    <row r="168">
      <c r="A168" s="108"/>
      <c r="B168" s="108"/>
      <c r="C168" s="108"/>
      <c r="D168" s="108"/>
      <c r="E168" s="108"/>
      <c r="F168" s="108"/>
      <c r="G168" s="108"/>
      <c r="H168" s="108"/>
      <c r="I168" s="108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  <c r="AH168" s="108"/>
      <c r="AI168" s="108"/>
    </row>
    <row r="169">
      <c r="A169" s="108"/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</row>
    <row r="170">
      <c r="A170" s="108"/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</row>
    <row r="171">
      <c r="A171" s="108"/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</row>
    <row r="172">
      <c r="A172" s="108"/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</row>
    <row r="173">
      <c r="A173" s="108"/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8"/>
    </row>
    <row r="174">
      <c r="A174" s="108"/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</row>
    <row r="175">
      <c r="A175" s="108"/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  <c r="AH175" s="108"/>
      <c r="AI175" s="108"/>
    </row>
    <row r="176">
      <c r="A176" s="108"/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</row>
    <row r="177">
      <c r="A177" s="108"/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</row>
    <row r="178">
      <c r="A178" s="108"/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</row>
    <row r="179">
      <c r="A179" s="108"/>
      <c r="B179" s="108"/>
      <c r="C179" s="108"/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</row>
    <row r="180">
      <c r="A180" s="108"/>
      <c r="B180" s="108"/>
      <c r="C180" s="108"/>
      <c r="D180" s="108"/>
      <c r="E180" s="108"/>
      <c r="F180" s="108"/>
      <c r="G180" s="108"/>
      <c r="H180" s="108"/>
      <c r="I180" s="108"/>
      <c r="J180" s="108"/>
      <c r="K180" s="108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8"/>
    </row>
    <row r="181">
      <c r="A181" s="108"/>
      <c r="B181" s="108"/>
      <c r="C181" s="108"/>
      <c r="D181" s="108"/>
      <c r="E181" s="108"/>
      <c r="F181" s="108"/>
      <c r="G181" s="108"/>
      <c r="H181" s="108"/>
      <c r="I181" s="108"/>
      <c r="J181" s="108"/>
      <c r="K181" s="108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</row>
    <row r="182">
      <c r="A182" s="108"/>
      <c r="B182" s="108"/>
      <c r="C182" s="108"/>
      <c r="D182" s="108"/>
      <c r="E182" s="108"/>
      <c r="F182" s="108"/>
      <c r="G182" s="108"/>
      <c r="H182" s="108"/>
      <c r="I182" s="108"/>
      <c r="J182" s="108"/>
      <c r="K182" s="108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</row>
    <row r="183">
      <c r="A183" s="108"/>
      <c r="B183" s="108"/>
      <c r="C183" s="108"/>
      <c r="D183" s="108"/>
      <c r="E183" s="108"/>
      <c r="F183" s="108"/>
      <c r="G183" s="108"/>
      <c r="H183" s="108"/>
      <c r="I183" s="108"/>
      <c r="J183" s="108"/>
      <c r="K183" s="108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</row>
    <row r="184">
      <c r="A184" s="108"/>
      <c r="B184" s="108"/>
      <c r="C184" s="108"/>
      <c r="D184" s="108"/>
      <c r="E184" s="108"/>
      <c r="F184" s="108"/>
      <c r="G184" s="108"/>
      <c r="H184" s="108"/>
      <c r="I184" s="108"/>
      <c r="J184" s="108"/>
      <c r="K184" s="108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  <c r="AH184" s="108"/>
      <c r="AI184" s="108"/>
    </row>
    <row r="185">
      <c r="A185" s="108"/>
      <c r="B185" s="108"/>
      <c r="C185" s="108"/>
      <c r="D185" s="108"/>
      <c r="E185" s="108"/>
      <c r="F185" s="108"/>
      <c r="G185" s="108"/>
      <c r="H185" s="108"/>
      <c r="I185" s="108"/>
      <c r="J185" s="108"/>
      <c r="K185" s="108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  <c r="AH185" s="108"/>
      <c r="AI185" s="108"/>
    </row>
    <row r="186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</row>
    <row r="187">
      <c r="A187" s="108"/>
      <c r="B187" s="108"/>
      <c r="C187" s="108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  <c r="AH187" s="108"/>
      <c r="AI187" s="108"/>
    </row>
    <row r="188">
      <c r="A188" s="108"/>
      <c r="B188" s="108"/>
      <c r="C188" s="108"/>
      <c r="D188" s="108"/>
      <c r="E188" s="108"/>
      <c r="F188" s="108"/>
      <c r="G188" s="108"/>
      <c r="H188" s="108"/>
      <c r="I188" s="108"/>
      <c r="J188" s="108"/>
      <c r="K188" s="108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  <c r="AH188" s="108"/>
      <c r="AI188" s="108"/>
    </row>
    <row r="189">
      <c r="A189" s="108"/>
      <c r="B189" s="108"/>
      <c r="C189" s="108"/>
      <c r="D189" s="108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</row>
    <row r="190">
      <c r="A190" s="108"/>
      <c r="B190" s="108"/>
      <c r="C190" s="108"/>
      <c r="D190" s="108"/>
      <c r="E190" s="108"/>
      <c r="F190" s="108"/>
      <c r="G190" s="108"/>
      <c r="H190" s="108"/>
      <c r="I190" s="108"/>
      <c r="J190" s="108"/>
      <c r="K190" s="108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</row>
    <row r="191">
      <c r="A191" s="108"/>
      <c r="B191" s="108"/>
      <c r="C191" s="108"/>
      <c r="D191" s="108"/>
      <c r="E191" s="108"/>
      <c r="F191" s="108"/>
      <c r="G191" s="108"/>
      <c r="H191" s="108"/>
      <c r="I191" s="108"/>
      <c r="J191" s="108"/>
      <c r="K191" s="108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</row>
    <row r="192">
      <c r="A192" s="108"/>
      <c r="B192" s="108"/>
      <c r="C192" s="108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</row>
    <row r="193">
      <c r="A193" s="108"/>
      <c r="B193" s="108"/>
      <c r="C193" s="108"/>
      <c r="D193" s="108"/>
      <c r="E193" s="108"/>
      <c r="F193" s="108"/>
      <c r="G193" s="108"/>
      <c r="H193" s="108"/>
      <c r="I193" s="108"/>
      <c r="J193" s="108"/>
      <c r="K193" s="108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  <c r="AH193" s="108"/>
      <c r="AI193" s="108"/>
    </row>
    <row r="194">
      <c r="A194" s="108"/>
      <c r="B194" s="108"/>
      <c r="C194" s="108"/>
      <c r="D194" s="108"/>
      <c r="E194" s="108"/>
      <c r="F194" s="108"/>
      <c r="G194" s="108"/>
      <c r="H194" s="108"/>
      <c r="I194" s="108"/>
      <c r="J194" s="108"/>
      <c r="K194" s="108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</row>
    <row r="195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  <c r="AH195" s="108"/>
      <c r="AI195" s="108"/>
    </row>
    <row r="196">
      <c r="A196" s="108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  <c r="AH196" s="108"/>
      <c r="AI196" s="108"/>
    </row>
    <row r="197">
      <c r="A197" s="108"/>
      <c r="B197" s="108"/>
      <c r="C197" s="108"/>
      <c r="D197" s="108"/>
      <c r="E197" s="108"/>
      <c r="F197" s="108"/>
      <c r="G197" s="108"/>
      <c r="H197" s="108"/>
      <c r="I197" s="108"/>
      <c r="J197" s="108"/>
      <c r="K197" s="108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  <c r="AH197" s="108"/>
      <c r="AI197" s="108"/>
    </row>
    <row r="198">
      <c r="A198" s="108"/>
      <c r="B198" s="108"/>
      <c r="C198" s="108"/>
      <c r="D198" s="108"/>
      <c r="E198" s="108"/>
      <c r="F198" s="108"/>
      <c r="G198" s="108"/>
      <c r="H198" s="108"/>
      <c r="I198" s="108"/>
      <c r="J198" s="108"/>
      <c r="K198" s="108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  <c r="AH198" s="108"/>
      <c r="AI198" s="108"/>
    </row>
    <row r="199">
      <c r="A199" s="108"/>
      <c r="B199" s="108"/>
      <c r="C199" s="108"/>
      <c r="D199" s="108"/>
      <c r="E199" s="108"/>
      <c r="F199" s="108"/>
      <c r="G199" s="108"/>
      <c r="H199" s="108"/>
      <c r="I199" s="108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  <c r="AH199" s="108"/>
      <c r="AI199" s="108"/>
    </row>
    <row r="200">
      <c r="A200" s="108"/>
      <c r="B200" s="108"/>
      <c r="C200" s="108"/>
      <c r="D200" s="108"/>
      <c r="E200" s="108"/>
      <c r="F200" s="108"/>
      <c r="G200" s="108"/>
      <c r="H200" s="108"/>
      <c r="I200" s="108"/>
      <c r="J200" s="108"/>
      <c r="K200" s="108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  <c r="AH200" s="108"/>
      <c r="AI200" s="108"/>
    </row>
    <row r="201">
      <c r="A201" s="108"/>
      <c r="B201" s="108"/>
      <c r="C201" s="108"/>
      <c r="D201" s="108"/>
      <c r="E201" s="108"/>
      <c r="F201" s="108"/>
      <c r="G201" s="108"/>
      <c r="H201" s="108"/>
      <c r="I201" s="108"/>
      <c r="J201" s="108"/>
      <c r="K201" s="108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  <c r="AH201" s="108"/>
      <c r="AI201" s="108"/>
    </row>
    <row r="202">
      <c r="A202" s="108"/>
      <c r="B202" s="108"/>
      <c r="C202" s="108"/>
      <c r="D202" s="108"/>
      <c r="E202" s="108"/>
      <c r="F202" s="108"/>
      <c r="G202" s="108"/>
      <c r="H202" s="108"/>
      <c r="I202" s="108"/>
      <c r="J202" s="108"/>
      <c r="K202" s="108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  <c r="AH202" s="108"/>
      <c r="AI202" s="108"/>
    </row>
    <row r="203">
      <c r="A203" s="108"/>
      <c r="B203" s="108"/>
      <c r="C203" s="108"/>
      <c r="D203" s="108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  <c r="AH203" s="108"/>
      <c r="AI203" s="108"/>
    </row>
    <row r="204">
      <c r="A204" s="108"/>
      <c r="B204" s="108"/>
      <c r="C204" s="108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  <c r="AH204" s="108"/>
      <c r="AI204" s="108"/>
    </row>
    <row r="205">
      <c r="A205" s="108"/>
      <c r="B205" s="108"/>
      <c r="C205" s="108"/>
      <c r="D205" s="108"/>
      <c r="E205" s="108"/>
      <c r="F205" s="108"/>
      <c r="G205" s="108"/>
      <c r="H205" s="108"/>
      <c r="I205" s="108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  <c r="AH205" s="108"/>
      <c r="AI205" s="108"/>
    </row>
    <row r="206">
      <c r="A206" s="108"/>
      <c r="B206" s="108"/>
      <c r="C206" s="108"/>
      <c r="D206" s="108"/>
      <c r="E206" s="108"/>
      <c r="F206" s="108"/>
      <c r="G206" s="108"/>
      <c r="H206" s="108"/>
      <c r="I206" s="108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  <c r="AH206" s="108"/>
      <c r="AI206" s="108"/>
    </row>
    <row r="207">
      <c r="A207" s="108"/>
      <c r="B207" s="108"/>
      <c r="C207" s="108"/>
      <c r="D207" s="108"/>
      <c r="E207" s="108"/>
      <c r="F207" s="108"/>
      <c r="G207" s="108"/>
      <c r="H207" s="108"/>
      <c r="I207" s="108"/>
      <c r="J207" s="108"/>
      <c r="K207" s="108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  <c r="AH207" s="108"/>
      <c r="AI207" s="108"/>
    </row>
    <row r="208">
      <c r="A208" s="108"/>
      <c r="B208" s="108"/>
      <c r="C208" s="108"/>
      <c r="D208" s="108"/>
      <c r="E208" s="108"/>
      <c r="F208" s="108"/>
      <c r="G208" s="108"/>
      <c r="H208" s="108"/>
      <c r="I208" s="108"/>
      <c r="J208" s="108"/>
      <c r="K208" s="108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</row>
    <row r="209">
      <c r="A209" s="108"/>
      <c r="B209" s="108"/>
      <c r="C209" s="108"/>
      <c r="D209" s="108"/>
      <c r="E209" s="108"/>
      <c r="F209" s="108"/>
      <c r="G209" s="108"/>
      <c r="H209" s="108"/>
      <c r="I209" s="108"/>
      <c r="J209" s="108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  <c r="AH209" s="108"/>
      <c r="AI209" s="108"/>
    </row>
    <row r="210">
      <c r="A210" s="108"/>
      <c r="B210" s="108"/>
      <c r="C210" s="108"/>
      <c r="D210" s="108"/>
      <c r="E210" s="108"/>
      <c r="F210" s="108"/>
      <c r="G210" s="108"/>
      <c r="H210" s="108"/>
      <c r="I210" s="108"/>
      <c r="J210" s="108"/>
      <c r="K210" s="108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</row>
    <row r="211">
      <c r="A211" s="108"/>
      <c r="B211" s="108"/>
      <c r="C211" s="108"/>
      <c r="D211" s="108"/>
      <c r="E211" s="108"/>
      <c r="F211" s="108"/>
      <c r="G211" s="108"/>
      <c r="H211" s="108"/>
      <c r="I211" s="108"/>
      <c r="J211" s="108"/>
      <c r="K211" s="108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  <c r="AH211" s="108"/>
      <c r="AI211" s="108"/>
    </row>
    <row r="212">
      <c r="A212" s="108"/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  <c r="AH212" s="108"/>
      <c r="AI212" s="108"/>
    </row>
    <row r="213">
      <c r="A213" s="108"/>
      <c r="B213" s="108"/>
      <c r="C213" s="108"/>
      <c r="D213" s="108"/>
      <c r="E213" s="108"/>
      <c r="F213" s="108"/>
      <c r="G213" s="108"/>
      <c r="H213" s="108"/>
      <c r="I213" s="108"/>
      <c r="J213" s="108"/>
      <c r="K213" s="108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  <c r="AH213" s="108"/>
      <c r="AI213" s="108"/>
    </row>
    <row r="214">
      <c r="A214" s="108"/>
      <c r="B214" s="108"/>
      <c r="C214" s="108"/>
      <c r="D214" s="108"/>
      <c r="E214" s="108"/>
      <c r="F214" s="108"/>
      <c r="G214" s="108"/>
      <c r="H214" s="108"/>
      <c r="I214" s="108"/>
      <c r="J214" s="108"/>
      <c r="K214" s="108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  <c r="AH214" s="108"/>
      <c r="AI214" s="108"/>
    </row>
    <row r="215">
      <c r="A215" s="108"/>
      <c r="B215" s="108"/>
      <c r="C215" s="108"/>
      <c r="D215" s="108"/>
      <c r="E215" s="108"/>
      <c r="F215" s="108"/>
      <c r="G215" s="108"/>
      <c r="H215" s="108"/>
      <c r="I215" s="108"/>
      <c r="J215" s="108"/>
      <c r="K215" s="108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  <c r="AH215" s="108"/>
      <c r="AI215" s="108"/>
    </row>
    <row r="216">
      <c r="A216" s="108"/>
      <c r="B216" s="108"/>
      <c r="C216" s="108"/>
      <c r="D216" s="108"/>
      <c r="E216" s="108"/>
      <c r="F216" s="108"/>
      <c r="G216" s="108"/>
      <c r="H216" s="108"/>
      <c r="I216" s="108"/>
      <c r="J216" s="108"/>
      <c r="K216" s="108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  <c r="AH216" s="108"/>
      <c r="AI216" s="108"/>
    </row>
    <row r="217">
      <c r="A217" s="108"/>
      <c r="B217" s="108"/>
      <c r="C217" s="108"/>
      <c r="D217" s="108"/>
      <c r="E217" s="108"/>
      <c r="F217" s="108"/>
      <c r="G217" s="108"/>
      <c r="H217" s="108"/>
      <c r="I217" s="108"/>
      <c r="J217" s="108"/>
      <c r="K217" s="108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  <c r="AH217" s="108"/>
      <c r="AI217" s="108"/>
    </row>
    <row r="218">
      <c r="A218" s="108"/>
      <c r="B218" s="108"/>
      <c r="C218" s="108"/>
      <c r="D218" s="108"/>
      <c r="E218" s="108"/>
      <c r="F218" s="108"/>
      <c r="G218" s="108"/>
      <c r="H218" s="108"/>
      <c r="I218" s="108"/>
      <c r="J218" s="108"/>
      <c r="K218" s="108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  <c r="AH218" s="108"/>
      <c r="AI218" s="108"/>
    </row>
    <row r="219">
      <c r="A219" s="108"/>
      <c r="B219" s="108"/>
      <c r="C219" s="108"/>
      <c r="D219" s="108"/>
      <c r="E219" s="108"/>
      <c r="F219" s="108"/>
      <c r="G219" s="108"/>
      <c r="H219" s="108"/>
      <c r="I219" s="108"/>
      <c r="J219" s="108"/>
      <c r="K219" s="108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  <c r="AH219" s="108"/>
      <c r="AI219" s="108"/>
    </row>
    <row r="220">
      <c r="A220" s="108"/>
      <c r="B220" s="108"/>
      <c r="C220" s="108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  <c r="AH220" s="108"/>
      <c r="AI220" s="108"/>
    </row>
    <row r="221">
      <c r="A221" s="108"/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  <c r="AH221" s="108"/>
      <c r="AI221" s="108"/>
    </row>
    <row r="222">
      <c r="A222" s="108"/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  <c r="AH222" s="108"/>
      <c r="AI222" s="108"/>
    </row>
    <row r="223">
      <c r="A223" s="108"/>
      <c r="B223" s="108"/>
      <c r="C223" s="108"/>
      <c r="D223" s="108"/>
      <c r="E223" s="108"/>
      <c r="F223" s="108"/>
      <c r="G223" s="108"/>
      <c r="H223" s="108"/>
      <c r="I223" s="108"/>
      <c r="J223" s="108"/>
      <c r="K223" s="108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  <c r="AH223" s="108"/>
      <c r="AI223" s="108"/>
    </row>
    <row r="224">
      <c r="A224" s="108"/>
      <c r="B224" s="108"/>
      <c r="C224" s="108"/>
      <c r="D224" s="108"/>
      <c r="E224" s="108"/>
      <c r="F224" s="108"/>
      <c r="G224" s="108"/>
      <c r="H224" s="108"/>
      <c r="I224" s="108"/>
      <c r="J224" s="108"/>
      <c r="K224" s="108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  <c r="AH224" s="108"/>
      <c r="AI224" s="108"/>
    </row>
    <row r="225">
      <c r="A225" s="108"/>
      <c r="B225" s="108"/>
      <c r="C225" s="108"/>
      <c r="D225" s="108"/>
      <c r="E225" s="108"/>
      <c r="F225" s="108"/>
      <c r="G225" s="108"/>
      <c r="H225" s="108"/>
      <c r="I225" s="108"/>
      <c r="J225" s="108"/>
      <c r="K225" s="108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  <c r="AH225" s="108"/>
      <c r="AI225" s="108"/>
    </row>
    <row r="226">
      <c r="A226" s="108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  <c r="AH226" s="108"/>
      <c r="AI226" s="108"/>
    </row>
    <row r="227">
      <c r="A227" s="108"/>
      <c r="B227" s="108"/>
      <c r="C227" s="108"/>
      <c r="D227" s="108"/>
      <c r="E227" s="108"/>
      <c r="F227" s="108"/>
      <c r="G227" s="108"/>
      <c r="H227" s="108"/>
      <c r="I227" s="108"/>
      <c r="J227" s="108"/>
      <c r="K227" s="108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  <c r="AH227" s="108"/>
      <c r="AI227" s="108"/>
    </row>
    <row r="228">
      <c r="A228" s="108"/>
      <c r="B228" s="108"/>
      <c r="C228" s="108"/>
      <c r="D228" s="108"/>
      <c r="E228" s="108"/>
      <c r="F228" s="108"/>
      <c r="G228" s="108"/>
      <c r="H228" s="108"/>
      <c r="I228" s="108"/>
      <c r="J228" s="108"/>
      <c r="K228" s="108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  <c r="AH228" s="108"/>
      <c r="AI228" s="108"/>
    </row>
    <row r="229">
      <c r="A229" s="108"/>
      <c r="B229" s="108"/>
      <c r="C229" s="108"/>
      <c r="D229" s="108"/>
      <c r="E229" s="108"/>
      <c r="F229" s="108"/>
      <c r="G229" s="108"/>
      <c r="H229" s="108"/>
      <c r="I229" s="108"/>
      <c r="J229" s="108"/>
      <c r="K229" s="108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  <c r="AH229" s="108"/>
      <c r="AI229" s="108"/>
    </row>
    <row r="230">
      <c r="A230" s="108"/>
      <c r="B230" s="108"/>
      <c r="C230" s="108"/>
      <c r="D230" s="108"/>
      <c r="E230" s="108"/>
      <c r="F230" s="108"/>
      <c r="G230" s="108"/>
      <c r="H230" s="108"/>
      <c r="I230" s="108"/>
      <c r="J230" s="108"/>
      <c r="K230" s="108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  <c r="AH230" s="108"/>
      <c r="AI230" s="108"/>
    </row>
    <row r="231">
      <c r="A231" s="108"/>
      <c r="B231" s="108"/>
      <c r="C231" s="108"/>
      <c r="D231" s="108"/>
      <c r="E231" s="108"/>
      <c r="F231" s="108"/>
      <c r="G231" s="108"/>
      <c r="H231" s="108"/>
      <c r="I231" s="108"/>
      <c r="J231" s="108"/>
      <c r="K231" s="108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  <c r="AH231" s="108"/>
      <c r="AI231" s="108"/>
    </row>
    <row r="232">
      <c r="A232" s="108"/>
      <c r="B232" s="108"/>
      <c r="C232" s="108"/>
      <c r="D232" s="108"/>
      <c r="E232" s="108"/>
      <c r="F232" s="108"/>
      <c r="G232" s="108"/>
      <c r="H232" s="108"/>
      <c r="I232" s="108"/>
      <c r="J232" s="108"/>
      <c r="K232" s="108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  <c r="AH232" s="108"/>
      <c r="AI232" s="108"/>
    </row>
    <row r="233">
      <c r="A233" s="108"/>
      <c r="B233" s="108"/>
      <c r="C233" s="108"/>
      <c r="D233" s="108"/>
      <c r="E233" s="108"/>
      <c r="F233" s="108"/>
      <c r="G233" s="108"/>
      <c r="H233" s="108"/>
      <c r="I233" s="108"/>
      <c r="J233" s="108"/>
      <c r="K233" s="108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  <c r="AH233" s="108"/>
      <c r="AI233" s="108"/>
    </row>
    <row r="234">
      <c r="A234" s="108"/>
      <c r="B234" s="108"/>
      <c r="C234" s="108"/>
      <c r="D234" s="108"/>
      <c r="E234" s="108"/>
      <c r="F234" s="108"/>
      <c r="G234" s="108"/>
      <c r="H234" s="108"/>
      <c r="I234" s="108"/>
      <c r="J234" s="108"/>
      <c r="K234" s="108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  <c r="AH234" s="108"/>
      <c r="AI234" s="108"/>
    </row>
    <row r="235">
      <c r="A235" s="108"/>
      <c r="B235" s="108"/>
      <c r="C235" s="108"/>
      <c r="D235" s="108"/>
      <c r="E235" s="108"/>
      <c r="F235" s="108"/>
      <c r="G235" s="108"/>
      <c r="H235" s="108"/>
      <c r="I235" s="108"/>
      <c r="J235" s="108"/>
      <c r="K235" s="108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  <c r="AH235" s="108"/>
      <c r="AI235" s="108"/>
    </row>
    <row r="236">
      <c r="A236" s="108"/>
      <c r="B236" s="108"/>
      <c r="C236" s="108"/>
      <c r="D236" s="108"/>
      <c r="E236" s="108"/>
      <c r="F236" s="108"/>
      <c r="G236" s="108"/>
      <c r="H236" s="108"/>
      <c r="I236" s="108"/>
      <c r="J236" s="108"/>
      <c r="K236" s="108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  <c r="AH236" s="108"/>
      <c r="AI236" s="108"/>
    </row>
    <row r="237">
      <c r="A237" s="108"/>
      <c r="B237" s="108"/>
      <c r="C237" s="108"/>
      <c r="D237" s="108"/>
      <c r="E237" s="108"/>
      <c r="F237" s="108"/>
      <c r="G237" s="108"/>
      <c r="H237" s="108"/>
      <c r="I237" s="108"/>
      <c r="J237" s="108"/>
      <c r="K237" s="108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  <c r="AH237" s="108"/>
      <c r="AI237" s="108"/>
    </row>
    <row r="238">
      <c r="A238" s="108"/>
      <c r="B238" s="108"/>
      <c r="C238" s="108"/>
      <c r="D238" s="108"/>
      <c r="E238" s="108"/>
      <c r="F238" s="108"/>
      <c r="G238" s="108"/>
      <c r="H238" s="108"/>
      <c r="I238" s="108"/>
      <c r="J238" s="108"/>
      <c r="K238" s="108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  <c r="AH238" s="108"/>
      <c r="AI238" s="108"/>
    </row>
    <row r="239">
      <c r="A239" s="108"/>
      <c r="B239" s="108"/>
      <c r="C239" s="108"/>
      <c r="D239" s="108"/>
      <c r="E239" s="108"/>
      <c r="F239" s="108"/>
      <c r="G239" s="108"/>
      <c r="H239" s="108"/>
      <c r="I239" s="108"/>
      <c r="J239" s="108"/>
      <c r="K239" s="108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  <c r="AH239" s="108"/>
      <c r="AI239" s="108"/>
    </row>
    <row r="240">
      <c r="A240" s="108"/>
      <c r="B240" s="108"/>
      <c r="C240" s="108"/>
      <c r="D240" s="108"/>
      <c r="E240" s="108"/>
      <c r="F240" s="108"/>
      <c r="G240" s="108"/>
      <c r="H240" s="108"/>
      <c r="I240" s="108"/>
      <c r="J240" s="108"/>
      <c r="K240" s="108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  <c r="AH240" s="108"/>
      <c r="AI240" s="108"/>
    </row>
    <row r="241">
      <c r="A241" s="108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  <c r="AH241" s="108"/>
      <c r="AI241" s="108"/>
    </row>
    <row r="242">
      <c r="A242" s="108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  <c r="AH242" s="108"/>
      <c r="AI242" s="108"/>
    </row>
    <row r="243">
      <c r="A243" s="108"/>
      <c r="B243" s="108"/>
      <c r="C243" s="108"/>
      <c r="D243" s="108"/>
      <c r="E243" s="108"/>
      <c r="F243" s="108"/>
      <c r="G243" s="108"/>
      <c r="H243" s="108"/>
      <c r="I243" s="108"/>
      <c r="J243" s="108"/>
      <c r="K243" s="108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  <c r="AH243" s="108"/>
      <c r="AI243" s="108"/>
    </row>
    <row r="244">
      <c r="A244" s="108"/>
      <c r="B244" s="108"/>
      <c r="C244" s="108"/>
      <c r="D244" s="108"/>
      <c r="E244" s="108"/>
      <c r="F244" s="108"/>
      <c r="G244" s="108"/>
      <c r="H244" s="108"/>
      <c r="I244" s="108"/>
      <c r="J244" s="108"/>
      <c r="K244" s="108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  <c r="AH244" s="108"/>
      <c r="AI244" s="108"/>
    </row>
    <row r="245">
      <c r="A245" s="108"/>
      <c r="B245" s="108"/>
      <c r="C245" s="108"/>
      <c r="D245" s="108"/>
      <c r="E245" s="108"/>
      <c r="F245" s="108"/>
      <c r="G245" s="108"/>
      <c r="H245" s="108"/>
      <c r="I245" s="108"/>
      <c r="J245" s="108"/>
      <c r="K245" s="108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  <c r="AH245" s="108"/>
      <c r="AI245" s="108"/>
    </row>
    <row r="246">
      <c r="A246" s="108"/>
      <c r="B246" s="108"/>
      <c r="C246" s="108"/>
      <c r="D246" s="108"/>
      <c r="E246" s="108"/>
      <c r="F246" s="108"/>
      <c r="G246" s="108"/>
      <c r="H246" s="108"/>
      <c r="I246" s="108"/>
      <c r="J246" s="108"/>
      <c r="K246" s="108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  <c r="AH246" s="108"/>
      <c r="AI246" s="108"/>
    </row>
    <row r="247">
      <c r="A247" s="108"/>
      <c r="B247" s="108"/>
      <c r="C247" s="108"/>
      <c r="D247" s="108"/>
      <c r="E247" s="108"/>
      <c r="F247" s="108"/>
      <c r="G247" s="108"/>
      <c r="H247" s="108"/>
      <c r="I247" s="108"/>
      <c r="J247" s="108"/>
      <c r="K247" s="108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  <c r="AH247" s="108"/>
      <c r="AI247" s="108"/>
    </row>
    <row r="248">
      <c r="A248" s="108"/>
      <c r="B248" s="108"/>
      <c r="C248" s="108"/>
      <c r="D248" s="108"/>
      <c r="E248" s="108"/>
      <c r="F248" s="108"/>
      <c r="G248" s="108"/>
      <c r="H248" s="108"/>
      <c r="I248" s="108"/>
      <c r="J248" s="108"/>
      <c r="K248" s="108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  <c r="AH248" s="108"/>
      <c r="AI248" s="108"/>
    </row>
    <row r="249">
      <c r="A249" s="108"/>
      <c r="B249" s="108"/>
      <c r="C249" s="108"/>
      <c r="D249" s="108"/>
      <c r="E249" s="108"/>
      <c r="F249" s="108"/>
      <c r="G249" s="108"/>
      <c r="H249" s="108"/>
      <c r="I249" s="108"/>
      <c r="J249" s="108"/>
      <c r="K249" s="108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  <c r="AH249" s="108"/>
      <c r="AI249" s="108"/>
    </row>
    <row r="250">
      <c r="A250" s="108"/>
      <c r="B250" s="108"/>
      <c r="C250" s="108"/>
      <c r="D250" s="108"/>
      <c r="E250" s="108"/>
      <c r="F250" s="108"/>
      <c r="G250" s="108"/>
      <c r="H250" s="108"/>
      <c r="I250" s="108"/>
      <c r="J250" s="108"/>
      <c r="K250" s="108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  <c r="AH250" s="108"/>
      <c r="AI250" s="108"/>
    </row>
    <row r="251">
      <c r="A251" s="108"/>
      <c r="B251" s="108"/>
      <c r="C251" s="108"/>
      <c r="D251" s="108"/>
      <c r="E251" s="108"/>
      <c r="F251" s="108"/>
      <c r="G251" s="108"/>
      <c r="H251" s="108"/>
      <c r="I251" s="108"/>
      <c r="J251" s="108"/>
      <c r="K251" s="108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  <c r="AH251" s="108"/>
      <c r="AI251" s="108"/>
    </row>
    <row r="252">
      <c r="A252" s="108"/>
      <c r="B252" s="108"/>
      <c r="C252" s="108"/>
      <c r="D252" s="108"/>
      <c r="E252" s="108"/>
      <c r="F252" s="108"/>
      <c r="G252" s="108"/>
      <c r="H252" s="108"/>
      <c r="I252" s="108"/>
      <c r="J252" s="108"/>
      <c r="K252" s="108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  <c r="AH252" s="108"/>
      <c r="AI252" s="108"/>
    </row>
    <row r="253">
      <c r="A253" s="108"/>
      <c r="B253" s="108"/>
      <c r="C253" s="108"/>
      <c r="D253" s="108"/>
      <c r="E253" s="108"/>
      <c r="F253" s="108"/>
      <c r="G253" s="108"/>
      <c r="H253" s="108"/>
      <c r="I253" s="108"/>
      <c r="J253" s="108"/>
      <c r="K253" s="108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  <c r="AH253" s="108"/>
      <c r="AI253" s="108"/>
    </row>
    <row r="254">
      <c r="A254" s="108"/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  <c r="AH254" s="108"/>
      <c r="AI254" s="108"/>
    </row>
    <row r="255">
      <c r="A255" s="108"/>
      <c r="B255" s="108"/>
      <c r="C255" s="108"/>
      <c r="D255" s="108"/>
      <c r="E255" s="108"/>
      <c r="F255" s="108"/>
      <c r="G255" s="108"/>
      <c r="H255" s="108"/>
      <c r="I255" s="108"/>
      <c r="J255" s="108"/>
      <c r="K255" s="108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  <c r="AH255" s="108"/>
      <c r="AI255" s="108"/>
    </row>
    <row r="256">
      <c r="A256" s="108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  <c r="AH256" s="108"/>
      <c r="AI256" s="108"/>
    </row>
    <row r="257">
      <c r="A257" s="108"/>
      <c r="B257" s="108"/>
      <c r="C257" s="108"/>
      <c r="D257" s="108"/>
      <c r="E257" s="108"/>
      <c r="F257" s="108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  <c r="AH257" s="108"/>
      <c r="AI257" s="108"/>
    </row>
    <row r="258">
      <c r="A258" s="108"/>
      <c r="B258" s="108"/>
      <c r="C258" s="108"/>
      <c r="D258" s="108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  <c r="AH258" s="108"/>
      <c r="AI258" s="108"/>
    </row>
    <row r="259">
      <c r="A259" s="108"/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  <c r="AH259" s="108"/>
      <c r="AI259" s="108"/>
    </row>
    <row r="260">
      <c r="A260" s="108"/>
      <c r="B260" s="108"/>
      <c r="C260" s="108"/>
      <c r="D260" s="108"/>
      <c r="E260" s="108"/>
      <c r="F260" s="108"/>
      <c r="G260" s="108"/>
      <c r="H260" s="108"/>
      <c r="I260" s="108"/>
      <c r="J260" s="108"/>
      <c r="K260" s="108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  <c r="AH260" s="108"/>
      <c r="AI260" s="108"/>
    </row>
    <row r="261">
      <c r="A261" s="108"/>
      <c r="B261" s="108"/>
      <c r="C261" s="108"/>
      <c r="D261" s="108"/>
      <c r="E261" s="108"/>
      <c r="F261" s="108"/>
      <c r="G261" s="108"/>
      <c r="H261" s="108"/>
      <c r="I261" s="108"/>
      <c r="J261" s="108"/>
      <c r="K261" s="108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  <c r="AH261" s="108"/>
      <c r="AI261" s="108"/>
    </row>
    <row r="262">
      <c r="A262" s="108"/>
      <c r="B262" s="108"/>
      <c r="C262" s="108"/>
      <c r="D262" s="108"/>
      <c r="E262" s="108"/>
      <c r="F262" s="108"/>
      <c r="G262" s="108"/>
      <c r="H262" s="108"/>
      <c r="I262" s="108"/>
      <c r="J262" s="108"/>
      <c r="K262" s="108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  <c r="AH262" s="108"/>
      <c r="AI262" s="108"/>
    </row>
    <row r="263">
      <c r="A263" s="108"/>
      <c r="B263" s="108"/>
      <c r="C263" s="108"/>
      <c r="D263" s="108"/>
      <c r="E263" s="108"/>
      <c r="F263" s="108"/>
      <c r="G263" s="108"/>
      <c r="H263" s="108"/>
      <c r="I263" s="108"/>
      <c r="J263" s="108"/>
      <c r="K263" s="108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  <c r="AH263" s="108"/>
      <c r="AI263" s="108"/>
    </row>
    <row r="264">
      <c r="A264" s="108"/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  <c r="AH264" s="108"/>
      <c r="AI264" s="108"/>
    </row>
    <row r="265">
      <c r="A265" s="108"/>
      <c r="B265" s="108"/>
      <c r="C265" s="108"/>
      <c r="D265" s="108"/>
      <c r="E265" s="108"/>
      <c r="F265" s="108"/>
      <c r="G265" s="108"/>
      <c r="H265" s="108"/>
      <c r="I265" s="108"/>
      <c r="J265" s="108"/>
      <c r="K265" s="108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  <c r="AH265" s="108"/>
      <c r="AI265" s="108"/>
    </row>
    <row r="266">
      <c r="A266" s="108"/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  <c r="AH266" s="108"/>
      <c r="AI266" s="108"/>
    </row>
    <row r="267">
      <c r="A267" s="108"/>
      <c r="B267" s="108"/>
      <c r="C267" s="108"/>
      <c r="D267" s="108"/>
      <c r="E267" s="108"/>
      <c r="F267" s="108"/>
      <c r="G267" s="108"/>
      <c r="H267" s="108"/>
      <c r="I267" s="108"/>
      <c r="J267" s="108"/>
      <c r="K267" s="108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  <c r="AH267" s="108"/>
      <c r="AI267" s="108"/>
    </row>
    <row r="268">
      <c r="A268" s="108"/>
      <c r="B268" s="108"/>
      <c r="C268" s="108"/>
      <c r="D268" s="108"/>
      <c r="E268" s="108"/>
      <c r="F268" s="108"/>
      <c r="G268" s="108"/>
      <c r="H268" s="108"/>
      <c r="I268" s="108"/>
      <c r="J268" s="108"/>
      <c r="K268" s="108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  <c r="AH268" s="108"/>
      <c r="AI268" s="108"/>
    </row>
    <row r="269">
      <c r="A269" s="108"/>
      <c r="B269" s="108"/>
      <c r="C269" s="108"/>
      <c r="D269" s="108"/>
      <c r="E269" s="108"/>
      <c r="F269" s="108"/>
      <c r="G269" s="108"/>
      <c r="H269" s="108"/>
      <c r="I269" s="108"/>
      <c r="J269" s="108"/>
      <c r="K269" s="108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  <c r="AH269" s="108"/>
      <c r="AI269" s="108"/>
    </row>
    <row r="270">
      <c r="A270" s="108"/>
      <c r="B270" s="108"/>
      <c r="C270" s="108"/>
      <c r="D270" s="108"/>
      <c r="E270" s="108"/>
      <c r="F270" s="108"/>
      <c r="G270" s="108"/>
      <c r="H270" s="108"/>
      <c r="I270" s="108"/>
      <c r="J270" s="108"/>
      <c r="K270" s="108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  <c r="AH270" s="108"/>
      <c r="AI270" s="108"/>
    </row>
    <row r="271">
      <c r="A271" s="108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  <c r="AH271" s="108"/>
      <c r="AI271" s="108"/>
    </row>
    <row r="272">
      <c r="A272" s="108"/>
      <c r="B272" s="108"/>
      <c r="C272" s="108"/>
      <c r="D272" s="108"/>
      <c r="E272" s="108"/>
      <c r="F272" s="108"/>
      <c r="G272" s="108"/>
      <c r="H272" s="108"/>
      <c r="I272" s="108"/>
      <c r="J272" s="108"/>
      <c r="K272" s="108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  <c r="AH272" s="108"/>
      <c r="AI272" s="108"/>
    </row>
    <row r="273">
      <c r="A273" s="108"/>
      <c r="B273" s="108"/>
      <c r="C273" s="108"/>
      <c r="D273" s="108"/>
      <c r="E273" s="108"/>
      <c r="F273" s="108"/>
      <c r="G273" s="108"/>
      <c r="H273" s="108"/>
      <c r="I273" s="108"/>
      <c r="J273" s="108"/>
      <c r="K273" s="108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  <c r="AH273" s="108"/>
      <c r="AI273" s="108"/>
    </row>
    <row r="274">
      <c r="A274" s="108"/>
      <c r="B274" s="108"/>
      <c r="C274" s="108"/>
      <c r="D274" s="108"/>
      <c r="E274" s="108"/>
      <c r="F274" s="108"/>
      <c r="G274" s="108"/>
      <c r="H274" s="108"/>
      <c r="I274" s="108"/>
      <c r="J274" s="108"/>
      <c r="K274" s="108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  <c r="AH274" s="108"/>
      <c r="AI274" s="108"/>
    </row>
    <row r="275">
      <c r="A275" s="108"/>
      <c r="B275" s="108"/>
      <c r="C275" s="108"/>
      <c r="D275" s="108"/>
      <c r="E275" s="108"/>
      <c r="F275" s="108"/>
      <c r="G275" s="108"/>
      <c r="H275" s="108"/>
      <c r="I275" s="108"/>
      <c r="J275" s="108"/>
      <c r="K275" s="108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  <c r="AH275" s="108"/>
      <c r="AI275" s="108"/>
    </row>
    <row r="276">
      <c r="A276" s="108"/>
      <c r="B276" s="108"/>
      <c r="C276" s="108"/>
      <c r="D276" s="108"/>
      <c r="E276" s="108"/>
      <c r="F276" s="108"/>
      <c r="G276" s="108"/>
      <c r="H276" s="108"/>
      <c r="I276" s="108"/>
      <c r="J276" s="108"/>
      <c r="K276" s="108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  <c r="AH276" s="108"/>
      <c r="AI276" s="108"/>
    </row>
    <row r="277">
      <c r="A277" s="108"/>
      <c r="B277" s="108"/>
      <c r="C277" s="108"/>
      <c r="D277" s="108"/>
      <c r="E277" s="108"/>
      <c r="F277" s="108"/>
      <c r="G277" s="108"/>
      <c r="H277" s="108"/>
      <c r="I277" s="108"/>
      <c r="J277" s="108"/>
      <c r="K277" s="108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  <c r="AH277" s="108"/>
      <c r="AI277" s="108"/>
    </row>
    <row r="278">
      <c r="A278" s="108"/>
      <c r="B278" s="108"/>
      <c r="C278" s="108"/>
      <c r="D278" s="108"/>
      <c r="E278" s="108"/>
      <c r="F278" s="108"/>
      <c r="G278" s="108"/>
      <c r="H278" s="108"/>
      <c r="I278" s="108"/>
      <c r="J278" s="108"/>
      <c r="K278" s="108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  <c r="AH278" s="108"/>
      <c r="AI278" s="108"/>
    </row>
    <row r="279">
      <c r="A279" s="108"/>
      <c r="B279" s="108"/>
      <c r="C279" s="108"/>
      <c r="D279" s="108"/>
      <c r="E279" s="108"/>
      <c r="F279" s="108"/>
      <c r="G279" s="108"/>
      <c r="H279" s="108"/>
      <c r="I279" s="108"/>
      <c r="J279" s="108"/>
      <c r="K279" s="108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  <c r="AH279" s="108"/>
      <c r="AI279" s="108"/>
    </row>
    <row r="280">
      <c r="A280" s="108"/>
      <c r="B280" s="108"/>
      <c r="C280" s="108"/>
      <c r="D280" s="108"/>
      <c r="E280" s="108"/>
      <c r="F280" s="108"/>
      <c r="G280" s="108"/>
      <c r="H280" s="108"/>
      <c r="I280" s="108"/>
      <c r="J280" s="108"/>
      <c r="K280" s="108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  <c r="AH280" s="108"/>
      <c r="AI280" s="108"/>
    </row>
    <row r="281">
      <c r="A281" s="108"/>
      <c r="B281" s="108"/>
      <c r="C281" s="108"/>
      <c r="D281" s="108"/>
      <c r="E281" s="108"/>
      <c r="F281" s="108"/>
      <c r="G281" s="108"/>
      <c r="H281" s="108"/>
      <c r="I281" s="108"/>
      <c r="J281" s="108"/>
      <c r="K281" s="108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  <c r="AH281" s="108"/>
      <c r="AI281" s="108"/>
    </row>
    <row r="282">
      <c r="A282" s="108"/>
      <c r="B282" s="108"/>
      <c r="C282" s="108"/>
      <c r="D282" s="108"/>
      <c r="E282" s="108"/>
      <c r="F282" s="108"/>
      <c r="G282" s="108"/>
      <c r="H282" s="108"/>
      <c r="I282" s="108"/>
      <c r="J282" s="108"/>
      <c r="K282" s="108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  <c r="AH282" s="108"/>
      <c r="AI282" s="108"/>
    </row>
    <row r="283">
      <c r="A283" s="108"/>
      <c r="B283" s="108"/>
      <c r="C283" s="108"/>
      <c r="D283" s="108"/>
      <c r="E283" s="108"/>
      <c r="F283" s="108"/>
      <c r="G283" s="108"/>
      <c r="H283" s="108"/>
      <c r="I283" s="108"/>
      <c r="J283" s="108"/>
      <c r="K283" s="108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  <c r="AH283" s="108"/>
      <c r="AI283" s="108"/>
    </row>
    <row r="284">
      <c r="A284" s="108"/>
      <c r="B284" s="108"/>
      <c r="C284" s="108"/>
      <c r="D284" s="108"/>
      <c r="E284" s="108"/>
      <c r="F284" s="108"/>
      <c r="G284" s="108"/>
      <c r="H284" s="108"/>
      <c r="I284" s="108"/>
      <c r="J284" s="108"/>
      <c r="K284" s="108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  <c r="AH284" s="108"/>
      <c r="AI284" s="108"/>
    </row>
    <row r="285">
      <c r="A285" s="108"/>
      <c r="B285" s="108"/>
      <c r="C285" s="108"/>
      <c r="D285" s="108"/>
      <c r="E285" s="108"/>
      <c r="F285" s="108"/>
      <c r="G285" s="108"/>
      <c r="H285" s="108"/>
      <c r="I285" s="108"/>
      <c r="J285" s="108"/>
      <c r="K285" s="108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  <c r="AH285" s="108"/>
      <c r="AI285" s="108"/>
    </row>
    <row r="286">
      <c r="A286" s="108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  <c r="AH286" s="108"/>
      <c r="AI286" s="108"/>
    </row>
    <row r="287">
      <c r="A287" s="108"/>
      <c r="B287" s="108"/>
      <c r="C287" s="108"/>
      <c r="D287" s="108"/>
      <c r="E287" s="108"/>
      <c r="F287" s="108"/>
      <c r="G287" s="108"/>
      <c r="H287" s="108"/>
      <c r="I287" s="108"/>
      <c r="J287" s="108"/>
      <c r="K287" s="108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  <c r="AH287" s="108"/>
      <c r="AI287" s="108"/>
    </row>
    <row r="288">
      <c r="A288" s="108"/>
      <c r="B288" s="108"/>
      <c r="C288" s="108"/>
      <c r="D288" s="108"/>
      <c r="E288" s="108"/>
      <c r="F288" s="108"/>
      <c r="G288" s="108"/>
      <c r="H288" s="108"/>
      <c r="I288" s="108"/>
      <c r="J288" s="108"/>
      <c r="K288" s="108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  <c r="AH288" s="108"/>
      <c r="AI288" s="108"/>
    </row>
    <row r="289">
      <c r="A289" s="108"/>
      <c r="B289" s="108"/>
      <c r="C289" s="108"/>
      <c r="D289" s="108"/>
      <c r="E289" s="108"/>
      <c r="F289" s="108"/>
      <c r="G289" s="108"/>
      <c r="H289" s="108"/>
      <c r="I289" s="108"/>
      <c r="J289" s="108"/>
      <c r="K289" s="108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  <c r="AH289" s="108"/>
      <c r="AI289" s="108"/>
    </row>
    <row r="290">
      <c r="A290" s="108"/>
      <c r="B290" s="108"/>
      <c r="C290" s="108"/>
      <c r="D290" s="108"/>
      <c r="E290" s="108"/>
      <c r="F290" s="108"/>
      <c r="G290" s="108"/>
      <c r="H290" s="108"/>
      <c r="I290" s="108"/>
      <c r="J290" s="108"/>
      <c r="K290" s="108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  <c r="AH290" s="108"/>
      <c r="AI290" s="108"/>
    </row>
    <row r="291">
      <c r="A291" s="108"/>
      <c r="B291" s="108"/>
      <c r="C291" s="108"/>
      <c r="D291" s="108"/>
      <c r="E291" s="108"/>
      <c r="F291" s="108"/>
      <c r="G291" s="108"/>
      <c r="H291" s="108"/>
      <c r="I291" s="108"/>
      <c r="J291" s="108"/>
      <c r="K291" s="108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  <c r="AH291" s="108"/>
      <c r="AI291" s="108"/>
    </row>
    <row r="292">
      <c r="A292" s="108"/>
      <c r="B292" s="108"/>
      <c r="C292" s="108"/>
      <c r="D292" s="108"/>
      <c r="E292" s="108"/>
      <c r="F292" s="108"/>
      <c r="G292" s="108"/>
      <c r="H292" s="108"/>
      <c r="I292" s="108"/>
      <c r="J292" s="108"/>
      <c r="K292" s="108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  <c r="AH292" s="108"/>
      <c r="AI292" s="108"/>
    </row>
    <row r="293">
      <c r="A293" s="108"/>
      <c r="B293" s="108"/>
      <c r="C293" s="108"/>
      <c r="D293" s="108"/>
      <c r="E293" s="108"/>
      <c r="F293" s="108"/>
      <c r="G293" s="108"/>
      <c r="H293" s="108"/>
      <c r="I293" s="108"/>
      <c r="J293" s="108"/>
      <c r="K293" s="108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  <c r="AH293" s="108"/>
      <c r="AI293" s="108"/>
    </row>
    <row r="294">
      <c r="A294" s="108"/>
      <c r="B294" s="108"/>
      <c r="C294" s="108"/>
      <c r="D294" s="108"/>
      <c r="E294" s="108"/>
      <c r="F294" s="108"/>
      <c r="G294" s="108"/>
      <c r="H294" s="108"/>
      <c r="I294" s="108"/>
      <c r="J294" s="108"/>
      <c r="K294" s="108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  <c r="AH294" s="108"/>
      <c r="AI294" s="108"/>
    </row>
    <row r="295">
      <c r="A295" s="108"/>
      <c r="B295" s="108"/>
      <c r="C295" s="108"/>
      <c r="D295" s="108"/>
      <c r="E295" s="108"/>
      <c r="F295" s="108"/>
      <c r="G295" s="108"/>
      <c r="H295" s="108"/>
      <c r="I295" s="108"/>
      <c r="J295" s="108"/>
      <c r="K295" s="108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  <c r="AH295" s="108"/>
      <c r="AI295" s="108"/>
    </row>
    <row r="296">
      <c r="A296" s="108"/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  <c r="AH296" s="108"/>
      <c r="AI296" s="108"/>
    </row>
    <row r="297">
      <c r="A297" s="108"/>
      <c r="B297" s="108"/>
      <c r="C297" s="108"/>
      <c r="D297" s="108"/>
      <c r="E297" s="108"/>
      <c r="F297" s="108"/>
      <c r="G297" s="108"/>
      <c r="H297" s="108"/>
      <c r="I297" s="108"/>
      <c r="J297" s="108"/>
      <c r="K297" s="108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  <c r="AH297" s="108"/>
      <c r="AI297" s="108"/>
    </row>
    <row r="298">
      <c r="A298" s="108"/>
      <c r="B298" s="108"/>
      <c r="C298" s="108"/>
      <c r="D298" s="108"/>
      <c r="E298" s="108"/>
      <c r="F298" s="108"/>
      <c r="G298" s="108"/>
      <c r="H298" s="108"/>
      <c r="I298" s="108"/>
      <c r="J298" s="108"/>
      <c r="K298" s="108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  <c r="AH298" s="108"/>
      <c r="AI298" s="108"/>
    </row>
    <row r="299">
      <c r="A299" s="108"/>
      <c r="B299" s="108"/>
      <c r="C299" s="108"/>
      <c r="D299" s="108"/>
      <c r="E299" s="108"/>
      <c r="F299" s="108"/>
      <c r="G299" s="108"/>
      <c r="H299" s="108"/>
      <c r="I299" s="108"/>
      <c r="J299" s="108"/>
      <c r="K299" s="108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  <c r="AH299" s="108"/>
      <c r="AI299" s="108"/>
    </row>
    <row r="300">
      <c r="A300" s="108"/>
      <c r="B300" s="108"/>
      <c r="C300" s="108"/>
      <c r="D300" s="108"/>
      <c r="E300" s="108"/>
      <c r="F300" s="108"/>
      <c r="G300" s="108"/>
      <c r="H300" s="108"/>
      <c r="I300" s="108"/>
      <c r="J300" s="108"/>
      <c r="K300" s="108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  <c r="AH300" s="108"/>
      <c r="AI300" s="108"/>
    </row>
    <row r="301">
      <c r="A301" s="108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  <c r="AH301" s="108"/>
      <c r="AI301" s="108"/>
    </row>
    <row r="302">
      <c r="A302" s="108"/>
      <c r="B302" s="108"/>
      <c r="C302" s="108"/>
      <c r="D302" s="108"/>
      <c r="E302" s="108"/>
      <c r="F302" s="108"/>
      <c r="G302" s="108"/>
      <c r="H302" s="108"/>
      <c r="I302" s="108"/>
      <c r="J302" s="108"/>
      <c r="K302" s="108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  <c r="AH302" s="108"/>
      <c r="AI302" s="108"/>
    </row>
    <row r="303">
      <c r="A303" s="108"/>
      <c r="B303" s="108"/>
      <c r="C303" s="108"/>
      <c r="D303" s="108"/>
      <c r="E303" s="108"/>
      <c r="F303" s="108"/>
      <c r="G303" s="108"/>
      <c r="H303" s="108"/>
      <c r="I303" s="108"/>
      <c r="J303" s="108"/>
      <c r="K303" s="108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  <c r="AH303" s="108"/>
      <c r="AI303" s="108"/>
    </row>
    <row r="304">
      <c r="A304" s="108"/>
      <c r="B304" s="108"/>
      <c r="C304" s="108"/>
      <c r="D304" s="108"/>
      <c r="E304" s="108"/>
      <c r="F304" s="108"/>
      <c r="G304" s="108"/>
      <c r="H304" s="108"/>
      <c r="I304" s="108"/>
      <c r="J304" s="108"/>
      <c r="K304" s="108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  <c r="AH304" s="108"/>
      <c r="AI304" s="108"/>
    </row>
    <row r="305">
      <c r="A305" s="108"/>
      <c r="B305" s="108"/>
      <c r="C305" s="108"/>
      <c r="D305" s="108"/>
      <c r="E305" s="108"/>
      <c r="F305" s="108"/>
      <c r="G305" s="108"/>
      <c r="H305" s="108"/>
      <c r="I305" s="108"/>
      <c r="J305" s="108"/>
      <c r="K305" s="108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  <c r="AH305" s="108"/>
      <c r="AI305" s="108"/>
    </row>
    <row r="306">
      <c r="A306" s="108"/>
      <c r="B306" s="108"/>
      <c r="C306" s="108"/>
      <c r="D306" s="108"/>
      <c r="E306" s="108"/>
      <c r="F306" s="108"/>
      <c r="G306" s="108"/>
      <c r="H306" s="108"/>
      <c r="I306" s="108"/>
      <c r="J306" s="108"/>
      <c r="K306" s="108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  <c r="AH306" s="108"/>
      <c r="AI306" s="108"/>
    </row>
    <row r="307">
      <c r="A307" s="108"/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  <c r="AH307" s="108"/>
      <c r="AI307" s="108"/>
    </row>
    <row r="308">
      <c r="A308" s="108"/>
      <c r="B308" s="108"/>
      <c r="C308" s="108"/>
      <c r="D308" s="108"/>
      <c r="E308" s="108"/>
      <c r="F308" s="108"/>
      <c r="G308" s="108"/>
      <c r="H308" s="108"/>
      <c r="I308" s="108"/>
      <c r="J308" s="108"/>
      <c r="K308" s="108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  <c r="AH308" s="108"/>
      <c r="AI308" s="108"/>
    </row>
    <row r="309">
      <c r="A309" s="108"/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  <c r="AH309" s="108"/>
      <c r="AI309" s="108"/>
    </row>
    <row r="310">
      <c r="A310" s="108"/>
      <c r="B310" s="108"/>
      <c r="C310" s="108"/>
      <c r="D310" s="108"/>
      <c r="E310" s="108"/>
      <c r="F310" s="108"/>
      <c r="G310" s="108"/>
      <c r="H310" s="108"/>
      <c r="I310" s="108"/>
      <c r="J310" s="108"/>
      <c r="K310" s="108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  <c r="AH310" s="108"/>
      <c r="AI310" s="108"/>
    </row>
    <row r="311">
      <c r="A311" s="108"/>
      <c r="B311" s="108"/>
      <c r="C311" s="108"/>
      <c r="D311" s="108"/>
      <c r="E311" s="108"/>
      <c r="F311" s="108"/>
      <c r="G311" s="108"/>
      <c r="H311" s="108"/>
      <c r="I311" s="108"/>
      <c r="J311" s="108"/>
      <c r="K311" s="108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  <c r="AH311" s="108"/>
      <c r="AI311" s="108"/>
    </row>
    <row r="312">
      <c r="A312" s="108"/>
      <c r="B312" s="108"/>
      <c r="C312" s="108"/>
      <c r="D312" s="108"/>
      <c r="E312" s="108"/>
      <c r="F312" s="108"/>
      <c r="G312" s="108"/>
      <c r="H312" s="108"/>
      <c r="I312" s="108"/>
      <c r="J312" s="108"/>
      <c r="K312" s="108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  <c r="AH312" s="108"/>
      <c r="AI312" s="108"/>
    </row>
    <row r="313">
      <c r="A313" s="108"/>
      <c r="B313" s="108"/>
      <c r="C313" s="108"/>
      <c r="D313" s="108"/>
      <c r="E313" s="108"/>
      <c r="F313" s="108"/>
      <c r="G313" s="108"/>
      <c r="H313" s="108"/>
      <c r="I313" s="108"/>
      <c r="J313" s="108"/>
      <c r="K313" s="108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  <c r="AH313" s="108"/>
      <c r="AI313" s="108"/>
    </row>
    <row r="314">
      <c r="A314" s="108"/>
      <c r="B314" s="108"/>
      <c r="C314" s="108"/>
      <c r="D314" s="108"/>
      <c r="E314" s="108"/>
      <c r="F314" s="108"/>
      <c r="G314" s="108"/>
      <c r="H314" s="108"/>
      <c r="I314" s="108"/>
      <c r="J314" s="108"/>
      <c r="K314" s="108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  <c r="AH314" s="108"/>
      <c r="AI314" s="108"/>
    </row>
    <row r="315">
      <c r="A315" s="108"/>
      <c r="B315" s="108"/>
      <c r="C315" s="108"/>
      <c r="D315" s="108"/>
      <c r="E315" s="108"/>
      <c r="F315" s="108"/>
      <c r="G315" s="108"/>
      <c r="H315" s="108"/>
      <c r="I315" s="108"/>
      <c r="J315" s="108"/>
      <c r="K315" s="108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  <c r="AH315" s="108"/>
      <c r="AI315" s="108"/>
    </row>
    <row r="316">
      <c r="A316" s="108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  <c r="AH316" s="108"/>
      <c r="AI316" s="108"/>
    </row>
    <row r="317">
      <c r="A317" s="108"/>
      <c r="B317" s="108"/>
      <c r="C317" s="108"/>
      <c r="D317" s="108"/>
      <c r="E317" s="108"/>
      <c r="F317" s="108"/>
      <c r="G317" s="108"/>
      <c r="H317" s="108"/>
      <c r="I317" s="108"/>
      <c r="J317" s="108"/>
      <c r="K317" s="108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  <c r="AH317" s="108"/>
      <c r="AI317" s="108"/>
    </row>
    <row r="318">
      <c r="A318" s="108"/>
      <c r="B318" s="108"/>
      <c r="C318" s="108"/>
      <c r="D318" s="108"/>
      <c r="E318" s="108"/>
      <c r="F318" s="108"/>
      <c r="G318" s="108"/>
      <c r="H318" s="108"/>
      <c r="I318" s="108"/>
      <c r="J318" s="108"/>
      <c r="K318" s="108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  <c r="AH318" s="108"/>
      <c r="AI318" s="108"/>
    </row>
    <row r="319">
      <c r="A319" s="108"/>
      <c r="B319" s="108"/>
      <c r="C319" s="108"/>
      <c r="D319" s="108"/>
      <c r="E319" s="108"/>
      <c r="F319" s="108"/>
      <c r="G319" s="108"/>
      <c r="H319" s="108"/>
      <c r="I319" s="108"/>
      <c r="J319" s="108"/>
      <c r="K319" s="108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  <c r="AH319" s="108"/>
      <c r="AI319" s="108"/>
    </row>
    <row r="320">
      <c r="A320" s="108"/>
      <c r="B320" s="108"/>
      <c r="C320" s="108"/>
      <c r="D320" s="108"/>
      <c r="E320" s="108"/>
      <c r="F320" s="108"/>
      <c r="G320" s="108"/>
      <c r="H320" s="108"/>
      <c r="I320" s="108"/>
      <c r="J320" s="108"/>
      <c r="K320" s="108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  <c r="AH320" s="108"/>
      <c r="AI320" s="108"/>
    </row>
    <row r="321">
      <c r="A321" s="108"/>
      <c r="B321" s="108"/>
      <c r="C321" s="108"/>
      <c r="D321" s="108"/>
      <c r="E321" s="108"/>
      <c r="F321" s="108"/>
      <c r="G321" s="108"/>
      <c r="H321" s="108"/>
      <c r="I321" s="108"/>
      <c r="J321" s="108"/>
      <c r="K321" s="108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  <c r="AH321" s="108"/>
      <c r="AI321" s="108"/>
    </row>
    <row r="322">
      <c r="A322" s="108"/>
      <c r="B322" s="108"/>
      <c r="C322" s="108"/>
      <c r="D322" s="108"/>
      <c r="E322" s="108"/>
      <c r="F322" s="108"/>
      <c r="G322" s="108"/>
      <c r="H322" s="108"/>
      <c r="I322" s="108"/>
      <c r="J322" s="108"/>
      <c r="K322" s="108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  <c r="AH322" s="108"/>
      <c r="AI322" s="108"/>
    </row>
    <row r="323">
      <c r="A323" s="108"/>
      <c r="B323" s="108"/>
      <c r="C323" s="108"/>
      <c r="D323" s="108"/>
      <c r="E323" s="108"/>
      <c r="F323" s="108"/>
      <c r="G323" s="108"/>
      <c r="H323" s="108"/>
      <c r="I323" s="108"/>
      <c r="J323" s="108"/>
      <c r="K323" s="108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  <c r="AH323" s="108"/>
      <c r="AI323" s="108"/>
    </row>
    <row r="324">
      <c r="A324" s="108"/>
      <c r="B324" s="108"/>
      <c r="C324" s="108"/>
      <c r="D324" s="108"/>
      <c r="E324" s="108"/>
      <c r="F324" s="108"/>
      <c r="G324" s="108"/>
      <c r="H324" s="108"/>
      <c r="I324" s="108"/>
      <c r="J324" s="108"/>
      <c r="K324" s="108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  <c r="AH324" s="108"/>
      <c r="AI324" s="108"/>
    </row>
    <row r="325">
      <c r="A325" s="108"/>
      <c r="B325" s="108"/>
      <c r="C325" s="108"/>
      <c r="D325" s="108"/>
      <c r="E325" s="108"/>
      <c r="F325" s="108"/>
      <c r="G325" s="108"/>
      <c r="H325" s="108"/>
      <c r="I325" s="108"/>
      <c r="J325" s="108"/>
      <c r="K325" s="108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  <c r="AH325" s="108"/>
      <c r="AI325" s="108"/>
    </row>
    <row r="326">
      <c r="A326" s="108"/>
      <c r="B326" s="108"/>
      <c r="C326" s="108"/>
      <c r="D326" s="108"/>
      <c r="E326" s="108"/>
      <c r="F326" s="108"/>
      <c r="G326" s="108"/>
      <c r="H326" s="108"/>
      <c r="I326" s="108"/>
      <c r="J326" s="108"/>
      <c r="K326" s="108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  <c r="AH326" s="108"/>
      <c r="AI326" s="108"/>
    </row>
    <row r="327">
      <c r="A327" s="108"/>
      <c r="B327" s="108"/>
      <c r="C327" s="108"/>
      <c r="D327" s="108"/>
      <c r="E327" s="108"/>
      <c r="F327" s="108"/>
      <c r="G327" s="108"/>
      <c r="H327" s="108"/>
      <c r="I327" s="108"/>
      <c r="J327" s="108"/>
      <c r="K327" s="108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  <c r="AH327" s="108"/>
      <c r="AI327" s="108"/>
    </row>
    <row r="328">
      <c r="A328" s="108"/>
      <c r="B328" s="108"/>
      <c r="C328" s="108"/>
      <c r="D328" s="108"/>
      <c r="E328" s="108"/>
      <c r="F328" s="108"/>
      <c r="G328" s="108"/>
      <c r="H328" s="108"/>
      <c r="I328" s="108"/>
      <c r="J328" s="108"/>
      <c r="K328" s="108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  <c r="AH328" s="108"/>
      <c r="AI328" s="108"/>
    </row>
    <row r="329">
      <c r="A329" s="108"/>
      <c r="B329" s="108"/>
      <c r="C329" s="108"/>
      <c r="D329" s="108"/>
      <c r="E329" s="108"/>
      <c r="F329" s="108"/>
      <c r="G329" s="108"/>
      <c r="H329" s="108"/>
      <c r="I329" s="108"/>
      <c r="J329" s="108"/>
      <c r="K329" s="108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  <c r="AH329" s="108"/>
      <c r="AI329" s="108"/>
    </row>
    <row r="330">
      <c r="A330" s="108"/>
      <c r="B330" s="108"/>
      <c r="C330" s="108"/>
      <c r="D330" s="108"/>
      <c r="E330" s="108"/>
      <c r="F330" s="108"/>
      <c r="G330" s="108"/>
      <c r="H330" s="108"/>
      <c r="I330" s="108"/>
      <c r="J330" s="108"/>
      <c r="K330" s="108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  <c r="AH330" s="108"/>
      <c r="AI330" s="108"/>
    </row>
    <row r="331">
      <c r="A331" s="108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  <c r="AH331" s="108"/>
      <c r="AI331" s="108"/>
    </row>
    <row r="332">
      <c r="A332" s="108"/>
      <c r="B332" s="108"/>
      <c r="C332" s="108"/>
      <c r="D332" s="108"/>
      <c r="E332" s="108"/>
      <c r="F332" s="108"/>
      <c r="G332" s="108"/>
      <c r="H332" s="108"/>
      <c r="I332" s="108"/>
      <c r="J332" s="108"/>
      <c r="K332" s="108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  <c r="AH332" s="108"/>
      <c r="AI332" s="108"/>
    </row>
    <row r="333">
      <c r="A333" s="108"/>
      <c r="B333" s="108"/>
      <c r="C333" s="108"/>
      <c r="D333" s="108"/>
      <c r="E333" s="108"/>
      <c r="F333" s="108"/>
      <c r="G333" s="108"/>
      <c r="H333" s="108"/>
      <c r="I333" s="108"/>
      <c r="J333" s="108"/>
      <c r="K333" s="108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  <c r="AH333" s="108"/>
      <c r="AI333" s="108"/>
    </row>
    <row r="334">
      <c r="A334" s="108"/>
      <c r="B334" s="108"/>
      <c r="C334" s="108"/>
      <c r="D334" s="108"/>
      <c r="E334" s="108"/>
      <c r="F334" s="108"/>
      <c r="G334" s="108"/>
      <c r="H334" s="108"/>
      <c r="I334" s="108"/>
      <c r="J334" s="108"/>
      <c r="K334" s="108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  <c r="AH334" s="108"/>
      <c r="AI334" s="108"/>
    </row>
    <row r="335">
      <c r="A335" s="108"/>
      <c r="B335" s="108"/>
      <c r="C335" s="108"/>
      <c r="D335" s="108"/>
      <c r="E335" s="108"/>
      <c r="F335" s="108"/>
      <c r="G335" s="108"/>
      <c r="H335" s="108"/>
      <c r="I335" s="108"/>
      <c r="J335" s="108"/>
      <c r="K335" s="108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  <c r="AH335" s="108"/>
      <c r="AI335" s="108"/>
    </row>
    <row r="336">
      <c r="A336" s="108"/>
      <c r="B336" s="108"/>
      <c r="C336" s="108"/>
      <c r="D336" s="108"/>
      <c r="E336" s="108"/>
      <c r="F336" s="108"/>
      <c r="G336" s="108"/>
      <c r="H336" s="108"/>
      <c r="I336" s="108"/>
      <c r="J336" s="108"/>
      <c r="K336" s="108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  <c r="AH336" s="108"/>
      <c r="AI336" s="108"/>
    </row>
    <row r="337">
      <c r="A337" s="108"/>
      <c r="B337" s="108"/>
      <c r="C337" s="108"/>
      <c r="D337" s="108"/>
      <c r="E337" s="108"/>
      <c r="F337" s="108"/>
      <c r="G337" s="108"/>
      <c r="H337" s="108"/>
      <c r="I337" s="108"/>
      <c r="J337" s="108"/>
      <c r="K337" s="108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  <c r="AH337" s="108"/>
      <c r="AI337" s="108"/>
    </row>
    <row r="338">
      <c r="A338" s="108"/>
      <c r="B338" s="108"/>
      <c r="C338" s="108"/>
      <c r="D338" s="108"/>
      <c r="E338" s="108"/>
      <c r="F338" s="108"/>
      <c r="G338" s="108"/>
      <c r="H338" s="108"/>
      <c r="I338" s="108"/>
      <c r="J338" s="108"/>
      <c r="K338" s="108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  <c r="AH338" s="108"/>
      <c r="AI338" s="108"/>
    </row>
    <row r="339">
      <c r="A339" s="108"/>
      <c r="B339" s="108"/>
      <c r="C339" s="108"/>
      <c r="D339" s="108"/>
      <c r="E339" s="108"/>
      <c r="F339" s="108"/>
      <c r="G339" s="108"/>
      <c r="H339" s="108"/>
      <c r="I339" s="108"/>
      <c r="J339" s="108"/>
      <c r="K339" s="108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  <c r="AH339" s="108"/>
      <c r="AI339" s="108"/>
    </row>
    <row r="340">
      <c r="A340" s="108"/>
      <c r="B340" s="108"/>
      <c r="C340" s="108"/>
      <c r="D340" s="108"/>
      <c r="E340" s="108"/>
      <c r="F340" s="108"/>
      <c r="G340" s="108"/>
      <c r="H340" s="108"/>
      <c r="I340" s="108"/>
      <c r="J340" s="108"/>
      <c r="K340" s="108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  <c r="AH340" s="108"/>
      <c r="AI340" s="108"/>
    </row>
    <row r="341">
      <c r="A341" s="108"/>
      <c r="B341" s="108"/>
      <c r="C341" s="108"/>
      <c r="D341" s="108"/>
      <c r="E341" s="108"/>
      <c r="F341" s="108"/>
      <c r="G341" s="108"/>
      <c r="H341" s="108"/>
      <c r="I341" s="108"/>
      <c r="J341" s="108"/>
      <c r="K341" s="108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  <c r="AH341" s="108"/>
      <c r="AI341" s="108"/>
    </row>
    <row r="342">
      <c r="A342" s="108"/>
      <c r="B342" s="108"/>
      <c r="C342" s="108"/>
      <c r="D342" s="108"/>
      <c r="E342" s="108"/>
      <c r="F342" s="108"/>
      <c r="G342" s="108"/>
      <c r="H342" s="108"/>
      <c r="I342" s="108"/>
      <c r="J342" s="108"/>
      <c r="K342" s="108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  <c r="AH342" s="108"/>
      <c r="AI342" s="108"/>
    </row>
    <row r="343">
      <c r="A343" s="108"/>
      <c r="B343" s="108"/>
      <c r="C343" s="108"/>
      <c r="D343" s="108"/>
      <c r="E343" s="108"/>
      <c r="F343" s="108"/>
      <c r="G343" s="108"/>
      <c r="H343" s="108"/>
      <c r="I343" s="108"/>
      <c r="J343" s="108"/>
      <c r="K343" s="108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  <c r="AH343" s="108"/>
      <c r="AI343" s="108"/>
    </row>
    <row r="344">
      <c r="A344" s="108"/>
      <c r="B344" s="108"/>
      <c r="C344" s="108"/>
      <c r="D344" s="108"/>
      <c r="E344" s="108"/>
      <c r="F344" s="108"/>
      <c r="G344" s="108"/>
      <c r="H344" s="108"/>
      <c r="I344" s="108"/>
      <c r="J344" s="108"/>
      <c r="K344" s="108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  <c r="AH344" s="108"/>
      <c r="AI344" s="108"/>
    </row>
    <row r="345">
      <c r="A345" s="108"/>
      <c r="B345" s="108"/>
      <c r="C345" s="108"/>
      <c r="D345" s="108"/>
      <c r="E345" s="108"/>
      <c r="F345" s="108"/>
      <c r="G345" s="108"/>
      <c r="H345" s="108"/>
      <c r="I345" s="108"/>
      <c r="J345" s="108"/>
      <c r="K345" s="108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  <c r="AH345" s="108"/>
      <c r="AI345" s="108"/>
    </row>
    <row r="346">
      <c r="A346" s="108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  <c r="AH346" s="108"/>
      <c r="AI346" s="108"/>
    </row>
    <row r="347">
      <c r="A347" s="108"/>
      <c r="B347" s="108"/>
      <c r="C347" s="108"/>
      <c r="D347" s="108"/>
      <c r="E347" s="108"/>
      <c r="F347" s="108"/>
      <c r="G347" s="108"/>
      <c r="H347" s="108"/>
      <c r="I347" s="108"/>
      <c r="J347" s="108"/>
      <c r="K347" s="108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  <c r="AH347" s="108"/>
      <c r="AI347" s="108"/>
    </row>
    <row r="348">
      <c r="A348" s="108"/>
      <c r="B348" s="108"/>
      <c r="C348" s="108"/>
      <c r="D348" s="108"/>
      <c r="E348" s="108"/>
      <c r="F348" s="108"/>
      <c r="G348" s="108"/>
      <c r="H348" s="108"/>
      <c r="I348" s="108"/>
      <c r="J348" s="108"/>
      <c r="K348" s="108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  <c r="AH348" s="108"/>
      <c r="AI348" s="108"/>
    </row>
    <row r="349">
      <c r="A349" s="108"/>
      <c r="B349" s="108"/>
      <c r="C349" s="108"/>
      <c r="D349" s="108"/>
      <c r="E349" s="108"/>
      <c r="F349" s="108"/>
      <c r="G349" s="108"/>
      <c r="H349" s="108"/>
      <c r="I349" s="108"/>
      <c r="J349" s="108"/>
      <c r="K349" s="108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  <c r="AH349" s="108"/>
      <c r="AI349" s="108"/>
    </row>
    <row r="350">
      <c r="A350" s="108"/>
      <c r="B350" s="108"/>
      <c r="C350" s="108"/>
      <c r="D350" s="108"/>
      <c r="E350" s="108"/>
      <c r="F350" s="108"/>
      <c r="G350" s="108"/>
      <c r="H350" s="108"/>
      <c r="I350" s="108"/>
      <c r="J350" s="108"/>
      <c r="K350" s="108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  <c r="AH350" s="108"/>
      <c r="AI350" s="108"/>
    </row>
    <row r="351">
      <c r="A351" s="108"/>
      <c r="B351" s="108"/>
      <c r="C351" s="108"/>
      <c r="D351" s="108"/>
      <c r="E351" s="108"/>
      <c r="F351" s="108"/>
      <c r="G351" s="108"/>
      <c r="H351" s="108"/>
      <c r="I351" s="108"/>
      <c r="J351" s="108"/>
      <c r="K351" s="108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  <c r="AH351" s="108"/>
      <c r="AI351" s="108"/>
    </row>
    <row r="352">
      <c r="A352" s="108"/>
      <c r="B352" s="108"/>
      <c r="C352" s="108"/>
      <c r="D352" s="108"/>
      <c r="E352" s="108"/>
      <c r="F352" s="108"/>
      <c r="G352" s="108"/>
      <c r="H352" s="108"/>
      <c r="I352" s="108"/>
      <c r="J352" s="108"/>
      <c r="K352" s="108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  <c r="AH352" s="108"/>
      <c r="AI352" s="108"/>
    </row>
    <row r="353">
      <c r="A353" s="108"/>
      <c r="B353" s="108"/>
      <c r="C353" s="108"/>
      <c r="D353" s="108"/>
      <c r="E353" s="108"/>
      <c r="F353" s="108"/>
      <c r="G353" s="108"/>
      <c r="H353" s="108"/>
      <c r="I353" s="108"/>
      <c r="J353" s="108"/>
      <c r="K353" s="108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  <c r="AH353" s="108"/>
      <c r="AI353" s="108"/>
    </row>
    <row r="354">
      <c r="A354" s="108"/>
      <c r="B354" s="108"/>
      <c r="C354" s="108"/>
      <c r="D354" s="108"/>
      <c r="E354" s="108"/>
      <c r="F354" s="108"/>
      <c r="G354" s="108"/>
      <c r="H354" s="108"/>
      <c r="I354" s="108"/>
      <c r="J354" s="108"/>
      <c r="K354" s="108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  <c r="AH354" s="108"/>
      <c r="AI354" s="108"/>
    </row>
    <row r="355">
      <c r="A355" s="108"/>
      <c r="B355" s="108"/>
      <c r="C355" s="108"/>
      <c r="D355" s="108"/>
      <c r="E355" s="108"/>
      <c r="F355" s="108"/>
      <c r="G355" s="108"/>
      <c r="H355" s="108"/>
      <c r="I355" s="108"/>
      <c r="J355" s="108"/>
      <c r="K355" s="108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  <c r="AH355" s="108"/>
      <c r="AI355" s="108"/>
    </row>
    <row r="356">
      <c r="A356" s="108"/>
      <c r="B356" s="108"/>
      <c r="C356" s="108"/>
      <c r="D356" s="108"/>
      <c r="E356" s="108"/>
      <c r="F356" s="108"/>
      <c r="G356" s="108"/>
      <c r="H356" s="108"/>
      <c r="I356" s="108"/>
      <c r="J356" s="108"/>
      <c r="K356" s="108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  <c r="AH356" s="108"/>
      <c r="AI356" s="108"/>
    </row>
    <row r="357">
      <c r="A357" s="108"/>
      <c r="B357" s="108"/>
      <c r="C357" s="108"/>
      <c r="D357" s="108"/>
      <c r="E357" s="108"/>
      <c r="F357" s="108"/>
      <c r="G357" s="108"/>
      <c r="H357" s="108"/>
      <c r="I357" s="108"/>
      <c r="J357" s="108"/>
      <c r="K357" s="108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  <c r="AH357" s="108"/>
      <c r="AI357" s="108"/>
    </row>
    <row r="358">
      <c r="A358" s="108"/>
      <c r="B358" s="108"/>
      <c r="C358" s="108"/>
      <c r="D358" s="108"/>
      <c r="E358" s="108"/>
      <c r="F358" s="108"/>
      <c r="G358" s="108"/>
      <c r="H358" s="108"/>
      <c r="I358" s="108"/>
      <c r="J358" s="108"/>
      <c r="K358" s="108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  <c r="AH358" s="108"/>
      <c r="AI358" s="108"/>
    </row>
    <row r="359">
      <c r="A359" s="108"/>
      <c r="B359" s="108"/>
      <c r="C359" s="108"/>
      <c r="D359" s="108"/>
      <c r="E359" s="108"/>
      <c r="F359" s="108"/>
      <c r="G359" s="108"/>
      <c r="H359" s="108"/>
      <c r="I359" s="108"/>
      <c r="J359" s="108"/>
      <c r="K359" s="108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  <c r="AH359" s="108"/>
      <c r="AI359" s="108"/>
    </row>
    <row r="360">
      <c r="A360" s="108"/>
      <c r="B360" s="108"/>
      <c r="C360" s="108"/>
      <c r="D360" s="108"/>
      <c r="E360" s="108"/>
      <c r="F360" s="108"/>
      <c r="G360" s="108"/>
      <c r="H360" s="108"/>
      <c r="I360" s="108"/>
      <c r="J360" s="108"/>
      <c r="K360" s="108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  <c r="AH360" s="108"/>
      <c r="AI360" s="108"/>
    </row>
    <row r="361">
      <c r="A361" s="108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  <c r="AH361" s="108"/>
      <c r="AI361" s="108"/>
    </row>
    <row r="362">
      <c r="A362" s="108"/>
      <c r="B362" s="108"/>
      <c r="C362" s="108"/>
      <c r="D362" s="108"/>
      <c r="E362" s="108"/>
      <c r="F362" s="108"/>
      <c r="G362" s="108"/>
      <c r="H362" s="108"/>
      <c r="I362" s="108"/>
      <c r="J362" s="108"/>
      <c r="K362" s="108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  <c r="AH362" s="108"/>
      <c r="AI362" s="108"/>
    </row>
    <row r="363">
      <c r="A363" s="108"/>
      <c r="B363" s="108"/>
      <c r="C363" s="108"/>
      <c r="D363" s="108"/>
      <c r="E363" s="108"/>
      <c r="F363" s="108"/>
      <c r="G363" s="108"/>
      <c r="H363" s="108"/>
      <c r="I363" s="108"/>
      <c r="J363" s="108"/>
      <c r="K363" s="108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  <c r="AH363" s="108"/>
      <c r="AI363" s="108"/>
    </row>
    <row r="364">
      <c r="A364" s="108"/>
      <c r="B364" s="108"/>
      <c r="C364" s="108"/>
      <c r="D364" s="108"/>
      <c r="E364" s="108"/>
      <c r="F364" s="108"/>
      <c r="G364" s="108"/>
      <c r="H364" s="108"/>
      <c r="I364" s="108"/>
      <c r="J364" s="108"/>
      <c r="K364" s="108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  <c r="AH364" s="108"/>
      <c r="AI364" s="108"/>
    </row>
    <row r="365">
      <c r="A365" s="108"/>
      <c r="B365" s="108"/>
      <c r="C365" s="108"/>
      <c r="D365" s="108"/>
      <c r="E365" s="108"/>
      <c r="F365" s="108"/>
      <c r="G365" s="108"/>
      <c r="H365" s="108"/>
      <c r="I365" s="108"/>
      <c r="J365" s="108"/>
      <c r="K365" s="108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  <c r="AH365" s="108"/>
      <c r="AI365" s="108"/>
    </row>
    <row r="366">
      <c r="A366" s="108"/>
      <c r="B366" s="108"/>
      <c r="C366" s="108"/>
      <c r="D366" s="108"/>
      <c r="E366" s="108"/>
      <c r="F366" s="108"/>
      <c r="G366" s="108"/>
      <c r="H366" s="108"/>
      <c r="I366" s="108"/>
      <c r="J366" s="108"/>
      <c r="K366" s="108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  <c r="AH366" s="108"/>
      <c r="AI366" s="108"/>
    </row>
    <row r="367">
      <c r="A367" s="108"/>
      <c r="B367" s="108"/>
      <c r="C367" s="108"/>
      <c r="D367" s="108"/>
      <c r="E367" s="108"/>
      <c r="F367" s="108"/>
      <c r="G367" s="108"/>
      <c r="H367" s="108"/>
      <c r="I367" s="108"/>
      <c r="J367" s="108"/>
      <c r="K367" s="108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  <c r="AH367" s="108"/>
      <c r="AI367" s="108"/>
    </row>
    <row r="368">
      <c r="A368" s="108"/>
      <c r="B368" s="108"/>
      <c r="C368" s="108"/>
      <c r="D368" s="108"/>
      <c r="E368" s="108"/>
      <c r="F368" s="108"/>
      <c r="G368" s="108"/>
      <c r="H368" s="108"/>
      <c r="I368" s="108"/>
      <c r="J368" s="108"/>
      <c r="K368" s="108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  <c r="AH368" s="108"/>
      <c r="AI368" s="108"/>
    </row>
    <row r="369">
      <c r="A369" s="108"/>
      <c r="B369" s="108"/>
      <c r="C369" s="108"/>
      <c r="D369" s="108"/>
      <c r="E369" s="108"/>
      <c r="F369" s="108"/>
      <c r="G369" s="108"/>
      <c r="H369" s="108"/>
      <c r="I369" s="108"/>
      <c r="J369" s="108"/>
      <c r="K369" s="108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  <c r="AH369" s="108"/>
      <c r="AI369" s="108"/>
    </row>
    <row r="370">
      <c r="A370" s="108"/>
      <c r="B370" s="108"/>
      <c r="C370" s="108"/>
      <c r="D370" s="108"/>
      <c r="E370" s="108"/>
      <c r="F370" s="108"/>
      <c r="G370" s="108"/>
      <c r="H370" s="108"/>
      <c r="I370" s="108"/>
      <c r="J370" s="108"/>
      <c r="K370" s="108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  <c r="AH370" s="108"/>
      <c r="AI370" s="108"/>
    </row>
    <row r="371">
      <c r="A371" s="108"/>
      <c r="B371" s="108"/>
      <c r="C371" s="108"/>
      <c r="D371" s="108"/>
      <c r="E371" s="108"/>
      <c r="F371" s="108"/>
      <c r="G371" s="108"/>
      <c r="H371" s="108"/>
      <c r="I371" s="108"/>
      <c r="J371" s="108"/>
      <c r="K371" s="108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  <c r="AH371" s="108"/>
      <c r="AI371" s="108"/>
    </row>
    <row r="372">
      <c r="A372" s="108"/>
      <c r="B372" s="108"/>
      <c r="C372" s="108"/>
      <c r="D372" s="108"/>
      <c r="E372" s="108"/>
      <c r="F372" s="108"/>
      <c r="G372" s="108"/>
      <c r="H372" s="108"/>
      <c r="I372" s="108"/>
      <c r="J372" s="108"/>
      <c r="K372" s="108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  <c r="AH372" s="108"/>
      <c r="AI372" s="108"/>
    </row>
    <row r="373">
      <c r="A373" s="108"/>
      <c r="B373" s="108"/>
      <c r="C373" s="108"/>
      <c r="D373" s="108"/>
      <c r="E373" s="108"/>
      <c r="F373" s="108"/>
      <c r="G373" s="108"/>
      <c r="H373" s="108"/>
      <c r="I373" s="108"/>
      <c r="J373" s="108"/>
      <c r="K373" s="108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  <c r="AH373" s="108"/>
      <c r="AI373" s="108"/>
    </row>
    <row r="374">
      <c r="A374" s="108"/>
      <c r="B374" s="108"/>
      <c r="C374" s="108"/>
      <c r="D374" s="108"/>
      <c r="E374" s="108"/>
      <c r="F374" s="108"/>
      <c r="G374" s="108"/>
      <c r="H374" s="108"/>
      <c r="I374" s="108"/>
      <c r="J374" s="108"/>
      <c r="K374" s="108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  <c r="AH374" s="108"/>
      <c r="AI374" s="108"/>
    </row>
    <row r="375">
      <c r="A375" s="108"/>
      <c r="B375" s="108"/>
      <c r="C375" s="108"/>
      <c r="D375" s="108"/>
      <c r="E375" s="108"/>
      <c r="F375" s="108"/>
      <c r="G375" s="108"/>
      <c r="H375" s="108"/>
      <c r="I375" s="108"/>
      <c r="J375" s="108"/>
      <c r="K375" s="108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  <c r="AH375" s="108"/>
      <c r="AI375" s="108"/>
    </row>
    <row r="376">
      <c r="A376" s="10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  <c r="AH376" s="108"/>
      <c r="AI376" s="108"/>
    </row>
    <row r="377">
      <c r="A377" s="108"/>
      <c r="B377" s="108"/>
      <c r="C377" s="108"/>
      <c r="D377" s="108"/>
      <c r="E377" s="108"/>
      <c r="F377" s="108"/>
      <c r="G377" s="108"/>
      <c r="H377" s="108"/>
      <c r="I377" s="108"/>
      <c r="J377" s="108"/>
      <c r="K377" s="108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  <c r="AH377" s="108"/>
      <c r="AI377" s="108"/>
    </row>
    <row r="378">
      <c r="A378" s="108"/>
      <c r="B378" s="108"/>
      <c r="C378" s="108"/>
      <c r="D378" s="108"/>
      <c r="E378" s="108"/>
      <c r="F378" s="108"/>
      <c r="G378" s="108"/>
      <c r="H378" s="108"/>
      <c r="I378" s="108"/>
      <c r="J378" s="108"/>
      <c r="K378" s="108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  <c r="AH378" s="108"/>
      <c r="AI378" s="108"/>
    </row>
    <row r="379">
      <c r="A379" s="108"/>
      <c r="B379" s="108"/>
      <c r="C379" s="108"/>
      <c r="D379" s="108"/>
      <c r="E379" s="108"/>
      <c r="F379" s="108"/>
      <c r="G379" s="108"/>
      <c r="H379" s="108"/>
      <c r="I379" s="108"/>
      <c r="J379" s="108"/>
      <c r="K379" s="108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  <c r="AH379" s="108"/>
      <c r="AI379" s="108"/>
    </row>
    <row r="380">
      <c r="A380" s="108"/>
      <c r="B380" s="108"/>
      <c r="C380" s="108"/>
      <c r="D380" s="108"/>
      <c r="E380" s="108"/>
      <c r="F380" s="108"/>
      <c r="G380" s="108"/>
      <c r="H380" s="108"/>
      <c r="I380" s="108"/>
      <c r="J380" s="108"/>
      <c r="K380" s="108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  <c r="AH380" s="108"/>
      <c r="AI380" s="108"/>
    </row>
    <row r="381">
      <c r="A381" s="108"/>
      <c r="B381" s="108"/>
      <c r="C381" s="108"/>
      <c r="D381" s="108"/>
      <c r="E381" s="108"/>
      <c r="F381" s="108"/>
      <c r="G381" s="108"/>
      <c r="H381" s="108"/>
      <c r="I381" s="108"/>
      <c r="J381" s="108"/>
      <c r="K381" s="108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  <c r="AH381" s="108"/>
      <c r="AI381" s="108"/>
    </row>
    <row r="382">
      <c r="A382" s="108"/>
      <c r="B382" s="108"/>
      <c r="C382" s="108"/>
      <c r="D382" s="108"/>
      <c r="E382" s="108"/>
      <c r="F382" s="108"/>
      <c r="G382" s="108"/>
      <c r="H382" s="108"/>
      <c r="I382" s="108"/>
      <c r="J382" s="108"/>
      <c r="K382" s="108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  <c r="AH382" s="108"/>
      <c r="AI382" s="108"/>
    </row>
    <row r="383">
      <c r="A383" s="108"/>
      <c r="B383" s="108"/>
      <c r="C383" s="108"/>
      <c r="D383" s="108"/>
      <c r="E383" s="108"/>
      <c r="F383" s="108"/>
      <c r="G383" s="108"/>
      <c r="H383" s="108"/>
      <c r="I383" s="108"/>
      <c r="J383" s="108"/>
      <c r="K383" s="108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  <c r="AH383" s="108"/>
      <c r="AI383" s="108"/>
    </row>
    <row r="384">
      <c r="A384" s="108"/>
      <c r="B384" s="108"/>
      <c r="C384" s="108"/>
      <c r="D384" s="108"/>
      <c r="E384" s="108"/>
      <c r="F384" s="108"/>
      <c r="G384" s="108"/>
      <c r="H384" s="108"/>
      <c r="I384" s="108"/>
      <c r="J384" s="108"/>
      <c r="K384" s="108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  <c r="AH384" s="108"/>
      <c r="AI384" s="108"/>
    </row>
    <row r="385">
      <c r="A385" s="108"/>
      <c r="B385" s="108"/>
      <c r="C385" s="108"/>
      <c r="D385" s="108"/>
      <c r="E385" s="108"/>
      <c r="F385" s="108"/>
      <c r="G385" s="108"/>
      <c r="H385" s="108"/>
      <c r="I385" s="108"/>
      <c r="J385" s="108"/>
      <c r="K385" s="108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  <c r="AH385" s="108"/>
      <c r="AI385" s="108"/>
    </row>
    <row r="386">
      <c r="A386" s="108"/>
      <c r="B386" s="108"/>
      <c r="C386" s="108"/>
      <c r="D386" s="108"/>
      <c r="E386" s="108"/>
      <c r="F386" s="108"/>
      <c r="G386" s="108"/>
      <c r="H386" s="108"/>
      <c r="I386" s="108"/>
      <c r="J386" s="108"/>
      <c r="K386" s="108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  <c r="AH386" s="108"/>
      <c r="AI386" s="108"/>
    </row>
    <row r="387">
      <c r="A387" s="108"/>
      <c r="B387" s="108"/>
      <c r="C387" s="108"/>
      <c r="D387" s="108"/>
      <c r="E387" s="108"/>
      <c r="F387" s="108"/>
      <c r="G387" s="108"/>
      <c r="H387" s="108"/>
      <c r="I387" s="108"/>
      <c r="J387" s="108"/>
      <c r="K387" s="108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  <c r="AH387" s="108"/>
      <c r="AI387" s="108"/>
    </row>
    <row r="388">
      <c r="A388" s="108"/>
      <c r="B388" s="108"/>
      <c r="C388" s="108"/>
      <c r="D388" s="108"/>
      <c r="E388" s="108"/>
      <c r="F388" s="108"/>
      <c r="G388" s="108"/>
      <c r="H388" s="108"/>
      <c r="I388" s="108"/>
      <c r="J388" s="108"/>
      <c r="K388" s="108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  <c r="AH388" s="108"/>
      <c r="AI388" s="108"/>
    </row>
    <row r="389">
      <c r="A389" s="108"/>
      <c r="B389" s="108"/>
      <c r="C389" s="108"/>
      <c r="D389" s="108"/>
      <c r="E389" s="108"/>
      <c r="F389" s="108"/>
      <c r="G389" s="108"/>
      <c r="H389" s="108"/>
      <c r="I389" s="108"/>
      <c r="J389" s="108"/>
      <c r="K389" s="108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  <c r="AH389" s="108"/>
      <c r="AI389" s="108"/>
    </row>
    <row r="390">
      <c r="A390" s="108"/>
      <c r="B390" s="108"/>
      <c r="C390" s="108"/>
      <c r="D390" s="108"/>
      <c r="E390" s="108"/>
      <c r="F390" s="108"/>
      <c r="G390" s="108"/>
      <c r="H390" s="108"/>
      <c r="I390" s="108"/>
      <c r="J390" s="108"/>
      <c r="K390" s="108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  <c r="AH390" s="108"/>
      <c r="AI390" s="108"/>
    </row>
    <row r="391">
      <c r="A391" s="10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  <c r="AH391" s="108"/>
      <c r="AI391" s="108"/>
    </row>
    <row r="392">
      <c r="A392" s="108"/>
      <c r="B392" s="108"/>
      <c r="C392" s="108"/>
      <c r="D392" s="108"/>
      <c r="E392" s="108"/>
      <c r="F392" s="108"/>
      <c r="G392" s="108"/>
      <c r="H392" s="108"/>
      <c r="I392" s="108"/>
      <c r="J392" s="108"/>
      <c r="K392" s="108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  <c r="AH392" s="108"/>
      <c r="AI392" s="108"/>
    </row>
    <row r="393">
      <c r="A393" s="108"/>
      <c r="B393" s="108"/>
      <c r="C393" s="108"/>
      <c r="D393" s="108"/>
      <c r="E393" s="108"/>
      <c r="F393" s="108"/>
      <c r="G393" s="108"/>
      <c r="H393" s="108"/>
      <c r="I393" s="108"/>
      <c r="J393" s="108"/>
      <c r="K393" s="108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  <c r="AH393" s="108"/>
      <c r="AI393" s="108"/>
    </row>
    <row r="394">
      <c r="A394" s="108"/>
      <c r="B394" s="108"/>
      <c r="C394" s="108"/>
      <c r="D394" s="108"/>
      <c r="E394" s="108"/>
      <c r="F394" s="108"/>
      <c r="G394" s="108"/>
      <c r="H394" s="108"/>
      <c r="I394" s="108"/>
      <c r="J394" s="108"/>
      <c r="K394" s="108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  <c r="AH394" s="108"/>
      <c r="AI394" s="108"/>
    </row>
    <row r="395">
      <c r="A395" s="108"/>
      <c r="B395" s="108"/>
      <c r="C395" s="108"/>
      <c r="D395" s="108"/>
      <c r="E395" s="108"/>
      <c r="F395" s="108"/>
      <c r="G395" s="108"/>
      <c r="H395" s="108"/>
      <c r="I395" s="108"/>
      <c r="J395" s="108"/>
      <c r="K395" s="108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  <c r="AH395" s="108"/>
      <c r="AI395" s="108"/>
    </row>
    <row r="396">
      <c r="A396" s="108"/>
      <c r="B396" s="108"/>
      <c r="C396" s="108"/>
      <c r="D396" s="108"/>
      <c r="E396" s="108"/>
      <c r="F396" s="108"/>
      <c r="G396" s="108"/>
      <c r="H396" s="108"/>
      <c r="I396" s="108"/>
      <c r="J396" s="108"/>
      <c r="K396" s="108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  <c r="AH396" s="108"/>
      <c r="AI396" s="108"/>
    </row>
    <row r="397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</row>
    <row r="398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</row>
    <row r="399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</row>
    <row r="400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</row>
    <row r="40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</row>
    <row r="402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</row>
    <row r="403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</row>
    <row r="404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</row>
    <row r="405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</row>
    <row r="406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</row>
    <row r="407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</row>
    <row r="408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</row>
    <row r="409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</row>
    <row r="410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</row>
    <row r="41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</row>
    <row r="412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</row>
    <row r="413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</row>
    <row r="414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</row>
    <row r="415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</row>
    <row r="416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</row>
    <row r="417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</row>
    <row r="418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</row>
    <row r="419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</row>
    <row r="420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</row>
    <row r="42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</row>
    <row r="422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</row>
    <row r="423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</row>
    <row r="424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</row>
    <row r="425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</row>
    <row r="426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</row>
    <row r="427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</row>
    <row r="428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</row>
    <row r="429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</row>
    <row r="430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  <c r="AH430" s="108"/>
      <c r="AI430" s="108"/>
    </row>
    <row r="43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  <c r="AH431" s="108"/>
      <c r="AI431" s="108"/>
    </row>
    <row r="432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</row>
    <row r="433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  <c r="AH433" s="108"/>
      <c r="AI433" s="108"/>
    </row>
    <row r="434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  <c r="AH434" s="108"/>
      <c r="AI434" s="108"/>
    </row>
    <row r="435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  <c r="AH435" s="108"/>
      <c r="AI435" s="108"/>
    </row>
    <row r="436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  <c r="AH436" s="108"/>
      <c r="AI436" s="108"/>
    </row>
    <row r="437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  <c r="AH437" s="108"/>
      <c r="AI437" s="108"/>
    </row>
    <row r="438">
      <c r="A438" s="108"/>
      <c r="B438" s="108"/>
      <c r="C438" s="108"/>
      <c r="D438" s="108"/>
      <c r="E438" s="108"/>
      <c r="F438" s="108"/>
      <c r="G438" s="108"/>
      <c r="H438" s="108"/>
      <c r="I438" s="108"/>
      <c r="J438" s="108"/>
      <c r="K438" s="108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  <c r="AH438" s="108"/>
      <c r="AI438" s="108"/>
    </row>
    <row r="439">
      <c r="A439" s="108"/>
      <c r="B439" s="108"/>
      <c r="C439" s="108"/>
      <c r="D439" s="108"/>
      <c r="E439" s="108"/>
      <c r="F439" s="108"/>
      <c r="G439" s="108"/>
      <c r="H439" s="108"/>
      <c r="I439" s="108"/>
      <c r="J439" s="108"/>
      <c r="K439" s="108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  <c r="AH439" s="108"/>
      <c r="AI439" s="108"/>
    </row>
    <row r="440">
      <c r="A440" s="108"/>
      <c r="B440" s="108"/>
      <c r="C440" s="108"/>
      <c r="D440" s="108"/>
      <c r="E440" s="108"/>
      <c r="F440" s="108"/>
      <c r="G440" s="108"/>
      <c r="H440" s="108"/>
      <c r="I440" s="108"/>
      <c r="J440" s="108"/>
      <c r="K440" s="108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  <c r="AH440" s="108"/>
      <c r="AI440" s="108"/>
    </row>
    <row r="441">
      <c r="A441" s="108"/>
      <c r="B441" s="108"/>
      <c r="C441" s="108"/>
      <c r="D441" s="108"/>
      <c r="E441" s="108"/>
      <c r="F441" s="108"/>
      <c r="G441" s="108"/>
      <c r="H441" s="108"/>
      <c r="I441" s="108"/>
      <c r="J441" s="108"/>
      <c r="K441" s="108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  <c r="AH441" s="108"/>
      <c r="AI441" s="108"/>
    </row>
    <row r="442">
      <c r="A442" s="108"/>
      <c r="B442" s="108"/>
      <c r="C442" s="108"/>
      <c r="D442" s="108"/>
      <c r="E442" s="108"/>
      <c r="F442" s="108"/>
      <c r="G442" s="108"/>
      <c r="H442" s="108"/>
      <c r="I442" s="108"/>
      <c r="J442" s="108"/>
      <c r="K442" s="108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  <c r="AH442" s="108"/>
      <c r="AI442" s="108"/>
    </row>
    <row r="443">
      <c r="A443" s="108"/>
      <c r="B443" s="108"/>
      <c r="C443" s="108"/>
      <c r="D443" s="108"/>
      <c r="E443" s="108"/>
      <c r="F443" s="108"/>
      <c r="G443" s="108"/>
      <c r="H443" s="108"/>
      <c r="I443" s="108"/>
      <c r="J443" s="108"/>
      <c r="K443" s="108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  <c r="AH443" s="108"/>
      <c r="AI443" s="108"/>
    </row>
    <row r="444">
      <c r="A444" s="108"/>
      <c r="B444" s="108"/>
      <c r="C444" s="108"/>
      <c r="D444" s="108"/>
      <c r="E444" s="108"/>
      <c r="F444" s="108"/>
      <c r="G444" s="108"/>
      <c r="H444" s="108"/>
      <c r="I444" s="108"/>
      <c r="J444" s="108"/>
      <c r="K444" s="108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  <c r="AH444" s="108"/>
      <c r="AI444" s="108"/>
    </row>
    <row r="445">
      <c r="A445" s="108"/>
      <c r="B445" s="108"/>
      <c r="C445" s="108"/>
      <c r="D445" s="108"/>
      <c r="E445" s="108"/>
      <c r="F445" s="108"/>
      <c r="G445" s="108"/>
      <c r="H445" s="108"/>
      <c r="I445" s="108"/>
      <c r="J445" s="108"/>
      <c r="K445" s="108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  <c r="AH445" s="108"/>
      <c r="AI445" s="108"/>
    </row>
    <row r="446">
      <c r="A446" s="108"/>
      <c r="B446" s="108"/>
      <c r="C446" s="108"/>
      <c r="D446" s="108"/>
      <c r="E446" s="108"/>
      <c r="F446" s="108"/>
      <c r="G446" s="108"/>
      <c r="H446" s="108"/>
      <c r="I446" s="108"/>
      <c r="J446" s="108"/>
      <c r="K446" s="108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  <c r="AH446" s="108"/>
      <c r="AI446" s="108"/>
    </row>
    <row r="447">
      <c r="A447" s="108"/>
      <c r="B447" s="108"/>
      <c r="C447" s="108"/>
      <c r="D447" s="108"/>
      <c r="E447" s="108"/>
      <c r="F447" s="108"/>
      <c r="G447" s="108"/>
      <c r="H447" s="108"/>
      <c r="I447" s="108"/>
      <c r="J447" s="108"/>
      <c r="K447" s="108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  <c r="AH447" s="108"/>
      <c r="AI447" s="108"/>
    </row>
    <row r="448">
      <c r="A448" s="108"/>
      <c r="B448" s="108"/>
      <c r="C448" s="108"/>
      <c r="D448" s="108"/>
      <c r="E448" s="108"/>
      <c r="F448" s="108"/>
      <c r="G448" s="108"/>
      <c r="H448" s="108"/>
      <c r="I448" s="108"/>
      <c r="J448" s="108"/>
      <c r="K448" s="108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  <c r="AH448" s="108"/>
      <c r="AI448" s="108"/>
    </row>
    <row r="449">
      <c r="A449" s="108"/>
      <c r="B449" s="108"/>
      <c r="C449" s="108"/>
      <c r="D449" s="108"/>
      <c r="E449" s="108"/>
      <c r="F449" s="108"/>
      <c r="G449" s="108"/>
      <c r="H449" s="108"/>
      <c r="I449" s="108"/>
      <c r="J449" s="108"/>
      <c r="K449" s="108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  <c r="AH449" s="108"/>
      <c r="AI449" s="108"/>
    </row>
    <row r="450">
      <c r="A450" s="108"/>
      <c r="B450" s="108"/>
      <c r="C450" s="108"/>
      <c r="D450" s="108"/>
      <c r="E450" s="108"/>
      <c r="F450" s="108"/>
      <c r="G450" s="108"/>
      <c r="H450" s="108"/>
      <c r="I450" s="108"/>
      <c r="J450" s="108"/>
      <c r="K450" s="108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  <c r="AH450" s="108"/>
      <c r="AI450" s="108"/>
    </row>
    <row r="451">
      <c r="A451" s="10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  <c r="AH451" s="108"/>
      <c r="AI451" s="108"/>
    </row>
    <row r="452">
      <c r="A452" s="108"/>
      <c r="B452" s="108"/>
      <c r="C452" s="108"/>
      <c r="D452" s="108"/>
      <c r="E452" s="108"/>
      <c r="F452" s="108"/>
      <c r="G452" s="108"/>
      <c r="H452" s="108"/>
      <c r="I452" s="108"/>
      <c r="J452" s="108"/>
      <c r="K452" s="108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  <c r="AH452" s="108"/>
      <c r="AI452" s="108"/>
    </row>
    <row r="453">
      <c r="A453" s="108"/>
      <c r="B453" s="108"/>
      <c r="C453" s="108"/>
      <c r="D453" s="108"/>
      <c r="E453" s="108"/>
      <c r="F453" s="108"/>
      <c r="G453" s="108"/>
      <c r="H453" s="108"/>
      <c r="I453" s="108"/>
      <c r="J453" s="108"/>
      <c r="K453" s="108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  <c r="AH453" s="108"/>
      <c r="AI453" s="108"/>
    </row>
    <row r="454">
      <c r="A454" s="108"/>
      <c r="B454" s="108"/>
      <c r="C454" s="108"/>
      <c r="D454" s="108"/>
      <c r="E454" s="108"/>
      <c r="F454" s="108"/>
      <c r="G454" s="108"/>
      <c r="H454" s="108"/>
      <c r="I454" s="108"/>
      <c r="J454" s="108"/>
      <c r="K454" s="108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  <c r="AH454" s="108"/>
      <c r="AI454" s="108"/>
    </row>
    <row r="455">
      <c r="A455" s="108"/>
      <c r="B455" s="108"/>
      <c r="C455" s="108"/>
      <c r="D455" s="108"/>
      <c r="E455" s="108"/>
      <c r="F455" s="108"/>
      <c r="G455" s="108"/>
      <c r="H455" s="108"/>
      <c r="I455" s="108"/>
      <c r="J455" s="108"/>
      <c r="K455" s="108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  <c r="AH455" s="108"/>
      <c r="AI455" s="108"/>
    </row>
    <row r="456">
      <c r="A456" s="108"/>
      <c r="B456" s="108"/>
      <c r="C456" s="108"/>
      <c r="D456" s="108"/>
      <c r="E456" s="108"/>
      <c r="F456" s="108"/>
      <c r="G456" s="108"/>
      <c r="H456" s="108"/>
      <c r="I456" s="108"/>
      <c r="J456" s="108"/>
      <c r="K456" s="108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  <c r="AH456" s="108"/>
      <c r="AI456" s="108"/>
    </row>
    <row r="457">
      <c r="A457" s="108"/>
      <c r="B457" s="108"/>
      <c r="C457" s="108"/>
      <c r="D457" s="108"/>
      <c r="E457" s="108"/>
      <c r="F457" s="108"/>
      <c r="G457" s="108"/>
      <c r="H457" s="108"/>
      <c r="I457" s="108"/>
      <c r="J457" s="108"/>
      <c r="K457" s="108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  <c r="AH457" s="108"/>
      <c r="AI457" s="108"/>
    </row>
    <row r="458">
      <c r="A458" s="108"/>
      <c r="B458" s="108"/>
      <c r="C458" s="108"/>
      <c r="D458" s="108"/>
      <c r="E458" s="108"/>
      <c r="F458" s="108"/>
      <c r="G458" s="108"/>
      <c r="H458" s="108"/>
      <c r="I458" s="108"/>
      <c r="J458" s="108"/>
      <c r="K458" s="108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  <c r="AH458" s="108"/>
      <c r="AI458" s="108"/>
    </row>
    <row r="459">
      <c r="A459" s="108"/>
      <c r="B459" s="108"/>
      <c r="C459" s="108"/>
      <c r="D459" s="108"/>
      <c r="E459" s="108"/>
      <c r="F459" s="108"/>
      <c r="G459" s="108"/>
      <c r="H459" s="108"/>
      <c r="I459" s="108"/>
      <c r="J459" s="108"/>
      <c r="K459" s="108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  <c r="AH459" s="108"/>
      <c r="AI459" s="108"/>
    </row>
    <row r="460">
      <c r="A460" s="108"/>
      <c r="B460" s="108"/>
      <c r="C460" s="108"/>
      <c r="D460" s="108"/>
      <c r="E460" s="108"/>
      <c r="F460" s="108"/>
      <c r="G460" s="108"/>
      <c r="H460" s="108"/>
      <c r="I460" s="108"/>
      <c r="J460" s="108"/>
      <c r="K460" s="108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  <c r="AH460" s="108"/>
      <c r="AI460" s="108"/>
    </row>
    <row r="461">
      <c r="A461" s="108"/>
      <c r="B461" s="108"/>
      <c r="C461" s="108"/>
      <c r="D461" s="108"/>
      <c r="E461" s="108"/>
      <c r="F461" s="108"/>
      <c r="G461" s="108"/>
      <c r="H461" s="108"/>
      <c r="I461" s="108"/>
      <c r="J461" s="108"/>
      <c r="K461" s="108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  <c r="AH461" s="108"/>
      <c r="AI461" s="108"/>
    </row>
    <row r="462">
      <c r="A462" s="108"/>
      <c r="B462" s="108"/>
      <c r="C462" s="108"/>
      <c r="D462" s="108"/>
      <c r="E462" s="108"/>
      <c r="F462" s="108"/>
      <c r="G462" s="108"/>
      <c r="H462" s="108"/>
      <c r="I462" s="108"/>
      <c r="J462" s="108"/>
      <c r="K462" s="108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  <c r="AH462" s="108"/>
      <c r="AI462" s="108"/>
    </row>
    <row r="463">
      <c r="A463" s="108"/>
      <c r="B463" s="108"/>
      <c r="C463" s="108"/>
      <c r="D463" s="108"/>
      <c r="E463" s="108"/>
      <c r="F463" s="108"/>
      <c r="G463" s="108"/>
      <c r="H463" s="108"/>
      <c r="I463" s="108"/>
      <c r="J463" s="108"/>
      <c r="K463" s="108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  <c r="AH463" s="108"/>
      <c r="AI463" s="108"/>
    </row>
    <row r="464">
      <c r="A464" s="108"/>
      <c r="B464" s="108"/>
      <c r="C464" s="108"/>
      <c r="D464" s="108"/>
      <c r="E464" s="108"/>
      <c r="F464" s="108"/>
      <c r="G464" s="108"/>
      <c r="H464" s="108"/>
      <c r="I464" s="108"/>
      <c r="J464" s="108"/>
      <c r="K464" s="108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  <c r="AH464" s="108"/>
      <c r="AI464" s="108"/>
    </row>
    <row r="465">
      <c r="A465" s="108"/>
      <c r="B465" s="108"/>
      <c r="C465" s="108"/>
      <c r="D465" s="108"/>
      <c r="E465" s="108"/>
      <c r="F465" s="108"/>
      <c r="G465" s="108"/>
      <c r="H465" s="108"/>
      <c r="I465" s="108"/>
      <c r="J465" s="108"/>
      <c r="K465" s="108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  <c r="AH465" s="108"/>
      <c r="AI465" s="108"/>
    </row>
    <row r="466">
      <c r="A466" s="10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  <c r="AH466" s="108"/>
      <c r="AI466" s="108"/>
    </row>
    <row r="467">
      <c r="A467" s="108"/>
      <c r="B467" s="108"/>
      <c r="C467" s="108"/>
      <c r="D467" s="108"/>
      <c r="E467" s="108"/>
      <c r="F467" s="108"/>
      <c r="G467" s="108"/>
      <c r="H467" s="108"/>
      <c r="I467" s="108"/>
      <c r="J467" s="108"/>
      <c r="K467" s="108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  <c r="AH467" s="108"/>
      <c r="AI467" s="108"/>
    </row>
    <row r="468">
      <c r="A468" s="108"/>
      <c r="B468" s="108"/>
      <c r="C468" s="108"/>
      <c r="D468" s="108"/>
      <c r="E468" s="108"/>
      <c r="F468" s="108"/>
      <c r="G468" s="108"/>
      <c r="H468" s="108"/>
      <c r="I468" s="108"/>
      <c r="J468" s="108"/>
      <c r="K468" s="108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  <c r="AH468" s="108"/>
      <c r="AI468" s="108"/>
    </row>
    <row r="469">
      <c r="A469" s="108"/>
      <c r="B469" s="108"/>
      <c r="C469" s="108"/>
      <c r="D469" s="108"/>
      <c r="E469" s="108"/>
      <c r="F469" s="108"/>
      <c r="G469" s="108"/>
      <c r="H469" s="108"/>
      <c r="I469" s="108"/>
      <c r="J469" s="108"/>
      <c r="K469" s="108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  <c r="AH469" s="108"/>
      <c r="AI469" s="108"/>
    </row>
    <row r="470">
      <c r="A470" s="108"/>
      <c r="B470" s="108"/>
      <c r="C470" s="108"/>
      <c r="D470" s="108"/>
      <c r="E470" s="108"/>
      <c r="F470" s="108"/>
      <c r="G470" s="108"/>
      <c r="H470" s="108"/>
      <c r="I470" s="108"/>
      <c r="J470" s="108"/>
      <c r="K470" s="108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  <c r="AH470" s="108"/>
      <c r="AI470" s="108"/>
    </row>
    <row r="471">
      <c r="A471" s="108"/>
      <c r="B471" s="108"/>
      <c r="C471" s="108"/>
      <c r="D471" s="108"/>
      <c r="E471" s="108"/>
      <c r="F471" s="108"/>
      <c r="G471" s="108"/>
      <c r="H471" s="108"/>
      <c r="I471" s="108"/>
      <c r="J471" s="108"/>
      <c r="K471" s="108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  <c r="AH471" s="108"/>
      <c r="AI471" s="108"/>
    </row>
    <row r="472">
      <c r="A472" s="108"/>
      <c r="B472" s="108"/>
      <c r="C472" s="108"/>
      <c r="D472" s="108"/>
      <c r="E472" s="108"/>
      <c r="F472" s="108"/>
      <c r="G472" s="108"/>
      <c r="H472" s="108"/>
      <c r="I472" s="108"/>
      <c r="J472" s="108"/>
      <c r="K472" s="108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  <c r="AH472" s="108"/>
      <c r="AI472" s="108"/>
    </row>
    <row r="473">
      <c r="A473" s="108"/>
      <c r="B473" s="108"/>
      <c r="C473" s="108"/>
      <c r="D473" s="108"/>
      <c r="E473" s="108"/>
      <c r="F473" s="108"/>
      <c r="G473" s="108"/>
      <c r="H473" s="108"/>
      <c r="I473" s="108"/>
      <c r="J473" s="108"/>
      <c r="K473" s="108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  <c r="AH473" s="108"/>
      <c r="AI473" s="108"/>
    </row>
    <row r="474">
      <c r="A474" s="108"/>
      <c r="B474" s="108"/>
      <c r="C474" s="108"/>
      <c r="D474" s="108"/>
      <c r="E474" s="108"/>
      <c r="F474" s="108"/>
      <c r="G474" s="108"/>
      <c r="H474" s="108"/>
      <c r="I474" s="108"/>
      <c r="J474" s="108"/>
      <c r="K474" s="108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  <c r="AH474" s="108"/>
      <c r="AI474" s="108"/>
    </row>
    <row r="475">
      <c r="A475" s="108"/>
      <c r="B475" s="108"/>
      <c r="C475" s="108"/>
      <c r="D475" s="108"/>
      <c r="E475" s="108"/>
      <c r="F475" s="108"/>
      <c r="G475" s="108"/>
      <c r="H475" s="108"/>
      <c r="I475" s="108"/>
      <c r="J475" s="108"/>
      <c r="K475" s="108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  <c r="AH475" s="108"/>
      <c r="AI475" s="108"/>
    </row>
    <row r="476">
      <c r="A476" s="108"/>
      <c r="B476" s="108"/>
      <c r="C476" s="108"/>
      <c r="D476" s="108"/>
      <c r="E476" s="108"/>
      <c r="F476" s="108"/>
      <c r="G476" s="108"/>
      <c r="H476" s="108"/>
      <c r="I476" s="108"/>
      <c r="J476" s="108"/>
      <c r="K476" s="108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  <c r="AH476" s="108"/>
      <c r="AI476" s="108"/>
    </row>
    <row r="477">
      <c r="A477" s="108"/>
      <c r="B477" s="108"/>
      <c r="C477" s="108"/>
      <c r="D477" s="108"/>
      <c r="E477" s="108"/>
      <c r="F477" s="108"/>
      <c r="G477" s="108"/>
      <c r="H477" s="108"/>
      <c r="I477" s="108"/>
      <c r="J477" s="108"/>
      <c r="K477" s="108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  <c r="AH477" s="108"/>
      <c r="AI477" s="108"/>
    </row>
    <row r="478">
      <c r="A478" s="108"/>
      <c r="B478" s="108"/>
      <c r="C478" s="108"/>
      <c r="D478" s="108"/>
      <c r="E478" s="108"/>
      <c r="F478" s="108"/>
      <c r="G478" s="108"/>
      <c r="H478" s="108"/>
      <c r="I478" s="108"/>
      <c r="J478" s="108"/>
      <c r="K478" s="108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  <c r="AH478" s="108"/>
      <c r="AI478" s="108"/>
    </row>
    <row r="479">
      <c r="A479" s="108"/>
      <c r="B479" s="108"/>
      <c r="C479" s="108"/>
      <c r="D479" s="108"/>
      <c r="E479" s="108"/>
      <c r="F479" s="108"/>
      <c r="G479" s="108"/>
      <c r="H479" s="108"/>
      <c r="I479" s="108"/>
      <c r="J479" s="108"/>
      <c r="K479" s="108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  <c r="AH479" s="108"/>
      <c r="AI479" s="108"/>
    </row>
    <row r="480">
      <c r="A480" s="108"/>
      <c r="B480" s="108"/>
      <c r="C480" s="108"/>
      <c r="D480" s="108"/>
      <c r="E480" s="108"/>
      <c r="F480" s="108"/>
      <c r="G480" s="108"/>
      <c r="H480" s="108"/>
      <c r="I480" s="108"/>
      <c r="J480" s="108"/>
      <c r="K480" s="108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  <c r="AH480" s="108"/>
      <c r="AI480" s="108"/>
    </row>
    <row r="481">
      <c r="A481" s="10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  <c r="AH481" s="108"/>
      <c r="AI481" s="108"/>
    </row>
    <row r="482">
      <c r="A482" s="108"/>
      <c r="B482" s="108"/>
      <c r="C482" s="108"/>
      <c r="D482" s="108"/>
      <c r="E482" s="108"/>
      <c r="F482" s="108"/>
      <c r="G482" s="108"/>
      <c r="H482" s="108"/>
      <c r="I482" s="108"/>
      <c r="J482" s="108"/>
      <c r="K482" s="108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  <c r="AH482" s="108"/>
      <c r="AI482" s="108"/>
    </row>
    <row r="483">
      <c r="A483" s="108"/>
      <c r="B483" s="108"/>
      <c r="C483" s="108"/>
      <c r="D483" s="108"/>
      <c r="E483" s="108"/>
      <c r="F483" s="108"/>
      <c r="G483" s="108"/>
      <c r="H483" s="108"/>
      <c r="I483" s="108"/>
      <c r="J483" s="108"/>
      <c r="K483" s="108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  <c r="AH483" s="108"/>
      <c r="AI483" s="108"/>
    </row>
    <row r="484">
      <c r="A484" s="108"/>
      <c r="B484" s="108"/>
      <c r="C484" s="108"/>
      <c r="D484" s="108"/>
      <c r="E484" s="108"/>
      <c r="F484" s="108"/>
      <c r="G484" s="108"/>
      <c r="H484" s="108"/>
      <c r="I484" s="108"/>
      <c r="J484" s="108"/>
      <c r="K484" s="108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  <c r="AH484" s="108"/>
      <c r="AI484" s="108"/>
    </row>
    <row r="485">
      <c r="A485" s="108"/>
      <c r="B485" s="108"/>
      <c r="C485" s="108"/>
      <c r="D485" s="108"/>
      <c r="E485" s="108"/>
      <c r="F485" s="108"/>
      <c r="G485" s="108"/>
      <c r="H485" s="108"/>
      <c r="I485" s="108"/>
      <c r="J485" s="108"/>
      <c r="K485" s="108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  <c r="AH485" s="108"/>
      <c r="AI485" s="108"/>
    </row>
    <row r="486">
      <c r="A486" s="108"/>
      <c r="B486" s="108"/>
      <c r="C486" s="108"/>
      <c r="D486" s="108"/>
      <c r="E486" s="108"/>
      <c r="F486" s="108"/>
      <c r="G486" s="108"/>
      <c r="H486" s="108"/>
      <c r="I486" s="108"/>
      <c r="J486" s="108"/>
      <c r="K486" s="108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  <c r="AH486" s="108"/>
      <c r="AI486" s="108"/>
    </row>
    <row r="487">
      <c r="A487" s="108"/>
      <c r="B487" s="108"/>
      <c r="C487" s="108"/>
      <c r="D487" s="108"/>
      <c r="E487" s="108"/>
      <c r="F487" s="108"/>
      <c r="G487" s="108"/>
      <c r="H487" s="108"/>
      <c r="I487" s="108"/>
      <c r="J487" s="108"/>
      <c r="K487" s="108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  <c r="AH487" s="108"/>
      <c r="AI487" s="108"/>
    </row>
    <row r="488">
      <c r="A488" s="108"/>
      <c r="B488" s="108"/>
      <c r="C488" s="108"/>
      <c r="D488" s="108"/>
      <c r="E488" s="108"/>
      <c r="F488" s="108"/>
      <c r="G488" s="108"/>
      <c r="H488" s="108"/>
      <c r="I488" s="108"/>
      <c r="J488" s="108"/>
      <c r="K488" s="108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  <c r="AH488" s="108"/>
      <c r="AI488" s="108"/>
    </row>
    <row r="489">
      <c r="A489" s="108"/>
      <c r="B489" s="108"/>
      <c r="C489" s="108"/>
      <c r="D489" s="108"/>
      <c r="E489" s="108"/>
      <c r="F489" s="108"/>
      <c r="G489" s="108"/>
      <c r="H489" s="108"/>
      <c r="I489" s="108"/>
      <c r="J489" s="108"/>
      <c r="K489" s="108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  <c r="AH489" s="108"/>
      <c r="AI489" s="108"/>
    </row>
    <row r="490">
      <c r="A490" s="108"/>
      <c r="B490" s="108"/>
      <c r="C490" s="108"/>
      <c r="D490" s="108"/>
      <c r="E490" s="108"/>
      <c r="F490" s="108"/>
      <c r="G490" s="108"/>
      <c r="H490" s="108"/>
      <c r="I490" s="108"/>
      <c r="J490" s="108"/>
      <c r="K490" s="108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  <c r="AH490" s="108"/>
      <c r="AI490" s="108"/>
    </row>
    <row r="491">
      <c r="A491" s="108"/>
      <c r="B491" s="108"/>
      <c r="C491" s="108"/>
      <c r="D491" s="108"/>
      <c r="E491" s="108"/>
      <c r="F491" s="108"/>
      <c r="G491" s="108"/>
      <c r="H491" s="108"/>
      <c r="I491" s="108"/>
      <c r="J491" s="108"/>
      <c r="K491" s="108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  <c r="AH491" s="108"/>
      <c r="AI491" s="108"/>
    </row>
    <row r="492">
      <c r="A492" s="108"/>
      <c r="B492" s="108"/>
      <c r="C492" s="108"/>
      <c r="D492" s="108"/>
      <c r="E492" s="108"/>
      <c r="F492" s="108"/>
      <c r="G492" s="108"/>
      <c r="H492" s="108"/>
      <c r="I492" s="108"/>
      <c r="J492" s="108"/>
      <c r="K492" s="108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  <c r="AH492" s="108"/>
      <c r="AI492" s="108"/>
    </row>
    <row r="493">
      <c r="A493" s="108"/>
      <c r="B493" s="108"/>
      <c r="C493" s="108"/>
      <c r="D493" s="108"/>
      <c r="E493" s="108"/>
      <c r="F493" s="108"/>
      <c r="G493" s="108"/>
      <c r="H493" s="108"/>
      <c r="I493" s="108"/>
      <c r="J493" s="108"/>
      <c r="K493" s="108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  <c r="AH493" s="108"/>
      <c r="AI493" s="108"/>
    </row>
    <row r="494">
      <c r="A494" s="108"/>
      <c r="B494" s="108"/>
      <c r="C494" s="108"/>
      <c r="D494" s="108"/>
      <c r="E494" s="108"/>
      <c r="F494" s="108"/>
      <c r="G494" s="108"/>
      <c r="H494" s="108"/>
      <c r="I494" s="108"/>
      <c r="J494" s="108"/>
      <c r="K494" s="108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  <c r="AH494" s="108"/>
      <c r="AI494" s="108"/>
    </row>
    <row r="495">
      <c r="A495" s="108"/>
      <c r="B495" s="108"/>
      <c r="C495" s="108"/>
      <c r="D495" s="108"/>
      <c r="E495" s="108"/>
      <c r="F495" s="108"/>
      <c r="G495" s="108"/>
      <c r="H495" s="108"/>
      <c r="I495" s="108"/>
      <c r="J495" s="108"/>
      <c r="K495" s="108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  <c r="AH495" s="108"/>
      <c r="AI495" s="108"/>
    </row>
    <row r="496">
      <c r="A496" s="10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  <c r="AH496" s="108"/>
      <c r="AI496" s="108"/>
    </row>
    <row r="497">
      <c r="A497" s="108"/>
      <c r="B497" s="108"/>
      <c r="C497" s="108"/>
      <c r="D497" s="108"/>
      <c r="E497" s="108"/>
      <c r="F497" s="108"/>
      <c r="G497" s="108"/>
      <c r="H497" s="108"/>
      <c r="I497" s="108"/>
      <c r="J497" s="108"/>
      <c r="K497" s="108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  <c r="AH497" s="108"/>
      <c r="AI497" s="108"/>
    </row>
    <row r="498">
      <c r="A498" s="108"/>
      <c r="B498" s="108"/>
      <c r="C498" s="108"/>
      <c r="D498" s="108"/>
      <c r="E498" s="108"/>
      <c r="F498" s="108"/>
      <c r="G498" s="108"/>
      <c r="H498" s="108"/>
      <c r="I498" s="108"/>
      <c r="J498" s="108"/>
      <c r="K498" s="108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  <c r="AH498" s="108"/>
      <c r="AI498" s="108"/>
    </row>
    <row r="499">
      <c r="A499" s="108"/>
      <c r="B499" s="108"/>
      <c r="C499" s="108"/>
      <c r="D499" s="108"/>
      <c r="E499" s="108"/>
      <c r="F499" s="108"/>
      <c r="G499" s="108"/>
      <c r="H499" s="108"/>
      <c r="I499" s="108"/>
      <c r="J499" s="108"/>
      <c r="K499" s="108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  <c r="AH499" s="108"/>
      <c r="AI499" s="108"/>
    </row>
    <row r="500">
      <c r="A500" s="108"/>
      <c r="B500" s="108"/>
      <c r="C500" s="108"/>
      <c r="D500" s="108"/>
      <c r="E500" s="108"/>
      <c r="F500" s="108"/>
      <c r="G500" s="108"/>
      <c r="H500" s="108"/>
      <c r="I500" s="108"/>
      <c r="J500" s="108"/>
      <c r="K500" s="108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  <c r="AH500" s="108"/>
      <c r="AI500" s="108"/>
    </row>
    <row r="501">
      <c r="A501" s="108"/>
      <c r="B501" s="108"/>
      <c r="C501" s="108"/>
      <c r="D501" s="108"/>
      <c r="E501" s="108"/>
      <c r="F501" s="108"/>
      <c r="G501" s="108"/>
      <c r="H501" s="108"/>
      <c r="I501" s="108"/>
      <c r="J501" s="108"/>
      <c r="K501" s="108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  <c r="AH501" s="108"/>
      <c r="AI501" s="108"/>
    </row>
    <row r="502">
      <c r="A502" s="108"/>
      <c r="B502" s="108"/>
      <c r="C502" s="108"/>
      <c r="D502" s="108"/>
      <c r="E502" s="108"/>
      <c r="F502" s="108"/>
      <c r="G502" s="108"/>
      <c r="H502" s="108"/>
      <c r="I502" s="108"/>
      <c r="J502" s="108"/>
      <c r="K502" s="108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  <c r="AH502" s="108"/>
      <c r="AI502" s="108"/>
    </row>
    <row r="503">
      <c r="A503" s="108"/>
      <c r="B503" s="108"/>
      <c r="C503" s="108"/>
      <c r="D503" s="108"/>
      <c r="E503" s="108"/>
      <c r="F503" s="108"/>
      <c r="G503" s="108"/>
      <c r="H503" s="108"/>
      <c r="I503" s="108"/>
      <c r="J503" s="108"/>
      <c r="K503" s="108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  <c r="AH503" s="108"/>
      <c r="AI503" s="108"/>
    </row>
    <row r="504">
      <c r="A504" s="108"/>
      <c r="B504" s="108"/>
      <c r="C504" s="108"/>
      <c r="D504" s="108"/>
      <c r="E504" s="108"/>
      <c r="F504" s="108"/>
      <c r="G504" s="108"/>
      <c r="H504" s="108"/>
      <c r="I504" s="108"/>
      <c r="J504" s="108"/>
      <c r="K504" s="108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  <c r="AH504" s="108"/>
      <c r="AI504" s="108"/>
    </row>
    <row r="505">
      <c r="A505" s="108"/>
      <c r="B505" s="108"/>
      <c r="C505" s="108"/>
      <c r="D505" s="108"/>
      <c r="E505" s="108"/>
      <c r="F505" s="108"/>
      <c r="G505" s="108"/>
      <c r="H505" s="108"/>
      <c r="I505" s="108"/>
      <c r="J505" s="108"/>
      <c r="K505" s="108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  <c r="AH505" s="108"/>
      <c r="AI505" s="108"/>
    </row>
    <row r="506">
      <c r="A506" s="108"/>
      <c r="B506" s="108"/>
      <c r="C506" s="108"/>
      <c r="D506" s="108"/>
      <c r="E506" s="108"/>
      <c r="F506" s="108"/>
      <c r="G506" s="108"/>
      <c r="H506" s="108"/>
      <c r="I506" s="108"/>
      <c r="J506" s="108"/>
      <c r="K506" s="108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  <c r="AH506" s="108"/>
      <c r="AI506" s="108"/>
    </row>
    <row r="507">
      <c r="A507" s="108"/>
      <c r="B507" s="108"/>
      <c r="C507" s="108"/>
      <c r="D507" s="108"/>
      <c r="E507" s="108"/>
      <c r="F507" s="108"/>
      <c r="G507" s="108"/>
      <c r="H507" s="108"/>
      <c r="I507" s="108"/>
      <c r="J507" s="108"/>
      <c r="K507" s="108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  <c r="AH507" s="108"/>
      <c r="AI507" s="108"/>
    </row>
    <row r="508">
      <c r="A508" s="108"/>
      <c r="B508" s="108"/>
      <c r="C508" s="108"/>
      <c r="D508" s="108"/>
      <c r="E508" s="108"/>
      <c r="F508" s="108"/>
      <c r="G508" s="108"/>
      <c r="H508" s="108"/>
      <c r="I508" s="108"/>
      <c r="J508" s="108"/>
      <c r="K508" s="108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  <c r="AH508" s="108"/>
      <c r="AI508" s="108"/>
    </row>
    <row r="509">
      <c r="A509" s="108"/>
      <c r="B509" s="108"/>
      <c r="C509" s="108"/>
      <c r="D509" s="108"/>
      <c r="E509" s="108"/>
      <c r="F509" s="108"/>
      <c r="G509" s="108"/>
      <c r="H509" s="108"/>
      <c r="I509" s="108"/>
      <c r="J509" s="108"/>
      <c r="K509" s="108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  <c r="AH509" s="108"/>
      <c r="AI509" s="108"/>
    </row>
    <row r="510">
      <c r="A510" s="108"/>
      <c r="B510" s="108"/>
      <c r="C510" s="108"/>
      <c r="D510" s="108"/>
      <c r="E510" s="108"/>
      <c r="F510" s="108"/>
      <c r="G510" s="108"/>
      <c r="H510" s="108"/>
      <c r="I510" s="108"/>
      <c r="J510" s="108"/>
      <c r="K510" s="108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  <c r="AH510" s="108"/>
      <c r="AI510" s="108"/>
    </row>
    <row r="511">
      <c r="A511" s="10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  <c r="AH511" s="108"/>
      <c r="AI511" s="108"/>
    </row>
    <row r="512">
      <c r="A512" s="108"/>
      <c r="B512" s="108"/>
      <c r="C512" s="108"/>
      <c r="D512" s="108"/>
      <c r="E512" s="108"/>
      <c r="F512" s="108"/>
      <c r="G512" s="108"/>
      <c r="H512" s="108"/>
      <c r="I512" s="108"/>
      <c r="J512" s="108"/>
      <c r="K512" s="108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  <c r="AH512" s="108"/>
      <c r="AI512" s="108"/>
    </row>
    <row r="513">
      <c r="A513" s="108"/>
      <c r="B513" s="108"/>
      <c r="C513" s="108"/>
      <c r="D513" s="108"/>
      <c r="E513" s="108"/>
      <c r="F513" s="108"/>
      <c r="G513" s="108"/>
      <c r="H513" s="108"/>
      <c r="I513" s="108"/>
      <c r="J513" s="108"/>
      <c r="K513" s="108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  <c r="AH513" s="108"/>
      <c r="AI513" s="108"/>
    </row>
    <row r="514">
      <c r="A514" s="108"/>
      <c r="B514" s="108"/>
      <c r="C514" s="108"/>
      <c r="D514" s="108"/>
      <c r="E514" s="108"/>
      <c r="F514" s="108"/>
      <c r="G514" s="108"/>
      <c r="H514" s="108"/>
      <c r="I514" s="108"/>
      <c r="J514" s="108"/>
      <c r="K514" s="108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  <c r="AH514" s="108"/>
      <c r="AI514" s="108"/>
    </row>
    <row r="515">
      <c r="A515" s="108"/>
      <c r="B515" s="108"/>
      <c r="C515" s="108"/>
      <c r="D515" s="108"/>
      <c r="E515" s="108"/>
      <c r="F515" s="108"/>
      <c r="G515" s="108"/>
      <c r="H515" s="108"/>
      <c r="I515" s="108"/>
      <c r="J515" s="108"/>
      <c r="K515" s="108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  <c r="AH515" s="108"/>
      <c r="AI515" s="108"/>
    </row>
    <row r="516">
      <c r="A516" s="108"/>
      <c r="B516" s="108"/>
      <c r="C516" s="108"/>
      <c r="D516" s="108"/>
      <c r="E516" s="108"/>
      <c r="F516" s="108"/>
      <c r="G516" s="108"/>
      <c r="H516" s="108"/>
      <c r="I516" s="108"/>
      <c r="J516" s="108"/>
      <c r="K516" s="108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  <c r="AH516" s="108"/>
      <c r="AI516" s="108"/>
    </row>
    <row r="517">
      <c r="A517" s="108"/>
      <c r="B517" s="108"/>
      <c r="C517" s="108"/>
      <c r="D517" s="108"/>
      <c r="E517" s="108"/>
      <c r="F517" s="108"/>
      <c r="G517" s="108"/>
      <c r="H517" s="108"/>
      <c r="I517" s="108"/>
      <c r="J517" s="108"/>
      <c r="K517" s="108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  <c r="AH517" s="108"/>
      <c r="AI517" s="108"/>
    </row>
    <row r="518">
      <c r="A518" s="108"/>
      <c r="B518" s="108"/>
      <c r="C518" s="108"/>
      <c r="D518" s="108"/>
      <c r="E518" s="108"/>
      <c r="F518" s="108"/>
      <c r="G518" s="108"/>
      <c r="H518" s="108"/>
      <c r="I518" s="108"/>
      <c r="J518" s="108"/>
      <c r="K518" s="108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  <c r="AH518" s="108"/>
      <c r="AI518" s="108"/>
    </row>
    <row r="519">
      <c r="A519" s="108"/>
      <c r="B519" s="108"/>
      <c r="C519" s="108"/>
      <c r="D519" s="108"/>
      <c r="E519" s="108"/>
      <c r="F519" s="108"/>
      <c r="G519" s="108"/>
      <c r="H519" s="108"/>
      <c r="I519" s="108"/>
      <c r="J519" s="108"/>
      <c r="K519" s="108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  <c r="AH519" s="108"/>
      <c r="AI519" s="108"/>
    </row>
    <row r="520">
      <c r="A520" s="108"/>
      <c r="B520" s="108"/>
      <c r="C520" s="108"/>
      <c r="D520" s="108"/>
      <c r="E520" s="108"/>
      <c r="F520" s="108"/>
      <c r="G520" s="108"/>
      <c r="H520" s="108"/>
      <c r="I520" s="108"/>
      <c r="J520" s="108"/>
      <c r="K520" s="108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  <c r="AH520" s="108"/>
      <c r="AI520" s="108"/>
    </row>
    <row r="521">
      <c r="A521" s="108"/>
      <c r="B521" s="108"/>
      <c r="C521" s="108"/>
      <c r="D521" s="108"/>
      <c r="E521" s="108"/>
      <c r="F521" s="108"/>
      <c r="G521" s="108"/>
      <c r="H521" s="108"/>
      <c r="I521" s="108"/>
      <c r="J521" s="108"/>
      <c r="K521" s="108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  <c r="AH521" s="108"/>
      <c r="AI521" s="108"/>
    </row>
    <row r="522">
      <c r="A522" s="108"/>
      <c r="B522" s="108"/>
      <c r="C522" s="108"/>
      <c r="D522" s="108"/>
      <c r="E522" s="108"/>
      <c r="F522" s="108"/>
      <c r="G522" s="108"/>
      <c r="H522" s="108"/>
      <c r="I522" s="108"/>
      <c r="J522" s="108"/>
      <c r="K522" s="108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  <c r="AH522" s="108"/>
      <c r="AI522" s="108"/>
    </row>
    <row r="523">
      <c r="A523" s="108"/>
      <c r="B523" s="108"/>
      <c r="C523" s="108"/>
      <c r="D523" s="108"/>
      <c r="E523" s="108"/>
      <c r="F523" s="108"/>
      <c r="G523" s="108"/>
      <c r="H523" s="108"/>
      <c r="I523" s="108"/>
      <c r="J523" s="108"/>
      <c r="K523" s="108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  <c r="AH523" s="108"/>
      <c r="AI523" s="108"/>
    </row>
    <row r="524">
      <c r="A524" s="108"/>
      <c r="B524" s="108"/>
      <c r="C524" s="108"/>
      <c r="D524" s="108"/>
      <c r="E524" s="108"/>
      <c r="F524" s="108"/>
      <c r="G524" s="108"/>
      <c r="H524" s="108"/>
      <c r="I524" s="108"/>
      <c r="J524" s="108"/>
      <c r="K524" s="108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  <c r="AH524" s="108"/>
      <c r="AI524" s="108"/>
    </row>
    <row r="525">
      <c r="A525" s="108"/>
      <c r="B525" s="108"/>
      <c r="C525" s="108"/>
      <c r="D525" s="108"/>
      <c r="E525" s="108"/>
      <c r="F525" s="108"/>
      <c r="G525" s="108"/>
      <c r="H525" s="108"/>
      <c r="I525" s="108"/>
      <c r="J525" s="108"/>
      <c r="K525" s="108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  <c r="AH525" s="108"/>
      <c r="AI525" s="108"/>
    </row>
    <row r="526">
      <c r="A526" s="10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  <c r="AH526" s="108"/>
      <c r="AI526" s="108"/>
    </row>
    <row r="527">
      <c r="A527" s="108"/>
      <c r="B527" s="108"/>
      <c r="C527" s="108"/>
      <c r="D527" s="108"/>
      <c r="E527" s="108"/>
      <c r="F527" s="108"/>
      <c r="G527" s="108"/>
      <c r="H527" s="108"/>
      <c r="I527" s="108"/>
      <c r="J527" s="108"/>
      <c r="K527" s="108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  <c r="AH527" s="108"/>
      <c r="AI527" s="108"/>
    </row>
    <row r="528">
      <c r="A528" s="108"/>
      <c r="B528" s="108"/>
      <c r="C528" s="108"/>
      <c r="D528" s="108"/>
      <c r="E528" s="108"/>
      <c r="F528" s="108"/>
      <c r="G528" s="108"/>
      <c r="H528" s="108"/>
      <c r="I528" s="108"/>
      <c r="J528" s="108"/>
      <c r="K528" s="108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  <c r="AH528" s="108"/>
      <c r="AI528" s="108"/>
    </row>
    <row r="529">
      <c r="A529" s="108"/>
      <c r="B529" s="108"/>
      <c r="C529" s="108"/>
      <c r="D529" s="108"/>
      <c r="E529" s="108"/>
      <c r="F529" s="108"/>
      <c r="G529" s="108"/>
      <c r="H529" s="108"/>
      <c r="I529" s="108"/>
      <c r="J529" s="108"/>
      <c r="K529" s="108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  <c r="AH529" s="108"/>
      <c r="AI529" s="108"/>
    </row>
    <row r="530">
      <c r="A530" s="108"/>
      <c r="B530" s="108"/>
      <c r="C530" s="108"/>
      <c r="D530" s="108"/>
      <c r="E530" s="108"/>
      <c r="F530" s="108"/>
      <c r="G530" s="108"/>
      <c r="H530" s="108"/>
      <c r="I530" s="108"/>
      <c r="J530" s="108"/>
      <c r="K530" s="108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  <c r="AH530" s="108"/>
      <c r="AI530" s="108"/>
    </row>
    <row r="531">
      <c r="A531" s="108"/>
      <c r="B531" s="108"/>
      <c r="C531" s="108"/>
      <c r="D531" s="108"/>
      <c r="E531" s="108"/>
      <c r="F531" s="108"/>
      <c r="G531" s="108"/>
      <c r="H531" s="108"/>
      <c r="I531" s="108"/>
      <c r="J531" s="108"/>
      <c r="K531" s="108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  <c r="AH531" s="108"/>
      <c r="AI531" s="108"/>
    </row>
    <row r="532">
      <c r="A532" s="108"/>
      <c r="B532" s="108"/>
      <c r="C532" s="108"/>
      <c r="D532" s="108"/>
      <c r="E532" s="108"/>
      <c r="F532" s="108"/>
      <c r="G532" s="108"/>
      <c r="H532" s="108"/>
      <c r="I532" s="108"/>
      <c r="J532" s="108"/>
      <c r="K532" s="108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  <c r="AH532" s="108"/>
      <c r="AI532" s="108"/>
    </row>
    <row r="533">
      <c r="A533" s="108"/>
      <c r="B533" s="108"/>
      <c r="C533" s="108"/>
      <c r="D533" s="108"/>
      <c r="E533" s="108"/>
      <c r="F533" s="108"/>
      <c r="G533" s="108"/>
      <c r="H533" s="108"/>
      <c r="I533" s="108"/>
      <c r="J533" s="108"/>
      <c r="K533" s="108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  <c r="AH533" s="108"/>
      <c r="AI533" s="108"/>
    </row>
    <row r="534">
      <c r="A534" s="108"/>
      <c r="B534" s="108"/>
      <c r="C534" s="108"/>
      <c r="D534" s="108"/>
      <c r="E534" s="108"/>
      <c r="F534" s="108"/>
      <c r="G534" s="108"/>
      <c r="H534" s="108"/>
      <c r="I534" s="108"/>
      <c r="J534" s="108"/>
      <c r="K534" s="108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  <c r="AH534" s="108"/>
      <c r="AI534" s="108"/>
    </row>
    <row r="535">
      <c r="A535" s="108"/>
      <c r="B535" s="108"/>
      <c r="C535" s="108"/>
      <c r="D535" s="108"/>
      <c r="E535" s="108"/>
      <c r="F535" s="108"/>
      <c r="G535" s="108"/>
      <c r="H535" s="108"/>
      <c r="I535" s="108"/>
      <c r="J535" s="108"/>
      <c r="K535" s="108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  <c r="AH535" s="108"/>
      <c r="AI535" s="108"/>
    </row>
    <row r="536">
      <c r="A536" s="108"/>
      <c r="B536" s="108"/>
      <c r="C536" s="108"/>
      <c r="D536" s="108"/>
      <c r="E536" s="108"/>
      <c r="F536" s="108"/>
      <c r="G536" s="108"/>
      <c r="H536" s="108"/>
      <c r="I536" s="108"/>
      <c r="J536" s="108"/>
      <c r="K536" s="108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  <c r="AH536" s="108"/>
      <c r="AI536" s="108"/>
    </row>
    <row r="537">
      <c r="A537" s="108"/>
      <c r="B537" s="108"/>
      <c r="C537" s="108"/>
      <c r="D537" s="108"/>
      <c r="E537" s="108"/>
      <c r="F537" s="108"/>
      <c r="G537" s="108"/>
      <c r="H537" s="108"/>
      <c r="I537" s="108"/>
      <c r="J537" s="108"/>
      <c r="K537" s="108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  <c r="AH537" s="108"/>
      <c r="AI537" s="108"/>
    </row>
  </sheetData>
  <mergeCells count="39">
    <mergeCell ref="G4:H4"/>
    <mergeCell ref="I4:J4"/>
    <mergeCell ref="K4:L4"/>
    <mergeCell ref="M4:N4"/>
    <mergeCell ref="O4:P4"/>
    <mergeCell ref="Q4:S4"/>
    <mergeCell ref="B4:C4"/>
    <mergeCell ref="B5:C6"/>
    <mergeCell ref="D5:E6"/>
    <mergeCell ref="F5:F6"/>
    <mergeCell ref="G5:H6"/>
    <mergeCell ref="I5:J6"/>
    <mergeCell ref="K5:L6"/>
    <mergeCell ref="M5:N6"/>
    <mergeCell ref="B8:E9"/>
    <mergeCell ref="F8:I9"/>
    <mergeCell ref="B1:K1"/>
    <mergeCell ref="L1:W1"/>
    <mergeCell ref="B2:K3"/>
    <mergeCell ref="L2:W3"/>
    <mergeCell ref="T4:W4"/>
    <mergeCell ref="T5:W6"/>
    <mergeCell ref="Q8:W9"/>
    <mergeCell ref="O5:P6"/>
    <mergeCell ref="Q5:S6"/>
    <mergeCell ref="D4:E4"/>
    <mergeCell ref="B7:E7"/>
    <mergeCell ref="C16:F16"/>
    <mergeCell ref="F7:I7"/>
    <mergeCell ref="J7:M7"/>
    <mergeCell ref="N7:P7"/>
    <mergeCell ref="Q7:W7"/>
    <mergeCell ref="J8:M9"/>
    <mergeCell ref="N8:P9"/>
    <mergeCell ref="A1:A18"/>
    <mergeCell ref="B10:B18"/>
    <mergeCell ref="C10:W10"/>
    <mergeCell ref="C13:W13"/>
    <mergeCell ref="A19:W19"/>
  </mergeCells>
  <conditionalFormatting sqref="B2:K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B2">
      <formula1>Pit!$A$2:$A$40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31.25"/>
    <col customWidth="1" min="9" max="9" width="41.5"/>
    <col customWidth="1" min="10" max="12" width="19.38"/>
    <col customWidth="1" min="13" max="13" width="17.38"/>
    <col customWidth="1" min="14" max="15" width="12.25"/>
    <col customWidth="1" min="16" max="16" width="29.13"/>
    <col customWidth="1" min="17" max="17" width="38.75"/>
  </cols>
  <sheetData>
    <row r="1">
      <c r="A1" s="167" t="s">
        <v>316</v>
      </c>
      <c r="B1" s="168" t="s">
        <v>571</v>
      </c>
      <c r="C1" s="169" t="s">
        <v>613</v>
      </c>
      <c r="D1" s="169" t="s">
        <v>614</v>
      </c>
      <c r="E1" s="169" t="s">
        <v>615</v>
      </c>
      <c r="F1" s="169" t="s">
        <v>616</v>
      </c>
      <c r="G1" s="169" t="s">
        <v>617</v>
      </c>
      <c r="H1" s="168" t="s">
        <v>577</v>
      </c>
      <c r="I1" s="168" t="s">
        <v>618</v>
      </c>
      <c r="J1" s="169" t="s">
        <v>619</v>
      </c>
      <c r="K1" s="169" t="s">
        <v>620</v>
      </c>
      <c r="L1" s="169" t="s">
        <v>621</v>
      </c>
      <c r="M1" s="169" t="s">
        <v>622</v>
      </c>
      <c r="N1" s="169" t="s">
        <v>572</v>
      </c>
      <c r="O1" s="169" t="s">
        <v>573</v>
      </c>
      <c r="P1" s="169" t="s">
        <v>580</v>
      </c>
      <c r="Q1" s="168" t="s">
        <v>581</v>
      </c>
    </row>
    <row r="2">
      <c r="A2" s="170">
        <v>107.0</v>
      </c>
      <c r="B2" s="170" t="s">
        <v>43</v>
      </c>
      <c r="C2" s="171"/>
      <c r="D2" s="171"/>
      <c r="E2" s="171" t="b">
        <v>0</v>
      </c>
      <c r="F2" s="171" t="b">
        <v>0</v>
      </c>
      <c r="G2" s="171" t="b">
        <v>0</v>
      </c>
      <c r="H2" s="171"/>
      <c r="I2" s="171"/>
      <c r="J2" s="171" t="b">
        <v>0</v>
      </c>
      <c r="K2" s="171" t="b">
        <v>0</v>
      </c>
      <c r="L2" s="171" t="b">
        <v>0</v>
      </c>
      <c r="M2" s="171"/>
      <c r="N2" s="171" t="b">
        <v>0</v>
      </c>
      <c r="O2" s="171" t="b">
        <v>0</v>
      </c>
      <c r="P2" s="171"/>
      <c r="Q2" s="171"/>
    </row>
    <row r="3">
      <c r="A3" s="170">
        <v>815.0</v>
      </c>
      <c r="B3" s="170" t="s">
        <v>46</v>
      </c>
      <c r="C3" s="171"/>
      <c r="D3" s="171"/>
      <c r="E3" s="171" t="b">
        <v>0</v>
      </c>
      <c r="F3" s="171" t="b">
        <v>0</v>
      </c>
      <c r="G3" s="171" t="b">
        <v>0</v>
      </c>
      <c r="H3" s="171"/>
      <c r="I3" s="171"/>
      <c r="J3" s="171" t="b">
        <v>0</v>
      </c>
      <c r="K3" s="171" t="b">
        <v>0</v>
      </c>
      <c r="L3" s="171" t="b">
        <v>0</v>
      </c>
      <c r="M3" s="171"/>
      <c r="N3" s="171" t="b">
        <v>0</v>
      </c>
      <c r="O3" s="171" t="b">
        <v>0</v>
      </c>
      <c r="P3" s="171"/>
      <c r="Q3" s="171"/>
    </row>
    <row r="4">
      <c r="A4" s="170">
        <v>862.0</v>
      </c>
      <c r="B4" s="170" t="s">
        <v>42</v>
      </c>
      <c r="C4" s="171"/>
      <c r="D4" s="171"/>
      <c r="E4" s="171" t="b">
        <v>0</v>
      </c>
      <c r="F4" s="171" t="b">
        <v>0</v>
      </c>
      <c r="G4" s="171" t="b">
        <v>0</v>
      </c>
      <c r="H4" s="171"/>
      <c r="I4" s="171"/>
      <c r="J4" s="171" t="b">
        <v>0</v>
      </c>
      <c r="K4" s="171" t="b">
        <v>0</v>
      </c>
      <c r="L4" s="171" t="b">
        <v>0</v>
      </c>
      <c r="M4" s="171"/>
      <c r="N4" s="171" t="b">
        <v>0</v>
      </c>
      <c r="O4" s="171" t="b">
        <v>0</v>
      </c>
      <c r="P4" s="171"/>
      <c r="Q4" s="171"/>
    </row>
    <row r="5">
      <c r="A5" s="170">
        <v>904.0</v>
      </c>
      <c r="B5" s="170" t="s">
        <v>62</v>
      </c>
      <c r="C5" s="171"/>
      <c r="D5" s="171"/>
      <c r="E5" s="171" t="b">
        <v>0</v>
      </c>
      <c r="F5" s="171" t="b">
        <v>0</v>
      </c>
      <c r="G5" s="171" t="b">
        <v>0</v>
      </c>
      <c r="H5" s="171"/>
      <c r="I5" s="171"/>
      <c r="J5" s="171" t="b">
        <v>0</v>
      </c>
      <c r="K5" s="171" t="b">
        <v>0</v>
      </c>
      <c r="L5" s="171" t="b">
        <v>0</v>
      </c>
      <c r="M5" s="171"/>
      <c r="N5" s="171" t="b">
        <v>0</v>
      </c>
      <c r="O5" s="171" t="b">
        <v>0</v>
      </c>
      <c r="P5" s="171"/>
      <c r="Q5" s="171"/>
    </row>
    <row r="6">
      <c r="A6" s="170">
        <v>1076.0</v>
      </c>
      <c r="B6" s="170" t="s">
        <v>64</v>
      </c>
      <c r="C6" s="171"/>
      <c r="D6" s="171"/>
      <c r="E6" s="171" t="b">
        <v>0</v>
      </c>
      <c r="F6" s="171" t="b">
        <v>0</v>
      </c>
      <c r="G6" s="171" t="b">
        <v>0</v>
      </c>
      <c r="H6" s="171"/>
      <c r="I6" s="171"/>
      <c r="J6" s="171" t="b">
        <v>0</v>
      </c>
      <c r="K6" s="171" t="b">
        <v>0</v>
      </c>
      <c r="L6" s="171" t="b">
        <v>0</v>
      </c>
      <c r="M6" s="171"/>
      <c r="N6" s="171" t="b">
        <v>0</v>
      </c>
      <c r="O6" s="171" t="b">
        <v>0</v>
      </c>
      <c r="P6" s="171"/>
      <c r="Q6" s="172"/>
    </row>
    <row r="7">
      <c r="A7" s="170">
        <v>1502.0</v>
      </c>
      <c r="B7" s="170" t="s">
        <v>65</v>
      </c>
      <c r="C7" s="171"/>
      <c r="D7" s="171"/>
      <c r="E7" s="171" t="b">
        <v>0</v>
      </c>
      <c r="F7" s="171" t="b">
        <v>0</v>
      </c>
      <c r="G7" s="171" t="b">
        <v>0</v>
      </c>
      <c r="H7" s="171"/>
      <c r="I7" s="171"/>
      <c r="J7" s="171" t="b">
        <v>0</v>
      </c>
      <c r="K7" s="171" t="b">
        <v>0</v>
      </c>
      <c r="L7" s="171" t="b">
        <v>0</v>
      </c>
      <c r="M7" s="171"/>
      <c r="N7" s="171" t="b">
        <v>0</v>
      </c>
      <c r="O7" s="171" t="b">
        <v>0</v>
      </c>
      <c r="P7" s="171"/>
      <c r="Q7" s="171"/>
    </row>
    <row r="8">
      <c r="A8" s="170">
        <v>1504.0</v>
      </c>
      <c r="B8" s="170" t="s">
        <v>48</v>
      </c>
      <c r="C8" s="171"/>
      <c r="D8" s="171"/>
      <c r="E8" s="171" t="b">
        <v>0</v>
      </c>
      <c r="F8" s="171" t="b">
        <v>0</v>
      </c>
      <c r="G8" s="171" t="b">
        <v>0</v>
      </c>
      <c r="H8" s="171"/>
      <c r="I8" s="171"/>
      <c r="J8" s="171" t="b">
        <v>0</v>
      </c>
      <c r="K8" s="171" t="b">
        <v>0</v>
      </c>
      <c r="L8" s="171" t="b">
        <v>0</v>
      </c>
      <c r="M8" s="171"/>
      <c r="N8" s="171" t="b">
        <v>0</v>
      </c>
      <c r="O8" s="171" t="b">
        <v>0</v>
      </c>
      <c r="P8" s="171"/>
      <c r="Q8" s="172"/>
    </row>
    <row r="9">
      <c r="A9" s="170">
        <v>3322.0</v>
      </c>
      <c r="B9" s="170" t="s">
        <v>50</v>
      </c>
      <c r="C9" s="171"/>
      <c r="D9" s="171"/>
      <c r="E9" s="171" t="b">
        <v>1</v>
      </c>
      <c r="F9" s="171" t="b">
        <v>1</v>
      </c>
      <c r="G9" s="171" t="b">
        <v>1</v>
      </c>
      <c r="H9" s="171" t="s">
        <v>623</v>
      </c>
      <c r="I9" s="172"/>
      <c r="J9" s="171" t="b">
        <v>0</v>
      </c>
      <c r="K9" s="171" t="b">
        <v>0</v>
      </c>
      <c r="L9" s="171" t="b">
        <v>0</v>
      </c>
      <c r="M9" s="171"/>
      <c r="N9" s="171" t="b">
        <v>1</v>
      </c>
      <c r="O9" s="171" t="b">
        <v>1</v>
      </c>
      <c r="P9" s="171"/>
      <c r="Q9" s="172"/>
    </row>
    <row r="10">
      <c r="A10" s="170">
        <v>3568.0</v>
      </c>
      <c r="B10" s="170" t="s">
        <v>54</v>
      </c>
      <c r="C10" s="171"/>
      <c r="D10" s="171"/>
      <c r="E10" s="171" t="b">
        <v>0</v>
      </c>
      <c r="F10" s="171" t="b">
        <v>0</v>
      </c>
      <c r="G10" s="171" t="b">
        <v>0</v>
      </c>
      <c r="H10" s="171"/>
      <c r="I10" s="171"/>
      <c r="J10" s="171" t="b">
        <v>0</v>
      </c>
      <c r="K10" s="171" t="b">
        <v>0</v>
      </c>
      <c r="L10" s="171" t="b">
        <v>0</v>
      </c>
      <c r="M10" s="171"/>
      <c r="N10" s="171" t="b">
        <v>0</v>
      </c>
      <c r="O10" s="171" t="b">
        <v>0</v>
      </c>
      <c r="P10" s="171"/>
      <c r="Q10" s="172"/>
    </row>
    <row r="11">
      <c r="A11" s="170">
        <v>3707.0</v>
      </c>
      <c r="B11" s="170" t="s">
        <v>52</v>
      </c>
      <c r="C11" s="171"/>
      <c r="D11" s="171"/>
      <c r="E11" s="171" t="b">
        <v>0</v>
      </c>
      <c r="F11" s="172" t="b">
        <v>0</v>
      </c>
      <c r="G11" s="172" t="b">
        <v>0</v>
      </c>
      <c r="H11" s="171"/>
      <c r="I11" s="171"/>
      <c r="J11" s="171" t="b">
        <v>0</v>
      </c>
      <c r="K11" s="171" t="b">
        <v>0</v>
      </c>
      <c r="L11" s="171" t="b">
        <v>0</v>
      </c>
      <c r="M11" s="171"/>
      <c r="N11" s="171" t="b">
        <v>0</v>
      </c>
      <c r="O11" s="171" t="b">
        <v>0</v>
      </c>
      <c r="P11" s="171"/>
      <c r="Q11" s="171"/>
    </row>
    <row r="12">
      <c r="A12" s="170">
        <v>3773.0</v>
      </c>
      <c r="B12" s="170" t="s">
        <v>75</v>
      </c>
      <c r="C12" s="171"/>
      <c r="D12" s="171"/>
      <c r="E12" s="171" t="b">
        <v>0</v>
      </c>
      <c r="F12" s="171" t="b">
        <v>0</v>
      </c>
      <c r="G12" s="171" t="b">
        <v>0</v>
      </c>
      <c r="H12" s="171"/>
      <c r="I12" s="171"/>
      <c r="J12" s="171" t="b">
        <v>0</v>
      </c>
      <c r="K12" s="171" t="b">
        <v>0</v>
      </c>
      <c r="L12" s="171" t="b">
        <v>0</v>
      </c>
      <c r="M12" s="171"/>
      <c r="N12" s="171" t="b">
        <v>0</v>
      </c>
      <c r="O12" s="171" t="b">
        <v>0</v>
      </c>
      <c r="P12" s="171"/>
      <c r="Q12" s="171"/>
    </row>
    <row r="13">
      <c r="A13" s="170">
        <v>4395.0</v>
      </c>
      <c r="B13" s="170" t="s">
        <v>69</v>
      </c>
      <c r="C13" s="171"/>
      <c r="D13" s="171"/>
      <c r="E13" s="171" t="b">
        <v>0</v>
      </c>
      <c r="F13" s="171" t="b">
        <v>0</v>
      </c>
      <c r="G13" s="171" t="b">
        <v>0</v>
      </c>
      <c r="H13" s="171"/>
      <c r="I13" s="171"/>
      <c r="J13" s="171" t="b">
        <v>0</v>
      </c>
      <c r="K13" s="171" t="b">
        <v>0</v>
      </c>
      <c r="L13" s="171" t="b">
        <v>0</v>
      </c>
      <c r="M13" s="171"/>
      <c r="N13" s="171" t="b">
        <v>0</v>
      </c>
      <c r="O13" s="171" t="b">
        <v>0</v>
      </c>
      <c r="P13" s="171"/>
      <c r="Q13" s="171"/>
    </row>
    <row r="14">
      <c r="A14" s="170">
        <v>4405.0</v>
      </c>
      <c r="B14" s="170" t="s">
        <v>40</v>
      </c>
      <c r="C14" s="171"/>
      <c r="D14" s="171"/>
      <c r="E14" s="171" t="b">
        <v>0</v>
      </c>
      <c r="F14" s="171" t="b">
        <v>0</v>
      </c>
      <c r="G14" s="171" t="b">
        <v>0</v>
      </c>
      <c r="H14" s="171"/>
      <c r="I14" s="171"/>
      <c r="J14" s="171" t="b">
        <v>0</v>
      </c>
      <c r="K14" s="171" t="b">
        <v>0</v>
      </c>
      <c r="L14" s="171" t="b">
        <v>0</v>
      </c>
      <c r="M14" s="171"/>
      <c r="N14" s="171" t="b">
        <v>0</v>
      </c>
      <c r="O14" s="171" t="b">
        <v>0</v>
      </c>
      <c r="P14" s="171"/>
      <c r="Q14" s="171"/>
    </row>
    <row r="15">
      <c r="A15" s="170">
        <v>5050.0</v>
      </c>
      <c r="B15" s="170" t="s">
        <v>41</v>
      </c>
      <c r="C15" s="172"/>
      <c r="D15" s="172"/>
      <c r="E15" s="172" t="b">
        <v>0</v>
      </c>
      <c r="F15" s="172" t="b">
        <v>0</v>
      </c>
      <c r="G15" s="172" t="b">
        <v>0</v>
      </c>
      <c r="H15" s="172"/>
      <c r="I15" s="171"/>
      <c r="J15" s="171" t="b">
        <v>0</v>
      </c>
      <c r="K15" s="171" t="b">
        <v>0</v>
      </c>
      <c r="L15" s="171" t="b">
        <v>0</v>
      </c>
      <c r="M15" s="171"/>
      <c r="N15" s="171" t="b">
        <v>0</v>
      </c>
      <c r="O15" s="171" t="b">
        <v>0</v>
      </c>
      <c r="P15" s="171"/>
      <c r="Q15" s="171"/>
    </row>
    <row r="16">
      <c r="A16" s="170">
        <v>5066.0</v>
      </c>
      <c r="B16" s="170" t="s">
        <v>45</v>
      </c>
      <c r="C16" s="171"/>
      <c r="D16" s="171"/>
      <c r="E16" s="171" t="b">
        <v>0</v>
      </c>
      <c r="F16" s="171" t="b">
        <v>0</v>
      </c>
      <c r="G16" s="171" t="b">
        <v>0</v>
      </c>
      <c r="H16" s="171"/>
      <c r="I16" s="173"/>
      <c r="J16" s="171" t="b">
        <v>0</v>
      </c>
      <c r="K16" s="171" t="b">
        <v>0</v>
      </c>
      <c r="L16" s="171" t="b">
        <v>0</v>
      </c>
      <c r="M16" s="171"/>
      <c r="N16" s="171" t="b">
        <v>0</v>
      </c>
      <c r="O16" s="171" t="b">
        <v>0</v>
      </c>
      <c r="P16" s="171"/>
      <c r="Q16" s="172"/>
    </row>
    <row r="17">
      <c r="A17" s="170">
        <v>5067.0</v>
      </c>
      <c r="B17" s="170" t="s">
        <v>51</v>
      </c>
      <c r="C17" s="171"/>
      <c r="D17" s="171"/>
      <c r="E17" s="171" t="b">
        <v>0</v>
      </c>
      <c r="F17" s="171" t="b">
        <v>0</v>
      </c>
      <c r="G17" s="171" t="b">
        <v>0</v>
      </c>
      <c r="H17" s="171"/>
      <c r="I17" s="171"/>
      <c r="J17" s="171" t="b">
        <v>0</v>
      </c>
      <c r="K17" s="171" t="b">
        <v>0</v>
      </c>
      <c r="L17" s="171" t="b">
        <v>0</v>
      </c>
      <c r="M17" s="171"/>
      <c r="N17" s="171" t="b">
        <v>0</v>
      </c>
      <c r="O17" s="171" t="b">
        <v>0</v>
      </c>
      <c r="P17" s="171"/>
      <c r="Q17" s="171"/>
    </row>
    <row r="18">
      <c r="A18" s="170">
        <v>5205.0</v>
      </c>
      <c r="B18" s="170" t="s">
        <v>73</v>
      </c>
      <c r="C18" s="171"/>
      <c r="D18" s="171"/>
      <c r="E18" s="171" t="b">
        <v>0</v>
      </c>
      <c r="F18" s="171" t="b">
        <v>0</v>
      </c>
      <c r="G18" s="171" t="b">
        <v>0</v>
      </c>
      <c r="H18" s="171"/>
      <c r="I18" s="171"/>
      <c r="J18" s="171" t="b">
        <v>0</v>
      </c>
      <c r="K18" s="171" t="b">
        <v>0</v>
      </c>
      <c r="L18" s="171" t="b">
        <v>0</v>
      </c>
      <c r="M18" s="171"/>
      <c r="N18" s="171" t="b">
        <v>0</v>
      </c>
      <c r="O18" s="171" t="b">
        <v>0</v>
      </c>
      <c r="P18" s="171"/>
      <c r="Q18" s="171"/>
    </row>
    <row r="19">
      <c r="A19" s="170">
        <v>5509.0</v>
      </c>
      <c r="B19" s="170" t="s">
        <v>66</v>
      </c>
      <c r="C19" s="171"/>
      <c r="D19" s="171"/>
      <c r="E19" s="171" t="b">
        <v>0</v>
      </c>
      <c r="F19" s="172" t="b">
        <v>0</v>
      </c>
      <c r="G19" s="172" t="b">
        <v>0</v>
      </c>
      <c r="H19" s="171"/>
      <c r="I19" s="171"/>
      <c r="J19" s="171" t="b">
        <v>0</v>
      </c>
      <c r="K19" s="171" t="b">
        <v>0</v>
      </c>
      <c r="L19" s="171" t="b">
        <v>0</v>
      </c>
      <c r="M19" s="171"/>
      <c r="N19" s="171" t="b">
        <v>0</v>
      </c>
      <c r="O19" s="171" t="b">
        <v>0</v>
      </c>
      <c r="P19" s="171"/>
      <c r="Q19" s="171"/>
    </row>
    <row r="20">
      <c r="A20" s="170">
        <v>5641.0</v>
      </c>
      <c r="B20" s="170" t="s">
        <v>49</v>
      </c>
      <c r="C20" s="171"/>
      <c r="D20" s="171"/>
      <c r="E20" s="171" t="b">
        <v>0</v>
      </c>
      <c r="F20" s="171" t="b">
        <v>0</v>
      </c>
      <c r="G20" s="171" t="b">
        <v>0</v>
      </c>
      <c r="H20" s="171"/>
      <c r="I20" s="171"/>
      <c r="J20" s="172" t="b">
        <v>0</v>
      </c>
      <c r="K20" s="172" t="b">
        <v>0</v>
      </c>
      <c r="L20" s="172" t="b">
        <v>0</v>
      </c>
      <c r="M20" s="171"/>
      <c r="N20" s="171" t="b">
        <v>0</v>
      </c>
      <c r="O20" s="171" t="b">
        <v>0</v>
      </c>
      <c r="P20" s="171"/>
      <c r="Q20" s="171"/>
    </row>
    <row r="21">
      <c r="A21" s="170">
        <v>5674.0</v>
      </c>
      <c r="B21" s="170" t="s">
        <v>53</v>
      </c>
      <c r="C21" s="171"/>
      <c r="D21" s="171"/>
      <c r="E21" s="171" t="b">
        <v>0</v>
      </c>
      <c r="F21" s="171" t="b">
        <v>0</v>
      </c>
      <c r="G21" s="171" t="b">
        <v>0</v>
      </c>
      <c r="H21" s="171"/>
      <c r="I21" s="171"/>
      <c r="J21" s="171" t="b">
        <v>0</v>
      </c>
      <c r="K21" s="171" t="b">
        <v>0</v>
      </c>
      <c r="L21" s="171" t="b">
        <v>0</v>
      </c>
      <c r="M21" s="171"/>
      <c r="N21" s="171" t="b">
        <v>0</v>
      </c>
      <c r="O21" s="171" t="b">
        <v>0</v>
      </c>
      <c r="P21" s="171"/>
      <c r="Q21" s="171"/>
    </row>
    <row r="22">
      <c r="A22" s="170">
        <v>5708.0</v>
      </c>
      <c r="B22" s="170" t="s">
        <v>57</v>
      </c>
      <c r="C22" s="172"/>
      <c r="D22" s="172"/>
      <c r="E22" s="172" t="b">
        <v>0</v>
      </c>
      <c r="F22" s="172" t="b">
        <v>0</v>
      </c>
      <c r="G22" s="172" t="b">
        <v>0</v>
      </c>
      <c r="H22" s="172"/>
      <c r="I22" s="172"/>
      <c r="J22" s="172" t="b">
        <v>0</v>
      </c>
      <c r="K22" s="172" t="b">
        <v>0</v>
      </c>
      <c r="L22" s="172" t="b">
        <v>0</v>
      </c>
      <c r="M22" s="172"/>
      <c r="N22" s="172" t="b">
        <v>0</v>
      </c>
      <c r="O22" s="172" t="b">
        <v>0</v>
      </c>
      <c r="P22" s="172"/>
      <c r="Q22" s="172"/>
    </row>
    <row r="23">
      <c r="A23" s="170">
        <v>6081.0</v>
      </c>
      <c r="B23" s="170" t="s">
        <v>44</v>
      </c>
      <c r="C23" s="171"/>
      <c r="D23" s="171"/>
      <c r="E23" s="171" t="b">
        <v>0</v>
      </c>
      <c r="F23" s="171" t="b">
        <v>0</v>
      </c>
      <c r="G23" s="171" t="b">
        <v>0</v>
      </c>
      <c r="H23" s="171"/>
      <c r="I23" s="171"/>
      <c r="J23" s="171" t="b">
        <v>0</v>
      </c>
      <c r="K23" s="171" t="b">
        <v>0</v>
      </c>
      <c r="L23" s="171" t="b">
        <v>0</v>
      </c>
      <c r="M23" s="171"/>
      <c r="N23" s="172" t="b">
        <v>0</v>
      </c>
      <c r="O23" s="172" t="b">
        <v>0</v>
      </c>
      <c r="P23" s="172"/>
      <c r="Q23" s="171"/>
    </row>
    <row r="24">
      <c r="A24" s="170">
        <v>6089.0</v>
      </c>
      <c r="B24" s="170" t="s">
        <v>38</v>
      </c>
      <c r="C24" s="171"/>
      <c r="D24" s="171"/>
      <c r="E24" s="171" t="b">
        <v>0</v>
      </c>
      <c r="F24" s="171" t="b">
        <v>0</v>
      </c>
      <c r="G24" s="171" t="b">
        <v>0</v>
      </c>
      <c r="H24" s="171"/>
      <c r="I24" s="171"/>
      <c r="J24" s="171" t="b">
        <v>0</v>
      </c>
      <c r="K24" s="171" t="b">
        <v>0</v>
      </c>
      <c r="L24" s="171" t="b">
        <v>0</v>
      </c>
      <c r="M24" s="171"/>
      <c r="N24" s="172" t="b">
        <v>0</v>
      </c>
      <c r="O24" s="172" t="b">
        <v>0</v>
      </c>
      <c r="P24" s="172"/>
      <c r="Q24" s="171"/>
    </row>
    <row r="25">
      <c r="A25" s="170">
        <v>6101.0</v>
      </c>
      <c r="B25" s="170" t="s">
        <v>56</v>
      </c>
      <c r="C25" s="171"/>
      <c r="D25" s="171"/>
      <c r="E25" s="171" t="b">
        <v>0</v>
      </c>
      <c r="F25" s="171" t="b">
        <v>0</v>
      </c>
      <c r="G25" s="171" t="b">
        <v>0</v>
      </c>
      <c r="H25" s="171"/>
      <c r="I25" s="171"/>
      <c r="J25" s="171" t="b">
        <v>0</v>
      </c>
      <c r="K25" s="171" t="b">
        <v>0</v>
      </c>
      <c r="L25" s="171" t="b">
        <v>0</v>
      </c>
      <c r="M25" s="171"/>
      <c r="N25" s="171" t="b">
        <v>0</v>
      </c>
      <c r="O25" s="171" t="b">
        <v>0</v>
      </c>
      <c r="P25" s="171"/>
      <c r="Q25" s="171"/>
    </row>
    <row r="26">
      <c r="A26" s="170">
        <v>6556.0</v>
      </c>
      <c r="B26" s="170" t="s">
        <v>74</v>
      </c>
      <c r="C26" s="171"/>
      <c r="D26" s="171"/>
      <c r="E26" s="171" t="b">
        <v>0</v>
      </c>
      <c r="F26" s="171" t="b">
        <v>0</v>
      </c>
      <c r="G26" s="171" t="b">
        <v>0</v>
      </c>
      <c r="H26" s="171"/>
      <c r="I26" s="171"/>
      <c r="J26" s="171" t="b">
        <v>0</v>
      </c>
      <c r="K26" s="171" t="b">
        <v>0</v>
      </c>
      <c r="L26" s="171" t="b">
        <v>0</v>
      </c>
      <c r="M26" s="171"/>
      <c r="N26" s="171" t="b">
        <v>0</v>
      </c>
      <c r="O26" s="171" t="b">
        <v>0</v>
      </c>
      <c r="P26" s="171"/>
      <c r="Q26" s="171"/>
    </row>
    <row r="27">
      <c r="A27" s="170">
        <v>6615.0</v>
      </c>
      <c r="B27" s="170" t="s">
        <v>63</v>
      </c>
      <c r="C27" s="171"/>
      <c r="D27" s="171"/>
      <c r="E27" s="171" t="b">
        <v>0</v>
      </c>
      <c r="F27" s="171" t="b">
        <v>0</v>
      </c>
      <c r="G27" s="171" t="b">
        <v>0</v>
      </c>
      <c r="H27" s="171"/>
      <c r="I27" s="171"/>
      <c r="J27" s="171" t="b">
        <v>0</v>
      </c>
      <c r="K27" s="171" t="b">
        <v>0</v>
      </c>
      <c r="L27" s="171" t="b">
        <v>0</v>
      </c>
      <c r="M27" s="171"/>
      <c r="N27" s="171" t="b">
        <v>0</v>
      </c>
      <c r="O27" s="171" t="b">
        <v>0</v>
      </c>
      <c r="P27" s="171"/>
      <c r="Q27" s="171"/>
    </row>
    <row r="28">
      <c r="A28" s="170">
        <v>6616.0</v>
      </c>
      <c r="B28" s="170" t="s">
        <v>76</v>
      </c>
      <c r="C28" s="171"/>
      <c r="D28" s="171"/>
      <c r="E28" s="171" t="b">
        <v>0</v>
      </c>
      <c r="F28" s="171" t="b">
        <v>0</v>
      </c>
      <c r="G28" s="171" t="b">
        <v>0</v>
      </c>
      <c r="H28" s="171"/>
      <c r="I28" s="171"/>
      <c r="J28" s="171" t="b">
        <v>0</v>
      </c>
      <c r="K28" s="171" t="b">
        <v>0</v>
      </c>
      <c r="L28" s="171" t="b">
        <v>0</v>
      </c>
      <c r="M28" s="171"/>
      <c r="N28" s="171" t="b">
        <v>0</v>
      </c>
      <c r="O28" s="171" t="b">
        <v>0</v>
      </c>
      <c r="P28" s="171"/>
      <c r="Q28" s="171"/>
    </row>
    <row r="29">
      <c r="A29" s="170">
        <v>7221.0</v>
      </c>
      <c r="B29" s="170" t="s">
        <v>70</v>
      </c>
      <c r="C29" s="171"/>
      <c r="D29" s="171"/>
      <c r="E29" s="171" t="b">
        <v>0</v>
      </c>
      <c r="F29" s="171" t="b">
        <v>0</v>
      </c>
      <c r="G29" s="171" t="b">
        <v>0</v>
      </c>
      <c r="H29" s="171"/>
      <c r="I29" s="171"/>
      <c r="J29" s="171" t="b">
        <v>0</v>
      </c>
      <c r="K29" s="171" t="b">
        <v>0</v>
      </c>
      <c r="L29" s="171" t="b">
        <v>0</v>
      </c>
      <c r="M29" s="171"/>
      <c r="N29" s="171" t="b">
        <v>0</v>
      </c>
      <c r="O29" s="171" t="b">
        <v>0</v>
      </c>
      <c r="P29" s="171"/>
      <c r="Q29" s="171"/>
    </row>
    <row r="30">
      <c r="A30" s="170">
        <v>7225.0</v>
      </c>
      <c r="B30" s="170" t="s">
        <v>47</v>
      </c>
      <c r="C30" s="172"/>
      <c r="D30" s="172"/>
      <c r="E30" s="172" t="b">
        <v>0</v>
      </c>
      <c r="F30" s="172" t="b">
        <v>0</v>
      </c>
      <c r="G30" s="172" t="b">
        <v>0</v>
      </c>
      <c r="H30" s="172"/>
      <c r="I30" s="172"/>
      <c r="J30" s="172" t="b">
        <v>0</v>
      </c>
      <c r="K30" s="172" t="b">
        <v>0</v>
      </c>
      <c r="L30" s="172" t="b">
        <v>0</v>
      </c>
      <c r="M30" s="172"/>
      <c r="N30" s="172" t="b">
        <v>0</v>
      </c>
      <c r="O30" s="172" t="b">
        <v>0</v>
      </c>
      <c r="P30" s="172"/>
      <c r="Q30" s="172"/>
    </row>
    <row r="31">
      <c r="A31" s="170">
        <v>7598.0</v>
      </c>
      <c r="B31" s="170" t="s">
        <v>61</v>
      </c>
      <c r="C31" s="171"/>
      <c r="D31" s="171"/>
      <c r="E31" s="171" t="b">
        <v>0</v>
      </c>
      <c r="F31" s="171" t="b">
        <v>0</v>
      </c>
      <c r="G31" s="171" t="b">
        <v>0</v>
      </c>
      <c r="H31" s="171"/>
      <c r="I31" s="171"/>
      <c r="J31" s="171" t="b">
        <v>0</v>
      </c>
      <c r="K31" s="171" t="b">
        <v>0</v>
      </c>
      <c r="L31" s="171" t="b">
        <v>0</v>
      </c>
      <c r="M31" s="171"/>
      <c r="N31" s="171" t="b">
        <v>0</v>
      </c>
      <c r="O31" s="171" t="b">
        <v>0</v>
      </c>
      <c r="P31" s="171"/>
      <c r="Q31" s="171"/>
    </row>
    <row r="32">
      <c r="A32" s="170">
        <v>8268.0</v>
      </c>
      <c r="B32" s="170" t="s">
        <v>39</v>
      </c>
      <c r="C32" s="171"/>
      <c r="D32" s="171"/>
      <c r="E32" s="171" t="b">
        <v>0</v>
      </c>
      <c r="F32" s="171" t="b">
        <v>0</v>
      </c>
      <c r="G32" s="171" t="b">
        <v>0</v>
      </c>
      <c r="H32" s="171"/>
      <c r="I32" s="171"/>
      <c r="J32" s="171" t="b">
        <v>0</v>
      </c>
      <c r="K32" s="171" t="b">
        <v>0</v>
      </c>
      <c r="L32" s="171" t="b">
        <v>0</v>
      </c>
      <c r="M32" s="171"/>
      <c r="N32" s="171" t="b">
        <v>0</v>
      </c>
      <c r="O32" s="171" t="b">
        <v>0</v>
      </c>
      <c r="P32" s="171"/>
      <c r="Q32" s="172"/>
    </row>
    <row r="33">
      <c r="A33" s="170">
        <v>8374.0</v>
      </c>
      <c r="B33" s="170" t="s">
        <v>55</v>
      </c>
      <c r="C33" s="171"/>
      <c r="D33" s="171"/>
      <c r="E33" s="171" t="b">
        <v>0</v>
      </c>
      <c r="F33" s="171" t="b">
        <v>0</v>
      </c>
      <c r="G33" s="172" t="b">
        <v>0</v>
      </c>
      <c r="H33" s="171"/>
      <c r="I33" s="171"/>
      <c r="J33" s="171" t="b">
        <v>0</v>
      </c>
      <c r="K33" s="171" t="b">
        <v>0</v>
      </c>
      <c r="L33" s="171" t="b">
        <v>0</v>
      </c>
      <c r="M33" s="171"/>
      <c r="N33" s="171" t="b">
        <v>0</v>
      </c>
      <c r="O33" s="171" t="b">
        <v>0</v>
      </c>
      <c r="P33" s="171"/>
      <c r="Q33" s="171"/>
    </row>
    <row r="34">
      <c r="A34" s="170">
        <v>8424.0</v>
      </c>
      <c r="B34" s="170" t="s">
        <v>58</v>
      </c>
      <c r="C34" s="171"/>
      <c r="D34" s="171"/>
      <c r="E34" s="171" t="b">
        <v>0</v>
      </c>
      <c r="F34" s="171" t="b">
        <v>0</v>
      </c>
      <c r="G34" s="172" t="b">
        <v>0</v>
      </c>
      <c r="H34" s="171"/>
      <c r="I34" s="171"/>
      <c r="J34" s="171" t="b">
        <v>0</v>
      </c>
      <c r="K34" s="171" t="b">
        <v>0</v>
      </c>
      <c r="L34" s="171" t="b">
        <v>0</v>
      </c>
      <c r="M34" s="171"/>
      <c r="N34" s="171" t="b">
        <v>0</v>
      </c>
      <c r="O34" s="171" t="b">
        <v>0</v>
      </c>
      <c r="P34" s="171"/>
      <c r="Q34" s="171"/>
    </row>
    <row r="35">
      <c r="A35" s="170">
        <v>8832.0</v>
      </c>
      <c r="B35" s="170" t="s">
        <v>68</v>
      </c>
      <c r="C35" s="171"/>
      <c r="D35" s="171"/>
      <c r="E35" s="171" t="b">
        <v>0</v>
      </c>
      <c r="F35" s="171" t="b">
        <v>0</v>
      </c>
      <c r="G35" s="172" t="b">
        <v>0</v>
      </c>
      <c r="H35" s="171"/>
      <c r="I35" s="171"/>
      <c r="J35" s="171" t="b">
        <v>0</v>
      </c>
      <c r="K35" s="171" t="b">
        <v>0</v>
      </c>
      <c r="L35" s="171" t="b">
        <v>0</v>
      </c>
      <c r="M35" s="171"/>
      <c r="N35" s="171" t="b">
        <v>0</v>
      </c>
      <c r="O35" s="171" t="b">
        <v>0</v>
      </c>
      <c r="P35" s="171"/>
      <c r="Q35" s="171"/>
    </row>
    <row r="36">
      <c r="A36" s="170">
        <v>8895.0</v>
      </c>
      <c r="B36" s="170" t="s">
        <v>72</v>
      </c>
      <c r="C36" s="171"/>
      <c r="D36" s="171"/>
      <c r="E36" s="171" t="b">
        <v>0</v>
      </c>
      <c r="F36" s="171" t="b">
        <v>0</v>
      </c>
      <c r="G36" s="172" t="b">
        <v>0</v>
      </c>
      <c r="H36" s="171"/>
      <c r="I36" s="171"/>
      <c r="J36" s="171" t="b">
        <v>0</v>
      </c>
      <c r="K36" s="171" t="b">
        <v>0</v>
      </c>
      <c r="L36" s="171" t="b">
        <v>0</v>
      </c>
      <c r="M36" s="171"/>
      <c r="N36" s="171" t="b">
        <v>0</v>
      </c>
      <c r="O36" s="171" t="b">
        <v>0</v>
      </c>
      <c r="P36" s="171"/>
      <c r="Q36" s="171"/>
    </row>
    <row r="37">
      <c r="A37" s="170">
        <v>9209.0</v>
      </c>
      <c r="B37" s="170" t="s">
        <v>67</v>
      </c>
      <c r="C37" s="171"/>
      <c r="D37" s="171"/>
      <c r="E37" s="171" t="b">
        <v>0</v>
      </c>
      <c r="F37" s="171" t="b">
        <v>0</v>
      </c>
      <c r="G37" s="171" t="b">
        <v>0</v>
      </c>
      <c r="H37" s="171"/>
      <c r="I37" s="171"/>
      <c r="J37" s="171" t="b">
        <v>0</v>
      </c>
      <c r="K37" s="171" t="b">
        <v>0</v>
      </c>
      <c r="L37" s="171" t="b">
        <v>0</v>
      </c>
      <c r="M37" s="171"/>
      <c r="N37" s="171" t="b">
        <v>0</v>
      </c>
      <c r="O37" s="171" t="b">
        <v>0</v>
      </c>
      <c r="P37" s="171"/>
      <c r="Q37" s="171"/>
    </row>
    <row r="38">
      <c r="A38" s="170">
        <v>9210.0</v>
      </c>
      <c r="B38" s="170" t="s">
        <v>60</v>
      </c>
      <c r="C38" s="171"/>
      <c r="D38" s="171"/>
      <c r="E38" s="171" t="b">
        <v>0</v>
      </c>
      <c r="F38" s="172" t="b">
        <v>0</v>
      </c>
      <c r="G38" s="172" t="b">
        <v>0</v>
      </c>
      <c r="H38" s="171"/>
      <c r="I38" s="171"/>
      <c r="J38" s="172" t="b">
        <v>0</v>
      </c>
      <c r="K38" s="172" t="b">
        <v>0</v>
      </c>
      <c r="L38" s="172" t="b">
        <v>0</v>
      </c>
      <c r="M38" s="172"/>
      <c r="N38" s="172" t="b">
        <v>0</v>
      </c>
      <c r="O38" s="172" t="b">
        <v>0</v>
      </c>
      <c r="P38" s="172"/>
      <c r="Q38" s="172"/>
    </row>
    <row r="39">
      <c r="A39" s="170">
        <v>9211.0</v>
      </c>
      <c r="B39" s="170" t="s">
        <v>71</v>
      </c>
      <c r="C39" s="172"/>
      <c r="D39" s="172"/>
      <c r="E39" s="172" t="b">
        <v>0</v>
      </c>
      <c r="F39" s="172" t="b">
        <v>0</v>
      </c>
      <c r="G39" s="172" t="b">
        <v>0</v>
      </c>
      <c r="H39" s="172"/>
      <c r="I39" s="172"/>
      <c r="J39" s="172" t="b">
        <v>0</v>
      </c>
      <c r="K39" s="172" t="b">
        <v>0</v>
      </c>
      <c r="L39" s="172" t="b">
        <v>0</v>
      </c>
      <c r="M39" s="172"/>
      <c r="N39" s="172" t="b">
        <v>0</v>
      </c>
      <c r="O39" s="172" t="b">
        <v>0</v>
      </c>
      <c r="P39" s="172"/>
      <c r="Q39" s="172"/>
    </row>
    <row r="40">
      <c r="A40" s="170">
        <v>9241.0</v>
      </c>
      <c r="B40" s="170" t="s">
        <v>59</v>
      </c>
      <c r="C40" s="171"/>
      <c r="D40" s="171"/>
      <c r="E40" s="172" t="b">
        <v>0</v>
      </c>
      <c r="F40" s="172" t="b">
        <v>0</v>
      </c>
      <c r="G40" s="172" t="b">
        <v>0</v>
      </c>
      <c r="H40" s="172"/>
      <c r="I40" s="171"/>
      <c r="J40" s="171" t="b">
        <v>0</v>
      </c>
      <c r="K40" s="171" t="b">
        <v>0</v>
      </c>
      <c r="L40" s="171" t="b">
        <v>0</v>
      </c>
      <c r="M40" s="172"/>
      <c r="N40" s="171" t="b">
        <v>0</v>
      </c>
      <c r="O40" s="171" t="b">
        <v>0</v>
      </c>
      <c r="P40" s="171"/>
      <c r="Q40" s="171"/>
    </row>
  </sheetData>
  <dataValidations>
    <dataValidation type="list" allowBlank="1" showErrorMessage="1" sqref="H2:H40">
      <formula1>"Cone,Cube,Both,Neither"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8" max="8" width="81.13"/>
  </cols>
  <sheetData>
    <row r="1">
      <c r="A1" s="167" t="s">
        <v>316</v>
      </c>
      <c r="B1" s="169" t="s">
        <v>613</v>
      </c>
      <c r="C1" s="169" t="s">
        <v>614</v>
      </c>
      <c r="D1" s="169" t="s">
        <v>615</v>
      </c>
      <c r="E1" s="169" t="s">
        <v>616</v>
      </c>
      <c r="F1" s="169" t="s">
        <v>617</v>
      </c>
      <c r="G1" s="168" t="s">
        <v>577</v>
      </c>
      <c r="H1" s="168" t="s">
        <v>618</v>
      </c>
      <c r="I1" s="169" t="s">
        <v>619</v>
      </c>
      <c r="J1" s="169" t="s">
        <v>620</v>
      </c>
      <c r="K1" s="169" t="s">
        <v>621</v>
      </c>
      <c r="L1" s="169" t="s">
        <v>622</v>
      </c>
      <c r="M1" s="169" t="s">
        <v>572</v>
      </c>
      <c r="N1" s="169" t="s">
        <v>573</v>
      </c>
      <c r="O1" s="169" t="s">
        <v>580</v>
      </c>
      <c r="P1" s="168" t="s">
        <v>581</v>
      </c>
    </row>
    <row r="2">
      <c r="A2" s="51">
        <v>27.0</v>
      </c>
      <c r="B2" s="85"/>
      <c r="C2" s="85"/>
      <c r="D2" s="62"/>
      <c r="E2" s="62"/>
      <c r="F2" s="62"/>
      <c r="G2" s="84"/>
      <c r="H2" s="84"/>
      <c r="I2" s="62"/>
      <c r="J2" s="62"/>
      <c r="K2" s="62"/>
      <c r="L2" s="85"/>
      <c r="M2" s="62"/>
      <c r="N2" s="62"/>
      <c r="O2" s="87"/>
      <c r="P2" s="84"/>
      <c r="Q2" s="84"/>
    </row>
    <row r="3">
      <c r="A3" s="51">
        <v>33.0</v>
      </c>
      <c r="B3" s="85"/>
      <c r="C3" s="85"/>
      <c r="D3" s="62"/>
      <c r="E3" s="62"/>
      <c r="F3" s="62"/>
      <c r="G3" s="84"/>
      <c r="H3" s="84"/>
      <c r="I3" s="62"/>
      <c r="J3" s="62"/>
      <c r="K3" s="62"/>
      <c r="L3" s="85"/>
      <c r="M3" s="62"/>
      <c r="N3" s="62"/>
      <c r="O3" s="87"/>
      <c r="P3" s="84"/>
      <c r="Q3" s="84"/>
    </row>
    <row r="4">
      <c r="A4" s="51">
        <v>66.0</v>
      </c>
      <c r="B4" s="85"/>
      <c r="C4" s="85"/>
      <c r="D4" s="62"/>
      <c r="E4" s="62"/>
      <c r="F4" s="62"/>
      <c r="G4" s="84"/>
      <c r="H4" s="84"/>
      <c r="I4" s="62"/>
      <c r="J4" s="62"/>
      <c r="K4" s="62"/>
      <c r="L4" s="85"/>
      <c r="M4" s="62"/>
      <c r="N4" s="62"/>
      <c r="O4" s="87"/>
      <c r="P4" s="84"/>
      <c r="Q4" s="84"/>
    </row>
    <row r="5">
      <c r="A5" s="51">
        <v>68.0</v>
      </c>
      <c r="B5" s="85"/>
      <c r="C5" s="85"/>
      <c r="D5" s="62"/>
      <c r="E5" s="62"/>
      <c r="F5" s="62"/>
      <c r="G5" s="84"/>
      <c r="H5" s="84"/>
      <c r="I5" s="62"/>
      <c r="J5" s="62"/>
      <c r="K5" s="62"/>
      <c r="L5" s="85"/>
      <c r="M5" s="62"/>
      <c r="N5" s="62"/>
      <c r="O5" s="87"/>
      <c r="P5" s="84"/>
      <c r="Q5" s="84"/>
    </row>
    <row r="6">
      <c r="A6" s="51">
        <v>123.0</v>
      </c>
      <c r="B6" s="85"/>
      <c r="C6" s="85"/>
      <c r="D6" s="62"/>
      <c r="E6" s="62"/>
      <c r="F6" s="62"/>
      <c r="G6" s="84"/>
      <c r="H6" s="84"/>
      <c r="I6" s="62"/>
      <c r="J6" s="62"/>
      <c r="K6" s="62"/>
      <c r="L6" s="85"/>
      <c r="M6" s="62"/>
      <c r="N6" s="62"/>
      <c r="O6" s="87"/>
      <c r="P6" s="84"/>
      <c r="Q6" s="84"/>
    </row>
    <row r="7">
      <c r="A7" s="51">
        <v>245.0</v>
      </c>
      <c r="B7" s="85"/>
      <c r="C7" s="85"/>
      <c r="D7" s="62"/>
      <c r="E7" s="62"/>
      <c r="F7" s="62"/>
      <c r="G7" s="84"/>
      <c r="H7" s="84"/>
      <c r="I7" s="62"/>
      <c r="J7" s="62"/>
      <c r="K7" s="62"/>
      <c r="L7" s="85"/>
      <c r="M7" s="62"/>
      <c r="N7" s="62"/>
      <c r="O7" s="84"/>
      <c r="P7" s="84"/>
      <c r="Q7" s="84"/>
    </row>
    <row r="8">
      <c r="A8" s="51">
        <v>247.0</v>
      </c>
      <c r="B8" s="85"/>
      <c r="C8" s="85"/>
      <c r="D8" s="62"/>
      <c r="E8" s="62"/>
      <c r="F8" s="62"/>
      <c r="G8" s="84"/>
      <c r="H8" s="84"/>
      <c r="I8" s="62"/>
      <c r="J8" s="62"/>
      <c r="K8" s="62"/>
      <c r="L8" s="85"/>
      <c r="M8" s="62"/>
      <c r="N8" s="62"/>
      <c r="O8" s="87"/>
      <c r="P8" s="84"/>
      <c r="Q8" s="84"/>
    </row>
    <row r="9">
      <c r="A9" s="51">
        <v>302.0</v>
      </c>
      <c r="B9" s="85"/>
      <c r="C9" s="85"/>
      <c r="D9" s="62"/>
      <c r="E9" s="62"/>
      <c r="F9" s="62"/>
      <c r="G9" s="84"/>
      <c r="H9" s="84"/>
      <c r="I9" s="62"/>
      <c r="J9" s="62"/>
      <c r="K9" s="62"/>
      <c r="L9" s="85"/>
      <c r="M9" s="62"/>
      <c r="N9" s="62"/>
      <c r="O9" s="87"/>
      <c r="P9" s="84"/>
      <c r="Q9" s="84"/>
    </row>
    <row r="10">
      <c r="A10" s="51">
        <v>503.0</v>
      </c>
      <c r="B10" s="85"/>
      <c r="C10" s="85"/>
      <c r="D10" s="62"/>
      <c r="E10" s="62"/>
      <c r="F10" s="62"/>
      <c r="G10" s="90"/>
      <c r="H10" s="84"/>
      <c r="I10" s="62"/>
      <c r="J10" s="62"/>
      <c r="K10" s="62"/>
      <c r="L10" s="85"/>
      <c r="M10" s="62"/>
      <c r="N10" s="62"/>
      <c r="O10" s="87"/>
      <c r="P10" s="84"/>
      <c r="Q10" s="84"/>
    </row>
    <row r="11">
      <c r="A11" s="51">
        <v>1506.0</v>
      </c>
      <c r="B11" s="85"/>
      <c r="C11" s="85"/>
      <c r="D11" s="62"/>
      <c r="E11" s="62"/>
      <c r="F11" s="62"/>
      <c r="G11" s="84"/>
      <c r="H11" s="84"/>
      <c r="I11" s="62"/>
      <c r="J11" s="62"/>
      <c r="K11" s="62"/>
      <c r="L11" s="85"/>
      <c r="M11" s="62"/>
      <c r="N11" s="62"/>
      <c r="O11" s="84"/>
      <c r="P11" s="84"/>
      <c r="Q11" s="84"/>
    </row>
    <row r="12">
      <c r="A12" s="51">
        <v>1701.0</v>
      </c>
      <c r="B12" s="85"/>
      <c r="C12" s="85"/>
      <c r="D12" s="62"/>
      <c r="E12" s="62"/>
      <c r="F12" s="62"/>
      <c r="G12" s="84"/>
      <c r="H12" s="84"/>
      <c r="I12" s="62"/>
      <c r="J12" s="62"/>
      <c r="K12" s="62"/>
      <c r="L12" s="85"/>
      <c r="M12" s="62"/>
      <c r="N12" s="62"/>
      <c r="O12" s="84"/>
      <c r="P12" s="84"/>
      <c r="Q12" s="84"/>
    </row>
    <row r="13">
      <c r="A13" s="51">
        <v>1711.0</v>
      </c>
      <c r="B13" s="85"/>
      <c r="C13" s="85"/>
      <c r="D13" s="62"/>
      <c r="E13" s="62"/>
      <c r="F13" s="62"/>
      <c r="G13" s="84"/>
      <c r="H13" s="84"/>
      <c r="I13" s="62"/>
      <c r="J13" s="62"/>
      <c r="K13" s="62"/>
      <c r="L13" s="85"/>
      <c r="M13" s="62"/>
      <c r="N13" s="62"/>
      <c r="O13" s="84"/>
      <c r="P13" s="84"/>
      <c r="Q13" s="84"/>
    </row>
    <row r="14">
      <c r="A14" s="51">
        <v>2137.0</v>
      </c>
      <c r="B14" s="85"/>
      <c r="C14" s="85"/>
      <c r="D14" s="62"/>
      <c r="E14" s="62"/>
      <c r="F14" s="62"/>
      <c r="G14" s="84"/>
      <c r="H14" s="84"/>
      <c r="I14" s="62"/>
      <c r="J14" s="62"/>
      <c r="K14" s="62"/>
      <c r="L14" s="85"/>
      <c r="M14" s="62"/>
      <c r="N14" s="62"/>
      <c r="O14" s="87"/>
      <c r="P14" s="84"/>
      <c r="Q14" s="84"/>
    </row>
    <row r="15">
      <c r="A15" s="51">
        <v>2832.0</v>
      </c>
      <c r="B15" s="85"/>
      <c r="C15" s="85"/>
      <c r="D15" s="62"/>
      <c r="E15" s="62"/>
      <c r="F15" s="62"/>
      <c r="G15" s="84"/>
      <c r="H15" s="84"/>
      <c r="I15" s="62"/>
      <c r="J15" s="62"/>
      <c r="K15" s="62"/>
      <c r="L15" s="85"/>
      <c r="M15" s="62"/>
      <c r="N15" s="62"/>
      <c r="O15" s="84"/>
      <c r="P15" s="84"/>
      <c r="Q15" s="84"/>
    </row>
    <row r="16">
      <c r="A16" s="51">
        <v>2834.0</v>
      </c>
      <c r="B16" s="85"/>
      <c r="C16" s="85"/>
      <c r="D16" s="62"/>
      <c r="E16" s="62"/>
      <c r="F16" s="62"/>
      <c r="G16" s="84"/>
      <c r="H16" s="84"/>
      <c r="I16" s="62"/>
      <c r="J16" s="62"/>
      <c r="K16" s="62"/>
      <c r="L16" s="85"/>
      <c r="M16" s="62"/>
      <c r="N16" s="62"/>
      <c r="O16" s="87"/>
      <c r="P16" s="84"/>
      <c r="Q16" s="84"/>
    </row>
    <row r="17">
      <c r="A17" s="51">
        <v>3175.0</v>
      </c>
      <c r="B17" s="85"/>
      <c r="C17" s="85"/>
      <c r="D17" s="62"/>
      <c r="E17" s="62"/>
      <c r="F17" s="62"/>
      <c r="G17" s="84"/>
      <c r="H17" s="84"/>
      <c r="I17" s="62"/>
      <c r="J17" s="62"/>
      <c r="K17" s="62"/>
      <c r="L17" s="85"/>
      <c r="M17" s="62"/>
      <c r="N17" s="62"/>
      <c r="O17" s="87"/>
      <c r="P17" s="84"/>
      <c r="Q17" s="84"/>
    </row>
    <row r="18">
      <c r="A18" s="51">
        <v>3322.0</v>
      </c>
      <c r="B18" s="85"/>
      <c r="C18" s="85"/>
      <c r="D18" s="62"/>
      <c r="E18" s="62"/>
      <c r="F18" s="62"/>
      <c r="G18" s="84"/>
      <c r="H18" s="84"/>
      <c r="I18" s="62"/>
      <c r="J18" s="62"/>
      <c r="K18" s="62"/>
      <c r="L18" s="85"/>
      <c r="M18" s="62"/>
      <c r="N18" s="62"/>
      <c r="O18" s="87"/>
      <c r="P18" s="84"/>
      <c r="Q18" s="84"/>
    </row>
    <row r="19">
      <c r="A19" s="51">
        <v>3534.0</v>
      </c>
      <c r="B19" s="85"/>
      <c r="C19" s="85"/>
      <c r="D19" s="62"/>
      <c r="E19" s="62"/>
      <c r="F19" s="62"/>
      <c r="G19" s="84"/>
      <c r="H19" s="84"/>
      <c r="I19" s="62"/>
      <c r="J19" s="62"/>
      <c r="K19" s="62"/>
      <c r="L19" s="85"/>
      <c r="M19" s="62"/>
      <c r="N19" s="62"/>
      <c r="O19" s="87"/>
      <c r="P19" s="84"/>
      <c r="Q19" s="84"/>
    </row>
    <row r="20">
      <c r="A20" s="51">
        <v>3536.0</v>
      </c>
      <c r="B20" s="85"/>
      <c r="C20" s="85"/>
      <c r="D20" s="62"/>
      <c r="E20" s="62"/>
      <c r="F20" s="62"/>
      <c r="G20" s="84"/>
      <c r="H20" s="84"/>
      <c r="I20" s="62"/>
      <c r="J20" s="62"/>
      <c r="K20" s="62"/>
      <c r="L20" s="85"/>
      <c r="M20" s="62"/>
      <c r="N20" s="62"/>
      <c r="O20" s="87"/>
      <c r="P20" s="84"/>
      <c r="Q20" s="84"/>
    </row>
    <row r="21">
      <c r="A21" s="51">
        <v>3641.0</v>
      </c>
      <c r="B21" s="85"/>
      <c r="C21" s="85"/>
      <c r="D21" s="62"/>
      <c r="E21" s="62"/>
      <c r="F21" s="62"/>
      <c r="G21" s="84"/>
      <c r="H21" s="84"/>
      <c r="I21" s="62"/>
      <c r="J21" s="62"/>
      <c r="K21" s="62"/>
      <c r="L21" s="85"/>
      <c r="M21" s="62"/>
      <c r="N21" s="62"/>
      <c r="O21" s="87"/>
      <c r="P21" s="84"/>
      <c r="Q21" s="84"/>
    </row>
    <row r="22">
      <c r="A22" s="51">
        <v>3656.0</v>
      </c>
      <c r="B22" s="85"/>
      <c r="C22" s="85"/>
      <c r="D22" s="62"/>
      <c r="E22" s="62"/>
      <c r="F22" s="62"/>
      <c r="G22" s="84"/>
      <c r="H22" s="84"/>
      <c r="I22" s="62"/>
      <c r="J22" s="62"/>
      <c r="K22" s="62"/>
      <c r="L22" s="85"/>
      <c r="M22" s="62"/>
      <c r="N22" s="62"/>
      <c r="O22" s="87"/>
      <c r="P22" s="84"/>
      <c r="Q22" s="84"/>
    </row>
    <row r="23">
      <c r="A23" s="51">
        <v>3668.0</v>
      </c>
      <c r="B23" s="85"/>
      <c r="C23" s="85"/>
      <c r="D23" s="62"/>
      <c r="E23" s="62"/>
      <c r="F23" s="62"/>
      <c r="G23" s="84"/>
      <c r="H23" s="84"/>
      <c r="I23" s="62"/>
      <c r="J23" s="62"/>
      <c r="K23" s="62"/>
      <c r="L23" s="85"/>
      <c r="M23" s="62"/>
      <c r="N23" s="62"/>
      <c r="O23" s="84"/>
      <c r="P23" s="84"/>
      <c r="Q23" s="84"/>
    </row>
    <row r="24">
      <c r="A24" s="51">
        <v>4810.0</v>
      </c>
      <c r="B24" s="85"/>
      <c r="C24" s="85"/>
      <c r="D24" s="62"/>
      <c r="E24" s="62"/>
      <c r="F24" s="62"/>
      <c r="G24" s="84"/>
      <c r="H24" s="84"/>
      <c r="I24" s="62"/>
      <c r="J24" s="62"/>
      <c r="K24" s="62"/>
      <c r="L24" s="85"/>
      <c r="M24" s="62"/>
      <c r="N24" s="62"/>
      <c r="O24" s="84"/>
      <c r="P24" s="87"/>
      <c r="Q24" s="84"/>
    </row>
    <row r="25">
      <c r="A25" s="51">
        <v>4854.0</v>
      </c>
      <c r="B25" s="85"/>
      <c r="C25" s="85"/>
      <c r="D25" s="62"/>
      <c r="E25" s="62"/>
      <c r="F25" s="62"/>
      <c r="G25" s="84"/>
      <c r="H25" s="84"/>
      <c r="I25" s="62"/>
      <c r="J25" s="62"/>
      <c r="K25" s="62"/>
      <c r="L25" s="85"/>
      <c r="M25" s="62"/>
      <c r="N25" s="62"/>
      <c r="O25" s="84"/>
      <c r="P25" s="87"/>
      <c r="Q25" s="84"/>
    </row>
    <row r="26">
      <c r="A26" s="51">
        <v>5577.0</v>
      </c>
      <c r="B26" s="85"/>
      <c r="C26" s="85"/>
      <c r="D26" s="62"/>
      <c r="E26" s="62"/>
      <c r="F26" s="62"/>
      <c r="G26" s="84"/>
      <c r="H26" s="84"/>
      <c r="I26" s="62"/>
      <c r="J26" s="62"/>
      <c r="K26" s="62"/>
      <c r="L26" s="85"/>
      <c r="M26" s="62"/>
      <c r="N26" s="62"/>
      <c r="O26" s="84"/>
      <c r="P26" s="84"/>
      <c r="Q26" s="84"/>
    </row>
    <row r="27">
      <c r="A27" s="51">
        <v>5907.0</v>
      </c>
      <c r="B27" s="85"/>
      <c r="C27" s="85"/>
      <c r="D27" s="62"/>
      <c r="E27" s="62"/>
      <c r="F27" s="62"/>
      <c r="G27" s="84"/>
      <c r="H27" s="84"/>
      <c r="I27" s="62"/>
      <c r="J27" s="62"/>
      <c r="K27" s="62"/>
      <c r="L27" s="85"/>
      <c r="M27" s="62"/>
      <c r="N27" s="62"/>
      <c r="O27" s="87"/>
      <c r="P27" s="84"/>
      <c r="Q27" s="84"/>
    </row>
    <row r="28">
      <c r="A28" s="51">
        <v>6861.0</v>
      </c>
      <c r="B28" s="85"/>
      <c r="C28" s="85"/>
      <c r="D28" s="62"/>
      <c r="E28" s="62"/>
      <c r="F28" s="62"/>
      <c r="G28" s="84"/>
      <c r="H28" s="84"/>
      <c r="I28" s="62"/>
      <c r="J28" s="62"/>
      <c r="K28" s="62"/>
      <c r="L28" s="85"/>
      <c r="M28" s="62"/>
      <c r="N28" s="62"/>
      <c r="O28" s="84"/>
      <c r="P28" s="84"/>
      <c r="Q28" s="84"/>
    </row>
    <row r="29">
      <c r="A29" s="51">
        <v>7056.0</v>
      </c>
      <c r="B29" s="85"/>
      <c r="C29" s="85"/>
      <c r="D29" s="62"/>
      <c r="E29" s="62"/>
      <c r="F29" s="62"/>
      <c r="G29" s="84"/>
      <c r="H29" s="84"/>
      <c r="I29" s="62"/>
      <c r="J29" s="62"/>
      <c r="K29" s="62"/>
      <c r="L29" s="85"/>
      <c r="M29" s="62"/>
      <c r="N29" s="62"/>
      <c r="O29" s="87"/>
      <c r="P29" s="84"/>
      <c r="Q29" s="84"/>
    </row>
    <row r="30">
      <c r="A30" s="51">
        <v>7211.0</v>
      </c>
      <c r="B30" s="85"/>
      <c r="C30" s="85"/>
      <c r="D30" s="62"/>
      <c r="E30" s="62"/>
      <c r="F30" s="62"/>
      <c r="G30" s="84"/>
      <c r="H30" s="84"/>
      <c r="I30" s="62"/>
      <c r="J30" s="62"/>
      <c r="K30" s="62"/>
      <c r="L30" s="85"/>
      <c r="M30" s="62"/>
      <c r="N30" s="62"/>
      <c r="O30" s="87"/>
      <c r="P30" s="84"/>
      <c r="Q30" s="84"/>
    </row>
    <row r="31">
      <c r="A31" s="51">
        <v>7225.0</v>
      </c>
      <c r="B31" s="85"/>
      <c r="C31" s="85"/>
      <c r="D31" s="62"/>
      <c r="E31" s="62"/>
      <c r="F31" s="62"/>
      <c r="G31" s="84"/>
      <c r="H31" s="84"/>
      <c r="I31" s="62"/>
      <c r="J31" s="62"/>
      <c r="K31" s="62"/>
      <c r="L31" s="85"/>
      <c r="M31" s="62"/>
      <c r="N31" s="62"/>
      <c r="O31" s="84"/>
      <c r="P31" s="87"/>
      <c r="Q31" s="84"/>
    </row>
    <row r="32">
      <c r="A32" s="51">
        <v>7491.0</v>
      </c>
      <c r="B32" s="85"/>
      <c r="C32" s="85"/>
      <c r="D32" s="62"/>
      <c r="E32" s="62"/>
      <c r="F32" s="62"/>
      <c r="G32" s="84"/>
      <c r="H32" s="84"/>
      <c r="I32" s="62"/>
      <c r="J32" s="62"/>
      <c r="K32" s="62"/>
      <c r="L32" s="85"/>
      <c r="M32" s="62"/>
      <c r="N32" s="62"/>
      <c r="O32" s="87"/>
      <c r="P32" s="84"/>
      <c r="Q32" s="84"/>
    </row>
    <row r="33">
      <c r="A33" s="51">
        <v>7769.0</v>
      </c>
    </row>
    <row r="34">
      <c r="A34" s="51">
        <v>7823.0</v>
      </c>
    </row>
    <row r="35">
      <c r="A35" s="51">
        <v>8096.0</v>
      </c>
    </row>
    <row r="36">
      <c r="A36" s="51">
        <v>8145.0</v>
      </c>
    </row>
    <row r="37">
      <c r="A37" s="51">
        <v>8222.0</v>
      </c>
    </row>
    <row r="38">
      <c r="A38" s="51">
        <v>8243.0</v>
      </c>
    </row>
    <row r="39">
      <c r="A39" s="51">
        <v>8280.0</v>
      </c>
    </row>
    <row r="40">
      <c r="A40" s="51">
        <v>9999.0</v>
      </c>
    </row>
  </sheetData>
  <autoFilter ref="$A$1:$P$1001">
    <sortState ref="A1:P1001">
      <sortCondition ref="A1:A1001"/>
    </sortState>
  </autoFilter>
  <drawing r:id="rId1"/>
</worksheet>
</file>