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hidden" name="Pre-Scouting - Saline" sheetId="2" r:id="rId5"/>
    <sheet state="hidden" name="Data Recording" sheetId="3" r:id="rId6"/>
    <sheet state="hidden" name="Pre-Scouting Sign-Up" sheetId="4" r:id="rId7"/>
    <sheet state="visible" name="Comp Scouting - WAPUR" sheetId="5" r:id="rId8"/>
    <sheet state="hidden" name="Pick List" sheetId="6" r:id="rId9"/>
    <sheet state="visible" name="Lookup" sheetId="7" r:id="rId10"/>
    <sheet state="hidden" name="Pit" sheetId="8" r:id="rId11"/>
    <sheet state="visible" name="Raw Pit Data" sheetId="9" r:id="rId12"/>
    <sheet state="visible" name="Markys District Points Calculat" sheetId="10" r:id="rId13"/>
    <sheet state="visible" name="Sheet19" sheetId="11" r:id="rId14"/>
    <sheet state="hidden" name="Match Predictor" sheetId="12" r:id="rId15"/>
  </sheets>
  <definedNames>
    <definedName hidden="1" localSheetId="1" name="_xlnm._FilterDatabase">'Pre-Scouting - Saline'!$A$4:$CD$43</definedName>
    <definedName hidden="1" localSheetId="2" name="_xlnm._FilterDatabase">'Data Recording'!$A$1:$AK$448</definedName>
    <definedName hidden="1" localSheetId="4" name="_xlnm._FilterDatabase">'Comp Scouting - WAPUR'!$A$4:$AI$16</definedName>
    <definedName hidden="1" localSheetId="8" name="_xlnm._FilterDatabase">'Raw Pit Data'!$A$1:$P$1001</definedName>
  </definedNames>
  <calcPr/>
</workbook>
</file>

<file path=xl/sharedStrings.xml><?xml version="1.0" encoding="utf-8"?>
<sst xmlns="http://schemas.openxmlformats.org/spreadsheetml/2006/main" count="2759" uniqueCount="559">
  <si>
    <t>Timestamp</t>
  </si>
  <si>
    <t>A - Robot Moved Partially Across Line</t>
  </si>
  <si>
    <t>A - # of Crates Moved Across Line</t>
  </si>
  <si>
    <t>A - Pushed Ball Across Line</t>
  </si>
  <si>
    <t>A - Hit Shelf?</t>
  </si>
  <si>
    <t>T - # Crates Attempted</t>
  </si>
  <si>
    <t>T - # Crates Placed</t>
  </si>
  <si>
    <t>T - # Balls Pushed Through</t>
  </si>
  <si>
    <t>T - # Balls Attempted Shot Over</t>
  </si>
  <si>
    <t>T - # Balls Shot Over</t>
  </si>
  <si>
    <t>T - # Countdown Penalties Incurred</t>
  </si>
  <si>
    <t>T - Did the Robot Stop Working?</t>
  </si>
  <si>
    <t>Offense Rating</t>
  </si>
  <si>
    <t>Notes?</t>
  </si>
  <si>
    <t>Robot Name</t>
  </si>
  <si>
    <t>Match #</t>
  </si>
  <si>
    <t>Scouter Name</t>
  </si>
  <si>
    <t>Total Score</t>
  </si>
  <si>
    <t>Auton Score</t>
  </si>
  <si>
    <t>Ball Score</t>
  </si>
  <si>
    <t>Crate Score</t>
  </si>
  <si>
    <t>Countdown Penalties</t>
  </si>
  <si>
    <t>No</t>
  </si>
  <si>
    <t>Pushbot</t>
  </si>
  <si>
    <t>Lray</t>
  </si>
  <si>
    <t>Marek</t>
  </si>
  <si>
    <t>Jim</t>
  </si>
  <si>
    <t>Caitlyn</t>
  </si>
  <si>
    <t>Rat</t>
  </si>
  <si>
    <t>Jack DeCapua</t>
  </si>
  <si>
    <t>Alan</t>
  </si>
  <si>
    <t>Sean M</t>
  </si>
  <si>
    <t>Rex</t>
  </si>
  <si>
    <t>Colin F</t>
  </si>
  <si>
    <t>Yes</t>
  </si>
  <si>
    <t>aaa crate tip</t>
  </si>
  <si>
    <t>Ike</t>
  </si>
  <si>
    <t>Angie</t>
  </si>
  <si>
    <t>Olaf</t>
  </si>
  <si>
    <t>Ludaofu</t>
  </si>
  <si>
    <t>Eugene</t>
  </si>
  <si>
    <t>Buh</t>
  </si>
  <si>
    <t>Chuck</t>
  </si>
  <si>
    <t>no do balls</t>
  </si>
  <si>
    <t>Sam</t>
  </si>
  <si>
    <t>Greb</t>
  </si>
  <si>
    <t>Wow</t>
  </si>
  <si>
    <t>no</t>
  </si>
  <si>
    <t>greb</t>
  </si>
  <si>
    <t>great but also destroys the shelfs</t>
  </si>
  <si>
    <t xml:space="preserve">Colin f </t>
  </si>
  <si>
    <t>only ball</t>
  </si>
  <si>
    <t>grwv</t>
  </si>
  <si>
    <t>speedy</t>
  </si>
  <si>
    <t>Pro tip: let go of the crates?</t>
  </si>
  <si>
    <t>Yikes</t>
  </si>
  <si>
    <t>push bot</t>
  </si>
  <si>
    <t>Pretty good</t>
  </si>
  <si>
    <t>Kate chiang</t>
  </si>
  <si>
    <t>Reallly slow at picking up crates</t>
  </si>
  <si>
    <t>Emmie</t>
  </si>
  <si>
    <t xml:space="preserve">Hit the shelf pretty hard doesn’t really have a way to place any crates in the upper shelfs </t>
  </si>
  <si>
    <t xml:space="preserve">Corinne Sczomak </t>
  </si>
  <si>
    <t xml:space="preserve">Kate chiang </t>
  </si>
  <si>
    <t xml:space="preserve">Corinne </t>
  </si>
  <si>
    <t>Tried to place high, was able to punch on ground after it dropped.</t>
  </si>
  <si>
    <t>Daniel F</t>
  </si>
  <si>
    <t>Emmie womp womp</t>
  </si>
  <si>
    <t>Cant do much once all the balls get to their side</t>
  </si>
  <si>
    <t>Miles</t>
  </si>
  <si>
    <t>Only bottom two rows</t>
  </si>
  <si>
    <t>May not have gotten the crates across.</t>
  </si>
  <si>
    <t>Angie’s back arm broke</t>
  </si>
  <si>
    <t>hook mechanism isn’t really used. Placing is attempted and they end up just pushing</t>
  </si>
  <si>
    <t xml:space="preserve">Jim </t>
  </si>
  <si>
    <t>miles</t>
  </si>
  <si>
    <t>General Stuff</t>
  </si>
  <si>
    <t>Auton</t>
  </si>
  <si>
    <t>Teleop</t>
  </si>
  <si>
    <t>Other</t>
  </si>
  <si>
    <t>Other Data Points</t>
  </si>
  <si>
    <t>Cones</t>
  </si>
  <si>
    <t>Cubes</t>
  </si>
  <si>
    <t>Charge Station</t>
  </si>
  <si>
    <t>Driver Skill</t>
  </si>
  <si>
    <t>Scores</t>
  </si>
  <si>
    <t>High</t>
  </si>
  <si>
    <t>Middle</t>
  </si>
  <si>
    <t>Low</t>
  </si>
  <si>
    <t>Team</t>
  </si>
  <si>
    <t>Number</t>
  </si>
  <si>
    <t>Mobility</t>
  </si>
  <si>
    <t>Attempted</t>
  </si>
  <si>
    <t>Placed</t>
  </si>
  <si>
    <t>Percent Made</t>
  </si>
  <si>
    <t>Average</t>
  </si>
  <si>
    <t>Maximum</t>
  </si>
  <si>
    <t>Docked</t>
  </si>
  <si>
    <t>Engaged</t>
  </si>
  <si>
    <t>Breakdowns</t>
  </si>
  <si>
    <t>Breakdown %</t>
  </si>
  <si>
    <t>Offensive</t>
  </si>
  <si>
    <t>Defensive</t>
  </si>
  <si>
    <t>Wrong Avg.</t>
  </si>
  <si>
    <t>Average Score</t>
  </si>
  <si>
    <t>Avg. Grid Score</t>
  </si>
  <si>
    <t xml:space="preserve"> Avg. Grid Scor.</t>
  </si>
  <si>
    <t>Max. Score</t>
  </si>
  <si>
    <t>Min. Score</t>
  </si>
  <si>
    <t># A-Docked</t>
  </si>
  <si>
    <t># A-Engaged</t>
  </si>
  <si>
    <t># T-Docked</t>
  </si>
  <si>
    <t># T-Engaged</t>
  </si>
  <si>
    <t>A-CommunL</t>
  </si>
  <si>
    <t>Cyber Cougars</t>
  </si>
  <si>
    <t>Ashley Bears</t>
  </si>
  <si>
    <t>The Atoms Family</t>
  </si>
  <si>
    <t>Cow Town Robotics</t>
  </si>
  <si>
    <t>Lightning Robotics</t>
  </si>
  <si>
    <t>Team R.O.B.O.T.I.C.S.</t>
  </si>
  <si>
    <t>Digital Dislocators</t>
  </si>
  <si>
    <t>Singularity</t>
  </si>
  <si>
    <t>Advanced Power</t>
  </si>
  <si>
    <t>Mechatronic Mustangs</t>
  </si>
  <si>
    <t>Desperate Penguins</t>
  </si>
  <si>
    <t>Byron Robotics</t>
  </si>
  <si>
    <t>Eagle Evolution</t>
  </si>
  <si>
    <t>Steiner Steel Storm</t>
  </si>
  <si>
    <t>TechnoDogs</t>
  </si>
  <si>
    <t>The Gearhounds</t>
  </si>
  <si>
    <t>RoboEagles</t>
  </si>
  <si>
    <t>Bongo Bots</t>
  </si>
  <si>
    <t>Strange Quarks</t>
  </si>
  <si>
    <t>Zebrotics</t>
  </si>
  <si>
    <t>Tractor Technicians Next Gen</t>
  </si>
  <si>
    <t>EV Robotics</t>
  </si>
  <si>
    <t>Fighting Falcons</t>
  </si>
  <si>
    <t>SCA Constellations</t>
  </si>
  <si>
    <t>D Cubed</t>
  </si>
  <si>
    <t>Bellevillains</t>
  </si>
  <si>
    <t>Pi Hi Samurai</t>
  </si>
  <si>
    <t>Technical Difficulties</t>
  </si>
  <si>
    <t>Like A Boss</t>
  </si>
  <si>
    <t>Fantastic Falcons</t>
  </si>
  <si>
    <t>AutoDawgs</t>
  </si>
  <si>
    <t>Dundee Vi-Borgs</t>
  </si>
  <si>
    <t>Viking Robotics</t>
  </si>
  <si>
    <t>ACCE Underdogs</t>
  </si>
  <si>
    <t>Redwolves Robotics</t>
  </si>
  <si>
    <t>FullMetal-Jackets</t>
  </si>
  <si>
    <t>Spartan Robotics</t>
  </si>
  <si>
    <t>Arrowhead Robotics</t>
  </si>
  <si>
    <t>Mechanical Pumas</t>
  </si>
  <si>
    <t>Name</t>
  </si>
  <si>
    <t>Match Number</t>
  </si>
  <si>
    <t>Team Number</t>
  </si>
  <si>
    <t>Mobility (leave community)</t>
  </si>
  <si>
    <t>High Cones [Attempted Overall]</t>
  </si>
  <si>
    <t>High Cones [Scored]</t>
  </si>
  <si>
    <t>Mid Cones [Attempted Overall]</t>
  </si>
  <si>
    <t>Mid Cones [Scored]</t>
  </si>
  <si>
    <t>Low Cones [Attempted Overall]</t>
  </si>
  <si>
    <t>Low Cones [Scored]</t>
  </si>
  <si>
    <t>High Cubes [Attempted Overall]</t>
  </si>
  <si>
    <t>High Cubes [Scored]</t>
  </si>
  <si>
    <t>Mid Cubes [Attempted Overall]</t>
  </si>
  <si>
    <t>Mid Cubes [Scored]</t>
  </si>
  <si>
    <t>Low Cubes [Attempted Overall]</t>
  </si>
  <si>
    <t>Low Cubes [Scored]</t>
  </si>
  <si>
    <t>Charge Station - Auton</t>
  </si>
  <si>
    <t>Charge Station - TeleOp</t>
  </si>
  <si>
    <t>Driver Skill [Offense]</t>
  </si>
  <si>
    <t>Driver Skill [Defense]</t>
  </si>
  <si>
    <t>Robot Breakdown?</t>
  </si>
  <si>
    <t>Total Grid Score</t>
  </si>
  <si>
    <t>Yes, Engaged</t>
  </si>
  <si>
    <t>Had a bunch of drivetrain errors</t>
  </si>
  <si>
    <t>Parked</t>
  </si>
  <si>
    <t>Yes, Docked</t>
  </si>
  <si>
    <t>Shut off with 20 secs left</t>
  </si>
  <si>
    <t>HUMAN PLAYER STRATEGY OMGEE</t>
  </si>
  <si>
    <t>Disabled/broke down</t>
  </si>
  <si>
    <t>Elim 4</t>
  </si>
  <si>
    <t>Elim 6</t>
  </si>
  <si>
    <t>Elim 9</t>
  </si>
  <si>
    <t>Struggling with high cone placement</t>
  </si>
  <si>
    <t>Elim 12</t>
  </si>
  <si>
    <t>Elim 13</t>
  </si>
  <si>
    <t>Fell off charge station</t>
  </si>
  <si>
    <t>Struggled the entire time with cones, got beat by a df bot</t>
  </si>
  <si>
    <t>Pickup pads fell off, forced to be a low bot</t>
  </si>
  <si>
    <t>Tripped over the charge station llama 😝</t>
  </si>
  <si>
    <t>ALL THEIR PADS KEEP FALLING OFF</t>
  </si>
  <si>
    <t>Fell over the charge station</t>
  </si>
  <si>
    <t>Elim 2</t>
  </si>
  <si>
    <t>Fell at the end</t>
  </si>
  <si>
    <t>Elim 5</t>
  </si>
  <si>
    <t>Elim 10</t>
  </si>
  <si>
    <t>Arm broke so df, but hell they are scary</t>
  </si>
  <si>
    <t>Got hit and broke down</t>
  </si>
  <si>
    <t>Claw might have broken?</t>
  </si>
  <si>
    <t>Cone stuck in claw, resorted to df</t>
  </si>
  <si>
    <t>Spun around, fell out of the arena, disabled</t>
  </si>
  <si>
    <t>Markie</t>
  </si>
  <si>
    <t>Elim 1</t>
  </si>
  <si>
    <t>Elim 7</t>
  </si>
  <si>
    <t>Elim 11</t>
  </si>
  <si>
    <t>Final 1</t>
  </si>
  <si>
    <t>Final 2</t>
  </si>
  <si>
    <t>Struggled with ground and human player pickup</t>
  </si>
  <si>
    <t>Struggled with just about everything from pickup to charge station :(</t>
  </si>
  <si>
    <t>Elim 8</t>
  </si>
  <si>
    <t>Failed to engage</t>
  </si>
  <si>
    <t>Cannot balance to save their lives, maybe lssu will be different</t>
  </si>
  <si>
    <t>Cone got stuck in bot and couldnt do anything :(</t>
  </si>
  <si>
    <t>This robots funky and clunky</t>
  </si>
  <si>
    <t>Drivetrain broken??</t>
  </si>
  <si>
    <t>The robots kinda bad</t>
  </si>
  <si>
    <t>If cone falls off elevator-it drops into chassis and gets stuck. Also robot shakes when grabbing a cone??</t>
  </si>
  <si>
    <t xml:space="preserve">Got stuck on other team’s charge station </t>
  </si>
  <si>
    <t>Gathered cubes to one half of the field</t>
  </si>
  <si>
    <t>Didn’t pick up any cones or cubes</t>
  </si>
  <si>
    <t>Driving didn’t seem as good this round.</t>
  </si>
  <si>
    <t>Better driving this time, but still hasn’t reattempted cone.</t>
  </si>
  <si>
    <t>Caitln</t>
  </si>
  <si>
    <t>were engaged until third team tried to get on</t>
  </si>
  <si>
    <t>Their usual auton is unreliable at placing.</t>
  </si>
  <si>
    <t>Auton got caught on charge station, broke down later.</t>
  </si>
  <si>
    <t>May have been having some trouble moving</t>
  </si>
  <si>
    <t>Actually scored some low goals this time.</t>
  </si>
  <si>
    <t>Seemed to collide with alliance members a lot.</t>
  </si>
  <si>
    <t>Got caught on charge station during auton</t>
  </si>
  <si>
    <t>Simran</t>
  </si>
  <si>
    <t>Not bad but does cubes- failed engage in auton</t>
  </si>
  <si>
    <t>HOW DO YOU DROP 4 CUBES</t>
  </si>
  <si>
    <t>they prob got so many penalties</t>
  </si>
  <si>
    <t>Semis 3</t>
  </si>
  <si>
    <t>this gonna be us</t>
  </si>
  <si>
    <t>Semis 6</t>
  </si>
  <si>
    <t>semis 9</t>
  </si>
  <si>
    <t>Cone got stuck in intake :(</t>
  </si>
  <si>
    <t>Sad intake or whatever it was</t>
  </si>
  <si>
    <t>Intake plz</t>
  </si>
  <si>
    <t>Potential dark horse team</t>
  </si>
  <si>
    <t>Played as a push bot, maybe claw broke?</t>
  </si>
  <si>
    <t>Interesting strategy, they never left the community and the two push bots brought cubes to them, maybe utilize at Saline?</t>
  </si>
  <si>
    <t>Jack</t>
  </si>
  <si>
    <t>was rammed by enemy pushbot in the first five seconds and from then on ceased to function</t>
  </si>
  <si>
    <t>Really slow chassis</t>
  </si>
  <si>
    <t>Kate c</t>
  </si>
  <si>
    <t>Slay</t>
  </si>
  <si>
    <t xml:space="preserve">Kate c </t>
  </si>
  <si>
    <t>Match 1 (semi finals)</t>
  </si>
  <si>
    <t>5 (semi finals)</t>
  </si>
  <si>
    <t>I mean they fell over last second</t>
  </si>
  <si>
    <t>Some sort of bear</t>
  </si>
  <si>
    <t xml:space="preserve">Gripper failed went to play defense wasn’t bad but was penalized </t>
  </si>
  <si>
    <t xml:space="preserve">Some sort of bear </t>
  </si>
  <si>
    <t>Got in way of teammates, commentator said low hanging fruit again</t>
  </si>
  <si>
    <t>Annalise</t>
  </si>
  <si>
    <t>Really tippy, when arm was extended the robot looked like it was gonna fall a couple of times</t>
  </si>
  <si>
    <t>top heavy</t>
  </si>
  <si>
    <t>semis - 4</t>
  </si>
  <si>
    <t>still top heavy</t>
  </si>
  <si>
    <t>semis - 6</t>
  </si>
  <si>
    <t>actually almost tipped, good endgame balance</t>
  </si>
  <si>
    <t>semis - 9</t>
  </si>
  <si>
    <t>good cycle times, basically only grabbing from the human player station</t>
  </si>
  <si>
    <t>Almost tipped twice</t>
  </si>
  <si>
    <t>Us but better</t>
  </si>
  <si>
    <t>Did all the heavy lifting</t>
  </si>
  <si>
    <t>Struggled immensely with cone pickup, then fell down</t>
  </si>
  <si>
    <t>Struggled with high cube shooting for a bit</t>
  </si>
  <si>
    <t>High cubes were not good</t>
  </si>
  <si>
    <t>Cone got stuck in chassis, forced to engage</t>
  </si>
  <si>
    <t>Knocked over with 17 left</t>
  </si>
  <si>
    <t>Final 3</t>
  </si>
  <si>
    <t>Can’t pick up downed cones, something broke</t>
  </si>
  <si>
    <t>Risqué with cones</t>
  </si>
  <si>
    <t>Did not play well, got carried</t>
  </si>
  <si>
    <t>Struggled at human player station, cube placement errors</t>
  </si>
  <si>
    <t>Struggled immensely</t>
  </si>
  <si>
    <t>Overranked :(</t>
  </si>
  <si>
    <t>Spent a solid minute trying to get a cone from human player, not effective use of time/ ability</t>
  </si>
  <si>
    <t>part of bumper hanging off</t>
  </si>
  <si>
    <t>slow cone pickup at human player station</t>
  </si>
  <si>
    <t>cone got stuck in bottom of bot during auton, had to play defense all match</t>
  </si>
  <si>
    <t>Can’t do crap</t>
  </si>
  <si>
    <t>Kate</t>
  </si>
  <si>
    <t>slow intake</t>
  </si>
  <si>
    <t>tipped over halfway through, did not play for rest of match</t>
  </si>
  <si>
    <t>robot got tipped - again</t>
  </si>
  <si>
    <t>they tipped over in endgame (crying)</t>
  </si>
  <si>
    <t>they did not tip over this time (praise the lord)</t>
  </si>
  <si>
    <t>They helped another bot get unstuck</t>
  </si>
  <si>
    <t>Katec</t>
  </si>
  <si>
    <t>2 ( semi finals)</t>
  </si>
  <si>
    <t>7 (semi finals)</t>
  </si>
  <si>
    <t>9 semi finals</t>
  </si>
  <si>
    <t>Very speedy</t>
  </si>
  <si>
    <t>Fast cycle times</t>
  </si>
  <si>
    <t>Robot shakes. Auton zooms across field and scores for other alliance oop</t>
  </si>
  <si>
    <t>Match 2</t>
  </si>
  <si>
    <t>Just sat there??</t>
  </si>
  <si>
    <t>Match 5</t>
  </si>
  <si>
    <t>Stopped working for first half</t>
  </si>
  <si>
    <t>Ronak</t>
  </si>
  <si>
    <t>Intake is kinda cool, although it's quite slow. Did pick up some of their Alliance's low cubes and move them up to high cubes, too.</t>
  </si>
  <si>
    <t>Ability to place both cubes and cones, however, robot and outtake move slowly, so only ~2 can be placed per round. Consistently places high cubes though</t>
  </si>
  <si>
    <t>Really good for the most part, way more efficient than their previous matches. Robot did flip over with about ~20 seconds left in the match</t>
  </si>
  <si>
    <t>Really good, and really good with cubes</t>
  </si>
  <si>
    <t>Again, really good with cubes</t>
  </si>
  <si>
    <t>Omg they’re so good</t>
  </si>
  <si>
    <t>Can’t pick up cones from ground</t>
  </si>
  <si>
    <t>Much less confident, missed a lot of cones</t>
  </si>
  <si>
    <t>Easily their best match yet, mainly a cube bot</t>
  </si>
  <si>
    <t>Disabled? Maybe?</t>
  </si>
  <si>
    <t>Too fast for their own good, missed some cubes and cones</t>
  </si>
  <si>
    <t>Had some trouble with cones in the middle of the match</t>
  </si>
  <si>
    <t>Jeebus Christe</t>
  </si>
  <si>
    <t>Missed a lot</t>
  </si>
  <si>
    <t>Elevator stopped i think</t>
  </si>
  <si>
    <t>OMG THEYRE SO GOOD</t>
  </si>
  <si>
    <t>Looks like outtake/ arm broke early on</t>
  </si>
  <si>
    <t>not sure if arm was still broken or not, basically worked as a chassis bot</t>
  </si>
  <si>
    <t>only got cubes, pretty slow collection times</t>
  </si>
  <si>
    <t>Arm flopping around everywhere</t>
  </si>
  <si>
    <t>This bot just sits there. And does not help.</t>
  </si>
  <si>
    <t>something was hanging off the chassis for the match, tipped over during endgame. When a cube got stuck in the robot instead of playing defense, they spent a minute trying to get the cube out</t>
  </si>
  <si>
    <t>robot did not move for most of the match, got disabled a couple of times</t>
  </si>
  <si>
    <t>Literally didn't show up to the match</t>
  </si>
  <si>
    <t>Again, didn't even show up to the match</t>
  </si>
  <si>
    <t>Once again, didn't show up to the match</t>
  </si>
  <si>
    <t>Again didn't show up to the match</t>
  </si>
  <si>
    <t>Finally showed up... BUT they don't know what they're doing. Driver skill isn't good</t>
  </si>
  <si>
    <t>Literally doesn't do anything</t>
  </si>
  <si>
    <t>Robot is just roaming around, scoring 0 points and doing nothing productive</t>
  </si>
  <si>
    <t>This team is bad</t>
  </si>
  <si>
    <t>Robot broke down, failed to pick up any cones or cubes.</t>
  </si>
  <si>
    <t>Intake is not great, has to push cones around to low cone area (and struggles to do so)</t>
  </si>
  <si>
    <t>Broke down twice in the same round, weren't productive</t>
  </si>
  <si>
    <t>Almost got both docked and engaged</t>
  </si>
  <si>
    <t>Broken down the whole time, didn't move</t>
  </si>
  <si>
    <t>Off from auton to ~60 secs left</t>
  </si>
  <si>
    <t>Really interesting claw</t>
  </si>
  <si>
    <t>Fell over then lifted themselves up again I’m not kidding it’s amazing</t>
  </si>
  <si>
    <t>Defense, got pushed back by people they were defending against</t>
  </si>
  <si>
    <t>Fell down but got back up</t>
  </si>
  <si>
    <t>Robot wasn't able to pick up any game pieces at all</t>
  </si>
  <si>
    <t>Once again, failed to pick up any cubes or cones</t>
  </si>
  <si>
    <t>Did not attempt to grab any cones or cubes</t>
  </si>
  <si>
    <t>Semis - Match 4</t>
  </si>
  <si>
    <t>Elims - R2 Match 6</t>
  </si>
  <si>
    <t>Did not attempt to get any cones or cubes</t>
  </si>
  <si>
    <t>Samantha</t>
  </si>
  <si>
    <t>Um very underwhelming unfortunately - potential threat if they have drivers practice</t>
  </si>
  <si>
    <t xml:space="preserve">Samantha </t>
  </si>
  <si>
    <t>Josh</t>
  </si>
  <si>
    <t>wasn't able to intake</t>
  </si>
  <si>
    <t>Got stuck and needed help to dock. Moves like a penguin, waddling due to being topheavy</t>
  </si>
  <si>
    <t>Intake worked, once</t>
  </si>
  <si>
    <t xml:space="preserve">Good defense, but was too aggressive and got a lot of penalties </t>
  </si>
  <si>
    <t>Better defense this time</t>
  </si>
  <si>
    <t>Was on and off for a lot of the match</t>
  </si>
  <si>
    <t>Fell over</t>
  </si>
  <si>
    <t>I love it when the chassis bots fight &lt;3</t>
  </si>
  <si>
    <t>Honestly a pretty good df bot</t>
  </si>
  <si>
    <t>Def capable, and aggressive</t>
  </si>
  <si>
    <t>Didn't do anything offensively. Tried to play defense, but went in the other team's area and got 15 points for the other team</t>
  </si>
  <si>
    <t>Bot almost flipped about 20 times</t>
  </si>
  <si>
    <t>Robot is very unstable, flipped over</t>
  </si>
  <si>
    <t>Center of gravity is way too high</t>
  </si>
  <si>
    <t>Center of gravity is still way too high. Almost flipped thrice more</t>
  </si>
  <si>
    <t>Made a good adjustment -&gt; chassis bot</t>
  </si>
  <si>
    <t>Stuck under charge station</t>
  </si>
  <si>
    <t>Engages w/ charge station very early (~50 seconds left in match)</t>
  </si>
  <si>
    <t>Semifinal - Match 5 in Elims</t>
  </si>
  <si>
    <t>Finals 2</t>
  </si>
  <si>
    <t xml:space="preserve">Subpar, cant intake properly </t>
  </si>
  <si>
    <t>Hosh</t>
  </si>
  <si>
    <t>Iffy</t>
  </si>
  <si>
    <t>Innaccurate intake</t>
  </si>
  <si>
    <t>Event</t>
  </si>
  <si>
    <t>Person Scouting</t>
  </si>
  <si>
    <t>Key</t>
  </si>
  <si>
    <t>Week 4 - West</t>
  </si>
  <si>
    <t>Not Available Currently</t>
  </si>
  <si>
    <t>Week 3 - Detroit</t>
  </si>
  <si>
    <t>Available for Scouting</t>
  </si>
  <si>
    <t>Week 2 - Lansing</t>
  </si>
  <si>
    <t>Claimed/In Progress</t>
  </si>
  <si>
    <t>Week 3 - Muskegon, Week 4 - LSSU</t>
  </si>
  <si>
    <t>Completed</t>
  </si>
  <si>
    <t>Week 2 - Kettering</t>
  </si>
  <si>
    <t>Week 1 - Jackson</t>
  </si>
  <si>
    <t>Week 4 - Lakeview</t>
  </si>
  <si>
    <t>Marek/Jack N</t>
  </si>
  <si>
    <t>Week 1 - Milford</t>
  </si>
  <si>
    <t>Week 3 - Belleville</t>
  </si>
  <si>
    <t>Week 4 - Midland</t>
  </si>
  <si>
    <t>Week 1 - Kettering</t>
  </si>
  <si>
    <t>Week 1 - Calvin U</t>
  </si>
  <si>
    <t>Week 4 - Troy #1</t>
  </si>
  <si>
    <t>Troy has no vids :(</t>
  </si>
  <si>
    <t>Only Competing at Saline idk</t>
  </si>
  <si>
    <t>Week 4 - Lakeview #2</t>
  </si>
  <si>
    <t>josh</t>
  </si>
  <si>
    <t>Crates</t>
  </si>
  <si>
    <t>Balls</t>
  </si>
  <si>
    <t>Hit Shelf?</t>
  </si>
  <si>
    <t>Pushed</t>
  </si>
  <si>
    <t>Shot Over</t>
  </si>
  <si>
    <t>Moved</t>
  </si>
  <si>
    <t>Hit Across</t>
  </si>
  <si>
    <t>Percent</t>
  </si>
  <si>
    <t>Amount</t>
  </si>
  <si>
    <t>Avg. Auton Score</t>
  </si>
  <si>
    <t>Avg. Ball Score</t>
  </si>
  <si>
    <t>Avg. Crate Score</t>
  </si>
  <si>
    <t>Avg. CD Score</t>
  </si>
  <si>
    <t>Current Rank</t>
  </si>
  <si>
    <t>Team + Pick Rank?</t>
  </si>
  <si>
    <t>Avg Scoring</t>
  </si>
  <si>
    <t>Grid</t>
  </si>
  <si>
    <t>Teleop Engage Data</t>
  </si>
  <si>
    <t>Notes</t>
  </si>
  <si>
    <t>SAY YES TO ALL OF THESE</t>
  </si>
  <si>
    <t>meh pick - good bot but wouldn't work well with us</t>
  </si>
  <si>
    <t>#1 Pick if still available</t>
  </si>
  <si>
    <t>chassis bot</t>
  </si>
  <si>
    <t xml:space="preserve">2nd maybe </t>
  </si>
  <si>
    <t>Good Pick if they can get claw working again</t>
  </si>
  <si>
    <t>Great Second Pick</t>
  </si>
  <si>
    <t>Underranked, Potentially good second pic,</t>
  </si>
  <si>
    <t>chairlie said good 2nd</t>
  </si>
  <si>
    <t>check how they do on day 2, they have potential if they figure their bot out</t>
  </si>
  <si>
    <t>Chassis Bot</t>
  </si>
  <si>
    <t>only good defensive chassis bot</t>
  </si>
  <si>
    <t>Good Pick</t>
  </si>
  <si>
    <t>General Information</t>
  </si>
  <si>
    <t>Team Name</t>
  </si>
  <si>
    <t>Offense</t>
  </si>
  <si>
    <t>Defense</t>
  </si>
  <si>
    <t>Length + Width</t>
  </si>
  <si>
    <t>Piece Collection</t>
  </si>
  <si>
    <t>Scoring Level</t>
  </si>
  <si>
    <t>Preferred Game Piece</t>
  </si>
  <si>
    <t>Charge Stat - TeleOp</t>
  </si>
  <si>
    <t>Avg Game Pieces Scored</t>
  </si>
  <si>
    <t>Changes Between Comps</t>
  </si>
  <si>
    <t>Comments</t>
  </si>
  <si>
    <t>Drive Train Type</t>
  </si>
  <si>
    <t>Auton Plan</t>
  </si>
  <si>
    <t>AVG STATS (HCo=High Cone, HCu=High Cube, etc.)</t>
  </si>
  <si>
    <t>HCo Attempted</t>
  </si>
  <si>
    <t>HCo Placed</t>
  </si>
  <si>
    <t>HCo%</t>
  </si>
  <si>
    <t>MCo Attempted</t>
  </si>
  <si>
    <t>MCo Placed</t>
  </si>
  <si>
    <t>MCo%</t>
  </si>
  <si>
    <t>LCo Attempted</t>
  </si>
  <si>
    <t>LCo Placed</t>
  </si>
  <si>
    <t>LCo%</t>
  </si>
  <si>
    <t>HCu Attempted</t>
  </si>
  <si>
    <t>HCu Placed</t>
  </si>
  <si>
    <t>HCu%</t>
  </si>
  <si>
    <t>MCu Attempted</t>
  </si>
  <si>
    <t>MCu Placed</t>
  </si>
  <si>
    <t>MCu%</t>
  </si>
  <si>
    <t>LCu Attempted</t>
  </si>
  <si>
    <t>LCu Placed</t>
  </si>
  <si>
    <t>LCu%</t>
  </si>
  <si>
    <t>Charge Dock.</t>
  </si>
  <si>
    <t>Charge Eng.</t>
  </si>
  <si>
    <t>TeleOp</t>
  </si>
  <si>
    <t>Other Stats</t>
  </si>
  <si>
    <t>Driver Offense</t>
  </si>
  <si>
    <t>Driver Defense</t>
  </si>
  <si>
    <t>Avg Grid Score</t>
  </si>
  <si>
    <t>Individual Match Stats</t>
  </si>
  <si>
    <t>Team #</t>
  </si>
  <si>
    <t>A - Left Community</t>
  </si>
  <si>
    <t>A - High ConA</t>
  </si>
  <si>
    <t>A - High ConP</t>
  </si>
  <si>
    <t>A - Mid ConA</t>
  </si>
  <si>
    <t>A - MidConP</t>
  </si>
  <si>
    <t>A - Low ConA</t>
  </si>
  <si>
    <t>A - LowConP</t>
  </si>
  <si>
    <t>A - High CubeA</t>
  </si>
  <si>
    <t>A - High CubeP</t>
  </si>
  <si>
    <t>A - Mid CubeA</t>
  </si>
  <si>
    <t>A - MidCubeP</t>
  </si>
  <si>
    <t>A - Low CubeA</t>
  </si>
  <si>
    <t>A - LowCubeP</t>
  </si>
  <si>
    <t>A - Charge Station</t>
  </si>
  <si>
    <t>T - High ConA</t>
  </si>
  <si>
    <t>T - High ConP</t>
  </si>
  <si>
    <t>T - Mid ConA</t>
  </si>
  <si>
    <t>T - MidConP</t>
  </si>
  <si>
    <t>T - Low ConA</t>
  </si>
  <si>
    <t>T - LowConP</t>
  </si>
  <si>
    <t>T - High CubeA</t>
  </si>
  <si>
    <t>T - High CubeP</t>
  </si>
  <si>
    <t>T - Mid CubeA</t>
  </si>
  <si>
    <t>T - MidCubeP</t>
  </si>
  <si>
    <t>T - Low CubeA</t>
  </si>
  <si>
    <t>T - LowCubeP</t>
  </si>
  <si>
    <t>T - Charge Station</t>
  </si>
  <si>
    <t>Driver - Offense</t>
  </si>
  <si>
    <t>Driver - Defense</t>
  </si>
  <si>
    <t>Breakdown</t>
  </si>
  <si>
    <t>Length</t>
  </si>
  <si>
    <t>Width</t>
  </si>
  <si>
    <t>Low Level</t>
  </si>
  <si>
    <t>Mid Level</t>
  </si>
  <si>
    <t>High Level</t>
  </si>
  <si>
    <t>Auton plan</t>
  </si>
  <si>
    <t>Pickup From Ground</t>
  </si>
  <si>
    <t>Pickup From Single Substation</t>
  </si>
  <si>
    <t>Pickup From Double Substation</t>
  </si>
  <si>
    <t>Game Pieces Scored on Average</t>
  </si>
  <si>
    <t>Both</t>
  </si>
  <si>
    <t>Final Qual Rank</t>
  </si>
  <si>
    <t>Alliance Captain?</t>
  </si>
  <si>
    <t>Alliance Rank</t>
  </si>
  <si>
    <t>Picked by someone else?</t>
  </si>
  <si>
    <t>Playoff Performance</t>
  </si>
  <si>
    <t>Awards</t>
  </si>
  <si>
    <t>District Points</t>
  </si>
  <si>
    <t>Previous Event Totals</t>
  </si>
  <si>
    <t>Total District Points</t>
  </si>
  <si>
    <t>Qualify for States?</t>
  </si>
  <si>
    <t>Winner</t>
  </si>
  <si>
    <t>None</t>
  </si>
  <si>
    <t>Other Calculation Stuffs (don't touch plz)</t>
  </si>
  <si>
    <t>First Pick</t>
  </si>
  <si>
    <t>Red Alliance</t>
  </si>
  <si>
    <t>Blue Alliance</t>
  </si>
  <si>
    <t>Our Match Numbers</t>
  </si>
  <si>
    <t>Avg Hi Cones</t>
  </si>
  <si>
    <t>Avg Mid Cones</t>
  </si>
  <si>
    <t>Avg Lo Cones</t>
  </si>
  <si>
    <t>Avg Hi Cubes</t>
  </si>
  <si>
    <t>Avg Mid Cubes</t>
  </si>
  <si>
    <t>Avg Lo Cubes</t>
  </si>
  <si>
    <t>Charging Station Docking</t>
  </si>
  <si>
    <t>Charging Station Engaging</t>
  </si>
  <si>
    <t>Driver Offensive</t>
  </si>
  <si>
    <t>Driver Defensive</t>
  </si>
  <si>
    <t>Match Prediction</t>
  </si>
  <si>
    <t>To Tie</t>
  </si>
  <si>
    <t>Red</t>
  </si>
  <si>
    <t>Blue</t>
  </si>
  <si>
    <t>High Goals Needed</t>
  </si>
  <si>
    <t>Points Needed</t>
  </si>
  <si>
    <t>Aut-Charge</t>
  </si>
  <si>
    <t>Tele-Charge</t>
  </si>
  <si>
    <t>Total</t>
  </si>
  <si>
    <t>Conservative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</si>
</sst>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/>
    <font>
      <b/>
      <sz val="14.0"/>
      <color theme="1"/>
      <name val="Arial"/>
      <scheme val="minor"/>
    </font>
    <font>
      <color theme="1"/>
      <name val="Arial"/>
    </font>
    <font>
      <b/>
      <sz val="15.0"/>
      <color theme="1"/>
      <name val="Arial"/>
      <scheme val="minor"/>
    </font>
    <font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sz val="24.0"/>
      <color theme="1"/>
      <name val="Arial"/>
    </font>
    <font>
      <b/>
      <color rgb="FF000000"/>
      <name val="Arial"/>
    </font>
    <font>
      <color rgb="FF000000"/>
      <name val="Arial"/>
      <scheme val="minor"/>
    </font>
    <font>
      <sz val="14.0"/>
      <color theme="1"/>
      <name val="Arial"/>
      <scheme val="minor"/>
    </font>
    <font>
      <strike/>
      <color theme="1"/>
      <name val="Arial"/>
      <scheme val="minor"/>
    </font>
    <font>
      <b/>
      <color rgb="FFFF0000"/>
      <name val="Arial"/>
    </font>
    <font>
      <b/>
      <color rgb="FF00FF00"/>
      <name val="Arial"/>
    </font>
    <font>
      <b/>
      <color rgb="FFFF9900"/>
      <name val="Arial"/>
    </font>
    <font>
      <color rgb="FFFFFFFF"/>
      <name val="Arial"/>
    </font>
    <font>
      <sz val="11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B2FFB2"/>
        <bgColor rgb="FFB2FFB2"/>
      </patternFill>
    </fill>
    <fill>
      <patternFill patternType="solid">
        <fgColor rgb="FFFFC16B"/>
        <bgColor rgb="FFFFC16B"/>
      </patternFill>
    </fill>
    <fill>
      <patternFill patternType="solid">
        <fgColor rgb="FF80C7FF"/>
        <bgColor rgb="FF80C7FF"/>
      </patternFill>
    </fill>
    <fill>
      <patternFill patternType="solid">
        <fgColor rgb="FFFF9B9B"/>
        <bgColor rgb="FFFF9B9B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7B7B7"/>
        <bgColor rgb="FFB7B7B7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4FF18"/>
        <bgColor rgb="FFA4FF18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59">
    <border/>
    <border>
      <right style="thick">
        <color rgb="FF999999"/>
      </right>
    </border>
    <border>
      <bottom style="thick">
        <color rgb="FF3C78D8"/>
      </bottom>
    </border>
    <border>
      <right style="thick">
        <color rgb="FF999999"/>
      </right>
      <bottom style="thick">
        <color rgb="FF3C78D8"/>
      </bottom>
    </border>
    <border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right style="thick">
        <color rgb="FFFFD966"/>
      </right>
      <top style="thick">
        <color rgb="FFFFD966"/>
      </top>
    </border>
    <border>
      <top style="thick">
        <color rgb="FFFFD966"/>
      </top>
    </border>
    <border>
      <left style="thick">
        <color rgb="FFFFD966"/>
      </left>
      <top style="thick">
        <color rgb="FFFFD966"/>
      </top>
      <bottom style="thick">
        <color rgb="FFFFD966"/>
      </bottom>
    </border>
    <border>
      <top style="thick">
        <color rgb="FFFFD966"/>
      </top>
      <bottom style="thick">
        <color rgb="FFFFD966"/>
      </bottom>
    </border>
    <border>
      <left style="thick">
        <color rgb="FFFFD966"/>
      </left>
      <top style="thick">
        <color rgb="FFFFD966"/>
      </top>
    </border>
    <border>
      <right style="thick">
        <color rgb="FF999999"/>
      </right>
      <top style="thick">
        <color rgb="FFFFD966"/>
      </top>
    </border>
    <border>
      <left style="thick">
        <color rgb="FF999999"/>
      </left>
      <top style="thick">
        <color rgb="FF3C78D8"/>
      </top>
      <bottom style="thick">
        <color rgb="FF3C78D8"/>
      </bottom>
    </border>
    <border>
      <top style="thick">
        <color rgb="FF3C78D8"/>
      </top>
      <bottom style="thick">
        <color rgb="FF3C78D8"/>
      </bottom>
    </border>
    <border>
      <right style="thick">
        <color rgb="FF3C78D8"/>
      </right>
      <top style="thick">
        <color rgb="FF3C78D8"/>
      </top>
      <bottom style="thick">
        <color rgb="FF3C78D8"/>
      </bottom>
    </border>
    <border>
      <left style="thick">
        <color rgb="FF3C78D8"/>
      </left>
      <top style="thick">
        <color rgb="FF3C78D8"/>
      </top>
      <bottom style="thick">
        <color rgb="FF3C78D8"/>
      </bottom>
    </border>
    <border>
      <left style="thick">
        <color rgb="FF3C78D8"/>
      </left>
    </border>
    <border>
      <right style="thick">
        <color rgb="FF3C78D8"/>
      </right>
    </border>
    <border>
      <right style="thick">
        <color rgb="FFCC0000"/>
      </right>
    </border>
    <border>
      <left style="thick">
        <color rgb="FFCC0000"/>
      </left>
    </border>
    <border>
      <right style="thick">
        <color rgb="FFFFD966"/>
      </right>
    </border>
    <border>
      <left style="thick">
        <color rgb="FFFFD966"/>
      </lef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ck">
        <color rgb="FF999999"/>
      </left>
      <top style="thick">
        <color rgb="FF3C78D8"/>
      </top>
    </border>
    <border>
      <top style="thick">
        <color rgb="FF3C78D8"/>
      </top>
    </border>
    <border>
      <left style="thick">
        <color rgb="FF3C78D8"/>
      </left>
      <top style="thick">
        <color rgb="FF3C78D8"/>
      </top>
    </border>
    <border>
      <right style="thick">
        <color rgb="FF3C78D8"/>
      </right>
      <top style="thick">
        <color rgb="FF3C78D8"/>
      </top>
    </border>
    <border>
      <left style="thick">
        <color rgb="FF999999"/>
      </left>
      <bottom style="thick">
        <color rgb="FF3C78D8"/>
      </bottom>
    </border>
    <border>
      <left style="thick">
        <color rgb="FF3C78D8"/>
      </left>
      <bottom style="thick">
        <color rgb="FF3C78D8"/>
      </bottom>
    </border>
    <border>
      <right style="thick">
        <color rgb="FF3C78D8"/>
      </right>
      <bottom style="thick">
        <color rgb="FF3C78D8"/>
      </bottom>
    </border>
    <border>
      <right style="thick">
        <color rgb="FF000000"/>
      </right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bottom style="thin">
        <color rgb="FFEFEFEF"/>
      </bottom>
    </border>
    <border>
      <right style="double">
        <color rgb="FF000000"/>
      </right>
    </border>
    <border>
      <right style="thin">
        <color rgb="FF000000"/>
      </right>
      <bottom style="thin">
        <color rgb="FFEFEFEF"/>
      </bottom>
    </border>
    <border>
      <right style="double">
        <color rgb="FF000000"/>
      </right>
      <bottom style="thin">
        <color rgb="FFEFEFEF"/>
      </bottom>
    </border>
    <border>
      <left style="double">
        <color rgb="FF000000"/>
      </left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/>
    </xf>
    <xf borderId="1" fillId="0" fontId="4" numFmtId="0" xfId="0" applyBorder="1" applyFont="1"/>
    <xf borderId="2" fillId="4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0" fillId="4" fontId="3" numFmtId="0" xfId="0" applyAlignment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0" fillId="5" fontId="2" numFmtId="0" xfId="0" applyAlignment="1" applyFont="1">
      <alignment horizontal="center" readingOrder="0" vertical="center"/>
    </xf>
    <xf borderId="6" fillId="3" fontId="5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/>
    </xf>
    <xf borderId="7" fillId="0" fontId="4" numFmtId="0" xfId="0" applyBorder="1" applyFont="1"/>
    <xf borderId="8" fillId="3" fontId="3" numFmtId="0" xfId="0" applyAlignment="1" applyBorder="1" applyFont="1">
      <alignment horizontal="center" readingOrder="0"/>
    </xf>
    <xf borderId="9" fillId="0" fontId="4" numFmtId="0" xfId="0" applyBorder="1" applyFont="1"/>
    <xf borderId="10" fillId="3" fontId="5" numFmtId="0" xfId="0" applyAlignment="1" applyBorder="1" applyFont="1">
      <alignment horizontal="center" readingOrder="0" vertical="center"/>
    </xf>
    <xf borderId="11" fillId="0" fontId="4" numFmtId="0" xfId="0" applyBorder="1" applyFont="1"/>
    <xf borderId="12" fillId="4" fontId="3" numFmtId="0" xfId="0" applyAlignment="1" applyBorder="1" applyFont="1">
      <alignment horizontal="center" readingOrder="0"/>
    </xf>
    <xf borderId="13" fillId="0" fontId="4" numFmtId="0" xfId="0" applyBorder="1" applyFont="1"/>
    <xf borderId="14" fillId="0" fontId="4" numFmtId="0" xfId="0" applyBorder="1" applyFont="1"/>
    <xf borderId="15" fillId="4" fontId="3" numFmtId="0" xfId="0" applyAlignment="1" applyBorder="1" applyFont="1">
      <alignment horizontal="center" readingOrder="0"/>
    </xf>
    <xf borderId="16" fillId="4" fontId="5" numFmtId="0" xfId="0" applyAlignment="1" applyBorder="1" applyFont="1">
      <alignment horizontal="center" readingOrder="0" vertical="center"/>
    </xf>
    <xf borderId="17" fillId="0" fontId="4" numFmtId="0" xfId="0" applyBorder="1" applyFont="1"/>
    <xf borderId="1" fillId="4" fontId="3" numFmtId="0" xfId="0" applyAlignment="1" applyBorder="1" applyFont="1">
      <alignment horizontal="center" readingOrder="0"/>
    </xf>
    <xf borderId="0" fillId="5" fontId="5" numFmtId="0" xfId="0" applyAlignment="1" applyFont="1">
      <alignment horizontal="center" readingOrder="0" vertical="center"/>
    </xf>
    <xf borderId="18" fillId="0" fontId="4" numFmtId="0" xfId="0" applyBorder="1" applyFont="1"/>
    <xf borderId="19" fillId="5" fontId="2" numFmtId="0" xfId="0" applyAlignment="1" applyBorder="1" applyFont="1">
      <alignment horizontal="center" readingOrder="0" vertical="center"/>
    </xf>
    <xf borderId="20" fillId="0" fontId="4" numFmtId="0" xfId="0" applyBorder="1" applyFont="1"/>
    <xf borderId="10" fillId="3" fontId="3" numFmtId="0" xfId="0" applyAlignment="1" applyBorder="1" applyFont="1">
      <alignment horizontal="center" readingOrder="0"/>
    </xf>
    <xf borderId="6" fillId="0" fontId="4" numFmtId="0" xfId="0" applyBorder="1" applyFont="1"/>
    <xf borderId="21" fillId="3" fontId="3" numFmtId="0" xfId="0" applyAlignment="1" applyBorder="1" applyFont="1">
      <alignment horizontal="center" readingOrder="0"/>
    </xf>
    <xf borderId="21" fillId="0" fontId="4" numFmtId="0" xfId="0" applyBorder="1" applyFont="1"/>
    <xf borderId="16" fillId="4" fontId="3" numFmtId="0" xfId="0" applyAlignment="1" applyBorder="1" applyFont="1">
      <alignment horizontal="center" readingOrder="0"/>
    </xf>
    <xf borderId="16" fillId="0" fontId="4" numFmtId="0" xfId="0" applyBorder="1" applyFont="1"/>
    <xf borderId="1" fillId="4" fontId="1" numFmtId="0" xfId="0" applyBorder="1" applyFont="1"/>
    <xf borderId="0" fillId="4" fontId="1" numFmtId="0" xfId="0" applyFont="1"/>
    <xf borderId="19" fillId="0" fontId="4" numFmtId="0" xfId="0" applyBorder="1" applyFont="1"/>
    <xf borderId="0" fillId="2" fontId="3" numFmtId="0" xfId="0" applyAlignment="1" applyFont="1">
      <alignment horizontal="center" readingOrder="0"/>
    </xf>
    <xf borderId="20" fillId="3" fontId="3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21" fillId="3" fontId="1" numFmtId="0" xfId="0" applyAlignment="1" applyBorder="1" applyFont="1">
      <alignment horizontal="center" readingOrder="0"/>
    </xf>
    <xf borderId="20" fillId="3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17" fillId="4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18" fillId="5" fontId="1" numFmtId="0" xfId="0" applyAlignment="1" applyBorder="1" applyFont="1">
      <alignment horizontal="center" readingOrder="0"/>
    </xf>
    <xf borderId="18" fillId="5" fontId="3" numFmtId="0" xfId="0" applyAlignment="1" applyBorder="1" applyFont="1">
      <alignment horizontal="center" readingOrder="0"/>
    </xf>
    <xf borderId="0" fillId="5" fontId="3" numFmtId="0" xfId="0" applyAlignment="1" applyFont="1">
      <alignment horizontal="center" readingOrder="0"/>
    </xf>
    <xf borderId="20" fillId="0" fontId="1" numFmtId="0" xfId="0" applyAlignment="1" applyBorder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21" fillId="0" fontId="1" numFmtId="1" xfId="0" applyAlignment="1" applyBorder="1" applyFont="1" applyNumberFormat="1">
      <alignment horizontal="center"/>
    </xf>
    <xf borderId="0" fillId="6" fontId="0" numFmtId="1" xfId="0" applyAlignment="1" applyFill="1" applyFont="1" applyNumberFormat="1">
      <alignment horizontal="center"/>
    </xf>
    <xf borderId="2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0" fillId="0" fontId="6" numFmtId="0" xfId="0" applyAlignment="1" applyFon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6" numFmtId="2" xfId="0" applyAlignment="1" applyFont="1" applyNumberFormat="1">
      <alignment horizontal="center" vertical="bottom"/>
    </xf>
    <xf borderId="17" fillId="0" fontId="6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17" fillId="6" fontId="0" numFmtId="0" xfId="0" applyAlignment="1" applyBorder="1" applyFont="1">
      <alignment horizontal="center"/>
    </xf>
    <xf borderId="0" fillId="0" fontId="1" numFmtId="9" xfId="0" applyAlignment="1" applyFont="1" applyNumberFormat="1">
      <alignment horizontal="center" readingOrder="0"/>
    </xf>
    <xf borderId="18" fillId="0" fontId="1" numFmtId="2" xfId="0" applyAlignment="1" applyBorder="1" applyFont="1" applyNumberFormat="1">
      <alignment horizontal="center" readingOrder="0"/>
    </xf>
    <xf borderId="18" fillId="0" fontId="0" numFmtId="2" xfId="0" applyAlignment="1" applyBorder="1" applyFont="1" applyNumberFormat="1">
      <alignment horizontal="center"/>
    </xf>
    <xf borderId="18" fillId="0" fontId="0" numFmtId="1" xfId="0" applyAlignment="1" applyBorder="1" applyFont="1" applyNumberFormat="1">
      <alignment horizontal="center"/>
    </xf>
    <xf borderId="18" fillId="6" fontId="0" numFmtId="1" xfId="0" applyAlignment="1" applyBorder="1" applyFont="1" applyNumberFormat="1">
      <alignment horizontal="center"/>
    </xf>
    <xf borderId="0" fillId="6" fontId="0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1" numFmtId="10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vertical="bottom"/>
    </xf>
    <xf borderId="1" fillId="0" fontId="1" numFmtId="10" xfId="0" applyAlignment="1" applyBorder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4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22" fillId="0" fontId="6" numFmtId="0" xfId="0" applyAlignment="1" applyBorder="1" applyFont="1">
      <alignment vertical="bottom"/>
    </xf>
    <xf borderId="0" fillId="7" fontId="6" numFmtId="0" xfId="0" applyAlignment="1" applyFill="1" applyFont="1">
      <alignment horizontal="right" vertical="bottom"/>
    </xf>
    <xf borderId="0" fillId="7" fontId="6" numFmtId="0" xfId="0" applyAlignment="1" applyFont="1">
      <alignment vertical="bottom"/>
    </xf>
    <xf borderId="0" fillId="7" fontId="6" numFmtId="0" xfId="0" applyAlignment="1" applyFont="1">
      <alignment readingOrder="0" vertical="bottom"/>
    </xf>
    <xf borderId="22" fillId="8" fontId="6" numFmtId="0" xfId="0" applyAlignment="1" applyBorder="1" applyFill="1" applyFont="1">
      <alignment vertical="bottom"/>
    </xf>
    <xf borderId="22" fillId="9" fontId="6" numFmtId="0" xfId="0" applyAlignment="1" applyBorder="1" applyFill="1" applyFont="1">
      <alignment vertical="bottom"/>
    </xf>
    <xf borderId="22" fillId="10" fontId="6" numFmtId="0" xfId="0" applyAlignment="1" applyBorder="1" applyFill="1" applyFont="1">
      <alignment readingOrder="0" vertical="bottom"/>
    </xf>
    <xf borderId="0" fillId="7" fontId="6" numFmtId="0" xfId="0" applyAlignment="1" applyFont="1">
      <alignment horizontal="right" readingOrder="0" vertical="bottom"/>
    </xf>
    <xf borderId="0" fillId="7" fontId="6" numFmtId="0" xfId="0" applyAlignment="1" applyFont="1">
      <alignment readingOrder="0" shrinkToFit="0" vertical="bottom" wrapText="1"/>
    </xf>
    <xf borderId="23" fillId="11" fontId="6" numFmtId="0" xfId="0" applyAlignment="1" applyBorder="1" applyFill="1" applyFont="1">
      <alignment vertical="bottom"/>
    </xf>
    <xf borderId="0" fillId="11" fontId="6" numFmtId="0" xfId="0" applyAlignment="1" applyFont="1">
      <alignment horizontal="right" vertical="bottom"/>
    </xf>
    <xf borderId="0" fillId="11" fontId="6" numFmtId="0" xfId="0" applyAlignment="1" applyFont="1">
      <alignment vertical="bottom"/>
    </xf>
    <xf borderId="0" fillId="11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11" fontId="6" numFmtId="0" xfId="0" applyAlignment="1" applyFont="1">
      <alignment horizontal="right" readingOrder="0" vertical="bottom"/>
    </xf>
    <xf borderId="18" fillId="5" fontId="5" numFmtId="0" xfId="0" applyAlignment="1" applyBorder="1" applyFont="1">
      <alignment horizontal="center" readingOrder="0" vertical="center"/>
    </xf>
    <xf borderId="7" fillId="3" fontId="7" numFmtId="0" xfId="0" applyAlignment="1" applyBorder="1" applyFont="1">
      <alignment horizontal="center" readingOrder="0" vertical="center"/>
    </xf>
    <xf borderId="10" fillId="3" fontId="7" numFmtId="0" xfId="0" applyAlignment="1" applyBorder="1" applyFont="1">
      <alignment horizontal="center" readingOrder="0" vertical="center"/>
    </xf>
    <xf borderId="24" fillId="4" fontId="7" numFmtId="0" xfId="0" applyAlignment="1" applyBorder="1" applyFont="1">
      <alignment horizontal="center" readingOrder="0" vertical="center"/>
    </xf>
    <xf borderId="25" fillId="0" fontId="4" numFmtId="0" xfId="0" applyBorder="1" applyFont="1"/>
    <xf borderId="26" fillId="4" fontId="7" numFmtId="0" xfId="0" applyAlignment="1" applyBorder="1" applyFont="1">
      <alignment horizontal="center" readingOrder="0" vertical="center"/>
    </xf>
    <xf borderId="27" fillId="0" fontId="4" numFmtId="0" xfId="0" applyBorder="1" applyFont="1"/>
    <xf borderId="1" fillId="4" fontId="3" numFmtId="0" xfId="0" applyAlignment="1" applyBorder="1" applyFont="1">
      <alignment horizontal="center" readingOrder="0" vertical="center"/>
    </xf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18" fillId="0" fontId="1" numFmtId="2" xfId="0" applyAlignment="1" applyBorder="1" applyFont="1" applyNumberFormat="1">
      <alignment horizontal="center"/>
    </xf>
    <xf borderId="0" fillId="0" fontId="1" numFmtId="0" xfId="0" applyAlignment="1" applyFont="1">
      <alignment readingOrder="0" shrinkToFit="0" vertical="top" wrapText="1"/>
    </xf>
    <xf borderId="0" fillId="12" fontId="3" numFmtId="0" xfId="0" applyAlignment="1" applyFill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12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10" fontId="1" numFmtId="0" xfId="0" applyAlignment="1" applyFont="1">
      <alignment readingOrder="0" shrinkToFit="0" vertical="top" wrapText="1"/>
    </xf>
    <xf borderId="0" fillId="7" fontId="1" numFmtId="0" xfId="0" applyAlignment="1" applyFont="1">
      <alignment readingOrder="0" shrinkToFit="0" vertical="top" wrapText="1"/>
    </xf>
    <xf borderId="0" fillId="13" fontId="1" numFmtId="0" xfId="0" applyAlignment="1" applyFill="1" applyFont="1">
      <alignment readingOrder="0" shrinkToFit="0" vertical="top" wrapText="1"/>
    </xf>
    <xf borderId="0" fillId="14" fontId="1" numFmtId="0" xfId="0" applyAlignment="1" applyFill="1" applyFont="1">
      <alignment readingOrder="0" shrinkToFit="0" vertical="top" wrapText="1"/>
    </xf>
    <xf borderId="0" fillId="15" fontId="1" numFmtId="0" xfId="0" applyAlignment="1" applyFill="1" applyFont="1">
      <alignment readingOrder="0" shrinkToFit="0" vertical="top" wrapText="1"/>
    </xf>
    <xf borderId="0" fillId="11" fontId="1" numFmtId="0" xfId="0" applyAlignment="1" applyFont="1">
      <alignment readingOrder="0" shrinkToFit="0" vertical="top" wrapText="1"/>
    </xf>
    <xf borderId="0" fillId="16" fontId="1" numFmtId="0" xfId="0" applyAlignment="1" applyFill="1" applyFont="1">
      <alignment readingOrder="0" shrinkToFit="0" vertical="top" wrapText="1"/>
    </xf>
    <xf borderId="0" fillId="17" fontId="3" numFmtId="0" xfId="0" applyAlignment="1" applyFill="1" applyFont="1">
      <alignment readingOrder="0" shrinkToFit="0" vertical="top" wrapText="1"/>
    </xf>
    <xf borderId="0" fillId="18" fontId="1" numFmtId="0" xfId="0" applyAlignment="1" applyFill="1" applyFont="1">
      <alignment readingOrder="0" shrinkToFit="0" vertical="top" wrapText="1"/>
    </xf>
    <xf borderId="0" fillId="13" fontId="8" numFmtId="0" xfId="0" applyAlignment="1" applyFont="1">
      <alignment horizontal="left" readingOrder="0" shrinkToFit="0" vertical="top" wrapText="1"/>
    </xf>
    <xf borderId="31" fillId="19" fontId="9" numFmtId="0" xfId="0" applyAlignment="1" applyBorder="1" applyFill="1" applyFont="1">
      <alignment horizontal="center" shrinkToFit="0" vertical="top" wrapText="1"/>
    </xf>
    <xf borderId="32" fillId="0" fontId="10" numFmtId="0" xfId="0" applyAlignment="1" applyBorder="1" applyFont="1">
      <alignment horizontal="center" readingOrder="0" shrinkToFit="0" wrapText="1"/>
    </xf>
    <xf borderId="32" fillId="0" fontId="4" numFmtId="0" xfId="0" applyBorder="1" applyFont="1"/>
    <xf borderId="33" fillId="0" fontId="4" numFmtId="0" xfId="0" applyBorder="1" applyFont="1"/>
    <xf borderId="0" fillId="0" fontId="10" numFmtId="0" xfId="0" applyAlignment="1" applyFont="1">
      <alignment horizontal="center" readingOrder="0" shrinkToFit="0" wrapText="1"/>
    </xf>
    <xf borderId="31" fillId="0" fontId="4" numFmtId="0" xfId="0" applyBorder="1" applyFont="1"/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/>
    </xf>
    <xf borderId="34" fillId="0" fontId="4" numFmtId="0" xfId="0" applyBorder="1" applyFont="1"/>
    <xf borderId="35" fillId="0" fontId="4" numFmtId="0" xfId="0" applyBorder="1" applyFont="1"/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6" numFmtId="0" xfId="0" applyAlignment="1" applyFont="1">
      <alignment horizont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 shrinkToFit="0" vertical="center" wrapText="1"/>
    </xf>
    <xf borderId="0" fillId="20" fontId="10" numFmtId="0" xfId="0" applyAlignment="1" applyFill="1" applyFont="1">
      <alignment horizontal="center" shrinkToFit="0" wrapText="1"/>
    </xf>
    <xf borderId="0" fillId="0" fontId="10" numFmtId="0" xfId="0" applyAlignment="1" applyFont="1">
      <alignment horizontal="center" shrinkToFit="0" wrapText="1"/>
    </xf>
    <xf borderId="0" fillId="0" fontId="6" numFmtId="0" xfId="0" applyAlignment="1" applyFont="1">
      <alignment horizontal="center" readingOrder="0" shrinkToFit="0" wrapText="1"/>
    </xf>
    <xf borderId="31" fillId="0" fontId="1" numFmtId="0" xfId="0" applyAlignment="1" applyBorder="1" applyFont="1">
      <alignment horizontal="center" readingOrder="0"/>
    </xf>
    <xf borderId="0" fillId="0" fontId="6" numFmtId="1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0" fillId="6" fontId="6" numFmtId="1" xfId="0" applyAlignment="1" applyFont="1" applyNumberFormat="1">
      <alignment horizontal="center"/>
    </xf>
    <xf borderId="0" fillId="6" fontId="6" numFmtId="10" xfId="0" applyAlignment="1" applyFont="1" applyNumberFormat="1">
      <alignment horizontal="center"/>
    </xf>
    <xf borderId="31" fillId="0" fontId="6" numFmtId="0" xfId="0" applyAlignment="1" applyBorder="1" applyFont="1">
      <alignment horizontal="center"/>
    </xf>
    <xf borderId="31" fillId="6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31" fillId="0" fontId="1" numFmtId="0" xfId="0" applyAlignment="1" applyBorder="1" applyFont="1">
      <alignment horizontal="center"/>
    </xf>
    <xf borderId="0" fillId="20" fontId="3" numFmtId="0" xfId="0" applyAlignment="1" applyFont="1">
      <alignment horizontal="center" readingOrder="0"/>
    </xf>
    <xf borderId="0" fillId="6" fontId="6" numFmtId="2" xfId="0" applyAlignment="1" applyFont="1" applyNumberFormat="1">
      <alignment horizontal="center"/>
    </xf>
    <xf borderId="0" fillId="6" fontId="6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6" fontId="6" numFmtId="2" xfId="0" applyAlignment="1" applyFont="1" applyNumberFormat="1">
      <alignment horizontal="center" readingOrder="0"/>
    </xf>
    <xf borderId="0" fillId="6" fontId="6" numFmtId="2" xfId="0" applyAlignment="1" applyFont="1" applyNumberFormat="1">
      <alignment horizontal="left" readingOrder="0"/>
    </xf>
    <xf borderId="0" fillId="6" fontId="6" numFmtId="9" xfId="0" applyAlignment="1" applyFont="1" applyNumberFormat="1">
      <alignment horizontal="center"/>
    </xf>
    <xf borderId="34" fillId="21" fontId="9" numFmtId="0" xfId="0" applyAlignment="1" applyBorder="1" applyFill="1" applyFont="1">
      <alignment horizontal="center" readingOrder="0"/>
    </xf>
    <xf borderId="0" fillId="0" fontId="9" numFmtId="0" xfId="0" applyAlignment="1" applyFont="1">
      <alignment horizontal="center" readingOrder="0"/>
    </xf>
    <xf borderId="36" fillId="0" fontId="1" numFmtId="0" xfId="0" applyAlignment="1" applyBorder="1" applyFont="1">
      <alignment readingOrder="0"/>
    </xf>
    <xf borderId="37" fillId="0" fontId="1" numFmtId="0" xfId="0" applyAlignment="1" applyBorder="1" applyFont="1">
      <alignment readingOrder="0"/>
    </xf>
    <xf borderId="37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12" numFmtId="0" xfId="0" applyAlignment="1" applyFont="1">
      <alignment horizontal="center" readingOrder="0" shrinkToFit="0" vertical="top" wrapText="1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 shrinkToFit="0" vertical="top" wrapText="0"/>
    </xf>
    <xf borderId="0" fillId="0" fontId="13" numFmtId="0" xfId="0" applyAlignment="1" applyFont="1">
      <alignment shrinkToFit="0" vertical="top" wrapText="0"/>
    </xf>
    <xf borderId="0" fillId="0" fontId="13" numFmtId="0" xfId="0" applyFont="1"/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1" fontId="9" numFmtId="0" xfId="0" applyAlignment="1" applyFont="1">
      <alignment horizontal="center"/>
    </xf>
    <xf borderId="38" fillId="0" fontId="9" numFmtId="0" xfId="0" applyAlignment="1" applyBorder="1" applyFont="1">
      <alignment horizontal="center" vertical="bottom"/>
    </xf>
    <xf borderId="39" fillId="0" fontId="4" numFmtId="0" xfId="0" applyBorder="1" applyFont="1"/>
    <xf borderId="0" fillId="20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21" fontId="1" numFmtId="0" xfId="0" applyFont="1"/>
    <xf borderId="38" fillId="0" fontId="9" numFmtId="0" xfId="0" applyAlignment="1" applyBorder="1" applyFont="1">
      <alignment horizontal="center" readingOrder="0" vertical="bottom"/>
    </xf>
    <xf borderId="0" fillId="20" fontId="1" numFmtId="0" xfId="0" applyFont="1"/>
    <xf borderId="37" fillId="21" fontId="9" numFmtId="0" xfId="0" applyAlignment="1" applyBorder="1" applyFont="1">
      <alignment horizontal="center"/>
    </xf>
    <xf borderId="40" fillId="21" fontId="9" numFmtId="0" xfId="0" applyAlignment="1" applyBorder="1" applyFont="1">
      <alignment horizontal="center"/>
    </xf>
    <xf borderId="37" fillId="20" fontId="9" numFmtId="0" xfId="0" applyAlignment="1" applyBorder="1" applyFont="1">
      <alignment horizontal="center"/>
    </xf>
    <xf borderId="40" fillId="20" fontId="9" numFmtId="0" xfId="0" applyAlignment="1" applyBorder="1" applyFont="1">
      <alignment horizontal="center"/>
    </xf>
    <xf borderId="41" fillId="0" fontId="10" numFmtId="0" xfId="0" applyAlignment="1" applyBorder="1" applyFont="1">
      <alignment horizontal="center" vertical="bottom"/>
    </xf>
    <xf borderId="42" fillId="0" fontId="4" numFmtId="0" xfId="0" applyBorder="1" applyFont="1"/>
    <xf borderId="43" fillId="0" fontId="4" numFmtId="0" xfId="0" applyBorder="1" applyFont="1"/>
    <xf borderId="0" fillId="0" fontId="16" numFmtId="3" xfId="0" applyAlignment="1" applyFont="1" applyNumberFormat="1">
      <alignment horizontal="center"/>
    </xf>
    <xf borderId="39" fillId="0" fontId="6" numFmtId="0" xfId="0" applyAlignment="1" applyBorder="1" applyFont="1">
      <alignment horizontal="center" vertical="bottom"/>
    </xf>
    <xf borderId="0" fillId="0" fontId="17" numFmtId="3" xfId="0" applyAlignment="1" applyFont="1" applyNumberFormat="1">
      <alignment horizontal="center"/>
    </xf>
    <xf borderId="0" fillId="6" fontId="0" numFmtId="2" xfId="0" applyAlignment="1" applyFont="1" applyNumberFormat="1">
      <alignment horizontal="center"/>
    </xf>
    <xf borderId="39" fillId="0" fontId="6" numFmtId="2" xfId="0" applyAlignment="1" applyBorder="1" applyFont="1" applyNumberFormat="1">
      <alignment horizontal="center" vertical="bottom"/>
    </xf>
    <xf borderId="0" fillId="0" fontId="6" numFmtId="2" xfId="0" applyAlignment="1" applyFont="1" applyNumberFormat="1">
      <alignment horizontal="center" readingOrder="0" vertical="bottom"/>
    </xf>
    <xf borderId="38" fillId="0" fontId="1" numFmtId="0" xfId="0" applyAlignment="1" applyBorder="1" applyFont="1">
      <alignment horizontal="center" readingOrder="0"/>
    </xf>
    <xf borderId="38" fillId="0" fontId="6" numFmtId="0" xfId="0" applyAlignment="1" applyBorder="1" applyFont="1">
      <alignment horizontal="center" readingOrder="0" vertical="bottom"/>
    </xf>
    <xf borderId="0" fillId="0" fontId="17" numFmtId="3" xfId="0" applyAlignment="1" applyFont="1" applyNumberFormat="1">
      <alignment horizontal="center" readingOrder="0"/>
    </xf>
    <xf borderId="0" fillId="0" fontId="18" numFmtId="3" xfId="0" applyAlignment="1" applyFont="1" applyNumberFormat="1">
      <alignment horizontal="center"/>
    </xf>
    <xf borderId="36" fillId="0" fontId="1" numFmtId="0" xfId="0" applyAlignment="1" applyBorder="1" applyFont="1">
      <alignment horizontal="center" readingOrder="0"/>
    </xf>
    <xf borderId="37" fillId="0" fontId="4" numFmtId="0" xfId="0" applyBorder="1" applyFont="1"/>
    <xf borderId="40" fillId="0" fontId="4" numFmtId="0" xfId="0" applyBorder="1" applyFont="1"/>
    <xf borderId="0" fillId="21" fontId="6" numFmtId="2" xfId="0" applyAlignment="1" applyFont="1" applyNumberFormat="1">
      <alignment horizontal="center" vertical="bottom"/>
    </xf>
    <xf borderId="41" fillId="0" fontId="3" numFmtId="0" xfId="0" applyAlignment="1" applyBorder="1" applyFont="1">
      <alignment horizontal="center" readingOrder="0"/>
    </xf>
    <xf borderId="0" fillId="20" fontId="6" numFmtId="2" xfId="0" applyAlignment="1" applyFont="1" applyNumberFormat="1">
      <alignment horizontal="center" vertical="bottom"/>
    </xf>
    <xf borderId="44" fillId="0" fontId="6" numFmtId="0" xfId="0" applyAlignment="1" applyBorder="1" applyFont="1">
      <alignment horizontal="center" readingOrder="0" vertical="bottom"/>
    </xf>
    <xf borderId="45" fillId="0" fontId="4" numFmtId="0" xfId="0" applyBorder="1" applyFont="1"/>
    <xf borderId="46" fillId="0" fontId="4" numFmtId="0" xfId="0" applyBorder="1" applyFont="1"/>
    <xf borderId="0" fillId="6" fontId="6" numFmtId="2" xfId="0" applyAlignment="1" applyFont="1" applyNumberFormat="1">
      <alignment horizontal="center" vertical="bottom"/>
    </xf>
    <xf borderId="0" fillId="6" fontId="19" numFmtId="2" xfId="0" applyAlignment="1" applyFont="1" applyNumberFormat="1">
      <alignment horizontal="right" vertical="bottom"/>
    </xf>
    <xf borderId="0" fillId="6" fontId="8" numFmtId="2" xfId="0" applyAlignment="1" applyFont="1" applyNumberFormat="1">
      <alignment horizontal="center" vertical="bottom"/>
    </xf>
    <xf borderId="0" fillId="21" fontId="1" numFmtId="2" xfId="0" applyAlignment="1" applyFont="1" applyNumberFormat="1">
      <alignment horizontal="center"/>
    </xf>
    <xf borderId="0" fillId="20" fontId="1" numFmtId="2" xfId="0" applyAlignment="1" applyFont="1" applyNumberFormat="1">
      <alignment horizontal="center"/>
    </xf>
    <xf borderId="38" fillId="0" fontId="6" numFmtId="0" xfId="0" applyAlignment="1" applyBorder="1" applyFont="1">
      <alignment horizontal="center" vertical="bottom"/>
    </xf>
    <xf borderId="47" fillId="0" fontId="6" numFmtId="0" xfId="0" applyAlignment="1" applyBorder="1" applyFont="1">
      <alignment horizontal="center"/>
    </xf>
    <xf borderId="42" fillId="0" fontId="6" numFmtId="0" xfId="0" applyAlignment="1" applyBorder="1" applyFont="1">
      <alignment horizontal="center"/>
    </xf>
    <xf borderId="42" fillId="0" fontId="10" numFmtId="0" xfId="0" applyAlignment="1" applyBorder="1" applyFont="1">
      <alignment horizontal="center"/>
    </xf>
    <xf borderId="48" fillId="0" fontId="6" numFmtId="0" xfId="0" applyAlignment="1" applyBorder="1" applyFont="1">
      <alignment horizontal="center"/>
    </xf>
    <xf borderId="42" fillId="22" fontId="10" numFmtId="0" xfId="0" applyAlignment="1" applyBorder="1" applyFill="1" applyFont="1">
      <alignment horizontal="center" shrinkToFit="0" wrapText="1"/>
    </xf>
    <xf borderId="48" fillId="0" fontId="4" numFmtId="0" xfId="0" applyBorder="1" applyFont="1"/>
    <xf borderId="0" fillId="23" fontId="20" numFmtId="1" xfId="0" applyAlignment="1" applyFill="1" applyFont="1" applyNumberFormat="1">
      <alignment horizontal="center"/>
    </xf>
    <xf borderId="49" fillId="23" fontId="6" numFmtId="1" xfId="0" applyAlignment="1" applyBorder="1" applyFont="1" applyNumberFormat="1">
      <alignment horizontal="center"/>
    </xf>
    <xf borderId="49" fillId="0" fontId="6" numFmtId="1" xfId="0" applyBorder="1" applyFont="1" applyNumberFormat="1"/>
    <xf borderId="49" fillId="24" fontId="6" numFmtId="1" xfId="0" applyAlignment="1" applyBorder="1" applyFill="1" applyFont="1" applyNumberFormat="1">
      <alignment horizontal="center"/>
    </xf>
    <xf borderId="0" fillId="24" fontId="20" numFmtId="1" xfId="0" applyAlignment="1" applyFont="1" applyNumberFormat="1">
      <alignment horizontal="center"/>
    </xf>
    <xf borderId="50" fillId="24" fontId="20" numFmtId="1" xfId="0" applyAlignment="1" applyBorder="1" applyFont="1" applyNumberFormat="1">
      <alignment horizontal="center"/>
    </xf>
    <xf borderId="51" fillId="22" fontId="10" numFmtId="0" xfId="0" applyAlignment="1" applyBorder="1" applyFont="1">
      <alignment horizontal="center" shrinkToFit="0" wrapText="1"/>
    </xf>
    <xf borderId="52" fillId="22" fontId="10" numFmtId="0" xfId="0" applyAlignment="1" applyBorder="1" applyFont="1">
      <alignment horizontal="center"/>
    </xf>
    <xf borderId="53" fillId="21" fontId="6" numFmtId="1" xfId="0" applyAlignment="1" applyBorder="1" applyFont="1" applyNumberFormat="1">
      <alignment horizontal="center"/>
    </xf>
    <xf borderId="0" fillId="21" fontId="6" numFmtId="1" xfId="0" applyAlignment="1" applyFont="1" applyNumberFormat="1">
      <alignment horizontal="center"/>
    </xf>
    <xf borderId="0" fillId="23" fontId="6" numFmtId="1" xfId="0" applyAlignment="1" applyFont="1" applyNumberFormat="1">
      <alignment horizontal="center"/>
    </xf>
    <xf borderId="0" fillId="0" fontId="6" numFmtId="1" xfId="0" applyAlignment="1" applyFont="1" applyNumberFormat="1">
      <alignment horizontal="center" readingOrder="0"/>
    </xf>
    <xf borderId="0" fillId="24" fontId="6" numFmtId="1" xfId="0" applyAlignment="1" applyFont="1" applyNumberFormat="1">
      <alignment horizontal="center"/>
    </xf>
    <xf borderId="0" fillId="19" fontId="6" numFmtId="1" xfId="0" applyAlignment="1" applyFont="1" applyNumberFormat="1">
      <alignment horizontal="center"/>
    </xf>
    <xf borderId="50" fillId="19" fontId="6" numFmtId="1" xfId="0" applyAlignment="1" applyBorder="1" applyFont="1" applyNumberFormat="1">
      <alignment horizontal="center"/>
    </xf>
    <xf borderId="39" fillId="22" fontId="10" numFmtId="0" xfId="0" applyAlignment="1" applyBorder="1" applyFont="1">
      <alignment horizontal="center"/>
    </xf>
    <xf borderId="50" fillId="22" fontId="10" numFmtId="1" xfId="0" applyAlignment="1" applyBorder="1" applyFont="1" applyNumberFormat="1">
      <alignment horizontal="center"/>
    </xf>
    <xf borderId="37" fillId="21" fontId="6" numFmtId="1" xfId="0" applyAlignment="1" applyBorder="1" applyFont="1" applyNumberFormat="1">
      <alignment horizontal="center"/>
    </xf>
    <xf borderId="37" fillId="23" fontId="6" numFmtId="1" xfId="0" applyAlignment="1" applyBorder="1" applyFont="1" applyNumberFormat="1">
      <alignment horizontal="center"/>
    </xf>
    <xf borderId="37" fillId="0" fontId="6" numFmtId="1" xfId="0" applyAlignment="1" applyBorder="1" applyFont="1" applyNumberFormat="1">
      <alignment horizontal="center" readingOrder="0"/>
    </xf>
    <xf borderId="37" fillId="24" fontId="6" numFmtId="1" xfId="0" applyAlignment="1" applyBorder="1" applyFont="1" applyNumberFormat="1">
      <alignment horizontal="center"/>
    </xf>
    <xf borderId="37" fillId="19" fontId="6" numFmtId="1" xfId="0" applyAlignment="1" applyBorder="1" applyFont="1" applyNumberFormat="1">
      <alignment horizontal="center"/>
    </xf>
    <xf borderId="54" fillId="19" fontId="6" numFmtId="1" xfId="0" applyAlignment="1" applyBorder="1" applyFont="1" applyNumberFormat="1">
      <alignment horizontal="center"/>
    </xf>
    <xf borderId="54" fillId="22" fontId="10" numFmtId="1" xfId="0" applyAlignment="1" applyBorder="1" applyFont="1" applyNumberFormat="1">
      <alignment horizontal="center"/>
    </xf>
    <xf borderId="55" fillId="21" fontId="6" numFmtId="1" xfId="0" applyAlignment="1" applyBorder="1" applyFont="1" applyNumberFormat="1">
      <alignment horizontal="center"/>
    </xf>
    <xf borderId="56" fillId="21" fontId="6" numFmtId="1" xfId="0" applyAlignment="1" applyBorder="1" applyFont="1" applyNumberFormat="1">
      <alignment horizontal="center"/>
    </xf>
    <xf borderId="56" fillId="23" fontId="10" numFmtId="1" xfId="0" applyAlignment="1" applyBorder="1" applyFont="1" applyNumberFormat="1">
      <alignment horizontal="center"/>
    </xf>
    <xf borderId="56" fillId="0" fontId="6" numFmtId="1" xfId="0" applyAlignment="1" applyBorder="1" applyFont="1" applyNumberFormat="1">
      <alignment horizontal="center"/>
    </xf>
    <xf borderId="56" fillId="24" fontId="10" numFmtId="1" xfId="0" applyAlignment="1" applyBorder="1" applyFont="1" applyNumberFormat="1">
      <alignment horizontal="center"/>
    </xf>
    <xf borderId="56" fillId="19" fontId="6" numFmtId="1" xfId="0" applyAlignment="1" applyBorder="1" applyFont="1" applyNumberFormat="1">
      <alignment horizontal="center"/>
    </xf>
    <xf borderId="57" fillId="19" fontId="6" numFmtId="1" xfId="0" applyAlignment="1" applyBorder="1" applyFont="1" applyNumberFormat="1">
      <alignment horizontal="center"/>
    </xf>
    <xf borderId="58" fillId="0" fontId="4" numFmtId="0" xfId="0" applyBorder="1" applyFont="1"/>
    <xf borderId="57" fillId="22" fontId="10" numFmtId="1" xfId="0" applyAlignment="1" applyBorder="1" applyFont="1" applyNumberFormat="1">
      <alignment horizontal="center"/>
    </xf>
    <xf borderId="0" fillId="25" fontId="6" numFmtId="2" xfId="0" applyAlignment="1" applyFill="1" applyFont="1" applyNumberFormat="1">
      <alignment horizontal="center"/>
    </xf>
    <xf borderId="0" fillId="25" fontId="6" numFmtId="2" xfId="0" applyAlignment="1" applyFont="1" applyNumberFormat="1">
      <alignment vertical="bottom"/>
    </xf>
  </cellXfs>
  <cellStyles count="1">
    <cellStyle xfId="0" name="Normal" builtinId="0"/>
  </cellStyles>
  <dxfs count="7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>
        <color theme="1"/>
      </font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9.5"/>
    <col customWidth="1" min="3" max="3" width="28.5"/>
    <col customWidth="1" min="4" max="4" width="26.25"/>
    <col customWidth="1" min="5" max="7" width="18.88"/>
    <col customWidth="1" min="8" max="8" width="23.25"/>
    <col customWidth="1" min="9" max="9" width="26.63"/>
    <col customWidth="1" min="10" max="10" width="18.88"/>
    <col customWidth="1" min="11" max="11" width="28.13"/>
    <col customWidth="1" min="12" max="12" width="26.0"/>
    <col customWidth="1" min="13" max="2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4"/>
      <c r="P2" s="4"/>
      <c r="Q2" s="4"/>
      <c r="R2" s="4"/>
      <c r="S2" s="5">
        <f t="shared" ref="S2:S59" si="1">sum(T2,U2,V2)</f>
        <v>0</v>
      </c>
      <c r="T2" s="5">
        <f t="shared" ref="T2:T153" si="2">if(sum(if(B2=true,1,0),C2,if(D2=true,1,0),if(E2=true,-5,0))&lt;0,"0",sum(if(B2=true,1,0),C2,if(D2=true,1,0),if(E2=true,-5,0)))</f>
        <v>0</v>
      </c>
      <c r="U2" s="5">
        <f t="shared" ref="U2:U153" si="3">sum(H2,J2*2)</f>
        <v>0</v>
      </c>
      <c r="V2" s="5" t="str">
        <f>G2</f>
        <v/>
      </c>
      <c r="W2" s="5">
        <f t="shared" ref="W2:W24" si="4">-10*K2</f>
        <v>0</v>
      </c>
    </row>
    <row r="3">
      <c r="A3" s="6">
        <v>45276.5852247338</v>
      </c>
      <c r="B3" s="2" t="b">
        <v>0</v>
      </c>
      <c r="C3" s="2">
        <v>0.0</v>
      </c>
      <c r="D3" s="2" t="b">
        <v>0</v>
      </c>
      <c r="E3" s="2" t="b">
        <v>0</v>
      </c>
      <c r="F3" s="2">
        <v>3.0</v>
      </c>
      <c r="G3" s="2">
        <v>3.0</v>
      </c>
      <c r="H3" s="2">
        <v>1.0</v>
      </c>
      <c r="I3" s="2">
        <v>0.0</v>
      </c>
      <c r="J3" s="2">
        <v>0.0</v>
      </c>
      <c r="K3" s="2">
        <v>0.0</v>
      </c>
      <c r="L3" s="2" t="s">
        <v>22</v>
      </c>
      <c r="M3" s="2">
        <v>2.0</v>
      </c>
      <c r="N3" s="2" t="s">
        <v>23</v>
      </c>
      <c r="O3" s="2" t="s">
        <v>24</v>
      </c>
      <c r="P3" s="2">
        <v>1.0</v>
      </c>
      <c r="Q3" s="2" t="s">
        <v>25</v>
      </c>
      <c r="S3" s="5">
        <f t="shared" si="1"/>
        <v>4</v>
      </c>
      <c r="T3" s="5">
        <f t="shared" si="2"/>
        <v>0</v>
      </c>
      <c r="U3" s="5">
        <f t="shared" si="3"/>
        <v>1</v>
      </c>
      <c r="V3" s="5">
        <f t="shared" ref="V3:V59" si="5">if(G3="",0,G3)</f>
        <v>3</v>
      </c>
      <c r="W3" s="5">
        <f t="shared" si="4"/>
        <v>0</v>
      </c>
    </row>
    <row r="4">
      <c r="A4" s="6">
        <v>45276.58529103009</v>
      </c>
      <c r="B4" s="2" t="b">
        <v>1</v>
      </c>
      <c r="C4" s="2">
        <v>4.0</v>
      </c>
      <c r="D4" s="2" t="b">
        <v>1</v>
      </c>
      <c r="E4" s="2" t="b">
        <v>0</v>
      </c>
      <c r="F4" s="2">
        <v>3.0</v>
      </c>
      <c r="G4" s="2">
        <v>2.0</v>
      </c>
      <c r="H4" s="2">
        <v>0.0</v>
      </c>
      <c r="I4" s="2">
        <v>0.0</v>
      </c>
      <c r="J4" s="2">
        <v>0.0</v>
      </c>
      <c r="K4" s="2">
        <v>0.0</v>
      </c>
      <c r="L4" s="2" t="s">
        <v>22</v>
      </c>
      <c r="M4" s="2">
        <v>2.0</v>
      </c>
      <c r="O4" s="2" t="s">
        <v>26</v>
      </c>
      <c r="P4" s="2">
        <v>1.0</v>
      </c>
      <c r="Q4" s="2" t="s">
        <v>27</v>
      </c>
      <c r="S4" s="5">
        <f t="shared" si="1"/>
        <v>8</v>
      </c>
      <c r="T4" s="5">
        <f t="shared" si="2"/>
        <v>6</v>
      </c>
      <c r="U4" s="5">
        <f t="shared" si="3"/>
        <v>0</v>
      </c>
      <c r="V4" s="5">
        <f t="shared" si="5"/>
        <v>2</v>
      </c>
      <c r="W4" s="5">
        <f t="shared" si="4"/>
        <v>0</v>
      </c>
    </row>
    <row r="5">
      <c r="A5" s="6">
        <v>45276.5853184838</v>
      </c>
      <c r="B5" s="2" t="b">
        <v>1</v>
      </c>
      <c r="C5" s="2">
        <v>0.0</v>
      </c>
      <c r="D5" s="2" t="b">
        <v>0</v>
      </c>
      <c r="E5" s="2" t="b">
        <v>0</v>
      </c>
      <c r="F5" s="2">
        <v>2.0</v>
      </c>
      <c r="G5" s="2">
        <v>1.0</v>
      </c>
      <c r="H5" s="2">
        <v>0.0</v>
      </c>
      <c r="I5" s="2">
        <v>0.0</v>
      </c>
      <c r="J5" s="2">
        <v>0.0</v>
      </c>
      <c r="K5" s="2">
        <v>0.0</v>
      </c>
      <c r="L5" s="2" t="s">
        <v>22</v>
      </c>
      <c r="M5" s="2">
        <v>2.0</v>
      </c>
      <c r="O5" s="2" t="s">
        <v>28</v>
      </c>
      <c r="P5" s="2">
        <v>1.0</v>
      </c>
      <c r="Q5" s="2" t="s">
        <v>29</v>
      </c>
      <c r="S5" s="5">
        <f t="shared" si="1"/>
        <v>2</v>
      </c>
      <c r="T5" s="5">
        <f t="shared" si="2"/>
        <v>1</v>
      </c>
      <c r="U5" s="5">
        <f t="shared" si="3"/>
        <v>0</v>
      </c>
      <c r="V5" s="5">
        <f t="shared" si="5"/>
        <v>1</v>
      </c>
      <c r="W5" s="5">
        <f t="shared" si="4"/>
        <v>0</v>
      </c>
    </row>
    <row r="6">
      <c r="A6" s="6">
        <v>45276.585505509254</v>
      </c>
      <c r="B6" s="2" t="b">
        <v>0</v>
      </c>
      <c r="C6" s="2">
        <v>0.0</v>
      </c>
      <c r="D6" s="2" t="b">
        <v>0</v>
      </c>
      <c r="E6" s="2" t="b">
        <v>0</v>
      </c>
      <c r="F6" s="2">
        <v>2.0</v>
      </c>
      <c r="G6" s="2">
        <v>2.0</v>
      </c>
      <c r="H6" s="2">
        <v>0.0</v>
      </c>
      <c r="I6" s="2">
        <v>0.0</v>
      </c>
      <c r="J6" s="2">
        <v>0.0</v>
      </c>
      <c r="K6" s="2">
        <v>0.0</v>
      </c>
      <c r="L6" s="2" t="s">
        <v>22</v>
      </c>
      <c r="M6" s="2">
        <v>3.0</v>
      </c>
      <c r="O6" s="2" t="s">
        <v>30</v>
      </c>
      <c r="P6" s="2">
        <v>1.0</v>
      </c>
      <c r="Q6" s="2" t="s">
        <v>31</v>
      </c>
      <c r="S6" s="5">
        <f t="shared" si="1"/>
        <v>2</v>
      </c>
      <c r="T6" s="5">
        <f t="shared" si="2"/>
        <v>0</v>
      </c>
      <c r="U6" s="5">
        <f t="shared" si="3"/>
        <v>0</v>
      </c>
      <c r="V6" s="5">
        <f t="shared" si="5"/>
        <v>2</v>
      </c>
      <c r="W6" s="5">
        <f t="shared" si="4"/>
        <v>0</v>
      </c>
    </row>
    <row r="7">
      <c r="A7" s="6">
        <v>45276.59127596064</v>
      </c>
      <c r="B7" s="2" t="b">
        <v>1</v>
      </c>
      <c r="C7" s="2">
        <v>8.0</v>
      </c>
      <c r="D7" s="2" t="b">
        <v>1</v>
      </c>
      <c r="E7" s="2" t="b">
        <v>0</v>
      </c>
      <c r="F7" s="2">
        <v>3.0</v>
      </c>
      <c r="G7" s="2">
        <v>2.0</v>
      </c>
      <c r="H7" s="2">
        <v>4.0</v>
      </c>
      <c r="I7" s="2">
        <v>0.0</v>
      </c>
      <c r="J7" s="2">
        <v>0.0</v>
      </c>
      <c r="K7" s="2">
        <v>0.0</v>
      </c>
      <c r="L7" s="2" t="s">
        <v>22</v>
      </c>
      <c r="M7" s="2">
        <v>3.0</v>
      </c>
      <c r="O7" s="2" t="s">
        <v>32</v>
      </c>
      <c r="P7" s="2">
        <v>2.0</v>
      </c>
      <c r="Q7" s="2" t="s">
        <v>33</v>
      </c>
      <c r="S7" s="5">
        <f t="shared" si="1"/>
        <v>16</v>
      </c>
      <c r="T7" s="5">
        <f t="shared" si="2"/>
        <v>10</v>
      </c>
      <c r="U7" s="5">
        <f t="shared" si="3"/>
        <v>4</v>
      </c>
      <c r="V7" s="5">
        <f t="shared" si="5"/>
        <v>2</v>
      </c>
      <c r="W7" s="5">
        <f t="shared" si="4"/>
        <v>0</v>
      </c>
    </row>
    <row r="8">
      <c r="A8" s="6">
        <v>45276.5914028125</v>
      </c>
      <c r="B8" s="2" t="b">
        <v>1</v>
      </c>
      <c r="C8" s="2">
        <v>8.0</v>
      </c>
      <c r="D8" s="2" t="b">
        <v>0</v>
      </c>
      <c r="E8" s="2" t="b">
        <v>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 t="s">
        <v>34</v>
      </c>
      <c r="M8" s="2">
        <v>4.0</v>
      </c>
      <c r="N8" s="2" t="s">
        <v>35</v>
      </c>
      <c r="O8" s="2" t="s">
        <v>36</v>
      </c>
      <c r="P8" s="2">
        <v>2.0</v>
      </c>
      <c r="Q8" s="2" t="s">
        <v>31</v>
      </c>
      <c r="S8" s="5">
        <f t="shared" si="1"/>
        <v>9</v>
      </c>
      <c r="T8" s="5">
        <f t="shared" si="2"/>
        <v>9</v>
      </c>
      <c r="U8" s="5">
        <f t="shared" si="3"/>
        <v>0</v>
      </c>
      <c r="V8" s="5">
        <f t="shared" si="5"/>
        <v>0</v>
      </c>
      <c r="W8" s="5">
        <f t="shared" si="4"/>
        <v>0</v>
      </c>
    </row>
    <row r="9">
      <c r="A9" s="6">
        <v>45276.591680625</v>
      </c>
      <c r="B9" s="2" t="b">
        <v>1</v>
      </c>
      <c r="C9" s="2">
        <v>9.0</v>
      </c>
      <c r="D9" s="2" t="b">
        <v>0</v>
      </c>
      <c r="E9" s="2" t="b">
        <v>0</v>
      </c>
      <c r="F9" s="2">
        <v>8.0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 t="s">
        <v>22</v>
      </c>
      <c r="M9" s="2">
        <v>2.0</v>
      </c>
      <c r="O9" s="2" t="s">
        <v>37</v>
      </c>
      <c r="P9" s="2">
        <v>2.0</v>
      </c>
      <c r="Q9" s="2" t="s">
        <v>29</v>
      </c>
      <c r="S9" s="5">
        <f t="shared" si="1"/>
        <v>11</v>
      </c>
      <c r="T9" s="5">
        <f t="shared" si="2"/>
        <v>10</v>
      </c>
      <c r="U9" s="5">
        <f t="shared" si="3"/>
        <v>0</v>
      </c>
      <c r="V9" s="5">
        <f t="shared" si="5"/>
        <v>1</v>
      </c>
      <c r="W9" s="5">
        <f t="shared" si="4"/>
        <v>0</v>
      </c>
    </row>
    <row r="10">
      <c r="A10" s="6">
        <v>45276.59204199074</v>
      </c>
      <c r="B10" s="2" t="b">
        <v>1</v>
      </c>
      <c r="C10" s="2">
        <v>7.0</v>
      </c>
      <c r="D10" s="2" t="b">
        <v>1</v>
      </c>
      <c r="E10" s="2" t="b">
        <v>0</v>
      </c>
      <c r="F10" s="2">
        <v>4.0</v>
      </c>
      <c r="G10" s="2">
        <v>4.0</v>
      </c>
      <c r="H10" s="2">
        <v>4.0</v>
      </c>
      <c r="I10" s="2">
        <v>0.0</v>
      </c>
      <c r="J10" s="2">
        <v>0.0</v>
      </c>
      <c r="K10" s="2">
        <v>0.0</v>
      </c>
      <c r="L10" s="2" t="s">
        <v>22</v>
      </c>
      <c r="M10" s="2">
        <v>5.0</v>
      </c>
      <c r="O10" s="2" t="s">
        <v>38</v>
      </c>
      <c r="P10" s="2">
        <v>2.0</v>
      </c>
      <c r="Q10" s="2" t="s">
        <v>25</v>
      </c>
      <c r="S10" s="5">
        <f t="shared" si="1"/>
        <v>17</v>
      </c>
      <c r="T10" s="5">
        <f t="shared" si="2"/>
        <v>9</v>
      </c>
      <c r="U10" s="5">
        <f t="shared" si="3"/>
        <v>4</v>
      </c>
      <c r="V10" s="5">
        <f t="shared" si="5"/>
        <v>4</v>
      </c>
      <c r="W10" s="5">
        <f t="shared" si="4"/>
        <v>0</v>
      </c>
    </row>
    <row r="11">
      <c r="A11" s="6">
        <v>45276.59703149306</v>
      </c>
      <c r="B11" s="2" t="b">
        <v>0</v>
      </c>
      <c r="C11" s="2">
        <v>3.0</v>
      </c>
      <c r="D11" s="2" t="b">
        <v>0</v>
      </c>
      <c r="E11" s="2" t="b">
        <v>0</v>
      </c>
      <c r="F11" s="2">
        <v>2.0</v>
      </c>
      <c r="G11" s="2">
        <v>2.0</v>
      </c>
      <c r="I11" s="2">
        <v>1.0</v>
      </c>
      <c r="J11" s="2">
        <v>1.0</v>
      </c>
      <c r="L11" s="2" t="s">
        <v>22</v>
      </c>
      <c r="M11" s="2">
        <v>2.0</v>
      </c>
      <c r="O11" s="2" t="s">
        <v>39</v>
      </c>
      <c r="P11" s="2">
        <v>3.0</v>
      </c>
      <c r="Q11" s="2" t="s">
        <v>25</v>
      </c>
      <c r="S11" s="5">
        <f t="shared" si="1"/>
        <v>7</v>
      </c>
      <c r="T11" s="5">
        <f t="shared" si="2"/>
        <v>3</v>
      </c>
      <c r="U11" s="5">
        <f t="shared" si="3"/>
        <v>2</v>
      </c>
      <c r="V11" s="5">
        <f t="shared" si="5"/>
        <v>2</v>
      </c>
      <c r="W11" s="5">
        <f t="shared" si="4"/>
        <v>0</v>
      </c>
    </row>
    <row r="12">
      <c r="A12" s="6">
        <v>45276.59710056713</v>
      </c>
      <c r="B12" s="2" t="b">
        <v>1</v>
      </c>
      <c r="C12" s="2">
        <v>3.0</v>
      </c>
      <c r="D12" s="2" t="b">
        <v>0</v>
      </c>
      <c r="E12" s="2" t="b">
        <v>0</v>
      </c>
      <c r="F12" s="2">
        <v>3.0</v>
      </c>
      <c r="G12" s="2">
        <v>2.0</v>
      </c>
      <c r="H12" s="2">
        <v>0.0</v>
      </c>
      <c r="I12" s="2">
        <v>0.0</v>
      </c>
      <c r="J12" s="2">
        <v>0.0</v>
      </c>
      <c r="K12" s="2">
        <v>0.0</v>
      </c>
      <c r="L12" s="2" t="s">
        <v>22</v>
      </c>
      <c r="M12" s="2">
        <v>3.0</v>
      </c>
      <c r="O12" s="2" t="s">
        <v>40</v>
      </c>
      <c r="P12" s="2">
        <v>3.0</v>
      </c>
      <c r="Q12" s="2" t="s">
        <v>29</v>
      </c>
      <c r="S12" s="5">
        <f t="shared" si="1"/>
        <v>6</v>
      </c>
      <c r="T12" s="5">
        <f t="shared" si="2"/>
        <v>4</v>
      </c>
      <c r="U12" s="5">
        <f t="shared" si="3"/>
        <v>0</v>
      </c>
      <c r="V12" s="5">
        <f t="shared" si="5"/>
        <v>2</v>
      </c>
      <c r="W12" s="5">
        <f t="shared" si="4"/>
        <v>0</v>
      </c>
    </row>
    <row r="13">
      <c r="A13" s="6">
        <v>45276.59711012732</v>
      </c>
      <c r="B13" s="2" t="b">
        <v>1</v>
      </c>
      <c r="C13" s="2">
        <v>4.0</v>
      </c>
      <c r="D13" s="2" t="b">
        <v>1</v>
      </c>
      <c r="E13" s="2" t="b">
        <v>0</v>
      </c>
      <c r="F13" s="2">
        <v>2.0</v>
      </c>
      <c r="G13" s="2">
        <v>2.0</v>
      </c>
      <c r="H13" s="2">
        <v>0.0</v>
      </c>
      <c r="I13" s="2">
        <v>0.0</v>
      </c>
      <c r="J13" s="2">
        <v>0.0</v>
      </c>
      <c r="K13" s="2">
        <v>0.0</v>
      </c>
      <c r="L13" s="2" t="s">
        <v>34</v>
      </c>
      <c r="M13" s="2">
        <v>2.0</v>
      </c>
      <c r="N13" s="2" t="s">
        <v>41</v>
      </c>
      <c r="O13" s="2" t="s">
        <v>42</v>
      </c>
      <c r="P13" s="2">
        <v>3.0</v>
      </c>
      <c r="Q13" s="2" t="s">
        <v>31</v>
      </c>
      <c r="S13" s="5">
        <f t="shared" si="1"/>
        <v>8</v>
      </c>
      <c r="T13" s="5">
        <f t="shared" si="2"/>
        <v>6</v>
      </c>
      <c r="U13" s="5">
        <f t="shared" si="3"/>
        <v>0</v>
      </c>
      <c r="V13" s="5">
        <f t="shared" si="5"/>
        <v>2</v>
      </c>
      <c r="W13" s="5">
        <f t="shared" si="4"/>
        <v>0</v>
      </c>
    </row>
    <row r="14">
      <c r="A14" s="6">
        <v>45276.59723743056</v>
      </c>
      <c r="B14" s="2" t="b">
        <v>0</v>
      </c>
      <c r="C14" s="2">
        <v>0.0</v>
      </c>
      <c r="D14" s="2" t="b">
        <v>0</v>
      </c>
      <c r="E14" s="2" t="b">
        <v>0</v>
      </c>
      <c r="F14" s="2">
        <v>4.0</v>
      </c>
      <c r="G14" s="2">
        <v>3.0</v>
      </c>
      <c r="H14" s="2">
        <v>0.0</v>
      </c>
      <c r="I14" s="2">
        <v>0.0</v>
      </c>
      <c r="J14" s="2">
        <v>0.0</v>
      </c>
      <c r="K14" s="2">
        <v>0.0</v>
      </c>
      <c r="L14" s="2" t="s">
        <v>22</v>
      </c>
      <c r="M14" s="2">
        <v>3.0</v>
      </c>
      <c r="N14" s="2" t="s">
        <v>43</v>
      </c>
      <c r="O14" s="2" t="s">
        <v>44</v>
      </c>
      <c r="P14" s="2">
        <v>3.0</v>
      </c>
      <c r="Q14" s="2" t="s">
        <v>45</v>
      </c>
      <c r="S14" s="5">
        <f t="shared" si="1"/>
        <v>3</v>
      </c>
      <c r="T14" s="5">
        <f t="shared" si="2"/>
        <v>0</v>
      </c>
      <c r="U14" s="5">
        <f t="shared" si="3"/>
        <v>0</v>
      </c>
      <c r="V14" s="5">
        <f t="shared" si="5"/>
        <v>3</v>
      </c>
      <c r="W14" s="5">
        <f t="shared" si="4"/>
        <v>0</v>
      </c>
    </row>
    <row r="15">
      <c r="A15" s="6">
        <v>45276.60367087963</v>
      </c>
      <c r="B15" s="2" t="b">
        <v>1</v>
      </c>
      <c r="C15" s="2">
        <v>8.0</v>
      </c>
      <c r="D15" s="2" t="b">
        <v>0</v>
      </c>
      <c r="E15" s="2" t="b">
        <v>0</v>
      </c>
      <c r="F15" s="2">
        <v>6.0</v>
      </c>
      <c r="G15" s="2">
        <v>0.0</v>
      </c>
      <c r="H15" s="2">
        <v>1.0</v>
      </c>
      <c r="I15" s="2">
        <v>0.0</v>
      </c>
      <c r="L15" s="2" t="s">
        <v>34</v>
      </c>
      <c r="M15" s="2">
        <v>2.0</v>
      </c>
      <c r="O15" s="2" t="s">
        <v>36</v>
      </c>
      <c r="P15" s="2">
        <v>4.0</v>
      </c>
      <c r="Q15" s="2" t="s">
        <v>29</v>
      </c>
      <c r="S15" s="5">
        <f t="shared" si="1"/>
        <v>10</v>
      </c>
      <c r="T15" s="5">
        <f t="shared" si="2"/>
        <v>9</v>
      </c>
      <c r="U15" s="5">
        <f t="shared" si="3"/>
        <v>1</v>
      </c>
      <c r="V15" s="5">
        <f t="shared" si="5"/>
        <v>0</v>
      </c>
      <c r="W15" s="5">
        <f t="shared" si="4"/>
        <v>0</v>
      </c>
    </row>
    <row r="16">
      <c r="A16" s="6">
        <v>45276.60383883102</v>
      </c>
      <c r="B16" s="2" t="b">
        <v>0</v>
      </c>
      <c r="C16" s="2">
        <v>0.0</v>
      </c>
      <c r="D16" s="2" t="b">
        <v>0</v>
      </c>
      <c r="E16" s="2" t="b">
        <v>0</v>
      </c>
      <c r="F16" s="2">
        <v>3.0</v>
      </c>
      <c r="G16" s="2">
        <v>3.0</v>
      </c>
      <c r="H16" s="2">
        <v>0.0</v>
      </c>
      <c r="I16" s="2">
        <v>0.0</v>
      </c>
      <c r="J16" s="2">
        <v>0.0</v>
      </c>
      <c r="K16" s="2">
        <v>0.0</v>
      </c>
      <c r="L16" s="2" t="s">
        <v>34</v>
      </c>
      <c r="M16" s="2">
        <v>2.0</v>
      </c>
      <c r="N16" s="2" t="s">
        <v>46</v>
      </c>
      <c r="O16" s="2" t="s">
        <v>26</v>
      </c>
      <c r="P16" s="2">
        <v>4.0</v>
      </c>
      <c r="Q16" s="2" t="s">
        <v>31</v>
      </c>
      <c r="S16" s="5">
        <f t="shared" si="1"/>
        <v>3</v>
      </c>
      <c r="T16" s="5">
        <f t="shared" si="2"/>
        <v>0</v>
      </c>
      <c r="U16" s="5">
        <f t="shared" si="3"/>
        <v>0</v>
      </c>
      <c r="V16" s="5">
        <f t="shared" si="5"/>
        <v>3</v>
      </c>
      <c r="W16" s="5">
        <f t="shared" si="4"/>
        <v>0</v>
      </c>
    </row>
    <row r="17">
      <c r="A17" s="6">
        <v>45276.60389078704</v>
      </c>
      <c r="B17" s="2" t="b">
        <v>1</v>
      </c>
      <c r="C17" s="2">
        <v>0.0</v>
      </c>
      <c r="D17" s="2" t="b">
        <v>0</v>
      </c>
      <c r="E17" s="2" t="b">
        <v>0</v>
      </c>
      <c r="F17" s="2">
        <v>1.0</v>
      </c>
      <c r="G17" s="2">
        <v>1.0</v>
      </c>
      <c r="H17" s="2">
        <v>0.0</v>
      </c>
      <c r="I17" s="2">
        <v>0.0</v>
      </c>
      <c r="J17" s="2">
        <v>0.0</v>
      </c>
      <c r="K17" s="2">
        <v>0.0</v>
      </c>
      <c r="L17" s="2" t="s">
        <v>34</v>
      </c>
      <c r="M17" s="2">
        <v>1.0</v>
      </c>
      <c r="N17" s="2" t="s">
        <v>47</v>
      </c>
      <c r="O17" s="2" t="s">
        <v>30</v>
      </c>
      <c r="P17" s="2">
        <v>4.0</v>
      </c>
      <c r="Q17" s="2" t="s">
        <v>48</v>
      </c>
      <c r="S17" s="5">
        <f t="shared" si="1"/>
        <v>2</v>
      </c>
      <c r="T17" s="5">
        <f t="shared" si="2"/>
        <v>1</v>
      </c>
      <c r="U17" s="5">
        <f t="shared" si="3"/>
        <v>0</v>
      </c>
      <c r="V17" s="5">
        <f t="shared" si="5"/>
        <v>1</v>
      </c>
      <c r="W17" s="5">
        <f t="shared" si="4"/>
        <v>0</v>
      </c>
    </row>
    <row r="18">
      <c r="A18" s="6">
        <v>45276.60460170139</v>
      </c>
      <c r="B18" s="2" t="b">
        <v>1</v>
      </c>
      <c r="C18" s="2">
        <v>0.0</v>
      </c>
      <c r="D18" s="2" t="b">
        <v>0</v>
      </c>
      <c r="E18" s="2" t="b">
        <v>0</v>
      </c>
      <c r="F18" s="2">
        <v>1.0</v>
      </c>
      <c r="G18" s="2">
        <v>1.0</v>
      </c>
      <c r="I18" s="2">
        <v>0.0</v>
      </c>
      <c r="L18" s="2" t="s">
        <v>22</v>
      </c>
      <c r="M18" s="2">
        <v>2.0</v>
      </c>
      <c r="O18" s="2" t="s">
        <v>28</v>
      </c>
      <c r="P18" s="2">
        <v>4.0</v>
      </c>
      <c r="Q18" s="2" t="s">
        <v>25</v>
      </c>
      <c r="S18" s="5">
        <f t="shared" si="1"/>
        <v>2</v>
      </c>
      <c r="T18" s="5">
        <f t="shared" si="2"/>
        <v>1</v>
      </c>
      <c r="U18" s="5">
        <f t="shared" si="3"/>
        <v>0</v>
      </c>
      <c r="V18" s="5">
        <f t="shared" si="5"/>
        <v>1</v>
      </c>
      <c r="W18" s="5">
        <f t="shared" si="4"/>
        <v>0</v>
      </c>
    </row>
    <row r="19">
      <c r="A19" s="6">
        <v>45276.60926894676</v>
      </c>
      <c r="B19" s="2" t="b">
        <v>1</v>
      </c>
      <c r="C19" s="2">
        <v>4.0</v>
      </c>
      <c r="D19" s="2" t="b">
        <v>0</v>
      </c>
      <c r="E19" s="2" t="b">
        <v>0</v>
      </c>
      <c r="F19" s="2">
        <v>5.0</v>
      </c>
      <c r="G19" s="2">
        <v>3.0</v>
      </c>
      <c r="I19" s="2">
        <v>0.0</v>
      </c>
      <c r="K19" s="2">
        <v>0.0</v>
      </c>
      <c r="L19" s="2" t="s">
        <v>22</v>
      </c>
      <c r="M19" s="2">
        <v>4.0</v>
      </c>
      <c r="O19" s="2" t="s">
        <v>44</v>
      </c>
      <c r="P19" s="2">
        <v>5.0</v>
      </c>
      <c r="Q19" s="2" t="s">
        <v>29</v>
      </c>
      <c r="S19" s="5">
        <f t="shared" si="1"/>
        <v>8</v>
      </c>
      <c r="T19" s="5">
        <f t="shared" si="2"/>
        <v>5</v>
      </c>
      <c r="U19" s="5">
        <f t="shared" si="3"/>
        <v>0</v>
      </c>
      <c r="V19" s="5">
        <f t="shared" si="5"/>
        <v>3</v>
      </c>
      <c r="W19" s="5">
        <f t="shared" si="4"/>
        <v>0</v>
      </c>
    </row>
    <row r="20">
      <c r="A20" s="6">
        <v>45276.60943892361</v>
      </c>
      <c r="B20" s="2" t="b">
        <v>1</v>
      </c>
      <c r="C20" s="2">
        <v>8.0</v>
      </c>
      <c r="D20" s="2" t="b">
        <v>0</v>
      </c>
      <c r="E20" s="2" t="b">
        <v>0</v>
      </c>
      <c r="F20" s="2">
        <v>2.0</v>
      </c>
      <c r="G20" s="2">
        <v>2.0</v>
      </c>
      <c r="H20" s="2">
        <v>4.0</v>
      </c>
      <c r="L20" s="2" t="s">
        <v>22</v>
      </c>
      <c r="M20" s="2">
        <v>3.0</v>
      </c>
      <c r="O20" s="2" t="s">
        <v>24</v>
      </c>
      <c r="P20" s="2">
        <v>5.0</v>
      </c>
      <c r="Q20" s="2" t="s">
        <v>25</v>
      </c>
      <c r="S20" s="5">
        <f t="shared" si="1"/>
        <v>15</v>
      </c>
      <c r="T20" s="5">
        <f t="shared" si="2"/>
        <v>9</v>
      </c>
      <c r="U20" s="5">
        <f t="shared" si="3"/>
        <v>4</v>
      </c>
      <c r="V20" s="5">
        <f t="shared" si="5"/>
        <v>2</v>
      </c>
      <c r="W20" s="5">
        <f t="shared" si="4"/>
        <v>0</v>
      </c>
    </row>
    <row r="21">
      <c r="A21" s="6">
        <v>45276.60945046296</v>
      </c>
      <c r="B21" s="2" t="b">
        <v>1</v>
      </c>
      <c r="C21" s="2">
        <v>6.0</v>
      </c>
      <c r="D21" s="2" t="b">
        <v>1</v>
      </c>
      <c r="E21" s="2" t="b">
        <v>0</v>
      </c>
      <c r="F21" s="2">
        <v>0.0</v>
      </c>
      <c r="G21" s="2">
        <v>0.0</v>
      </c>
      <c r="H21" s="2">
        <v>5.0</v>
      </c>
      <c r="I21" s="2">
        <v>0.0</v>
      </c>
      <c r="J21" s="2">
        <v>0.0</v>
      </c>
      <c r="K21" s="2">
        <v>0.0</v>
      </c>
      <c r="L21" s="2" t="s">
        <v>22</v>
      </c>
      <c r="M21" s="2">
        <v>5.0</v>
      </c>
      <c r="N21" s="2" t="s">
        <v>49</v>
      </c>
      <c r="O21" s="2" t="s">
        <v>32</v>
      </c>
      <c r="P21" s="2">
        <v>5.0</v>
      </c>
      <c r="Q21" s="2" t="s">
        <v>48</v>
      </c>
      <c r="S21" s="5">
        <f t="shared" si="1"/>
        <v>13</v>
      </c>
      <c r="T21" s="5">
        <f t="shared" si="2"/>
        <v>8</v>
      </c>
      <c r="U21" s="5">
        <f t="shared" si="3"/>
        <v>5</v>
      </c>
      <c r="V21" s="5">
        <f t="shared" si="5"/>
        <v>0</v>
      </c>
      <c r="W21" s="5">
        <f t="shared" si="4"/>
        <v>0</v>
      </c>
    </row>
    <row r="22">
      <c r="A22" s="6">
        <v>45276.609793923606</v>
      </c>
      <c r="B22" s="2" t="b">
        <v>1</v>
      </c>
      <c r="C22" s="2">
        <v>8.0</v>
      </c>
      <c r="D22" s="2" t="b">
        <v>1</v>
      </c>
      <c r="E22" s="2" t="b">
        <v>0</v>
      </c>
      <c r="F22" s="2">
        <v>6.0</v>
      </c>
      <c r="G22" s="2">
        <v>3.0</v>
      </c>
      <c r="H22" s="2">
        <v>2.0</v>
      </c>
      <c r="I22" s="2">
        <v>0.0</v>
      </c>
      <c r="J22" s="2">
        <v>0.0</v>
      </c>
      <c r="K22" s="2">
        <v>0.0</v>
      </c>
      <c r="L22" s="2" t="s">
        <v>22</v>
      </c>
      <c r="M22" s="2">
        <v>3.0</v>
      </c>
      <c r="O22" s="2" t="s">
        <v>38</v>
      </c>
      <c r="P22" s="2">
        <v>6.0</v>
      </c>
      <c r="Q22" s="2" t="s">
        <v>50</v>
      </c>
      <c r="S22" s="5">
        <f t="shared" si="1"/>
        <v>15</v>
      </c>
      <c r="T22" s="5">
        <f t="shared" si="2"/>
        <v>10</v>
      </c>
      <c r="U22" s="5">
        <f t="shared" si="3"/>
        <v>2</v>
      </c>
      <c r="V22" s="5">
        <f t="shared" si="5"/>
        <v>3</v>
      </c>
      <c r="W22" s="5">
        <f t="shared" si="4"/>
        <v>0</v>
      </c>
    </row>
    <row r="23">
      <c r="A23" s="6">
        <v>45276.61580849537</v>
      </c>
      <c r="B23" s="2" t="b">
        <v>1</v>
      </c>
      <c r="C23" s="2">
        <v>4.0</v>
      </c>
      <c r="D23" s="2" t="b">
        <v>1</v>
      </c>
      <c r="E23" s="2" t="b">
        <v>1</v>
      </c>
      <c r="F23" s="2">
        <v>0.0</v>
      </c>
      <c r="G23" s="2">
        <v>0.0</v>
      </c>
      <c r="H23" s="2">
        <v>2.0</v>
      </c>
      <c r="I23" s="2">
        <v>2.0</v>
      </c>
      <c r="J23" s="2">
        <v>2.0</v>
      </c>
      <c r="K23" s="2">
        <v>0.0</v>
      </c>
      <c r="L23" s="2" t="s">
        <v>22</v>
      </c>
      <c r="M23" s="2">
        <v>4.0</v>
      </c>
      <c r="N23" s="2" t="s">
        <v>51</v>
      </c>
      <c r="O23" s="2" t="s">
        <v>42</v>
      </c>
      <c r="P23" s="2">
        <v>6.0</v>
      </c>
      <c r="Q23" s="2" t="s">
        <v>48</v>
      </c>
      <c r="S23" s="5">
        <f t="shared" si="1"/>
        <v>7</v>
      </c>
      <c r="T23" s="5">
        <f t="shared" si="2"/>
        <v>1</v>
      </c>
      <c r="U23" s="5">
        <f t="shared" si="3"/>
        <v>6</v>
      </c>
      <c r="V23" s="5">
        <f t="shared" si="5"/>
        <v>0</v>
      </c>
      <c r="W23" s="5">
        <f t="shared" si="4"/>
        <v>0</v>
      </c>
    </row>
    <row r="24">
      <c r="A24" s="6">
        <v>45276.61610623843</v>
      </c>
      <c r="B24" s="2" t="b">
        <v>0</v>
      </c>
      <c r="D24" s="2" t="b">
        <v>0</v>
      </c>
      <c r="E24" s="2" t="b">
        <v>0</v>
      </c>
      <c r="F24" s="2">
        <v>1.0</v>
      </c>
      <c r="L24" s="2" t="s">
        <v>22</v>
      </c>
      <c r="M24" s="2">
        <v>2.0</v>
      </c>
      <c r="O24" s="2" t="s">
        <v>37</v>
      </c>
      <c r="P24" s="2">
        <v>6.0</v>
      </c>
      <c r="Q24" s="2" t="s">
        <v>29</v>
      </c>
      <c r="S24" s="5">
        <f t="shared" si="1"/>
        <v>0</v>
      </c>
      <c r="T24" s="5">
        <f t="shared" si="2"/>
        <v>0</v>
      </c>
      <c r="U24" s="5">
        <f t="shared" si="3"/>
        <v>0</v>
      </c>
      <c r="V24" s="5">
        <f t="shared" si="5"/>
        <v>0</v>
      </c>
      <c r="W24" s="5">
        <f t="shared" si="4"/>
        <v>0</v>
      </c>
    </row>
    <row r="25">
      <c r="A25" s="6">
        <v>45276.616178125</v>
      </c>
      <c r="B25" s="2" t="b">
        <v>0</v>
      </c>
      <c r="C25" s="2">
        <v>4.0</v>
      </c>
      <c r="D25" s="2" t="b">
        <v>0</v>
      </c>
      <c r="E25" s="2" t="b">
        <v>0</v>
      </c>
      <c r="F25" s="2">
        <v>0.0</v>
      </c>
      <c r="G25" s="2">
        <v>0.0</v>
      </c>
      <c r="H25" s="2">
        <v>0.0</v>
      </c>
      <c r="I25" s="2">
        <v>1.0</v>
      </c>
      <c r="J25" s="2">
        <v>0.0</v>
      </c>
      <c r="K25" s="2">
        <v>2.0</v>
      </c>
      <c r="L25" s="2" t="s">
        <v>22</v>
      </c>
      <c r="M25" s="2">
        <v>1.0</v>
      </c>
      <c r="O25" s="2" t="s">
        <v>39</v>
      </c>
      <c r="P25" s="2">
        <v>6.0</v>
      </c>
      <c r="Q25" s="2" t="s">
        <v>31</v>
      </c>
      <c r="S25" s="5">
        <f t="shared" si="1"/>
        <v>4</v>
      </c>
      <c r="T25" s="5">
        <f t="shared" si="2"/>
        <v>4</v>
      </c>
      <c r="U25" s="5">
        <f t="shared" si="3"/>
        <v>0</v>
      </c>
      <c r="V25" s="5">
        <f t="shared" si="5"/>
        <v>0</v>
      </c>
      <c r="W25" s="4">
        <f t="shared" ref="W25:W26" si="6">-10*K25</f>
        <v>-20</v>
      </c>
    </row>
    <row r="26">
      <c r="A26" s="6">
        <v>45276.6163071412</v>
      </c>
      <c r="B26" s="2" t="b">
        <v>1</v>
      </c>
      <c r="C26" s="2">
        <v>6.0</v>
      </c>
      <c r="D26" s="2" t="b">
        <v>0</v>
      </c>
      <c r="E26" s="2" t="b">
        <v>0</v>
      </c>
      <c r="K26" s="2">
        <v>2.0</v>
      </c>
      <c r="L26" s="2" t="s">
        <v>22</v>
      </c>
      <c r="M26" s="2">
        <v>1.0</v>
      </c>
      <c r="O26" s="2" t="s">
        <v>40</v>
      </c>
      <c r="P26" s="2">
        <v>6.0</v>
      </c>
      <c r="Q26" s="2" t="s">
        <v>25</v>
      </c>
      <c r="S26" s="5">
        <f t="shared" si="1"/>
        <v>7</v>
      </c>
      <c r="T26" s="5">
        <f t="shared" si="2"/>
        <v>7</v>
      </c>
      <c r="U26" s="5">
        <f t="shared" si="3"/>
        <v>0</v>
      </c>
      <c r="V26" s="5">
        <f t="shared" si="5"/>
        <v>0</v>
      </c>
      <c r="W26" s="4">
        <f t="shared" si="6"/>
        <v>-20</v>
      </c>
    </row>
    <row r="27">
      <c r="A27" s="6">
        <v>45276.623104467595</v>
      </c>
      <c r="B27" s="2" t="b">
        <v>0</v>
      </c>
      <c r="C27" s="2">
        <v>0.0</v>
      </c>
      <c r="D27" s="2" t="b">
        <v>0</v>
      </c>
      <c r="E27" s="2" t="b">
        <v>0</v>
      </c>
      <c r="F27" s="2">
        <v>6.0</v>
      </c>
      <c r="G27" s="2">
        <v>4.0</v>
      </c>
      <c r="H27" s="2">
        <v>1.0</v>
      </c>
      <c r="I27" s="2">
        <v>0.0</v>
      </c>
      <c r="J27" s="2">
        <v>0.0</v>
      </c>
      <c r="K27" s="2">
        <v>0.0</v>
      </c>
      <c r="L27" s="2" t="s">
        <v>22</v>
      </c>
      <c r="M27" s="2">
        <v>3.0</v>
      </c>
      <c r="O27" s="2" t="s">
        <v>36</v>
      </c>
      <c r="P27" s="2">
        <v>7.0</v>
      </c>
      <c r="Q27" s="2" t="s">
        <v>52</v>
      </c>
      <c r="S27" s="5">
        <f t="shared" si="1"/>
        <v>5</v>
      </c>
      <c r="T27" s="5">
        <f t="shared" si="2"/>
        <v>0</v>
      </c>
      <c r="U27" s="5">
        <f t="shared" si="3"/>
        <v>1</v>
      </c>
      <c r="V27" s="5">
        <f t="shared" si="5"/>
        <v>4</v>
      </c>
      <c r="W27" s="5">
        <f t="shared" ref="W27:W31" si="7">-10*K27</f>
        <v>0</v>
      </c>
    </row>
    <row r="28">
      <c r="A28" s="6">
        <v>45276.62314471065</v>
      </c>
      <c r="B28" s="2" t="b">
        <v>0</v>
      </c>
      <c r="C28" s="2">
        <v>0.0</v>
      </c>
      <c r="D28" s="2" t="b">
        <v>0</v>
      </c>
      <c r="E28" s="2" t="b">
        <v>0</v>
      </c>
      <c r="F28" s="2">
        <v>5.0</v>
      </c>
      <c r="G28" s="2">
        <v>4.0</v>
      </c>
      <c r="H28" s="2">
        <v>0.0</v>
      </c>
      <c r="I28" s="2">
        <v>0.0</v>
      </c>
      <c r="J28" s="2">
        <v>0.0</v>
      </c>
      <c r="K28" s="2">
        <v>0.0</v>
      </c>
      <c r="L28" s="2" t="s">
        <v>22</v>
      </c>
      <c r="M28" s="2">
        <v>3.0</v>
      </c>
      <c r="N28" s="2" t="s">
        <v>53</v>
      </c>
      <c r="O28" s="2" t="s">
        <v>30</v>
      </c>
      <c r="P28" s="2">
        <v>7.0</v>
      </c>
      <c r="Q28" s="2" t="s">
        <v>31</v>
      </c>
      <c r="S28" s="5">
        <f t="shared" si="1"/>
        <v>4</v>
      </c>
      <c r="T28" s="5">
        <f t="shared" si="2"/>
        <v>0</v>
      </c>
      <c r="U28" s="5">
        <f t="shared" si="3"/>
        <v>0</v>
      </c>
      <c r="V28" s="5">
        <f t="shared" si="5"/>
        <v>4</v>
      </c>
      <c r="W28" s="5">
        <f t="shared" si="7"/>
        <v>0</v>
      </c>
    </row>
    <row r="29">
      <c r="A29" s="6">
        <v>45276.62339927083</v>
      </c>
      <c r="B29" s="2" t="b">
        <v>1</v>
      </c>
      <c r="C29" s="2">
        <v>2.0</v>
      </c>
      <c r="D29" s="2" t="b">
        <v>1</v>
      </c>
      <c r="E29" s="2" t="b">
        <v>0</v>
      </c>
      <c r="F29" s="2">
        <v>2.0</v>
      </c>
      <c r="G29" s="2">
        <v>2.0</v>
      </c>
      <c r="L29" s="2" t="s">
        <v>22</v>
      </c>
      <c r="M29" s="2">
        <v>2.0</v>
      </c>
      <c r="O29" s="2" t="s">
        <v>28</v>
      </c>
      <c r="P29" s="2">
        <v>7.0</v>
      </c>
      <c r="Q29" s="2" t="s">
        <v>29</v>
      </c>
      <c r="S29" s="5">
        <f t="shared" si="1"/>
        <v>6</v>
      </c>
      <c r="T29" s="5">
        <f t="shared" si="2"/>
        <v>4</v>
      </c>
      <c r="U29" s="5">
        <f t="shared" si="3"/>
        <v>0</v>
      </c>
      <c r="V29" s="5">
        <f t="shared" si="5"/>
        <v>2</v>
      </c>
      <c r="W29" s="5">
        <f t="shared" si="7"/>
        <v>0</v>
      </c>
    </row>
    <row r="30">
      <c r="A30" s="6">
        <v>45276.62352246528</v>
      </c>
      <c r="B30" s="2" t="b">
        <v>1</v>
      </c>
      <c r="C30" s="2">
        <v>14.0</v>
      </c>
      <c r="D30" s="2" t="b">
        <v>1</v>
      </c>
      <c r="E30" s="2" t="b">
        <v>0</v>
      </c>
      <c r="F30" s="2">
        <v>4.0</v>
      </c>
      <c r="G30" s="2">
        <v>4.0</v>
      </c>
      <c r="I30" s="2">
        <v>1.0</v>
      </c>
      <c r="J30" s="2">
        <v>1.0</v>
      </c>
      <c r="L30" s="2" t="s">
        <v>22</v>
      </c>
      <c r="M30" s="2">
        <v>3.0</v>
      </c>
      <c r="N30" s="2" t="s">
        <v>54</v>
      </c>
      <c r="O30" s="2" t="s">
        <v>38</v>
      </c>
      <c r="P30" s="2">
        <v>8.0</v>
      </c>
      <c r="Q30" s="2" t="s">
        <v>25</v>
      </c>
      <c r="S30" s="5">
        <f t="shared" si="1"/>
        <v>22</v>
      </c>
      <c r="T30" s="5">
        <f t="shared" si="2"/>
        <v>16</v>
      </c>
      <c r="U30" s="5">
        <f t="shared" si="3"/>
        <v>2</v>
      </c>
      <c r="V30" s="5">
        <f t="shared" si="5"/>
        <v>4</v>
      </c>
      <c r="W30" s="5">
        <f t="shared" si="7"/>
        <v>0</v>
      </c>
    </row>
    <row r="31">
      <c r="A31" s="6">
        <v>45276.62872491898</v>
      </c>
      <c r="B31" s="2" t="b">
        <v>1</v>
      </c>
      <c r="C31" s="2">
        <v>4.0</v>
      </c>
      <c r="D31" s="2" t="b">
        <v>1</v>
      </c>
      <c r="E31" s="2" t="b">
        <v>0</v>
      </c>
      <c r="F31" s="2">
        <v>4.0</v>
      </c>
      <c r="G31" s="2">
        <v>2.0</v>
      </c>
      <c r="I31" s="2">
        <v>1.0</v>
      </c>
      <c r="J31" s="2">
        <v>1.0</v>
      </c>
      <c r="L31" s="2" t="s">
        <v>22</v>
      </c>
      <c r="M31" s="2">
        <v>4.0</v>
      </c>
      <c r="O31" s="2" t="s">
        <v>42</v>
      </c>
      <c r="P31" s="2">
        <v>8.0</v>
      </c>
      <c r="Q31" s="2" t="s">
        <v>29</v>
      </c>
      <c r="S31" s="5">
        <f t="shared" si="1"/>
        <v>10</v>
      </c>
      <c r="T31" s="5">
        <f t="shared" si="2"/>
        <v>6</v>
      </c>
      <c r="U31" s="5">
        <f t="shared" si="3"/>
        <v>2</v>
      </c>
      <c r="V31" s="5">
        <f t="shared" si="5"/>
        <v>2</v>
      </c>
      <c r="W31" s="5">
        <f t="shared" si="7"/>
        <v>0</v>
      </c>
    </row>
    <row r="32">
      <c r="A32" s="6">
        <v>45276.62872414352</v>
      </c>
      <c r="B32" s="2" t="b">
        <v>1</v>
      </c>
      <c r="C32" s="2">
        <v>5.0</v>
      </c>
      <c r="D32" s="2" t="b">
        <v>1</v>
      </c>
      <c r="E32" s="2" t="b">
        <v>0</v>
      </c>
      <c r="F32" s="2">
        <v>2.0</v>
      </c>
      <c r="G32" s="2">
        <v>2.0</v>
      </c>
      <c r="K32" s="2">
        <v>2.0</v>
      </c>
      <c r="L32" s="2" t="s">
        <v>22</v>
      </c>
      <c r="M32" s="2">
        <v>1.0</v>
      </c>
      <c r="N32" s="2" t="s">
        <v>55</v>
      </c>
      <c r="O32" s="2" t="s">
        <v>26</v>
      </c>
      <c r="P32" s="2">
        <v>8.0</v>
      </c>
      <c r="Q32" s="2" t="s">
        <v>25</v>
      </c>
      <c r="S32" s="5">
        <f t="shared" si="1"/>
        <v>9</v>
      </c>
      <c r="T32" s="5">
        <f t="shared" si="2"/>
        <v>7</v>
      </c>
      <c r="U32" s="5">
        <f t="shared" si="3"/>
        <v>0</v>
      </c>
      <c r="V32" s="5">
        <f t="shared" si="5"/>
        <v>2</v>
      </c>
      <c r="W32" s="5">
        <f>-10*K32</f>
        <v>-20</v>
      </c>
    </row>
    <row r="33">
      <c r="A33" s="6">
        <v>45276.62876653935</v>
      </c>
      <c r="B33" s="2" t="b">
        <v>1</v>
      </c>
      <c r="C33" s="2">
        <v>12.0</v>
      </c>
      <c r="D33" s="2" t="b">
        <v>0</v>
      </c>
      <c r="E33" s="2" t="b">
        <v>0</v>
      </c>
      <c r="F33" s="2">
        <v>2.0</v>
      </c>
      <c r="G33" s="2">
        <v>2.0</v>
      </c>
      <c r="H33" s="2">
        <v>0.0</v>
      </c>
      <c r="I33" s="2">
        <v>0.0</v>
      </c>
      <c r="J33" s="2">
        <v>0.0</v>
      </c>
      <c r="K33" s="2">
        <v>0.0</v>
      </c>
      <c r="L33" s="2" t="s">
        <v>22</v>
      </c>
      <c r="M33" s="2">
        <v>2.0</v>
      </c>
      <c r="N33" s="2" t="s">
        <v>56</v>
      </c>
      <c r="O33" s="2" t="s">
        <v>24</v>
      </c>
      <c r="P33" s="2">
        <v>8.0</v>
      </c>
      <c r="Q33" s="2" t="s">
        <v>48</v>
      </c>
      <c r="S33" s="5">
        <f t="shared" si="1"/>
        <v>15</v>
      </c>
      <c r="T33" s="5">
        <f t="shared" si="2"/>
        <v>13</v>
      </c>
      <c r="U33" s="5">
        <f t="shared" si="3"/>
        <v>0</v>
      </c>
      <c r="V33" s="5">
        <f t="shared" si="5"/>
        <v>2</v>
      </c>
      <c r="W33" s="5">
        <f>-10*K33</f>
        <v>0</v>
      </c>
    </row>
    <row r="34">
      <c r="A34" s="6">
        <v>45276.62904680555</v>
      </c>
      <c r="B34" s="2" t="b">
        <v>1</v>
      </c>
      <c r="C34" s="2">
        <v>1.0</v>
      </c>
      <c r="D34" s="2" t="b">
        <v>0</v>
      </c>
      <c r="E34" s="2" t="b">
        <v>0</v>
      </c>
      <c r="F34" s="2">
        <v>5.0</v>
      </c>
      <c r="G34" s="2">
        <v>4.0</v>
      </c>
      <c r="H34" s="2">
        <v>0.0</v>
      </c>
      <c r="I34" s="2">
        <v>0.0</v>
      </c>
      <c r="J34" s="2">
        <v>0.0</v>
      </c>
      <c r="K34" s="2">
        <v>2.0</v>
      </c>
      <c r="L34" s="2" t="s">
        <v>22</v>
      </c>
      <c r="M34" s="2">
        <v>4.0</v>
      </c>
      <c r="N34" s="2" t="s">
        <v>57</v>
      </c>
      <c r="O34" s="2" t="s">
        <v>44</v>
      </c>
      <c r="P34" s="2">
        <v>8.0</v>
      </c>
      <c r="Q34" s="2" t="s">
        <v>31</v>
      </c>
      <c r="S34" s="5">
        <f t="shared" si="1"/>
        <v>6</v>
      </c>
      <c r="T34" s="5">
        <f t="shared" si="2"/>
        <v>2</v>
      </c>
      <c r="U34" s="5">
        <f t="shared" si="3"/>
        <v>0</v>
      </c>
      <c r="V34" s="5">
        <f t="shared" si="5"/>
        <v>4</v>
      </c>
      <c r="W34" s="5">
        <f>-10*K34</f>
        <v>-20</v>
      </c>
    </row>
    <row r="35">
      <c r="A35" s="6">
        <v>45276.636110949075</v>
      </c>
      <c r="B35" s="2" t="b">
        <v>1</v>
      </c>
      <c r="C35" s="2">
        <v>9.0</v>
      </c>
      <c r="D35" s="2" t="b">
        <v>0</v>
      </c>
      <c r="E35" s="2" t="b">
        <v>0</v>
      </c>
      <c r="F35" s="2">
        <v>10.0</v>
      </c>
      <c r="G35" s="2">
        <v>8.0</v>
      </c>
      <c r="H35" s="2">
        <v>1.0</v>
      </c>
      <c r="I35" s="2">
        <v>0.0</v>
      </c>
      <c r="J35" s="2">
        <v>0.0</v>
      </c>
      <c r="K35" s="2">
        <v>0.0</v>
      </c>
      <c r="L35" s="2" t="s">
        <v>22</v>
      </c>
      <c r="M35" s="2">
        <v>4.0</v>
      </c>
      <c r="O35" s="2" t="s">
        <v>37</v>
      </c>
      <c r="P35" s="2">
        <v>9.0</v>
      </c>
      <c r="Q35" s="2" t="s">
        <v>58</v>
      </c>
      <c r="S35" s="5">
        <f t="shared" si="1"/>
        <v>19</v>
      </c>
      <c r="T35" s="5">
        <f t="shared" si="2"/>
        <v>10</v>
      </c>
      <c r="U35" s="5">
        <f t="shared" si="3"/>
        <v>1</v>
      </c>
      <c r="V35" s="5">
        <f t="shared" si="5"/>
        <v>8</v>
      </c>
      <c r="W35" s="5">
        <f t="shared" ref="W35:W42" si="8">-10*K35</f>
        <v>0</v>
      </c>
    </row>
    <row r="36">
      <c r="A36" s="6">
        <v>45276.63682645833</v>
      </c>
      <c r="B36" s="2" t="b">
        <v>1</v>
      </c>
      <c r="C36" s="2">
        <v>5.0</v>
      </c>
      <c r="D36" s="2" t="b">
        <v>0</v>
      </c>
      <c r="E36" s="2" t="b">
        <v>0</v>
      </c>
      <c r="F36" s="2">
        <v>2.0</v>
      </c>
      <c r="G36" s="2">
        <v>2.0</v>
      </c>
      <c r="H36" s="2">
        <v>0.0</v>
      </c>
      <c r="I36" s="2">
        <v>0.0</v>
      </c>
      <c r="J36" s="2">
        <v>0.0</v>
      </c>
      <c r="K36" s="2">
        <v>0.0</v>
      </c>
      <c r="L36" s="2" t="s">
        <v>22</v>
      </c>
      <c r="M36" s="2">
        <v>2.0</v>
      </c>
      <c r="N36" s="2" t="s">
        <v>59</v>
      </c>
      <c r="O36" s="2" t="s">
        <v>40</v>
      </c>
      <c r="P36" s="2">
        <v>9.0</v>
      </c>
      <c r="Q36" s="2" t="s">
        <v>60</v>
      </c>
      <c r="S36" s="5">
        <f t="shared" si="1"/>
        <v>8</v>
      </c>
      <c r="T36" s="5">
        <f t="shared" si="2"/>
        <v>6</v>
      </c>
      <c r="U36" s="5">
        <f t="shared" si="3"/>
        <v>0</v>
      </c>
      <c r="V36" s="5">
        <f t="shared" si="5"/>
        <v>2</v>
      </c>
      <c r="W36" s="5">
        <f t="shared" si="8"/>
        <v>0</v>
      </c>
    </row>
    <row r="37">
      <c r="A37" s="6">
        <v>45276.637329861114</v>
      </c>
      <c r="B37" s="2" t="b">
        <v>1</v>
      </c>
      <c r="C37" s="2">
        <v>11.0</v>
      </c>
      <c r="D37" s="2" t="b">
        <v>1</v>
      </c>
      <c r="E37" s="2" t="b">
        <v>0</v>
      </c>
      <c r="F37" s="2">
        <v>1.0</v>
      </c>
      <c r="G37" s="2">
        <v>1.0</v>
      </c>
      <c r="H37" s="2">
        <v>1.0</v>
      </c>
      <c r="I37" s="2">
        <v>0.0</v>
      </c>
      <c r="J37" s="2">
        <v>0.0</v>
      </c>
      <c r="K37" s="2">
        <v>0.0</v>
      </c>
      <c r="L37" s="2" t="s">
        <v>22</v>
      </c>
      <c r="M37" s="2">
        <v>2.0</v>
      </c>
      <c r="N37" s="2" t="s">
        <v>61</v>
      </c>
      <c r="O37" s="2" t="s">
        <v>32</v>
      </c>
      <c r="P37" s="2">
        <v>9.0</v>
      </c>
      <c r="Q37" s="2" t="s">
        <v>62</v>
      </c>
      <c r="S37" s="5">
        <f t="shared" si="1"/>
        <v>15</v>
      </c>
      <c r="T37" s="5">
        <f t="shared" si="2"/>
        <v>13</v>
      </c>
      <c r="U37" s="5">
        <f t="shared" si="3"/>
        <v>1</v>
      </c>
      <c r="V37" s="5">
        <f t="shared" si="5"/>
        <v>1</v>
      </c>
      <c r="W37" s="5">
        <f t="shared" si="8"/>
        <v>0</v>
      </c>
    </row>
    <row r="38">
      <c r="A38" s="6">
        <v>45276.642413611116</v>
      </c>
      <c r="B38" s="2" t="b">
        <v>1</v>
      </c>
      <c r="C38" s="2">
        <v>13.0</v>
      </c>
      <c r="D38" s="2" t="b">
        <v>1</v>
      </c>
      <c r="E38" s="2" t="b">
        <v>0</v>
      </c>
      <c r="F38" s="2">
        <v>4.0</v>
      </c>
      <c r="G38" s="2">
        <v>4.0</v>
      </c>
      <c r="H38" s="2">
        <v>1.0</v>
      </c>
      <c r="I38" s="2">
        <v>0.0</v>
      </c>
      <c r="J38" s="2">
        <v>0.0</v>
      </c>
      <c r="K38" s="2">
        <v>0.0</v>
      </c>
      <c r="L38" s="2" t="s">
        <v>22</v>
      </c>
      <c r="M38" s="2">
        <v>4.0</v>
      </c>
      <c r="O38" s="2" t="s">
        <v>38</v>
      </c>
      <c r="P38" s="2">
        <v>10.0</v>
      </c>
      <c r="Q38" s="2" t="s">
        <v>60</v>
      </c>
      <c r="S38" s="5">
        <f t="shared" si="1"/>
        <v>20</v>
      </c>
      <c r="T38" s="5">
        <f t="shared" si="2"/>
        <v>15</v>
      </c>
      <c r="U38" s="5">
        <f t="shared" si="3"/>
        <v>1</v>
      </c>
      <c r="V38" s="5">
        <f t="shared" si="5"/>
        <v>4</v>
      </c>
      <c r="W38" s="5">
        <f t="shared" si="8"/>
        <v>0</v>
      </c>
    </row>
    <row r="39">
      <c r="A39" s="6">
        <v>45276.642537962965</v>
      </c>
      <c r="B39" s="2" t="b">
        <v>1</v>
      </c>
      <c r="C39" s="2">
        <v>8.0</v>
      </c>
      <c r="D39" s="2" t="b">
        <v>0</v>
      </c>
      <c r="E39" s="2" t="b">
        <v>0</v>
      </c>
      <c r="F39" s="2">
        <v>8.0</v>
      </c>
      <c r="G39" s="2">
        <v>5.0</v>
      </c>
      <c r="H39" s="2">
        <v>2.0</v>
      </c>
      <c r="I39" s="2">
        <v>0.0</v>
      </c>
      <c r="J39" s="2">
        <v>0.0</v>
      </c>
      <c r="K39" s="2">
        <v>0.0</v>
      </c>
      <c r="L39" s="2" t="s">
        <v>34</v>
      </c>
      <c r="M39" s="2">
        <v>4.0</v>
      </c>
      <c r="O39" s="2" t="s">
        <v>36</v>
      </c>
      <c r="P39" s="2">
        <v>10.0</v>
      </c>
      <c r="Q39" s="2" t="s">
        <v>63</v>
      </c>
      <c r="S39" s="5">
        <f t="shared" si="1"/>
        <v>16</v>
      </c>
      <c r="T39" s="5">
        <f t="shared" si="2"/>
        <v>9</v>
      </c>
      <c r="U39" s="5">
        <f t="shared" si="3"/>
        <v>2</v>
      </c>
      <c r="V39" s="5">
        <f t="shared" si="5"/>
        <v>5</v>
      </c>
      <c r="W39" s="5">
        <f t="shared" si="8"/>
        <v>0</v>
      </c>
    </row>
    <row r="40">
      <c r="A40" s="6">
        <v>45276.64258892361</v>
      </c>
      <c r="B40" s="2" t="b">
        <v>1</v>
      </c>
      <c r="C40" s="2">
        <v>3.0</v>
      </c>
      <c r="D40" s="2" t="b">
        <v>0</v>
      </c>
      <c r="E40" s="2" t="b">
        <v>0</v>
      </c>
      <c r="F40" s="2">
        <v>2.0</v>
      </c>
      <c r="G40" s="2">
        <v>2.0</v>
      </c>
      <c r="H40" s="2">
        <v>0.0</v>
      </c>
      <c r="I40" s="2">
        <v>0.0</v>
      </c>
      <c r="J40" s="2">
        <v>0.0</v>
      </c>
      <c r="K40" s="2">
        <v>0.0</v>
      </c>
      <c r="L40" s="2" t="s">
        <v>22</v>
      </c>
      <c r="M40" s="2">
        <v>2.0</v>
      </c>
      <c r="O40" s="2" t="s">
        <v>28</v>
      </c>
      <c r="P40" s="2">
        <v>10.0</v>
      </c>
      <c r="Q40" s="2" t="s">
        <v>27</v>
      </c>
      <c r="S40" s="5">
        <f t="shared" si="1"/>
        <v>6</v>
      </c>
      <c r="T40" s="5">
        <f t="shared" si="2"/>
        <v>4</v>
      </c>
      <c r="U40" s="5">
        <f t="shared" si="3"/>
        <v>0</v>
      </c>
      <c r="V40" s="5">
        <f t="shared" si="5"/>
        <v>2</v>
      </c>
      <c r="W40" s="5">
        <f t="shared" si="8"/>
        <v>0</v>
      </c>
    </row>
    <row r="41">
      <c r="A41" s="6">
        <v>45276.64310518518</v>
      </c>
      <c r="B41" s="2" t="b">
        <v>1</v>
      </c>
      <c r="C41" s="2">
        <v>6.0</v>
      </c>
      <c r="D41" s="2" t="b">
        <v>0</v>
      </c>
      <c r="E41" s="2" t="b">
        <v>0</v>
      </c>
      <c r="F41" s="2">
        <v>4.0</v>
      </c>
      <c r="G41" s="2">
        <v>3.0</v>
      </c>
      <c r="H41" s="2">
        <v>2.0</v>
      </c>
      <c r="I41" s="2">
        <v>0.0</v>
      </c>
      <c r="J41" s="2">
        <v>0.0</v>
      </c>
      <c r="K41" s="2">
        <v>0.0</v>
      </c>
      <c r="L41" s="2" t="s">
        <v>22</v>
      </c>
      <c r="M41" s="2">
        <v>3.0</v>
      </c>
      <c r="O41" s="2" t="s">
        <v>44</v>
      </c>
      <c r="P41" s="2">
        <v>10.0</v>
      </c>
      <c r="Q41" s="2" t="s">
        <v>64</v>
      </c>
      <c r="S41" s="5">
        <f t="shared" si="1"/>
        <v>12</v>
      </c>
      <c r="T41" s="5">
        <f t="shared" si="2"/>
        <v>7</v>
      </c>
      <c r="U41" s="5">
        <f t="shared" si="3"/>
        <v>2</v>
      </c>
      <c r="V41" s="5">
        <f t="shared" si="5"/>
        <v>3</v>
      </c>
      <c r="W41" s="5">
        <f t="shared" si="8"/>
        <v>0</v>
      </c>
    </row>
    <row r="42">
      <c r="A42" s="6">
        <v>45276.64859107639</v>
      </c>
      <c r="B42" s="2" t="b">
        <v>1</v>
      </c>
      <c r="C42" s="2">
        <v>6.0</v>
      </c>
      <c r="D42" s="2" t="b">
        <v>0</v>
      </c>
      <c r="E42" s="2" t="b">
        <v>0</v>
      </c>
      <c r="F42" s="2">
        <v>2.0</v>
      </c>
      <c r="G42" s="2">
        <v>0.0</v>
      </c>
      <c r="I42" s="2">
        <v>1.0</v>
      </c>
      <c r="J42" s="2">
        <v>1.0</v>
      </c>
      <c r="L42" s="2" t="s">
        <v>22</v>
      </c>
      <c r="M42" s="2">
        <v>2.0</v>
      </c>
      <c r="O42" s="2" t="s">
        <v>40</v>
      </c>
      <c r="P42" s="2">
        <v>11.0</v>
      </c>
      <c r="Q42" s="2" t="s">
        <v>31</v>
      </c>
      <c r="S42" s="5">
        <f t="shared" si="1"/>
        <v>9</v>
      </c>
      <c r="T42" s="5">
        <f t="shared" si="2"/>
        <v>7</v>
      </c>
      <c r="U42" s="5">
        <f t="shared" si="3"/>
        <v>2</v>
      </c>
      <c r="V42" s="5">
        <f t="shared" si="5"/>
        <v>0</v>
      </c>
      <c r="W42" s="5">
        <f t="shared" si="8"/>
        <v>0</v>
      </c>
    </row>
    <row r="43">
      <c r="A43" s="6">
        <v>45276.648661875</v>
      </c>
      <c r="B43" s="2" t="b">
        <v>0</v>
      </c>
      <c r="C43" s="2">
        <v>0.0</v>
      </c>
      <c r="D43" s="2" t="b">
        <v>0</v>
      </c>
      <c r="E43" s="2" t="b">
        <v>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1.0</v>
      </c>
      <c r="L43" s="2" t="s">
        <v>22</v>
      </c>
      <c r="M43" s="2">
        <v>1.0</v>
      </c>
      <c r="O43" s="2" t="s">
        <v>30</v>
      </c>
      <c r="P43" s="2">
        <v>11.0</v>
      </c>
      <c r="Q43" s="2" t="s">
        <v>58</v>
      </c>
      <c r="S43" s="5">
        <f t="shared" si="1"/>
        <v>0</v>
      </c>
      <c r="T43" s="5">
        <f t="shared" si="2"/>
        <v>0</v>
      </c>
      <c r="U43" s="5">
        <f t="shared" si="3"/>
        <v>0</v>
      </c>
      <c r="V43" s="5">
        <f t="shared" si="5"/>
        <v>0</v>
      </c>
      <c r="W43" s="5">
        <f>-10*K43</f>
        <v>-10</v>
      </c>
    </row>
    <row r="44">
      <c r="A44" s="6">
        <v>45276.64893255787</v>
      </c>
      <c r="B44" s="2" t="b">
        <v>1</v>
      </c>
      <c r="C44" s="2">
        <v>5.0</v>
      </c>
      <c r="D44" s="2" t="b">
        <v>1</v>
      </c>
      <c r="E44" s="2" t="b">
        <v>0</v>
      </c>
      <c r="F44" s="2">
        <v>2.0</v>
      </c>
      <c r="G44" s="2">
        <v>2.0</v>
      </c>
      <c r="H44" s="2">
        <v>0.0</v>
      </c>
      <c r="I44" s="2">
        <v>0.0</v>
      </c>
      <c r="J44" s="2">
        <v>0.0</v>
      </c>
      <c r="K44" s="2">
        <v>0.0</v>
      </c>
      <c r="L44" s="2" t="s">
        <v>22</v>
      </c>
      <c r="M44" s="2">
        <v>1.0</v>
      </c>
      <c r="N44" s="2" t="s">
        <v>65</v>
      </c>
      <c r="O44" s="2" t="s">
        <v>26</v>
      </c>
      <c r="P44" s="2">
        <v>11.0</v>
      </c>
      <c r="Q44" s="2" t="s">
        <v>27</v>
      </c>
      <c r="S44" s="5">
        <f t="shared" si="1"/>
        <v>9</v>
      </c>
      <c r="T44" s="5">
        <f t="shared" si="2"/>
        <v>7</v>
      </c>
      <c r="U44" s="5">
        <f t="shared" si="3"/>
        <v>0</v>
      </c>
      <c r="V44" s="5">
        <f t="shared" si="5"/>
        <v>2</v>
      </c>
      <c r="W44" s="5">
        <f t="shared" ref="W44:W54" si="9">-10*K44</f>
        <v>0</v>
      </c>
    </row>
    <row r="45">
      <c r="A45" s="6">
        <v>45276.64898849537</v>
      </c>
      <c r="B45" s="2" t="b">
        <v>1</v>
      </c>
      <c r="C45" s="2">
        <v>11.0</v>
      </c>
      <c r="D45" s="2" t="b">
        <v>1</v>
      </c>
      <c r="E45" s="2" t="b">
        <v>0</v>
      </c>
      <c r="I45" s="2">
        <v>5.0</v>
      </c>
      <c r="J45" s="2">
        <v>3.0</v>
      </c>
      <c r="K45" s="2">
        <v>0.0</v>
      </c>
      <c r="L45" s="2" t="s">
        <v>22</v>
      </c>
      <c r="M45" s="2">
        <v>3.0</v>
      </c>
      <c r="O45" s="2" t="s">
        <v>42</v>
      </c>
      <c r="P45" s="2">
        <v>11.0</v>
      </c>
      <c r="Q45" s="2" t="s">
        <v>60</v>
      </c>
      <c r="S45" s="5">
        <f t="shared" si="1"/>
        <v>19</v>
      </c>
      <c r="T45" s="5">
        <f t="shared" si="2"/>
        <v>13</v>
      </c>
      <c r="U45" s="5">
        <f t="shared" si="3"/>
        <v>6</v>
      </c>
      <c r="V45" s="5">
        <f t="shared" si="5"/>
        <v>0</v>
      </c>
      <c r="W45" s="5">
        <f t="shared" si="9"/>
        <v>0</v>
      </c>
    </row>
    <row r="46">
      <c r="A46" s="6">
        <v>45276.65430440972</v>
      </c>
      <c r="B46" s="2" t="b">
        <v>1</v>
      </c>
      <c r="C46" s="2">
        <v>4.0</v>
      </c>
      <c r="D46" s="2" t="b">
        <v>1</v>
      </c>
      <c r="E46" s="2" t="b">
        <v>1</v>
      </c>
      <c r="G46" s="2">
        <v>0.0</v>
      </c>
      <c r="H46" s="2">
        <v>2.0</v>
      </c>
      <c r="I46" s="2">
        <v>1.0</v>
      </c>
      <c r="J46" s="2">
        <v>1.0</v>
      </c>
      <c r="K46" s="2">
        <v>0.0</v>
      </c>
      <c r="L46" s="2" t="s">
        <v>22</v>
      </c>
      <c r="M46" s="2">
        <v>3.0</v>
      </c>
      <c r="O46" s="2" t="s">
        <v>39</v>
      </c>
      <c r="P46" s="2">
        <v>12.0</v>
      </c>
      <c r="Q46" s="2" t="s">
        <v>66</v>
      </c>
      <c r="S46" s="5">
        <f t="shared" si="1"/>
        <v>5</v>
      </c>
      <c r="T46" s="5">
        <f t="shared" si="2"/>
        <v>1</v>
      </c>
      <c r="U46" s="5">
        <f t="shared" si="3"/>
        <v>4</v>
      </c>
      <c r="V46" s="5">
        <f t="shared" si="5"/>
        <v>0</v>
      </c>
      <c r="W46" s="5">
        <f t="shared" si="9"/>
        <v>0</v>
      </c>
    </row>
    <row r="47">
      <c r="A47" s="6">
        <v>45276.65451619213</v>
      </c>
      <c r="B47" s="2" t="b">
        <v>1</v>
      </c>
      <c r="C47" s="2">
        <v>10.0</v>
      </c>
      <c r="D47" s="2" t="b">
        <v>0</v>
      </c>
      <c r="E47" s="2" t="b">
        <v>0</v>
      </c>
      <c r="F47" s="2">
        <v>11.0</v>
      </c>
      <c r="G47" s="2">
        <v>7.0</v>
      </c>
      <c r="H47" s="2">
        <v>0.0</v>
      </c>
      <c r="I47" s="2">
        <v>0.0</v>
      </c>
      <c r="J47" s="2">
        <v>0.0</v>
      </c>
      <c r="K47" s="2">
        <v>0.0</v>
      </c>
      <c r="L47" s="2" t="s">
        <v>22</v>
      </c>
      <c r="M47" s="2">
        <v>2.0</v>
      </c>
      <c r="O47" s="2" t="s">
        <v>37</v>
      </c>
      <c r="P47" s="2">
        <v>12.0</v>
      </c>
      <c r="Q47" s="2" t="s">
        <v>67</v>
      </c>
      <c r="S47" s="5">
        <f t="shared" si="1"/>
        <v>18</v>
      </c>
      <c r="T47" s="5">
        <f t="shared" si="2"/>
        <v>11</v>
      </c>
      <c r="U47" s="5">
        <f t="shared" si="3"/>
        <v>0</v>
      </c>
      <c r="V47" s="5">
        <f t="shared" si="5"/>
        <v>7</v>
      </c>
      <c r="W47" s="5">
        <f t="shared" si="9"/>
        <v>0</v>
      </c>
    </row>
    <row r="48">
      <c r="A48" s="6">
        <v>45276.65492134259</v>
      </c>
      <c r="B48" s="2" t="b">
        <v>0</v>
      </c>
      <c r="C48" s="2">
        <v>0.0</v>
      </c>
      <c r="D48" s="2" t="b">
        <v>0</v>
      </c>
      <c r="E48" s="2" t="b">
        <v>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 t="s">
        <v>22</v>
      </c>
      <c r="M48" s="2">
        <v>1.0</v>
      </c>
      <c r="O48" s="2" t="s">
        <v>24</v>
      </c>
      <c r="P48" s="2">
        <v>12.0</v>
      </c>
      <c r="Q48" s="2" t="s">
        <v>63</v>
      </c>
      <c r="S48" s="5">
        <f t="shared" si="1"/>
        <v>0</v>
      </c>
      <c r="T48" s="5">
        <f t="shared" si="2"/>
        <v>0</v>
      </c>
      <c r="U48" s="5">
        <f t="shared" si="3"/>
        <v>0</v>
      </c>
      <c r="V48" s="5">
        <f t="shared" si="5"/>
        <v>0</v>
      </c>
      <c r="W48" s="5">
        <f t="shared" si="9"/>
        <v>0</v>
      </c>
    </row>
    <row r="49">
      <c r="A49" s="6">
        <v>45276.656193726856</v>
      </c>
      <c r="B49" s="2" t="b">
        <v>1</v>
      </c>
      <c r="C49" s="2">
        <v>5.0</v>
      </c>
      <c r="D49" s="2" t="b">
        <v>1</v>
      </c>
      <c r="E49" s="2" t="b">
        <v>0</v>
      </c>
      <c r="F49" s="2">
        <v>0.0</v>
      </c>
      <c r="G49" s="2">
        <v>0.0</v>
      </c>
      <c r="H49" s="2">
        <v>2.0</v>
      </c>
      <c r="I49" s="2">
        <v>0.0</v>
      </c>
      <c r="J49" s="2">
        <v>0.0</v>
      </c>
      <c r="K49" s="2">
        <v>0.0</v>
      </c>
      <c r="L49" s="2" t="s">
        <v>22</v>
      </c>
      <c r="M49" s="2">
        <v>2.0</v>
      </c>
      <c r="O49" s="2" t="s">
        <v>32</v>
      </c>
      <c r="P49" s="2">
        <v>12.0</v>
      </c>
      <c r="Q49" s="2" t="s">
        <v>27</v>
      </c>
      <c r="S49" s="5">
        <f t="shared" si="1"/>
        <v>9</v>
      </c>
      <c r="T49" s="5">
        <f t="shared" si="2"/>
        <v>7</v>
      </c>
      <c r="U49" s="5">
        <f t="shared" si="3"/>
        <v>2</v>
      </c>
      <c r="V49" s="5">
        <f t="shared" si="5"/>
        <v>0</v>
      </c>
      <c r="W49" s="5">
        <f t="shared" si="9"/>
        <v>0</v>
      </c>
    </row>
    <row r="50">
      <c r="A50" s="6">
        <v>45276.660955011575</v>
      </c>
      <c r="B50" s="2" t="b">
        <v>1</v>
      </c>
      <c r="C50" s="2">
        <v>9.0</v>
      </c>
      <c r="D50" s="2" t="b">
        <v>0</v>
      </c>
      <c r="E50" s="2" t="b">
        <v>0</v>
      </c>
      <c r="F50" s="2">
        <v>3.0</v>
      </c>
      <c r="G50" s="2">
        <v>1.0</v>
      </c>
      <c r="L50" s="2" t="s">
        <v>22</v>
      </c>
      <c r="M50" s="2">
        <v>3.0</v>
      </c>
      <c r="O50" s="2" t="s">
        <v>44</v>
      </c>
      <c r="P50" s="2">
        <v>13.0</v>
      </c>
      <c r="Q50" s="2" t="s">
        <v>29</v>
      </c>
      <c r="S50" s="5">
        <f t="shared" si="1"/>
        <v>11</v>
      </c>
      <c r="T50" s="5">
        <f t="shared" si="2"/>
        <v>10</v>
      </c>
      <c r="U50" s="5">
        <f t="shared" si="3"/>
        <v>0</v>
      </c>
      <c r="V50" s="5">
        <f t="shared" si="5"/>
        <v>1</v>
      </c>
      <c r="W50" s="5">
        <f t="shared" si="9"/>
        <v>0</v>
      </c>
    </row>
    <row r="51">
      <c r="A51" s="6">
        <v>45276.661050740746</v>
      </c>
      <c r="B51" s="2" t="b">
        <v>1</v>
      </c>
      <c r="C51" s="2">
        <v>7.0</v>
      </c>
      <c r="D51" s="2" t="b">
        <v>1</v>
      </c>
      <c r="E51" s="2" t="b">
        <v>1</v>
      </c>
      <c r="F51" s="2">
        <v>2.0</v>
      </c>
      <c r="G51" s="2">
        <v>2.0</v>
      </c>
      <c r="H51" s="2">
        <v>0.0</v>
      </c>
      <c r="I51" s="2">
        <v>1.0</v>
      </c>
      <c r="J51" s="2">
        <v>1.0</v>
      </c>
      <c r="K51" s="2">
        <v>0.0</v>
      </c>
      <c r="L51" s="2" t="s">
        <v>22</v>
      </c>
      <c r="M51" s="2">
        <v>3.0</v>
      </c>
      <c r="N51" s="2" t="s">
        <v>68</v>
      </c>
      <c r="O51" s="2" t="s">
        <v>42</v>
      </c>
      <c r="P51" s="2">
        <v>13.0</v>
      </c>
      <c r="Q51" s="2" t="s">
        <v>69</v>
      </c>
      <c r="S51" s="5">
        <f t="shared" si="1"/>
        <v>8</v>
      </c>
      <c r="T51" s="5">
        <f t="shared" si="2"/>
        <v>4</v>
      </c>
      <c r="U51" s="5">
        <f t="shared" si="3"/>
        <v>2</v>
      </c>
      <c r="V51" s="5">
        <f t="shared" si="5"/>
        <v>2</v>
      </c>
      <c r="W51" s="5">
        <f t="shared" si="9"/>
        <v>0</v>
      </c>
    </row>
    <row r="52">
      <c r="A52" s="6">
        <v>45276.661127430554</v>
      </c>
      <c r="B52" s="2" t="b">
        <v>1</v>
      </c>
      <c r="C52" s="2">
        <v>9.0</v>
      </c>
      <c r="D52" s="2" t="b">
        <v>0</v>
      </c>
      <c r="E52" s="2" t="b">
        <v>0</v>
      </c>
      <c r="F52" s="2">
        <v>9.0</v>
      </c>
      <c r="G52" s="2">
        <v>8.0</v>
      </c>
      <c r="H52" s="2">
        <v>0.0</v>
      </c>
      <c r="I52" s="2">
        <v>0.0</v>
      </c>
      <c r="J52" s="2">
        <v>0.0</v>
      </c>
      <c r="K52" s="2">
        <v>0.0</v>
      </c>
      <c r="L52" s="2" t="s">
        <v>22</v>
      </c>
      <c r="M52" s="2">
        <v>5.0</v>
      </c>
      <c r="O52" s="2" t="s">
        <v>38</v>
      </c>
      <c r="P52" s="2">
        <v>13.0</v>
      </c>
      <c r="Q52" s="2" t="s">
        <v>63</v>
      </c>
      <c r="S52" s="5">
        <f t="shared" si="1"/>
        <v>18</v>
      </c>
      <c r="T52" s="5">
        <f t="shared" si="2"/>
        <v>10</v>
      </c>
      <c r="U52" s="5">
        <f t="shared" si="3"/>
        <v>0</v>
      </c>
      <c r="V52" s="5">
        <f t="shared" si="5"/>
        <v>8</v>
      </c>
      <c r="W52" s="5">
        <f t="shared" si="9"/>
        <v>0</v>
      </c>
    </row>
    <row r="53">
      <c r="A53" s="6">
        <v>45276.661405439816</v>
      </c>
      <c r="B53" s="2" t="b">
        <v>1</v>
      </c>
      <c r="C53" s="2">
        <v>1.0</v>
      </c>
      <c r="D53" s="2" t="b">
        <v>1</v>
      </c>
      <c r="E53" s="2" t="b">
        <v>0</v>
      </c>
      <c r="F53" s="2">
        <v>4.0</v>
      </c>
      <c r="G53" s="2">
        <v>4.0</v>
      </c>
      <c r="H53" s="2">
        <v>0.0</v>
      </c>
      <c r="I53" s="2">
        <v>0.0</v>
      </c>
      <c r="J53" s="2">
        <v>0.0</v>
      </c>
      <c r="K53" s="2">
        <v>0.0</v>
      </c>
      <c r="L53" s="2" t="s">
        <v>22</v>
      </c>
      <c r="M53" s="2">
        <v>3.0</v>
      </c>
      <c r="N53" s="2" t="s">
        <v>70</v>
      </c>
      <c r="O53" s="2" t="s">
        <v>28</v>
      </c>
      <c r="P53" s="2">
        <v>13.0</v>
      </c>
      <c r="Q53" s="2" t="s">
        <v>27</v>
      </c>
      <c r="S53" s="5">
        <f t="shared" si="1"/>
        <v>7</v>
      </c>
      <c r="T53" s="5">
        <f t="shared" si="2"/>
        <v>3</v>
      </c>
      <c r="U53" s="5">
        <f t="shared" si="3"/>
        <v>0</v>
      </c>
      <c r="V53" s="5">
        <f t="shared" si="5"/>
        <v>4</v>
      </c>
      <c r="W53" s="5">
        <f t="shared" si="9"/>
        <v>0</v>
      </c>
    </row>
    <row r="54">
      <c r="A54" s="6">
        <v>45276.66729972222</v>
      </c>
      <c r="B54" s="2" t="b">
        <v>0</v>
      </c>
      <c r="C54" s="2">
        <v>3.0</v>
      </c>
      <c r="D54" s="2" t="b">
        <v>0</v>
      </c>
      <c r="E54" s="2" t="b">
        <v>0</v>
      </c>
      <c r="F54" s="2">
        <v>0.0</v>
      </c>
      <c r="G54" s="2">
        <v>0.0</v>
      </c>
      <c r="H54" s="2">
        <v>3.0</v>
      </c>
      <c r="I54" s="2">
        <v>0.0</v>
      </c>
      <c r="J54" s="2">
        <v>0.0</v>
      </c>
      <c r="K54" s="2">
        <v>0.0</v>
      </c>
      <c r="L54" s="2" t="s">
        <v>22</v>
      </c>
      <c r="M54" s="2">
        <v>3.0</v>
      </c>
      <c r="O54" s="2" t="s">
        <v>39</v>
      </c>
      <c r="P54" s="2">
        <v>14.0</v>
      </c>
      <c r="Q54" s="2" t="s">
        <v>58</v>
      </c>
      <c r="S54" s="5">
        <f t="shared" si="1"/>
        <v>6</v>
      </c>
      <c r="T54" s="5">
        <f t="shared" si="2"/>
        <v>3</v>
      </c>
      <c r="U54" s="5">
        <f t="shared" si="3"/>
        <v>3</v>
      </c>
      <c r="V54" s="5">
        <f t="shared" si="5"/>
        <v>0</v>
      </c>
      <c r="W54" s="5">
        <f t="shared" si="9"/>
        <v>0</v>
      </c>
    </row>
    <row r="55">
      <c r="A55" s="6">
        <v>45276.667690057875</v>
      </c>
      <c r="B55" s="2" t="b">
        <v>1</v>
      </c>
      <c r="C55" s="2">
        <v>8.0</v>
      </c>
      <c r="D55" s="2" t="b">
        <v>0</v>
      </c>
      <c r="E55" s="2" t="b">
        <v>0</v>
      </c>
      <c r="F55" s="2">
        <v>8.0</v>
      </c>
      <c r="G55" s="2">
        <v>3.0</v>
      </c>
      <c r="I55" s="2">
        <v>0.0</v>
      </c>
      <c r="J55" s="2">
        <v>0.0</v>
      </c>
      <c r="K55" s="2">
        <v>1.0</v>
      </c>
      <c r="L55" s="2" t="s">
        <v>22</v>
      </c>
      <c r="M55" s="2">
        <v>2.0</v>
      </c>
      <c r="N55" s="2" t="s">
        <v>71</v>
      </c>
      <c r="O55" s="2" t="s">
        <v>36</v>
      </c>
      <c r="P55" s="2">
        <v>14.0</v>
      </c>
      <c r="Q55" s="2" t="s">
        <v>27</v>
      </c>
      <c r="S55" s="5">
        <f t="shared" si="1"/>
        <v>12</v>
      </c>
      <c r="T55" s="5">
        <f t="shared" si="2"/>
        <v>9</v>
      </c>
      <c r="U55" s="5">
        <f t="shared" si="3"/>
        <v>0</v>
      </c>
      <c r="V55" s="5">
        <f t="shared" si="5"/>
        <v>3</v>
      </c>
      <c r="W55" s="4">
        <v>-10.0</v>
      </c>
    </row>
    <row r="56">
      <c r="A56" s="6">
        <v>45276.67234696759</v>
      </c>
      <c r="B56" s="2" t="b">
        <v>1</v>
      </c>
      <c r="C56" s="2">
        <v>5.0</v>
      </c>
      <c r="D56" s="2" t="b">
        <v>0</v>
      </c>
      <c r="E56" s="2" t="b">
        <v>0</v>
      </c>
      <c r="F56" s="2">
        <v>2.0</v>
      </c>
      <c r="G56" s="2">
        <v>2.0</v>
      </c>
      <c r="H56" s="2">
        <v>1.0</v>
      </c>
      <c r="I56" s="2">
        <v>0.0</v>
      </c>
      <c r="J56" s="2">
        <v>0.0</v>
      </c>
      <c r="K56" s="2">
        <v>0.0</v>
      </c>
      <c r="L56" s="2" t="s">
        <v>22</v>
      </c>
      <c r="M56" s="2">
        <v>2.0</v>
      </c>
      <c r="O56" s="2" t="s">
        <v>24</v>
      </c>
      <c r="P56" s="2">
        <v>15.0</v>
      </c>
      <c r="Q56" s="2" t="s">
        <v>27</v>
      </c>
      <c r="S56" s="5">
        <f t="shared" si="1"/>
        <v>9</v>
      </c>
      <c r="T56" s="5">
        <f t="shared" si="2"/>
        <v>6</v>
      </c>
      <c r="U56" s="5">
        <f t="shared" si="3"/>
        <v>1</v>
      </c>
      <c r="V56" s="5">
        <f t="shared" si="5"/>
        <v>2</v>
      </c>
      <c r="W56" s="5">
        <f t="shared" ref="W56:W59" si="10">-10*K56</f>
        <v>0</v>
      </c>
    </row>
    <row r="57">
      <c r="A57" s="6">
        <v>45276.67241951389</v>
      </c>
      <c r="B57" s="2" t="b">
        <v>1</v>
      </c>
      <c r="C57" s="2">
        <v>11.0</v>
      </c>
      <c r="D57" s="2" t="b">
        <v>1</v>
      </c>
      <c r="E57" s="2" t="b">
        <v>0</v>
      </c>
      <c r="F57" s="2">
        <v>1.0</v>
      </c>
      <c r="G57" s="2">
        <v>1.0</v>
      </c>
      <c r="L57" s="2" t="s">
        <v>22</v>
      </c>
      <c r="M57" s="2">
        <v>3.0</v>
      </c>
      <c r="O57" s="2" t="s">
        <v>32</v>
      </c>
      <c r="P57" s="2">
        <v>15.0</v>
      </c>
      <c r="Q57" s="2" t="s">
        <v>29</v>
      </c>
      <c r="S57" s="5">
        <f t="shared" si="1"/>
        <v>14</v>
      </c>
      <c r="T57" s="5">
        <f t="shared" si="2"/>
        <v>13</v>
      </c>
      <c r="U57" s="5">
        <f t="shared" si="3"/>
        <v>0</v>
      </c>
      <c r="V57" s="5">
        <f t="shared" si="5"/>
        <v>1</v>
      </c>
      <c r="W57" s="5">
        <f t="shared" si="10"/>
        <v>0</v>
      </c>
    </row>
    <row r="58">
      <c r="A58" s="6">
        <v>45276.6725969213</v>
      </c>
      <c r="B58" s="2" t="b">
        <v>1</v>
      </c>
      <c r="C58" s="2">
        <v>11.0</v>
      </c>
      <c r="D58" s="2" t="b">
        <v>0</v>
      </c>
      <c r="E58" s="2" t="b">
        <v>0</v>
      </c>
      <c r="F58" s="2">
        <v>10.0</v>
      </c>
      <c r="G58" s="2">
        <v>10.0</v>
      </c>
      <c r="H58" s="2">
        <v>1.0</v>
      </c>
      <c r="I58" s="2">
        <v>0.0</v>
      </c>
      <c r="J58" s="2">
        <v>0.0</v>
      </c>
      <c r="K58" s="2">
        <v>0.0</v>
      </c>
      <c r="L58" s="2" t="s">
        <v>22</v>
      </c>
      <c r="M58" s="2">
        <v>4.0</v>
      </c>
      <c r="N58" s="2" t="s">
        <v>72</v>
      </c>
      <c r="O58" s="2" t="s">
        <v>37</v>
      </c>
      <c r="P58" s="2">
        <v>15.0</v>
      </c>
      <c r="Q58" s="2" t="s">
        <v>58</v>
      </c>
      <c r="S58" s="5">
        <f t="shared" si="1"/>
        <v>23</v>
      </c>
      <c r="T58" s="5">
        <f t="shared" si="2"/>
        <v>12</v>
      </c>
      <c r="U58" s="5">
        <f t="shared" si="3"/>
        <v>1</v>
      </c>
      <c r="V58" s="5">
        <f t="shared" si="5"/>
        <v>10</v>
      </c>
      <c r="W58" s="5">
        <f t="shared" si="10"/>
        <v>0</v>
      </c>
    </row>
    <row r="59">
      <c r="A59" s="6">
        <v>45276.67267555556</v>
      </c>
      <c r="B59" s="2" t="b">
        <v>1</v>
      </c>
      <c r="C59" s="2">
        <v>5.0</v>
      </c>
      <c r="D59" s="2" t="b">
        <v>1</v>
      </c>
      <c r="E59" s="2" t="b">
        <v>0</v>
      </c>
      <c r="F59" s="2">
        <v>4.0</v>
      </c>
      <c r="G59" s="2">
        <v>3.0</v>
      </c>
      <c r="H59" s="2">
        <v>1.0</v>
      </c>
      <c r="I59" s="2">
        <v>0.0</v>
      </c>
      <c r="J59" s="2">
        <v>0.0</v>
      </c>
      <c r="K59" s="2">
        <v>0.0</v>
      </c>
      <c r="L59" s="2" t="s">
        <v>22</v>
      </c>
      <c r="M59" s="2">
        <v>3.0</v>
      </c>
      <c r="N59" s="2" t="s">
        <v>73</v>
      </c>
      <c r="O59" s="2" t="s">
        <v>74</v>
      </c>
      <c r="P59" s="2">
        <v>15.0</v>
      </c>
      <c r="Q59" s="2" t="s">
        <v>75</v>
      </c>
      <c r="S59" s="5">
        <f t="shared" si="1"/>
        <v>11</v>
      </c>
      <c r="T59" s="5">
        <f t="shared" si="2"/>
        <v>7</v>
      </c>
      <c r="U59" s="5">
        <f t="shared" si="3"/>
        <v>1</v>
      </c>
      <c r="V59" s="5">
        <f t="shared" si="5"/>
        <v>3</v>
      </c>
      <c r="W59" s="5">
        <f t="shared" si="10"/>
        <v>0</v>
      </c>
    </row>
    <row r="60">
      <c r="S60" s="5">
        <f t="shared" ref="S60:S153" si="11">sum(T60,U60,V60,W60)</f>
        <v>0</v>
      </c>
      <c r="T60" s="5">
        <f t="shared" si="2"/>
        <v>0</v>
      </c>
      <c r="U60" s="5">
        <f t="shared" si="3"/>
        <v>0</v>
      </c>
      <c r="V60" s="5" t="str">
        <f t="shared" ref="V60:V153" si="12">G60</f>
        <v/>
      </c>
      <c r="W60" s="5">
        <f t="shared" ref="W60:W153" si="13">-10*K60</f>
        <v>0</v>
      </c>
    </row>
    <row r="61">
      <c r="S61" s="5">
        <f t="shared" si="11"/>
        <v>0</v>
      </c>
      <c r="T61" s="5">
        <f t="shared" si="2"/>
        <v>0</v>
      </c>
      <c r="U61" s="5">
        <f t="shared" si="3"/>
        <v>0</v>
      </c>
      <c r="V61" s="5" t="str">
        <f t="shared" si="12"/>
        <v/>
      </c>
      <c r="W61" s="5">
        <f t="shared" si="13"/>
        <v>0</v>
      </c>
    </row>
    <row r="62">
      <c r="S62" s="5">
        <f t="shared" si="11"/>
        <v>0</v>
      </c>
      <c r="T62" s="5">
        <f t="shared" si="2"/>
        <v>0</v>
      </c>
      <c r="U62" s="5">
        <f t="shared" si="3"/>
        <v>0</v>
      </c>
      <c r="V62" s="5" t="str">
        <f t="shared" si="12"/>
        <v/>
      </c>
      <c r="W62" s="5">
        <f t="shared" si="13"/>
        <v>0</v>
      </c>
    </row>
    <row r="63">
      <c r="S63" s="5">
        <f t="shared" si="11"/>
        <v>0</v>
      </c>
      <c r="T63" s="5">
        <f t="shared" si="2"/>
        <v>0</v>
      </c>
      <c r="U63" s="5">
        <f t="shared" si="3"/>
        <v>0</v>
      </c>
      <c r="V63" s="5" t="str">
        <f t="shared" si="12"/>
        <v/>
      </c>
      <c r="W63" s="5">
        <f t="shared" si="13"/>
        <v>0</v>
      </c>
    </row>
    <row r="64">
      <c r="S64" s="5">
        <f t="shared" si="11"/>
        <v>0</v>
      </c>
      <c r="T64" s="5">
        <f t="shared" si="2"/>
        <v>0</v>
      </c>
      <c r="U64" s="5">
        <f t="shared" si="3"/>
        <v>0</v>
      </c>
      <c r="V64" s="5" t="str">
        <f t="shared" si="12"/>
        <v/>
      </c>
      <c r="W64" s="5">
        <f t="shared" si="13"/>
        <v>0</v>
      </c>
    </row>
    <row r="65">
      <c r="S65" s="5">
        <f t="shared" si="11"/>
        <v>0</v>
      </c>
      <c r="T65" s="5">
        <f t="shared" si="2"/>
        <v>0</v>
      </c>
      <c r="U65" s="5">
        <f t="shared" si="3"/>
        <v>0</v>
      </c>
      <c r="V65" s="5" t="str">
        <f t="shared" si="12"/>
        <v/>
      </c>
      <c r="W65" s="5">
        <f t="shared" si="13"/>
        <v>0</v>
      </c>
    </row>
    <row r="66">
      <c r="S66" s="5">
        <f t="shared" si="11"/>
        <v>0</v>
      </c>
      <c r="T66" s="5">
        <f t="shared" si="2"/>
        <v>0</v>
      </c>
      <c r="U66" s="5">
        <f t="shared" si="3"/>
        <v>0</v>
      </c>
      <c r="V66" s="5" t="str">
        <f t="shared" si="12"/>
        <v/>
      </c>
      <c r="W66" s="5">
        <f t="shared" si="13"/>
        <v>0</v>
      </c>
    </row>
    <row r="67">
      <c r="S67" s="5">
        <f t="shared" si="11"/>
        <v>0</v>
      </c>
      <c r="T67" s="5">
        <f t="shared" si="2"/>
        <v>0</v>
      </c>
      <c r="U67" s="5">
        <f t="shared" si="3"/>
        <v>0</v>
      </c>
      <c r="V67" s="5" t="str">
        <f t="shared" si="12"/>
        <v/>
      </c>
      <c r="W67" s="5">
        <f t="shared" si="13"/>
        <v>0</v>
      </c>
    </row>
    <row r="68">
      <c r="S68" s="5">
        <f t="shared" si="11"/>
        <v>0</v>
      </c>
      <c r="T68" s="5">
        <f t="shared" si="2"/>
        <v>0</v>
      </c>
      <c r="U68" s="5">
        <f t="shared" si="3"/>
        <v>0</v>
      </c>
      <c r="V68" s="5" t="str">
        <f t="shared" si="12"/>
        <v/>
      </c>
      <c r="W68" s="5">
        <f t="shared" si="13"/>
        <v>0</v>
      </c>
    </row>
    <row r="69">
      <c r="S69" s="5">
        <f t="shared" si="11"/>
        <v>0</v>
      </c>
      <c r="T69" s="5">
        <f t="shared" si="2"/>
        <v>0</v>
      </c>
      <c r="U69" s="5">
        <f t="shared" si="3"/>
        <v>0</v>
      </c>
      <c r="V69" s="5" t="str">
        <f t="shared" si="12"/>
        <v/>
      </c>
      <c r="W69" s="5">
        <f t="shared" si="13"/>
        <v>0</v>
      </c>
    </row>
    <row r="70">
      <c r="S70" s="5">
        <f t="shared" si="11"/>
        <v>0</v>
      </c>
      <c r="T70" s="5">
        <f t="shared" si="2"/>
        <v>0</v>
      </c>
      <c r="U70" s="5">
        <f t="shared" si="3"/>
        <v>0</v>
      </c>
      <c r="V70" s="5" t="str">
        <f t="shared" si="12"/>
        <v/>
      </c>
      <c r="W70" s="5">
        <f t="shared" si="13"/>
        <v>0</v>
      </c>
    </row>
    <row r="71">
      <c r="S71" s="5">
        <f t="shared" si="11"/>
        <v>0</v>
      </c>
      <c r="T71" s="5">
        <f t="shared" si="2"/>
        <v>0</v>
      </c>
      <c r="U71" s="5">
        <f t="shared" si="3"/>
        <v>0</v>
      </c>
      <c r="V71" s="5" t="str">
        <f t="shared" si="12"/>
        <v/>
      </c>
      <c r="W71" s="5">
        <f t="shared" si="13"/>
        <v>0</v>
      </c>
    </row>
    <row r="72">
      <c r="S72" s="5">
        <f t="shared" si="11"/>
        <v>0</v>
      </c>
      <c r="T72" s="5">
        <f t="shared" si="2"/>
        <v>0</v>
      </c>
      <c r="U72" s="5">
        <f t="shared" si="3"/>
        <v>0</v>
      </c>
      <c r="V72" s="5" t="str">
        <f t="shared" si="12"/>
        <v/>
      </c>
      <c r="W72" s="5">
        <f t="shared" si="13"/>
        <v>0</v>
      </c>
    </row>
    <row r="73">
      <c r="S73" s="5">
        <f t="shared" si="11"/>
        <v>0</v>
      </c>
      <c r="T73" s="5">
        <f t="shared" si="2"/>
        <v>0</v>
      </c>
      <c r="U73" s="5">
        <f t="shared" si="3"/>
        <v>0</v>
      </c>
      <c r="V73" s="5" t="str">
        <f t="shared" si="12"/>
        <v/>
      </c>
      <c r="W73" s="5">
        <f t="shared" si="13"/>
        <v>0</v>
      </c>
    </row>
    <row r="74">
      <c r="S74" s="5">
        <f t="shared" si="11"/>
        <v>0</v>
      </c>
      <c r="T74" s="5">
        <f t="shared" si="2"/>
        <v>0</v>
      </c>
      <c r="U74" s="5">
        <f t="shared" si="3"/>
        <v>0</v>
      </c>
      <c r="V74" s="5" t="str">
        <f t="shared" si="12"/>
        <v/>
      </c>
      <c r="W74" s="5">
        <f t="shared" si="13"/>
        <v>0</v>
      </c>
    </row>
    <row r="75">
      <c r="S75" s="5">
        <f t="shared" si="11"/>
        <v>0</v>
      </c>
      <c r="T75" s="5">
        <f t="shared" si="2"/>
        <v>0</v>
      </c>
      <c r="U75" s="5">
        <f t="shared" si="3"/>
        <v>0</v>
      </c>
      <c r="V75" s="5" t="str">
        <f t="shared" si="12"/>
        <v/>
      </c>
      <c r="W75" s="5">
        <f t="shared" si="13"/>
        <v>0</v>
      </c>
    </row>
    <row r="76">
      <c r="S76" s="5">
        <f t="shared" si="11"/>
        <v>0</v>
      </c>
      <c r="T76" s="5">
        <f t="shared" si="2"/>
        <v>0</v>
      </c>
      <c r="U76" s="5">
        <f t="shared" si="3"/>
        <v>0</v>
      </c>
      <c r="V76" s="5" t="str">
        <f t="shared" si="12"/>
        <v/>
      </c>
      <c r="W76" s="5">
        <f t="shared" si="13"/>
        <v>0</v>
      </c>
    </row>
    <row r="77">
      <c r="S77" s="5">
        <f t="shared" si="11"/>
        <v>0</v>
      </c>
      <c r="T77" s="5">
        <f t="shared" si="2"/>
        <v>0</v>
      </c>
      <c r="U77" s="5">
        <f t="shared" si="3"/>
        <v>0</v>
      </c>
      <c r="V77" s="5" t="str">
        <f t="shared" si="12"/>
        <v/>
      </c>
      <c r="W77" s="5">
        <f t="shared" si="13"/>
        <v>0</v>
      </c>
    </row>
    <row r="78">
      <c r="S78" s="5">
        <f t="shared" si="11"/>
        <v>0</v>
      </c>
      <c r="T78" s="5">
        <f t="shared" si="2"/>
        <v>0</v>
      </c>
      <c r="U78" s="5">
        <f t="shared" si="3"/>
        <v>0</v>
      </c>
      <c r="V78" s="5" t="str">
        <f t="shared" si="12"/>
        <v/>
      </c>
      <c r="W78" s="5">
        <f t="shared" si="13"/>
        <v>0</v>
      </c>
    </row>
    <row r="79">
      <c r="S79" s="5">
        <f t="shared" si="11"/>
        <v>0</v>
      </c>
      <c r="T79" s="5">
        <f t="shared" si="2"/>
        <v>0</v>
      </c>
      <c r="U79" s="5">
        <f t="shared" si="3"/>
        <v>0</v>
      </c>
      <c r="V79" s="5" t="str">
        <f t="shared" si="12"/>
        <v/>
      </c>
      <c r="W79" s="5">
        <f t="shared" si="13"/>
        <v>0</v>
      </c>
    </row>
    <row r="80">
      <c r="S80" s="5">
        <f t="shared" si="11"/>
        <v>0</v>
      </c>
      <c r="T80" s="5">
        <f t="shared" si="2"/>
        <v>0</v>
      </c>
      <c r="U80" s="5">
        <f t="shared" si="3"/>
        <v>0</v>
      </c>
      <c r="V80" s="5" t="str">
        <f t="shared" si="12"/>
        <v/>
      </c>
      <c r="W80" s="5">
        <f t="shared" si="13"/>
        <v>0</v>
      </c>
    </row>
    <row r="81">
      <c r="S81" s="5">
        <f t="shared" si="11"/>
        <v>0</v>
      </c>
      <c r="T81" s="5">
        <f t="shared" si="2"/>
        <v>0</v>
      </c>
      <c r="U81" s="5">
        <f t="shared" si="3"/>
        <v>0</v>
      </c>
      <c r="V81" s="5" t="str">
        <f t="shared" si="12"/>
        <v/>
      </c>
      <c r="W81" s="5">
        <f t="shared" si="13"/>
        <v>0</v>
      </c>
    </row>
    <row r="82">
      <c r="S82" s="5">
        <f t="shared" si="11"/>
        <v>0</v>
      </c>
      <c r="T82" s="5">
        <f t="shared" si="2"/>
        <v>0</v>
      </c>
      <c r="U82" s="5">
        <f t="shared" si="3"/>
        <v>0</v>
      </c>
      <c r="V82" s="5" t="str">
        <f t="shared" si="12"/>
        <v/>
      </c>
      <c r="W82" s="5">
        <f t="shared" si="13"/>
        <v>0</v>
      </c>
    </row>
    <row r="83">
      <c r="S83" s="5">
        <f t="shared" si="11"/>
        <v>0</v>
      </c>
      <c r="T83" s="5">
        <f t="shared" si="2"/>
        <v>0</v>
      </c>
      <c r="U83" s="5">
        <f t="shared" si="3"/>
        <v>0</v>
      </c>
      <c r="V83" s="5" t="str">
        <f t="shared" si="12"/>
        <v/>
      </c>
      <c r="W83" s="5">
        <f t="shared" si="13"/>
        <v>0</v>
      </c>
    </row>
    <row r="84">
      <c r="S84" s="5">
        <f t="shared" si="11"/>
        <v>0</v>
      </c>
      <c r="T84" s="5">
        <f t="shared" si="2"/>
        <v>0</v>
      </c>
      <c r="U84" s="5">
        <f t="shared" si="3"/>
        <v>0</v>
      </c>
      <c r="V84" s="5" t="str">
        <f t="shared" si="12"/>
        <v/>
      </c>
      <c r="W84" s="5">
        <f t="shared" si="13"/>
        <v>0</v>
      </c>
    </row>
    <row r="85">
      <c r="S85" s="5">
        <f t="shared" si="11"/>
        <v>0</v>
      </c>
      <c r="T85" s="5">
        <f t="shared" si="2"/>
        <v>0</v>
      </c>
      <c r="U85" s="5">
        <f t="shared" si="3"/>
        <v>0</v>
      </c>
      <c r="V85" s="5" t="str">
        <f t="shared" si="12"/>
        <v/>
      </c>
      <c r="W85" s="5">
        <f t="shared" si="13"/>
        <v>0</v>
      </c>
    </row>
    <row r="86">
      <c r="S86" s="5">
        <f t="shared" si="11"/>
        <v>0</v>
      </c>
      <c r="T86" s="5">
        <f t="shared" si="2"/>
        <v>0</v>
      </c>
      <c r="U86" s="5">
        <f t="shared" si="3"/>
        <v>0</v>
      </c>
      <c r="V86" s="5" t="str">
        <f t="shared" si="12"/>
        <v/>
      </c>
      <c r="W86" s="5">
        <f t="shared" si="13"/>
        <v>0</v>
      </c>
    </row>
    <row r="87">
      <c r="S87" s="5">
        <f t="shared" si="11"/>
        <v>0</v>
      </c>
      <c r="T87" s="5">
        <f t="shared" si="2"/>
        <v>0</v>
      </c>
      <c r="U87" s="5">
        <f t="shared" si="3"/>
        <v>0</v>
      </c>
      <c r="V87" s="5" t="str">
        <f t="shared" si="12"/>
        <v/>
      </c>
      <c r="W87" s="5">
        <f t="shared" si="13"/>
        <v>0</v>
      </c>
    </row>
    <row r="88">
      <c r="S88" s="5">
        <f t="shared" si="11"/>
        <v>0</v>
      </c>
      <c r="T88" s="5">
        <f t="shared" si="2"/>
        <v>0</v>
      </c>
      <c r="U88" s="5">
        <f t="shared" si="3"/>
        <v>0</v>
      </c>
      <c r="V88" s="5" t="str">
        <f t="shared" si="12"/>
        <v/>
      </c>
      <c r="W88" s="5">
        <f t="shared" si="13"/>
        <v>0</v>
      </c>
    </row>
    <row r="89">
      <c r="S89" s="5">
        <f t="shared" si="11"/>
        <v>0</v>
      </c>
      <c r="T89" s="5">
        <f t="shared" si="2"/>
        <v>0</v>
      </c>
      <c r="U89" s="5">
        <f t="shared" si="3"/>
        <v>0</v>
      </c>
      <c r="V89" s="5" t="str">
        <f t="shared" si="12"/>
        <v/>
      </c>
      <c r="W89" s="5">
        <f t="shared" si="13"/>
        <v>0</v>
      </c>
    </row>
    <row r="90">
      <c r="S90" s="5">
        <f t="shared" si="11"/>
        <v>0</v>
      </c>
      <c r="T90" s="5">
        <f t="shared" si="2"/>
        <v>0</v>
      </c>
      <c r="U90" s="5">
        <f t="shared" si="3"/>
        <v>0</v>
      </c>
      <c r="V90" s="5" t="str">
        <f t="shared" si="12"/>
        <v/>
      </c>
      <c r="W90" s="5">
        <f t="shared" si="13"/>
        <v>0</v>
      </c>
    </row>
    <row r="91">
      <c r="S91" s="5">
        <f t="shared" si="11"/>
        <v>0</v>
      </c>
      <c r="T91" s="5">
        <f t="shared" si="2"/>
        <v>0</v>
      </c>
      <c r="U91" s="5">
        <f t="shared" si="3"/>
        <v>0</v>
      </c>
      <c r="V91" s="5" t="str">
        <f t="shared" si="12"/>
        <v/>
      </c>
      <c r="W91" s="5">
        <f t="shared" si="13"/>
        <v>0</v>
      </c>
    </row>
    <row r="92">
      <c r="S92" s="5">
        <f t="shared" si="11"/>
        <v>0</v>
      </c>
      <c r="T92" s="5">
        <f t="shared" si="2"/>
        <v>0</v>
      </c>
      <c r="U92" s="5">
        <f t="shared" si="3"/>
        <v>0</v>
      </c>
      <c r="V92" s="5" t="str">
        <f t="shared" si="12"/>
        <v/>
      </c>
      <c r="W92" s="5">
        <f t="shared" si="13"/>
        <v>0</v>
      </c>
    </row>
    <row r="93">
      <c r="S93" s="5">
        <f t="shared" si="11"/>
        <v>0</v>
      </c>
      <c r="T93" s="5">
        <f t="shared" si="2"/>
        <v>0</v>
      </c>
      <c r="U93" s="5">
        <f t="shared" si="3"/>
        <v>0</v>
      </c>
      <c r="V93" s="5" t="str">
        <f t="shared" si="12"/>
        <v/>
      </c>
      <c r="W93" s="5">
        <f t="shared" si="13"/>
        <v>0</v>
      </c>
    </row>
    <row r="94">
      <c r="S94" s="5">
        <f t="shared" si="11"/>
        <v>0</v>
      </c>
      <c r="T94" s="5">
        <f t="shared" si="2"/>
        <v>0</v>
      </c>
      <c r="U94" s="5">
        <f t="shared" si="3"/>
        <v>0</v>
      </c>
      <c r="V94" s="5" t="str">
        <f t="shared" si="12"/>
        <v/>
      </c>
      <c r="W94" s="5">
        <f t="shared" si="13"/>
        <v>0</v>
      </c>
    </row>
    <row r="95">
      <c r="S95" s="5">
        <f t="shared" si="11"/>
        <v>0</v>
      </c>
      <c r="T95" s="5">
        <f t="shared" si="2"/>
        <v>0</v>
      </c>
      <c r="U95" s="5">
        <f t="shared" si="3"/>
        <v>0</v>
      </c>
      <c r="V95" s="5" t="str">
        <f t="shared" si="12"/>
        <v/>
      </c>
      <c r="W95" s="5">
        <f t="shared" si="13"/>
        <v>0</v>
      </c>
    </row>
    <row r="96">
      <c r="S96" s="5">
        <f t="shared" si="11"/>
        <v>0</v>
      </c>
      <c r="T96" s="5">
        <f t="shared" si="2"/>
        <v>0</v>
      </c>
      <c r="U96" s="5">
        <f t="shared" si="3"/>
        <v>0</v>
      </c>
      <c r="V96" s="5" t="str">
        <f t="shared" si="12"/>
        <v/>
      </c>
      <c r="W96" s="5">
        <f t="shared" si="13"/>
        <v>0</v>
      </c>
    </row>
    <row r="97">
      <c r="S97" s="5">
        <f t="shared" si="11"/>
        <v>0</v>
      </c>
      <c r="T97" s="5">
        <f t="shared" si="2"/>
        <v>0</v>
      </c>
      <c r="U97" s="5">
        <f t="shared" si="3"/>
        <v>0</v>
      </c>
      <c r="V97" s="5" t="str">
        <f t="shared" si="12"/>
        <v/>
      </c>
      <c r="W97" s="5">
        <f t="shared" si="13"/>
        <v>0</v>
      </c>
    </row>
    <row r="98">
      <c r="S98" s="5">
        <f t="shared" si="11"/>
        <v>0</v>
      </c>
      <c r="T98" s="5">
        <f t="shared" si="2"/>
        <v>0</v>
      </c>
      <c r="U98" s="5">
        <f t="shared" si="3"/>
        <v>0</v>
      </c>
      <c r="V98" s="5" t="str">
        <f t="shared" si="12"/>
        <v/>
      </c>
      <c r="W98" s="5">
        <f t="shared" si="13"/>
        <v>0</v>
      </c>
    </row>
    <row r="99">
      <c r="S99" s="5">
        <f t="shared" si="11"/>
        <v>0</v>
      </c>
      <c r="T99" s="5">
        <f t="shared" si="2"/>
        <v>0</v>
      </c>
      <c r="U99" s="5">
        <f t="shared" si="3"/>
        <v>0</v>
      </c>
      <c r="V99" s="5" t="str">
        <f t="shared" si="12"/>
        <v/>
      </c>
      <c r="W99" s="5">
        <f t="shared" si="13"/>
        <v>0</v>
      </c>
    </row>
    <row r="100">
      <c r="S100" s="5">
        <f t="shared" si="11"/>
        <v>0</v>
      </c>
      <c r="T100" s="5">
        <f t="shared" si="2"/>
        <v>0</v>
      </c>
      <c r="U100" s="5">
        <f t="shared" si="3"/>
        <v>0</v>
      </c>
      <c r="V100" s="5" t="str">
        <f t="shared" si="12"/>
        <v/>
      </c>
      <c r="W100" s="5">
        <f t="shared" si="13"/>
        <v>0</v>
      </c>
    </row>
    <row r="101">
      <c r="S101" s="5">
        <f t="shared" si="11"/>
        <v>0</v>
      </c>
      <c r="T101" s="5">
        <f t="shared" si="2"/>
        <v>0</v>
      </c>
      <c r="U101" s="5">
        <f t="shared" si="3"/>
        <v>0</v>
      </c>
      <c r="V101" s="5" t="str">
        <f t="shared" si="12"/>
        <v/>
      </c>
      <c r="W101" s="5">
        <f t="shared" si="13"/>
        <v>0</v>
      </c>
    </row>
    <row r="102">
      <c r="S102" s="5">
        <f t="shared" si="11"/>
        <v>0</v>
      </c>
      <c r="T102" s="5">
        <f t="shared" si="2"/>
        <v>0</v>
      </c>
      <c r="U102" s="5">
        <f t="shared" si="3"/>
        <v>0</v>
      </c>
      <c r="V102" s="5" t="str">
        <f t="shared" si="12"/>
        <v/>
      </c>
      <c r="W102" s="5">
        <f t="shared" si="13"/>
        <v>0</v>
      </c>
    </row>
    <row r="103">
      <c r="S103" s="5">
        <f t="shared" si="11"/>
        <v>0</v>
      </c>
      <c r="T103" s="5">
        <f t="shared" si="2"/>
        <v>0</v>
      </c>
      <c r="U103" s="5">
        <f t="shared" si="3"/>
        <v>0</v>
      </c>
      <c r="V103" s="5" t="str">
        <f t="shared" si="12"/>
        <v/>
      </c>
      <c r="W103" s="5">
        <f t="shared" si="13"/>
        <v>0</v>
      </c>
    </row>
    <row r="104">
      <c r="S104" s="5">
        <f t="shared" si="11"/>
        <v>0</v>
      </c>
      <c r="T104" s="5">
        <f t="shared" si="2"/>
        <v>0</v>
      </c>
      <c r="U104" s="5">
        <f t="shared" si="3"/>
        <v>0</v>
      </c>
      <c r="V104" s="5" t="str">
        <f t="shared" si="12"/>
        <v/>
      </c>
      <c r="W104" s="5">
        <f t="shared" si="13"/>
        <v>0</v>
      </c>
    </row>
    <row r="105">
      <c r="S105" s="5">
        <f t="shared" si="11"/>
        <v>0</v>
      </c>
      <c r="T105" s="5">
        <f t="shared" si="2"/>
        <v>0</v>
      </c>
      <c r="U105" s="5">
        <f t="shared" si="3"/>
        <v>0</v>
      </c>
      <c r="V105" s="5" t="str">
        <f t="shared" si="12"/>
        <v/>
      </c>
      <c r="W105" s="5">
        <f t="shared" si="13"/>
        <v>0</v>
      </c>
    </row>
    <row r="106">
      <c r="S106" s="5">
        <f t="shared" si="11"/>
        <v>0</v>
      </c>
      <c r="T106" s="5">
        <f t="shared" si="2"/>
        <v>0</v>
      </c>
      <c r="U106" s="5">
        <f t="shared" si="3"/>
        <v>0</v>
      </c>
      <c r="V106" s="5" t="str">
        <f t="shared" si="12"/>
        <v/>
      </c>
      <c r="W106" s="5">
        <f t="shared" si="13"/>
        <v>0</v>
      </c>
    </row>
    <row r="107">
      <c r="S107" s="5">
        <f t="shared" si="11"/>
        <v>0</v>
      </c>
      <c r="T107" s="5">
        <f t="shared" si="2"/>
        <v>0</v>
      </c>
      <c r="U107" s="5">
        <f t="shared" si="3"/>
        <v>0</v>
      </c>
      <c r="V107" s="5" t="str">
        <f t="shared" si="12"/>
        <v/>
      </c>
      <c r="W107" s="5">
        <f t="shared" si="13"/>
        <v>0</v>
      </c>
    </row>
    <row r="108">
      <c r="S108" s="5">
        <f t="shared" si="11"/>
        <v>0</v>
      </c>
      <c r="T108" s="5">
        <f t="shared" si="2"/>
        <v>0</v>
      </c>
      <c r="U108" s="5">
        <f t="shared" si="3"/>
        <v>0</v>
      </c>
      <c r="V108" s="5" t="str">
        <f t="shared" si="12"/>
        <v/>
      </c>
      <c r="W108" s="5">
        <f t="shared" si="13"/>
        <v>0</v>
      </c>
    </row>
    <row r="109">
      <c r="S109" s="5">
        <f t="shared" si="11"/>
        <v>0</v>
      </c>
      <c r="T109" s="5">
        <f t="shared" si="2"/>
        <v>0</v>
      </c>
      <c r="U109" s="5">
        <f t="shared" si="3"/>
        <v>0</v>
      </c>
      <c r="V109" s="5" t="str">
        <f t="shared" si="12"/>
        <v/>
      </c>
      <c r="W109" s="5">
        <f t="shared" si="13"/>
        <v>0</v>
      </c>
    </row>
    <row r="110">
      <c r="S110" s="5">
        <f t="shared" si="11"/>
        <v>0</v>
      </c>
      <c r="T110" s="5">
        <f t="shared" si="2"/>
        <v>0</v>
      </c>
      <c r="U110" s="5">
        <f t="shared" si="3"/>
        <v>0</v>
      </c>
      <c r="V110" s="5" t="str">
        <f t="shared" si="12"/>
        <v/>
      </c>
      <c r="W110" s="5">
        <f t="shared" si="13"/>
        <v>0</v>
      </c>
    </row>
    <row r="111">
      <c r="S111" s="5">
        <f t="shared" si="11"/>
        <v>0</v>
      </c>
      <c r="T111" s="5">
        <f t="shared" si="2"/>
        <v>0</v>
      </c>
      <c r="U111" s="5">
        <f t="shared" si="3"/>
        <v>0</v>
      </c>
      <c r="V111" s="5" t="str">
        <f t="shared" si="12"/>
        <v/>
      </c>
      <c r="W111" s="5">
        <f t="shared" si="13"/>
        <v>0</v>
      </c>
    </row>
    <row r="112">
      <c r="S112" s="5">
        <f t="shared" si="11"/>
        <v>0</v>
      </c>
      <c r="T112" s="5">
        <f t="shared" si="2"/>
        <v>0</v>
      </c>
      <c r="U112" s="5">
        <f t="shared" si="3"/>
        <v>0</v>
      </c>
      <c r="V112" s="5" t="str">
        <f t="shared" si="12"/>
        <v/>
      </c>
      <c r="W112" s="5">
        <f t="shared" si="13"/>
        <v>0</v>
      </c>
    </row>
    <row r="113">
      <c r="S113" s="5">
        <f t="shared" si="11"/>
        <v>0</v>
      </c>
      <c r="T113" s="5">
        <f t="shared" si="2"/>
        <v>0</v>
      </c>
      <c r="U113" s="5">
        <f t="shared" si="3"/>
        <v>0</v>
      </c>
      <c r="V113" s="5" t="str">
        <f t="shared" si="12"/>
        <v/>
      </c>
      <c r="W113" s="5">
        <f t="shared" si="13"/>
        <v>0</v>
      </c>
    </row>
    <row r="114">
      <c r="S114" s="5">
        <f t="shared" si="11"/>
        <v>0</v>
      </c>
      <c r="T114" s="5">
        <f t="shared" si="2"/>
        <v>0</v>
      </c>
      <c r="U114" s="5">
        <f t="shared" si="3"/>
        <v>0</v>
      </c>
      <c r="V114" s="5" t="str">
        <f t="shared" si="12"/>
        <v/>
      </c>
      <c r="W114" s="5">
        <f t="shared" si="13"/>
        <v>0</v>
      </c>
    </row>
    <row r="115">
      <c r="S115" s="5">
        <f t="shared" si="11"/>
        <v>0</v>
      </c>
      <c r="T115" s="5">
        <f t="shared" si="2"/>
        <v>0</v>
      </c>
      <c r="U115" s="5">
        <f t="shared" si="3"/>
        <v>0</v>
      </c>
      <c r="V115" s="5" t="str">
        <f t="shared" si="12"/>
        <v/>
      </c>
      <c r="W115" s="5">
        <f t="shared" si="13"/>
        <v>0</v>
      </c>
    </row>
    <row r="116">
      <c r="S116" s="5">
        <f t="shared" si="11"/>
        <v>0</v>
      </c>
      <c r="T116" s="5">
        <f t="shared" si="2"/>
        <v>0</v>
      </c>
      <c r="U116" s="5">
        <f t="shared" si="3"/>
        <v>0</v>
      </c>
      <c r="V116" s="5" t="str">
        <f t="shared" si="12"/>
        <v/>
      </c>
      <c r="W116" s="5">
        <f t="shared" si="13"/>
        <v>0</v>
      </c>
    </row>
    <row r="117">
      <c r="S117" s="5">
        <f t="shared" si="11"/>
        <v>0</v>
      </c>
      <c r="T117" s="5">
        <f t="shared" si="2"/>
        <v>0</v>
      </c>
      <c r="U117" s="5">
        <f t="shared" si="3"/>
        <v>0</v>
      </c>
      <c r="V117" s="5" t="str">
        <f t="shared" si="12"/>
        <v/>
      </c>
      <c r="W117" s="5">
        <f t="shared" si="13"/>
        <v>0</v>
      </c>
    </row>
    <row r="118">
      <c r="S118" s="5">
        <f t="shared" si="11"/>
        <v>0</v>
      </c>
      <c r="T118" s="5">
        <f t="shared" si="2"/>
        <v>0</v>
      </c>
      <c r="U118" s="5">
        <f t="shared" si="3"/>
        <v>0</v>
      </c>
      <c r="V118" s="5" t="str">
        <f t="shared" si="12"/>
        <v/>
      </c>
      <c r="W118" s="5">
        <f t="shared" si="13"/>
        <v>0</v>
      </c>
    </row>
    <row r="119">
      <c r="S119" s="5">
        <f t="shared" si="11"/>
        <v>0</v>
      </c>
      <c r="T119" s="5">
        <f t="shared" si="2"/>
        <v>0</v>
      </c>
      <c r="U119" s="5">
        <f t="shared" si="3"/>
        <v>0</v>
      </c>
      <c r="V119" s="5" t="str">
        <f t="shared" si="12"/>
        <v/>
      </c>
      <c r="W119" s="5">
        <f t="shared" si="13"/>
        <v>0</v>
      </c>
    </row>
    <row r="120">
      <c r="S120" s="5">
        <f t="shared" si="11"/>
        <v>0</v>
      </c>
      <c r="T120" s="5">
        <f t="shared" si="2"/>
        <v>0</v>
      </c>
      <c r="U120" s="5">
        <f t="shared" si="3"/>
        <v>0</v>
      </c>
      <c r="V120" s="5" t="str">
        <f t="shared" si="12"/>
        <v/>
      </c>
      <c r="W120" s="5">
        <f t="shared" si="13"/>
        <v>0</v>
      </c>
    </row>
    <row r="121">
      <c r="S121" s="5">
        <f t="shared" si="11"/>
        <v>0</v>
      </c>
      <c r="T121" s="5">
        <f t="shared" si="2"/>
        <v>0</v>
      </c>
      <c r="U121" s="5">
        <f t="shared" si="3"/>
        <v>0</v>
      </c>
      <c r="V121" s="5" t="str">
        <f t="shared" si="12"/>
        <v/>
      </c>
      <c r="W121" s="5">
        <f t="shared" si="13"/>
        <v>0</v>
      </c>
    </row>
    <row r="122">
      <c r="S122" s="5">
        <f t="shared" si="11"/>
        <v>0</v>
      </c>
      <c r="T122" s="5">
        <f t="shared" si="2"/>
        <v>0</v>
      </c>
      <c r="U122" s="5">
        <f t="shared" si="3"/>
        <v>0</v>
      </c>
      <c r="V122" s="5" t="str">
        <f t="shared" si="12"/>
        <v/>
      </c>
      <c r="W122" s="5">
        <f t="shared" si="13"/>
        <v>0</v>
      </c>
    </row>
    <row r="123">
      <c r="S123" s="5">
        <f t="shared" si="11"/>
        <v>0</v>
      </c>
      <c r="T123" s="5">
        <f t="shared" si="2"/>
        <v>0</v>
      </c>
      <c r="U123" s="5">
        <f t="shared" si="3"/>
        <v>0</v>
      </c>
      <c r="V123" s="5" t="str">
        <f t="shared" si="12"/>
        <v/>
      </c>
      <c r="W123" s="5">
        <f t="shared" si="13"/>
        <v>0</v>
      </c>
    </row>
    <row r="124">
      <c r="S124" s="5">
        <f t="shared" si="11"/>
        <v>0</v>
      </c>
      <c r="T124" s="5">
        <f t="shared" si="2"/>
        <v>0</v>
      </c>
      <c r="U124" s="5">
        <f t="shared" si="3"/>
        <v>0</v>
      </c>
      <c r="V124" s="5" t="str">
        <f t="shared" si="12"/>
        <v/>
      </c>
      <c r="W124" s="5">
        <f t="shared" si="13"/>
        <v>0</v>
      </c>
    </row>
    <row r="125">
      <c r="S125" s="5">
        <f t="shared" si="11"/>
        <v>0</v>
      </c>
      <c r="T125" s="5">
        <f t="shared" si="2"/>
        <v>0</v>
      </c>
      <c r="U125" s="5">
        <f t="shared" si="3"/>
        <v>0</v>
      </c>
      <c r="V125" s="5" t="str">
        <f t="shared" si="12"/>
        <v/>
      </c>
      <c r="W125" s="5">
        <f t="shared" si="13"/>
        <v>0</v>
      </c>
    </row>
    <row r="126">
      <c r="S126" s="5">
        <f t="shared" si="11"/>
        <v>0</v>
      </c>
      <c r="T126" s="5">
        <f t="shared" si="2"/>
        <v>0</v>
      </c>
      <c r="U126" s="5">
        <f t="shared" si="3"/>
        <v>0</v>
      </c>
      <c r="V126" s="5" t="str">
        <f t="shared" si="12"/>
        <v/>
      </c>
      <c r="W126" s="5">
        <f t="shared" si="13"/>
        <v>0</v>
      </c>
    </row>
    <row r="127">
      <c r="S127" s="5">
        <f t="shared" si="11"/>
        <v>0</v>
      </c>
      <c r="T127" s="5">
        <f t="shared" si="2"/>
        <v>0</v>
      </c>
      <c r="U127" s="5">
        <f t="shared" si="3"/>
        <v>0</v>
      </c>
      <c r="V127" s="5" t="str">
        <f t="shared" si="12"/>
        <v/>
      </c>
      <c r="W127" s="5">
        <f t="shared" si="13"/>
        <v>0</v>
      </c>
    </row>
    <row r="128">
      <c r="S128" s="5">
        <f t="shared" si="11"/>
        <v>0</v>
      </c>
      <c r="T128" s="5">
        <f t="shared" si="2"/>
        <v>0</v>
      </c>
      <c r="U128" s="5">
        <f t="shared" si="3"/>
        <v>0</v>
      </c>
      <c r="V128" s="5" t="str">
        <f t="shared" si="12"/>
        <v/>
      </c>
      <c r="W128" s="5">
        <f t="shared" si="13"/>
        <v>0</v>
      </c>
    </row>
    <row r="129">
      <c r="S129" s="5">
        <f t="shared" si="11"/>
        <v>0</v>
      </c>
      <c r="T129" s="5">
        <f t="shared" si="2"/>
        <v>0</v>
      </c>
      <c r="U129" s="5">
        <f t="shared" si="3"/>
        <v>0</v>
      </c>
      <c r="V129" s="5" t="str">
        <f t="shared" si="12"/>
        <v/>
      </c>
      <c r="W129" s="5">
        <f t="shared" si="13"/>
        <v>0</v>
      </c>
    </row>
    <row r="130">
      <c r="S130" s="5">
        <f t="shared" si="11"/>
        <v>0</v>
      </c>
      <c r="T130" s="5">
        <f t="shared" si="2"/>
        <v>0</v>
      </c>
      <c r="U130" s="5">
        <f t="shared" si="3"/>
        <v>0</v>
      </c>
      <c r="V130" s="5" t="str">
        <f t="shared" si="12"/>
        <v/>
      </c>
      <c r="W130" s="5">
        <f t="shared" si="13"/>
        <v>0</v>
      </c>
    </row>
    <row r="131">
      <c r="S131" s="5">
        <f t="shared" si="11"/>
        <v>0</v>
      </c>
      <c r="T131" s="5">
        <f t="shared" si="2"/>
        <v>0</v>
      </c>
      <c r="U131" s="5">
        <f t="shared" si="3"/>
        <v>0</v>
      </c>
      <c r="V131" s="5" t="str">
        <f t="shared" si="12"/>
        <v/>
      </c>
      <c r="W131" s="5">
        <f t="shared" si="13"/>
        <v>0</v>
      </c>
    </row>
    <row r="132">
      <c r="S132" s="5">
        <f t="shared" si="11"/>
        <v>0</v>
      </c>
      <c r="T132" s="5">
        <f t="shared" si="2"/>
        <v>0</v>
      </c>
      <c r="U132" s="5">
        <f t="shared" si="3"/>
        <v>0</v>
      </c>
      <c r="V132" s="5" t="str">
        <f t="shared" si="12"/>
        <v/>
      </c>
      <c r="W132" s="5">
        <f t="shared" si="13"/>
        <v>0</v>
      </c>
    </row>
    <row r="133">
      <c r="S133" s="5">
        <f t="shared" si="11"/>
        <v>0</v>
      </c>
      <c r="T133" s="5">
        <f t="shared" si="2"/>
        <v>0</v>
      </c>
      <c r="U133" s="5">
        <f t="shared" si="3"/>
        <v>0</v>
      </c>
      <c r="V133" s="5" t="str">
        <f t="shared" si="12"/>
        <v/>
      </c>
      <c r="W133" s="5">
        <f t="shared" si="13"/>
        <v>0</v>
      </c>
    </row>
    <row r="134">
      <c r="S134" s="5">
        <f t="shared" si="11"/>
        <v>0</v>
      </c>
      <c r="T134" s="5">
        <f t="shared" si="2"/>
        <v>0</v>
      </c>
      <c r="U134" s="5">
        <f t="shared" si="3"/>
        <v>0</v>
      </c>
      <c r="V134" s="5" t="str">
        <f t="shared" si="12"/>
        <v/>
      </c>
      <c r="W134" s="5">
        <f t="shared" si="13"/>
        <v>0</v>
      </c>
    </row>
    <row r="135">
      <c r="S135" s="5">
        <f t="shared" si="11"/>
        <v>0</v>
      </c>
      <c r="T135" s="5">
        <f t="shared" si="2"/>
        <v>0</v>
      </c>
      <c r="U135" s="5">
        <f t="shared" si="3"/>
        <v>0</v>
      </c>
      <c r="V135" s="5" t="str">
        <f t="shared" si="12"/>
        <v/>
      </c>
      <c r="W135" s="5">
        <f t="shared" si="13"/>
        <v>0</v>
      </c>
    </row>
    <row r="136">
      <c r="S136" s="5">
        <f t="shared" si="11"/>
        <v>0</v>
      </c>
      <c r="T136" s="5">
        <f t="shared" si="2"/>
        <v>0</v>
      </c>
      <c r="U136" s="5">
        <f t="shared" si="3"/>
        <v>0</v>
      </c>
      <c r="V136" s="5" t="str">
        <f t="shared" si="12"/>
        <v/>
      </c>
      <c r="W136" s="5">
        <f t="shared" si="13"/>
        <v>0</v>
      </c>
    </row>
    <row r="137">
      <c r="S137" s="5">
        <f t="shared" si="11"/>
        <v>0</v>
      </c>
      <c r="T137" s="5">
        <f t="shared" si="2"/>
        <v>0</v>
      </c>
      <c r="U137" s="5">
        <f t="shared" si="3"/>
        <v>0</v>
      </c>
      <c r="V137" s="5" t="str">
        <f t="shared" si="12"/>
        <v/>
      </c>
      <c r="W137" s="5">
        <f t="shared" si="13"/>
        <v>0</v>
      </c>
    </row>
    <row r="138">
      <c r="S138" s="5">
        <f t="shared" si="11"/>
        <v>0</v>
      </c>
      <c r="T138" s="5">
        <f t="shared" si="2"/>
        <v>0</v>
      </c>
      <c r="U138" s="5">
        <f t="shared" si="3"/>
        <v>0</v>
      </c>
      <c r="V138" s="5" t="str">
        <f t="shared" si="12"/>
        <v/>
      </c>
      <c r="W138" s="5">
        <f t="shared" si="13"/>
        <v>0</v>
      </c>
    </row>
    <row r="139">
      <c r="S139" s="5">
        <f t="shared" si="11"/>
        <v>0</v>
      </c>
      <c r="T139" s="5">
        <f t="shared" si="2"/>
        <v>0</v>
      </c>
      <c r="U139" s="5">
        <f t="shared" si="3"/>
        <v>0</v>
      </c>
      <c r="V139" s="5" t="str">
        <f t="shared" si="12"/>
        <v/>
      </c>
      <c r="W139" s="5">
        <f t="shared" si="13"/>
        <v>0</v>
      </c>
    </row>
    <row r="140">
      <c r="S140" s="5">
        <f t="shared" si="11"/>
        <v>0</v>
      </c>
      <c r="T140" s="5">
        <f t="shared" si="2"/>
        <v>0</v>
      </c>
      <c r="U140" s="5">
        <f t="shared" si="3"/>
        <v>0</v>
      </c>
      <c r="V140" s="5" t="str">
        <f t="shared" si="12"/>
        <v/>
      </c>
      <c r="W140" s="5">
        <f t="shared" si="13"/>
        <v>0</v>
      </c>
    </row>
    <row r="141">
      <c r="S141" s="5">
        <f t="shared" si="11"/>
        <v>0</v>
      </c>
      <c r="T141" s="5">
        <f t="shared" si="2"/>
        <v>0</v>
      </c>
      <c r="U141" s="5">
        <f t="shared" si="3"/>
        <v>0</v>
      </c>
      <c r="V141" s="5" t="str">
        <f t="shared" si="12"/>
        <v/>
      </c>
      <c r="W141" s="5">
        <f t="shared" si="13"/>
        <v>0</v>
      </c>
    </row>
    <row r="142">
      <c r="S142" s="5">
        <f t="shared" si="11"/>
        <v>0</v>
      </c>
      <c r="T142" s="5">
        <f t="shared" si="2"/>
        <v>0</v>
      </c>
      <c r="U142" s="5">
        <f t="shared" si="3"/>
        <v>0</v>
      </c>
      <c r="V142" s="5" t="str">
        <f t="shared" si="12"/>
        <v/>
      </c>
      <c r="W142" s="5">
        <f t="shared" si="13"/>
        <v>0</v>
      </c>
    </row>
    <row r="143">
      <c r="S143" s="5">
        <f t="shared" si="11"/>
        <v>0</v>
      </c>
      <c r="T143" s="5">
        <f t="shared" si="2"/>
        <v>0</v>
      </c>
      <c r="U143" s="5">
        <f t="shared" si="3"/>
        <v>0</v>
      </c>
      <c r="V143" s="5" t="str">
        <f t="shared" si="12"/>
        <v/>
      </c>
      <c r="W143" s="5">
        <f t="shared" si="13"/>
        <v>0</v>
      </c>
    </row>
    <row r="144">
      <c r="S144" s="5">
        <f t="shared" si="11"/>
        <v>0</v>
      </c>
      <c r="T144" s="5">
        <f t="shared" si="2"/>
        <v>0</v>
      </c>
      <c r="U144" s="5">
        <f t="shared" si="3"/>
        <v>0</v>
      </c>
      <c r="V144" s="5" t="str">
        <f t="shared" si="12"/>
        <v/>
      </c>
      <c r="W144" s="5">
        <f t="shared" si="13"/>
        <v>0</v>
      </c>
    </row>
    <row r="145">
      <c r="S145" s="5">
        <f t="shared" si="11"/>
        <v>0</v>
      </c>
      <c r="T145" s="5">
        <f t="shared" si="2"/>
        <v>0</v>
      </c>
      <c r="U145" s="5">
        <f t="shared" si="3"/>
        <v>0</v>
      </c>
      <c r="V145" s="5" t="str">
        <f t="shared" si="12"/>
        <v/>
      </c>
      <c r="W145" s="5">
        <f t="shared" si="13"/>
        <v>0</v>
      </c>
    </row>
    <row r="146">
      <c r="S146" s="5">
        <f t="shared" si="11"/>
        <v>0</v>
      </c>
      <c r="T146" s="5">
        <f t="shared" si="2"/>
        <v>0</v>
      </c>
      <c r="U146" s="5">
        <f t="shared" si="3"/>
        <v>0</v>
      </c>
      <c r="V146" s="5" t="str">
        <f t="shared" si="12"/>
        <v/>
      </c>
      <c r="W146" s="5">
        <f t="shared" si="13"/>
        <v>0</v>
      </c>
    </row>
    <row r="147">
      <c r="S147" s="5">
        <f t="shared" si="11"/>
        <v>0</v>
      </c>
      <c r="T147" s="5">
        <f t="shared" si="2"/>
        <v>0</v>
      </c>
      <c r="U147" s="5">
        <f t="shared" si="3"/>
        <v>0</v>
      </c>
      <c r="V147" s="5" t="str">
        <f t="shared" si="12"/>
        <v/>
      </c>
      <c r="W147" s="5">
        <f t="shared" si="13"/>
        <v>0</v>
      </c>
    </row>
    <row r="148">
      <c r="S148" s="5">
        <f t="shared" si="11"/>
        <v>0</v>
      </c>
      <c r="T148" s="5">
        <f t="shared" si="2"/>
        <v>0</v>
      </c>
      <c r="U148" s="5">
        <f t="shared" si="3"/>
        <v>0</v>
      </c>
      <c r="V148" s="5" t="str">
        <f t="shared" si="12"/>
        <v/>
      </c>
      <c r="W148" s="5">
        <f t="shared" si="13"/>
        <v>0</v>
      </c>
    </row>
    <row r="149">
      <c r="S149" s="5">
        <f t="shared" si="11"/>
        <v>0</v>
      </c>
      <c r="T149" s="5">
        <f t="shared" si="2"/>
        <v>0</v>
      </c>
      <c r="U149" s="5">
        <f t="shared" si="3"/>
        <v>0</v>
      </c>
      <c r="V149" s="5" t="str">
        <f t="shared" si="12"/>
        <v/>
      </c>
      <c r="W149" s="5">
        <f t="shared" si="13"/>
        <v>0</v>
      </c>
    </row>
    <row r="150">
      <c r="S150" s="5">
        <f t="shared" si="11"/>
        <v>0</v>
      </c>
      <c r="T150" s="5">
        <f t="shared" si="2"/>
        <v>0</v>
      </c>
      <c r="U150" s="5">
        <f t="shared" si="3"/>
        <v>0</v>
      </c>
      <c r="V150" s="5" t="str">
        <f t="shared" si="12"/>
        <v/>
      </c>
      <c r="W150" s="5">
        <f t="shared" si="13"/>
        <v>0</v>
      </c>
    </row>
    <row r="151">
      <c r="S151" s="5">
        <f t="shared" si="11"/>
        <v>0</v>
      </c>
      <c r="T151" s="5">
        <f t="shared" si="2"/>
        <v>0</v>
      </c>
      <c r="U151" s="5">
        <f t="shared" si="3"/>
        <v>0</v>
      </c>
      <c r="V151" s="5" t="str">
        <f t="shared" si="12"/>
        <v/>
      </c>
      <c r="W151" s="5">
        <f t="shared" si="13"/>
        <v>0</v>
      </c>
    </row>
    <row r="152">
      <c r="S152" s="5">
        <f t="shared" si="11"/>
        <v>0</v>
      </c>
      <c r="T152" s="5">
        <f t="shared" si="2"/>
        <v>0</v>
      </c>
      <c r="U152" s="5">
        <f t="shared" si="3"/>
        <v>0</v>
      </c>
      <c r="V152" s="5" t="str">
        <f t="shared" si="12"/>
        <v/>
      </c>
      <c r="W152" s="5">
        <f t="shared" si="13"/>
        <v>0</v>
      </c>
    </row>
    <row r="153">
      <c r="S153" s="5">
        <f t="shared" si="11"/>
        <v>0</v>
      </c>
      <c r="T153" s="5">
        <f t="shared" si="2"/>
        <v>0</v>
      </c>
      <c r="U153" s="5">
        <f t="shared" si="3"/>
        <v>0</v>
      </c>
      <c r="V153" s="5" t="str">
        <f t="shared" si="12"/>
        <v/>
      </c>
      <c r="W153" s="5">
        <f t="shared" si="13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7.75"/>
    <col customWidth="1" min="3" max="3" width="30.0"/>
    <col customWidth="1" min="4" max="4" width="32.0"/>
    <col customWidth="1" min="5" max="5" width="23.75"/>
    <col customWidth="1" min="6" max="6" width="26.63"/>
  </cols>
  <sheetData>
    <row r="1" ht="35.25" customHeight="1">
      <c r="A1" s="183" t="s">
        <v>522</v>
      </c>
      <c r="B1" s="183" t="s">
        <v>523</v>
      </c>
      <c r="C1" s="183" t="s">
        <v>524</v>
      </c>
      <c r="D1" s="184" t="s">
        <v>525</v>
      </c>
      <c r="E1" s="184" t="str">
        <f>IF(or(E2&gt;8,A2&lt;=E2), "Error at E2!", "Alliance Rank")</f>
        <v>Error at E2!</v>
      </c>
      <c r="F1" s="184" t="str">
        <f>if(F2&gt;2, "Error at F2!", "Round")</f>
        <v>Round</v>
      </c>
    </row>
    <row r="2" ht="34.5" customHeight="1">
      <c r="A2" s="185">
        <v>6.0</v>
      </c>
      <c r="B2" s="2" t="b">
        <v>1</v>
      </c>
      <c r="C2" s="185">
        <v>5.0</v>
      </c>
      <c r="D2" s="2" t="b">
        <v>0</v>
      </c>
      <c r="E2" s="185">
        <v>8.0</v>
      </c>
      <c r="F2" s="185">
        <v>1.0</v>
      </c>
    </row>
    <row r="3" ht="33.0" customHeight="1">
      <c r="A3" s="184" t="s">
        <v>526</v>
      </c>
      <c r="B3" s="183" t="s">
        <v>527</v>
      </c>
      <c r="C3" s="183" t="s">
        <v>528</v>
      </c>
      <c r="D3" s="184" t="s">
        <v>529</v>
      </c>
      <c r="E3" s="184" t="s">
        <v>530</v>
      </c>
      <c r="F3" s="184" t="s">
        <v>531</v>
      </c>
    </row>
    <row r="4" ht="33.0" customHeight="1">
      <c r="A4" s="185" t="s">
        <v>532</v>
      </c>
      <c r="B4" s="185" t="s">
        <v>533</v>
      </c>
      <c r="C4" s="186">
        <f>IFERROR(__xludf.DUMMYFUNCTION("FILTER(B6:B41,A6:A41=A2)+if(and(A2&lt;8,B2=true),17-A2)+if(and(A2&gt;8,B2=true),17-C2)+if(and(D2=true,F2=1),17-E2)+if(and(D2=true,F2=2),0+E2)+IF(and(or(B2=true,D2=true),A4=""Winner""),+30)+IF(and(or(B2=true,D2=true),A4=""Finalist""),+20)+if(and(or(B2=true,D2=tr"&amp;"ue),A4=""3rd Place""),+13)+if(and(or(B2=true,D2=true),A4=""4th Place""),+7)+if(B4=""Impact Award"",+10)+if(B4=""Eng. Insp. Award"",+8)+if(B4=""Other"",+5)"),59.0)</f>
        <v>59</v>
      </c>
      <c r="D4" s="185">
        <v>109.0</v>
      </c>
      <c r="E4" s="185">
        <f>add(C4,D4)</f>
        <v>168</v>
      </c>
      <c r="F4" s="187" t="str">
        <f>IFS(E4&gt;180,"Certain",E4&gt;170, "Definitely",E4&gt;160,"Likely",E4&gt;155,"Probably",E4&gt;150, "Unlikely",E4&gt;140, "No")</f>
        <v>Likely</v>
      </c>
    </row>
    <row r="5">
      <c r="A5" s="4" t="s">
        <v>534</v>
      </c>
      <c r="C5" s="4"/>
    </row>
    <row r="6">
      <c r="A6" s="2">
        <v>1.0</v>
      </c>
      <c r="B6" s="2">
        <v>22.0</v>
      </c>
      <c r="C6" s="2"/>
    </row>
    <row r="7">
      <c r="A7" s="2">
        <v>2.0</v>
      </c>
      <c r="B7" s="2">
        <v>21.0</v>
      </c>
      <c r="C7" s="2"/>
    </row>
    <row r="8">
      <c r="A8" s="2">
        <v>3.0</v>
      </c>
      <c r="B8" s="2">
        <v>20.0</v>
      </c>
      <c r="C8" s="2"/>
    </row>
    <row r="9">
      <c r="A9" s="2">
        <v>4.0</v>
      </c>
      <c r="B9" s="2">
        <v>19.0</v>
      </c>
      <c r="C9" s="2"/>
    </row>
    <row r="10">
      <c r="A10" s="2">
        <v>5.0</v>
      </c>
      <c r="B10" s="2">
        <v>19.0</v>
      </c>
      <c r="C10" s="2"/>
    </row>
    <row r="11">
      <c r="A11" s="2">
        <v>6.0</v>
      </c>
      <c r="B11" s="2">
        <v>18.0</v>
      </c>
      <c r="C11" s="2"/>
    </row>
    <row r="12">
      <c r="A12" s="2">
        <v>7.0</v>
      </c>
      <c r="B12" s="2">
        <v>18.0</v>
      </c>
      <c r="C12" s="2"/>
    </row>
    <row r="13">
      <c r="A13" s="2">
        <v>8.0</v>
      </c>
      <c r="B13" s="2">
        <v>17.0</v>
      </c>
      <c r="C13" s="2"/>
    </row>
    <row r="14">
      <c r="A14" s="2">
        <v>9.0</v>
      </c>
      <c r="B14" s="2">
        <v>17.0</v>
      </c>
      <c r="C14" s="2"/>
    </row>
    <row r="15">
      <c r="A15" s="2">
        <v>10.0</v>
      </c>
      <c r="B15" s="2">
        <v>16.0</v>
      </c>
      <c r="C15" s="2"/>
    </row>
    <row r="16">
      <c r="A16" s="2">
        <v>11.0</v>
      </c>
      <c r="B16" s="2">
        <v>16.0</v>
      </c>
      <c r="C16" s="2"/>
    </row>
    <row r="17">
      <c r="A17" s="2">
        <v>12.0</v>
      </c>
      <c r="B17" s="2">
        <v>16.0</v>
      </c>
      <c r="C17" s="2"/>
    </row>
    <row r="18">
      <c r="A18" s="2">
        <v>13.0</v>
      </c>
      <c r="B18" s="2">
        <v>15.0</v>
      </c>
      <c r="C18" s="2"/>
    </row>
    <row r="19">
      <c r="A19" s="2">
        <v>14.0</v>
      </c>
      <c r="B19" s="2">
        <v>15.0</v>
      </c>
      <c r="C19" s="2"/>
    </row>
    <row r="20">
      <c r="A20" s="2">
        <v>15.0</v>
      </c>
      <c r="B20" s="2">
        <v>14.0</v>
      </c>
      <c r="C20" s="2"/>
    </row>
    <row r="21">
      <c r="A21" s="2">
        <v>16.0</v>
      </c>
      <c r="B21" s="2">
        <v>14.0</v>
      </c>
      <c r="C21" s="2"/>
    </row>
    <row r="22">
      <c r="A22" s="2">
        <v>17.0</v>
      </c>
      <c r="B22" s="2">
        <v>14.0</v>
      </c>
      <c r="C22" s="2"/>
    </row>
    <row r="23">
      <c r="A23" s="2">
        <v>18.0</v>
      </c>
      <c r="B23" s="2">
        <v>13.0</v>
      </c>
      <c r="C23" s="2"/>
    </row>
    <row r="24">
      <c r="A24" s="2">
        <v>19.0</v>
      </c>
      <c r="B24" s="2">
        <v>13.0</v>
      </c>
      <c r="C24" s="2"/>
    </row>
    <row r="25">
      <c r="A25" s="2">
        <v>20.0</v>
      </c>
      <c r="B25" s="2">
        <v>13.0</v>
      </c>
      <c r="C25" s="2"/>
    </row>
    <row r="26">
      <c r="A26" s="2">
        <v>21.0</v>
      </c>
      <c r="B26" s="2">
        <v>12.0</v>
      </c>
      <c r="C26" s="2"/>
    </row>
    <row r="27">
      <c r="A27" s="2">
        <v>22.0</v>
      </c>
      <c r="B27" s="2">
        <v>12.0</v>
      </c>
      <c r="C27" s="2"/>
    </row>
    <row r="28">
      <c r="A28" s="2">
        <v>23.0</v>
      </c>
      <c r="B28" s="2">
        <v>12.0</v>
      </c>
      <c r="C28" s="2"/>
    </row>
    <row r="29">
      <c r="A29" s="2">
        <v>24.0</v>
      </c>
      <c r="B29" s="2">
        <v>12.0</v>
      </c>
      <c r="C29" s="2"/>
    </row>
    <row r="30">
      <c r="A30" s="2">
        <v>25.0</v>
      </c>
      <c r="B30" s="2">
        <v>11.0</v>
      </c>
      <c r="C30" s="2"/>
    </row>
    <row r="31">
      <c r="A31" s="2">
        <v>26.0</v>
      </c>
      <c r="B31" s="2">
        <v>11.0</v>
      </c>
      <c r="C31" s="2"/>
    </row>
    <row r="32">
      <c r="A32" s="2">
        <v>27.0</v>
      </c>
      <c r="B32" s="2">
        <v>11.0</v>
      </c>
      <c r="C32" s="2"/>
    </row>
    <row r="33">
      <c r="A33" s="2">
        <v>28.0</v>
      </c>
      <c r="B33" s="2">
        <v>10.0</v>
      </c>
      <c r="C33" s="2"/>
    </row>
    <row r="34">
      <c r="A34" s="2">
        <v>29.0</v>
      </c>
      <c r="B34" s="2">
        <v>10.0</v>
      </c>
      <c r="C34" s="2"/>
    </row>
    <row r="35">
      <c r="A35" s="2">
        <v>30.0</v>
      </c>
      <c r="B35" s="2">
        <v>9.0</v>
      </c>
      <c r="C35" s="2"/>
    </row>
    <row r="36">
      <c r="A36" s="2">
        <v>31.0</v>
      </c>
      <c r="B36" s="2">
        <v>9.0</v>
      </c>
      <c r="C36" s="2"/>
    </row>
    <row r="37">
      <c r="A37" s="2">
        <v>32.0</v>
      </c>
      <c r="B37" s="2">
        <v>9.0</v>
      </c>
      <c r="C37" s="2"/>
    </row>
    <row r="38">
      <c r="A38" s="2">
        <v>33.0</v>
      </c>
      <c r="B38" s="2">
        <v>8.0</v>
      </c>
      <c r="C38" s="2"/>
    </row>
    <row r="39">
      <c r="A39" s="2">
        <v>34.0</v>
      </c>
      <c r="B39" s="2">
        <v>8.0</v>
      </c>
      <c r="C39" s="2"/>
    </row>
    <row r="40">
      <c r="A40" s="2">
        <v>35.0</v>
      </c>
      <c r="B40" s="2">
        <v>7.0</v>
      </c>
      <c r="C40" s="2"/>
    </row>
    <row r="41">
      <c r="A41" s="2">
        <v>36.0</v>
      </c>
      <c r="B41" s="2">
        <v>7.0</v>
      </c>
      <c r="C41" s="2"/>
    </row>
    <row r="42">
      <c r="A42" s="2">
        <v>37.0</v>
      </c>
      <c r="B42" s="2">
        <v>6.0</v>
      </c>
      <c r="C42" s="2"/>
    </row>
    <row r="43">
      <c r="A43" s="2">
        <v>38.0</v>
      </c>
      <c r="B43" s="2">
        <v>6.0</v>
      </c>
      <c r="C43" s="2"/>
    </row>
    <row r="44">
      <c r="A44" s="2">
        <v>39.0</v>
      </c>
      <c r="B44" s="2">
        <v>5.0</v>
      </c>
      <c r="C44" s="2"/>
    </row>
    <row r="45">
      <c r="A45" s="2">
        <v>40.0</v>
      </c>
      <c r="B45" s="2">
        <v>4.0</v>
      </c>
      <c r="C45" s="2"/>
    </row>
  </sheetData>
  <mergeCells count="1">
    <mergeCell ref="A5:B5"/>
  </mergeCells>
  <conditionalFormatting sqref="B1">
    <cfRule type="expression" dxfId="1" priority="1">
      <formula>A2=1</formula>
    </cfRule>
  </conditionalFormatting>
  <conditionalFormatting sqref="B1">
    <cfRule type="expression" dxfId="2" priority="2">
      <formula>A2&gt;=16</formula>
    </cfRule>
  </conditionalFormatting>
  <conditionalFormatting sqref="B2">
    <cfRule type="expression" dxfId="3" priority="3">
      <formula>A2=1</formula>
    </cfRule>
  </conditionalFormatting>
  <conditionalFormatting sqref="B2">
    <cfRule type="expression" dxfId="4" priority="4">
      <formula>A2&gt;=16</formula>
    </cfRule>
  </conditionalFormatting>
  <conditionalFormatting sqref="D1">
    <cfRule type="expression" dxfId="2" priority="5">
      <formula>A2=1</formula>
    </cfRule>
  </conditionalFormatting>
  <conditionalFormatting sqref="D2">
    <cfRule type="expression" dxfId="4" priority="6">
      <formula>A2=1</formula>
    </cfRule>
  </conditionalFormatting>
  <conditionalFormatting sqref="E1">
    <cfRule type="expression" dxfId="5" priority="7">
      <formula>D2=false</formula>
    </cfRule>
  </conditionalFormatting>
  <conditionalFormatting sqref="E2">
    <cfRule type="expression" dxfId="2" priority="8">
      <formula>D2=false</formula>
    </cfRule>
  </conditionalFormatting>
  <conditionalFormatting sqref="F1">
    <cfRule type="expression" dxfId="5" priority="9">
      <formula>D2=false</formula>
    </cfRule>
  </conditionalFormatting>
  <conditionalFormatting sqref="F2">
    <cfRule type="expression" dxfId="5" priority="10">
      <formula>D2=false</formula>
    </cfRule>
  </conditionalFormatting>
  <conditionalFormatting sqref="D1">
    <cfRule type="expression" dxfId="5" priority="11">
      <formula>B2=true</formula>
    </cfRule>
  </conditionalFormatting>
  <conditionalFormatting sqref="D2">
    <cfRule type="expression" dxfId="6" priority="12">
      <formula>B2=true</formula>
    </cfRule>
  </conditionalFormatting>
  <conditionalFormatting sqref="A3">
    <cfRule type="expression" dxfId="5" priority="13">
      <formula>or(B2,D2)=false</formula>
    </cfRule>
  </conditionalFormatting>
  <conditionalFormatting sqref="A4">
    <cfRule type="expression" dxfId="2" priority="14">
      <formula>or(B2,D2)=false</formula>
    </cfRule>
  </conditionalFormatting>
  <conditionalFormatting sqref="B1">
    <cfRule type="expression" dxfId="2" priority="15">
      <formula>D2=true</formula>
    </cfRule>
  </conditionalFormatting>
  <conditionalFormatting sqref="B2">
    <cfRule type="expression" dxfId="4" priority="16">
      <formula>D2=true</formula>
    </cfRule>
  </conditionalFormatting>
  <conditionalFormatting sqref="C1">
    <cfRule type="expression" dxfId="2" priority="17">
      <formula>B2=false</formula>
    </cfRule>
  </conditionalFormatting>
  <conditionalFormatting sqref="C1">
    <cfRule type="expression" dxfId="5" priority="18">
      <formula>A2&lt;9</formula>
    </cfRule>
  </conditionalFormatting>
  <conditionalFormatting sqref="C2">
    <cfRule type="expression" dxfId="5" priority="19">
      <formula>B2=false</formula>
    </cfRule>
  </conditionalFormatting>
  <conditionalFormatting sqref="C2">
    <cfRule type="expression" dxfId="5" priority="20">
      <formula>A2&lt;9</formula>
    </cfRule>
  </conditionalFormatting>
  <dataValidations>
    <dataValidation type="list" allowBlank="1" showErrorMessage="1" sqref="A4">
      <formula1>"Elim. in 2nd-3rd rds,4th Place,3rd Place,Finalist,Winner"</formula1>
    </dataValidation>
    <dataValidation type="list" allowBlank="1" showErrorMessage="1" sqref="B4">
      <formula1>"None,Impact Award,Eng. Insp. Award,Other"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535</v>
      </c>
    </row>
    <row r="2">
      <c r="A2" s="188">
        <v>9992.0</v>
      </c>
    </row>
    <row r="3">
      <c r="A3" s="188">
        <v>2832.0</v>
      </c>
    </row>
    <row r="4">
      <c r="A4" s="188">
        <v>302.0</v>
      </c>
    </row>
    <row r="5">
      <c r="A5" s="188">
        <v>7211.0</v>
      </c>
    </row>
    <row r="6">
      <c r="A6" s="189">
        <v>4779.0</v>
      </c>
    </row>
    <row r="7">
      <c r="A7" s="2">
        <v>503.0</v>
      </c>
    </row>
    <row r="8">
      <c r="A8" s="2">
        <v>3656.0</v>
      </c>
    </row>
    <row r="9">
      <c r="A9" s="2">
        <v>8280.0</v>
      </c>
    </row>
    <row r="10">
      <c r="A10" s="2">
        <v>1711.0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sheetData>
    <row r="1" ht="22.5" customHeight="1">
      <c r="A1" s="190" t="s">
        <v>536</v>
      </c>
      <c r="D1" s="191" t="s">
        <v>15</v>
      </c>
      <c r="F1" s="192"/>
      <c r="G1" s="193" t="s">
        <v>537</v>
      </c>
      <c r="I1" s="192"/>
      <c r="J1" s="194" t="s">
        <v>538</v>
      </c>
    </row>
    <row r="2">
      <c r="A2" s="195"/>
      <c r="D2" s="196">
        <v>1.0</v>
      </c>
      <c r="F2" s="192"/>
      <c r="G2" s="197"/>
      <c r="I2" s="192"/>
    </row>
    <row r="3">
      <c r="A3" s="198" t="str">
        <f>IFERROR(__xludf.DUMMYFUNCTION("Iferror(query(filter('Pre-Scouting Sign-Up'!B:B, 'Pre-Scouting Sign-Up'!A:A=D2), ""Select Col1""),"""")"),"")</f>
        <v/>
      </c>
      <c r="B3" s="198" t="str">
        <f>IFERROR(__xludf.DUMMYFUNCTION("Iferror(query(filter('Pre-Scouting Sign-Up'!C:C, 'Pre-Scouting Sign-Up'!A:A=D2), ""Select Col1""),"""")"),"")</f>
        <v/>
      </c>
      <c r="C3" s="199" t="str">
        <f>IFERROR(__xludf.DUMMYFUNCTION("iferror(query(filter('Pre-Scouting Sign-Up'!D:D, 'Pre-Scouting Sign-Up'!A:A=D2), ""Select Col1""),"""")"),"")</f>
        <v/>
      </c>
      <c r="D3" s="82"/>
      <c r="F3" s="192"/>
      <c r="G3" s="200" t="str">
        <f>IFERROR(__xludf.DUMMYFUNCTION("iferror(query(filter(#REF!, 'Pre-Scouting Sign-Up'!A:A=D2), ""Select Col1""),"""")"),"")</f>
        <v/>
      </c>
      <c r="H3" s="200" t="str">
        <f>IFERROR(__xludf.DUMMYFUNCTION("Iferror(query(filter(#REF!, 'Pre-Scouting Sign-Up'!A:A=D2), ""Select Col1""),"""")"),"")</f>
        <v/>
      </c>
      <c r="I3" s="201" t="str">
        <f>IFERROR(__xludf.DUMMYFUNCTION("Iferror(query(filter(#REF!, 'Pre-Scouting Sign-Up'!A:A=D2), ""Select Col1""),"""")"),"")</f>
        <v/>
      </c>
    </row>
    <row r="4">
      <c r="A4" s="195"/>
      <c r="D4" s="202" t="s">
        <v>77</v>
      </c>
      <c r="E4" s="203"/>
      <c r="F4" s="204"/>
      <c r="G4" s="197"/>
      <c r="J4" s="205"/>
    </row>
    <row r="5">
      <c r="A5" s="66" t="str">
        <f>IFERROR(__xludf.DUMMYFUNCTION("filter('Pre-Scouting - Saline'!C:C,'Pre-Scouting - Saline'!B:B=A3)"),"#REF!")</f>
        <v>#REF!</v>
      </c>
      <c r="B5" s="66" t="str">
        <f>IFERROR(__xludf.DUMMYFUNCTION("filter('Pre-Scouting - Saline'!C:C,'Pre-Scouting - Saline'!B:B=B3)"),"#REF!")</f>
        <v>#REF!</v>
      </c>
      <c r="C5" s="206" t="str">
        <f>IFERROR(__xludf.DUMMYFUNCTION("filter('Pre-Scouting - Saline'!C:C,'Pre-Scouting - Saline'!B:B=C3)"),"#REF!")</f>
        <v>#REF!</v>
      </c>
      <c r="D5" s="80" t="s">
        <v>91</v>
      </c>
      <c r="F5" s="192"/>
      <c r="G5" s="66" t="str">
        <f>IFERROR(__xludf.DUMMYFUNCTION("filter('Pre-Scouting - Saline'!C:C,'Pre-Scouting - Saline'!B:B=G3)"),"#REF!")</f>
        <v>#REF!</v>
      </c>
      <c r="H5" s="66" t="str">
        <f>IFERROR(__xludf.DUMMYFUNCTION("filter('Pre-Scouting - Saline'!C:C,'Pre-Scouting - Saline'!B:B=H3)"),"#REF!")</f>
        <v>#REF!</v>
      </c>
      <c r="I5" s="66" t="str">
        <f>IFERROR(__xludf.DUMMYFUNCTION("filter('Pre-Scouting - Saline'!C:C,'Pre-Scouting - Saline'!B:B=I3)"),"#REF!")</f>
        <v>#REF!</v>
      </c>
      <c r="J5" s="207"/>
    </row>
    <row r="6">
      <c r="A6" s="208" t="str">
        <f>IFERROR(__xludf.DUMMYFUNCTION("filter('Pre-Scouting - Saline'!G:G,'Pre-Scouting - Saline'!B:B=A3)"),"#REF!")</f>
        <v>#REF!</v>
      </c>
      <c r="B6" s="208" t="str">
        <f>IFERROR(__xludf.DUMMYFUNCTION("filter('Pre-Scouting - Saline'!G:G,'Pre-Scouting - Saline'!B:B=B3)"),"#REF!")</f>
        <v>#REF!</v>
      </c>
      <c r="C6" s="209" t="str">
        <f>IFERROR(__xludf.DUMMYFUNCTION("filter('Pre-Scouting - Saline'!G:G,'Pre-Scouting - Saline'!B:B=C3)"),"#REF!")</f>
        <v>#REF!</v>
      </c>
      <c r="D6" s="80" t="s">
        <v>539</v>
      </c>
      <c r="F6" s="192"/>
      <c r="G6" s="68" t="str">
        <f>IFERROR(__xludf.DUMMYFUNCTION("filter('Pre-Scouting - Saline'!G:G,'Pre-Scouting - Saline'!B:B=G3)"),"#REF!")</f>
        <v>#REF!</v>
      </c>
      <c r="H6" s="68" t="str">
        <f>IFERROR(__xludf.DUMMYFUNCTION("filter('Pre-Scouting - Saline'!G:G,'Pre-Scouting - Saline'!B:B=H3)"),"#REF!")</f>
        <v>#REF!</v>
      </c>
      <c r="I6" s="68" t="str">
        <f>IFERROR(__xludf.DUMMYFUNCTION("filter('Pre-Scouting - Saline'!G:G,'Pre-Scouting - Saline'!B:B=I3)"),"#REF!")</f>
        <v>#REF!</v>
      </c>
      <c r="J6" s="207"/>
    </row>
    <row r="7">
      <c r="A7" s="210" t="str">
        <f>IFERROR(__xludf.DUMMYFUNCTION("filter('Pre-Scouting - Saline'!L:L,'Pre-Scouting - Saline'!B:B=A3)"),"#REF!")</f>
        <v>#REF!</v>
      </c>
      <c r="B7" s="210" t="str">
        <f>IFERROR(__xludf.DUMMYFUNCTION("filter('Pre-Scouting - Saline'!L:L,'Pre-Scouting - Saline'!B:B=B3)"),"#REF!")</f>
        <v>#REF!</v>
      </c>
      <c r="C7" s="209" t="str">
        <f>IFERROR(__xludf.DUMMYFUNCTION("filter('Pre-Scouting - Saline'!L:L,'Pre-Scouting - Saline'!B:B=C3)"),"#REF!")</f>
        <v>#REF!</v>
      </c>
      <c r="D7" s="80" t="s">
        <v>540</v>
      </c>
      <c r="F7" s="192"/>
      <c r="G7" s="68" t="str">
        <f>IFERROR(__xludf.DUMMYFUNCTION("filter('Pre-Scouting - Saline'!L:L,'Pre-Scouting - Saline'!B:B=G3)"),"#REF!")</f>
        <v>#REF!</v>
      </c>
      <c r="H7" s="68" t="str">
        <f>IFERROR(__xludf.DUMMYFUNCTION("filter('Pre-Scouting - Saline'!L:L,'Pre-Scouting - Saline'!B:B=H3)"),"#REF!")</f>
        <v>#REF!</v>
      </c>
      <c r="I7" s="68" t="str">
        <f>IFERROR(__xludf.DUMMYFUNCTION("filter('Pre-Scouting - Saline'!L:L,'Pre-Scouting - Saline'!B:B=I3)"),"#REF!")</f>
        <v>#REF!</v>
      </c>
      <c r="J7" s="205"/>
    </row>
    <row r="8">
      <c r="A8" s="208" t="str">
        <f>IFERROR(__xludf.DUMMYFUNCTION("filter('Pre-Scouting - Saline'!Q:Q,'Pre-Scouting - Saline'!B:B=A3)"),"#REF!")</f>
        <v>#REF!</v>
      </c>
      <c r="B8" s="68" t="str">
        <f>IFERROR(__xludf.DUMMYFUNCTION("filter('Pre-Scouting - Saline'!Q:Q,'Pre-Scouting - Saline'!B:B=B3)"),"#REF!")</f>
        <v>#REF!</v>
      </c>
      <c r="C8" s="209" t="str">
        <f>IFERROR(__xludf.DUMMYFUNCTION("filter('Pre-Scouting - Saline'!Q:Q,'Pre-Scouting - Saline'!B:B=C3)"),"#REF!")</f>
        <v>#REF!</v>
      </c>
      <c r="D8" s="211" t="s">
        <v>541</v>
      </c>
      <c r="F8" s="192"/>
      <c r="G8" s="68" t="str">
        <f>IFERROR(__xludf.DUMMYFUNCTION("filter('Pre-Scouting - Saline'!Q:Q,'Pre-Scouting - Saline'!B:B=G3)"),"#REF!")</f>
        <v>#REF!</v>
      </c>
      <c r="H8" s="68" t="str">
        <f>IFERROR(__xludf.DUMMYFUNCTION("filter('Pre-Scouting - Saline'!Q:Q,'Pre-Scouting - Saline'!B:B=H3)"),"#REF!")</f>
        <v>#REF!</v>
      </c>
      <c r="I8" s="68" t="str">
        <f>IFERROR(__xludf.DUMMYFUNCTION("filter('Pre-Scouting - Saline'!Q:Q,'Pre-Scouting - Saline'!B:B=I3)"),"#REF!")</f>
        <v>#REF!</v>
      </c>
      <c r="J8" s="205"/>
    </row>
    <row r="9">
      <c r="A9" s="68" t="str">
        <f>IFERROR(__xludf.DUMMYFUNCTION("filter('Pre-Scouting - Saline'!V:V,'Pre-Scouting - Saline'!B:B=A3)"),"#REF!")</f>
        <v>#REF!</v>
      </c>
      <c r="B9" s="68" t="str">
        <f>IFERROR(__xludf.DUMMYFUNCTION("filter('Pre-Scouting - Saline'!V:V,'Pre-Scouting - Saline'!B:B=B3)"),"#REF!")</f>
        <v>#REF!</v>
      </c>
      <c r="C9" s="68" t="str">
        <f>IFERROR(__xludf.DUMMYFUNCTION("filter('Pre-Scouting - Saline'!V:V,'Pre-Scouting - Saline'!B:B=C3)"),"#REF!")</f>
        <v>#REF!</v>
      </c>
      <c r="D9" s="212" t="s">
        <v>542</v>
      </c>
      <c r="F9" s="192"/>
      <c r="G9" s="68" t="str">
        <f>IFERROR(__xludf.DUMMYFUNCTION("filter('Pre-Scouting - Saline'!V:V,'Pre-Scouting - Saline'!B:B=G3)"),"#REF!")</f>
        <v>#REF!</v>
      </c>
      <c r="H9" s="68" t="str">
        <f>IFERROR(__xludf.DUMMYFUNCTION("filter('Pre-Scouting - Saline'!V:V,'Pre-Scouting - Saline'!B:B=H3)"),"#REF!")</f>
        <v>#REF!</v>
      </c>
      <c r="I9" s="68" t="str">
        <f>IFERROR(__xludf.DUMMYFUNCTION("filter('Pre-Scouting - Saline'!V:V,'Pre-Scouting - Saline'!B:B=I3)"),"#REF!")</f>
        <v>#REF!</v>
      </c>
      <c r="J9" s="213"/>
    </row>
    <row r="10">
      <c r="A10" s="60" t="str">
        <f>IFERROR(__xludf.DUMMYFUNCTION("filter('Pre-Scouting - Saline'!AA:AA,'Pre-Scouting - Saline'!B:B=A3)"),"#REF!")</f>
        <v>#REF!</v>
      </c>
      <c r="B10" s="60" t="str">
        <f>IFERROR(__xludf.DUMMYFUNCTION("filter('Pre-Scouting - Saline'!AA:AA,'Pre-Scouting - Saline'!B:B=B3)"),"#REF!")</f>
        <v>#REF!</v>
      </c>
      <c r="C10" s="60" t="str">
        <f>IFERROR(__xludf.DUMMYFUNCTION("filter('Pre-Scouting - Saline'!AA:AA,'Pre-Scouting - Saline'!B:B=C3)"),"#REF!")</f>
        <v>#REF!</v>
      </c>
      <c r="D10" s="212" t="s">
        <v>543</v>
      </c>
      <c r="F10" s="192"/>
      <c r="G10" s="60" t="str">
        <f>IFERROR(__xludf.DUMMYFUNCTION("filter('Pre-Scouting - Saline'!AA:AA,'Pre-Scouting - Saline'!B:B=G3)"),"#REF!")</f>
        <v>#REF!</v>
      </c>
      <c r="H10" s="60" t="str">
        <f>IFERROR(__xludf.DUMMYFUNCTION("filter('Pre-Scouting - Saline'!AA:AA,'Pre-Scouting - Saline'!B:B=H3)"),"#REF!")</f>
        <v>#REF!</v>
      </c>
      <c r="I10" s="60" t="str">
        <f>IFERROR(__xludf.DUMMYFUNCTION("filter('Pre-Scouting - Saline'!AA:AA,'Pre-Scouting - Saline'!B:B=I3)"),"#REF!")</f>
        <v>#REF!</v>
      </c>
      <c r="J10" s="207"/>
    </row>
    <row r="11">
      <c r="A11" s="68" t="str">
        <f>IFERROR(__xludf.DUMMYFUNCTION("filter('Pre-Scouting - Saline'!AF:AF,'Pre-Scouting - Saline'!B:B=A3)"),"#REF!")</f>
        <v>#REF!</v>
      </c>
      <c r="B11" s="68" t="str">
        <f>IFERROR(__xludf.DUMMYFUNCTION("filter('Pre-Scouting - Saline'!AF:AF,'Pre-Scouting - Saline'!B:B=B3)"),"#REF!")</f>
        <v>#REF!</v>
      </c>
      <c r="C11" s="209" t="str">
        <f>IFERROR(__xludf.DUMMYFUNCTION("filter('Pre-Scouting - Saline'!AF:AF,'Pre-Scouting - Saline'!B:B=C3)"),"#REF!")</f>
        <v>#REF!</v>
      </c>
      <c r="D11" s="211" t="s">
        <v>544</v>
      </c>
      <c r="F11" s="192"/>
      <c r="G11" s="68" t="str">
        <f>IFERROR(__xludf.DUMMYFUNCTION("filter('Pre-Scouting - Saline'!AF:AF,'Pre-Scouting - Saline'!B:B=G3)"),"#REF!")</f>
        <v>#REF!</v>
      </c>
      <c r="H11" s="68" t="str">
        <f>IFERROR(__xludf.DUMMYFUNCTION("filter('Pre-Scouting - Saline'!AF:AF,'Pre-Scouting - Saline'!B:B=H3)"),"#REF!")</f>
        <v>#REF!</v>
      </c>
      <c r="I11" s="68" t="str">
        <f>IFERROR(__xludf.DUMMYFUNCTION("filter('Pre-Scouting - Saline'!AF:AF,'Pre-Scouting - Saline'!B:B=I3)"),"#REF!")</f>
        <v>#REF!</v>
      </c>
      <c r="J11" s="205"/>
    </row>
    <row r="12">
      <c r="A12" s="68" t="str">
        <f>IFERROR(__xludf.DUMMYFUNCTION("filter('Pre-Scouting - Saline'!AH:AH,'Pre-Scouting - Saline'!B:B=A3)"),"#REF!")</f>
        <v>#REF!</v>
      </c>
      <c r="B12" s="68" t="str">
        <f>IFERROR(__xludf.DUMMYFUNCTION("filter('Pre-Scouting - Saline'!AH:AH,'Pre-Scouting - Saline'!B:B=B3)"),"#REF!")</f>
        <v>#REF!</v>
      </c>
      <c r="C12" s="209" t="str">
        <f>IFERROR(__xludf.DUMMYFUNCTION("filter('Pre-Scouting - Saline'!AH:AH,'Pre-Scouting - Saline'!B:B=C3)"),"#REF!")</f>
        <v>#REF!</v>
      </c>
      <c r="D12" s="211" t="s">
        <v>545</v>
      </c>
      <c r="F12" s="192"/>
      <c r="G12" s="68" t="str">
        <f>IFERROR(__xludf.DUMMYFUNCTION("filter('Pre-Scouting - Saline'!AH:AH,'Pre-Scouting - Saline'!B:B=G3)"),"#REF!")</f>
        <v>#REF!</v>
      </c>
      <c r="H12" s="68" t="str">
        <f>IFERROR(__xludf.DUMMYFUNCTION("filter('Pre-Scouting - Saline'!AH:AH,'Pre-Scouting - Saline'!B:B=H3)"),"#REF!")</f>
        <v>#REF!</v>
      </c>
      <c r="I12" s="68" t="str">
        <f>IFERROR(__xludf.DUMMYFUNCTION("filter('Pre-Scouting - Saline'!AH:AH,'Pre-Scouting - Saline'!B:B=I3)"),"#REF!")</f>
        <v>#REF!</v>
      </c>
      <c r="J12" s="214"/>
    </row>
    <row r="13">
      <c r="A13" s="68" t="str">
        <f>IFERROR(__xludf.DUMMYFUNCTION("filter('Pre-Scouting - Saline'!AI:AI,'Pre-Scouting - Saline'!B:B=A3)"),"#REF!")</f>
        <v>#REF!</v>
      </c>
      <c r="B13" s="68" t="str">
        <f>IFERROR(__xludf.DUMMYFUNCTION("filter('Pre-Scouting - Saline'!AI:AI,'Pre-Scouting - Saline'!B:B=B3)"),"#REF!")</f>
        <v>#REF!</v>
      </c>
      <c r="C13" s="209" t="str">
        <f>IFERROR(__xludf.DUMMYFUNCTION("filter('Pre-Scouting - Saline'!AI:AI,'Pre-Scouting - Saline'!B:B=C3)"),"#REF!")</f>
        <v>#REF!</v>
      </c>
      <c r="D13" s="215" t="s">
        <v>546</v>
      </c>
      <c r="E13" s="216"/>
      <c r="F13" s="217"/>
      <c r="G13" s="68" t="str">
        <f>IFERROR(__xludf.DUMMYFUNCTION("filter('Pre-Scouting - Saline'!AI:AI,'Pre-Scouting - Saline'!B:B=G3)"),"#REF!")</f>
        <v>#REF!</v>
      </c>
      <c r="H13" s="68" t="str">
        <f>IFERROR(__xludf.DUMMYFUNCTION("filter('Pre-Scouting - Saline'!AI:AI,'Pre-Scouting - Saline'!B:B=H3)"),"#REF!")</f>
        <v>#REF!</v>
      </c>
      <c r="I13" s="68" t="str">
        <f>IFERROR(__xludf.DUMMYFUNCTION("filter('Pre-Scouting - Saline'!AI:AI,'Pre-Scouting - Saline'!B:B=I3)"),"#REF!")</f>
        <v>#REF!</v>
      </c>
      <c r="J13" s="207"/>
    </row>
    <row r="14">
      <c r="A14" s="218"/>
      <c r="D14" s="219" t="s">
        <v>474</v>
      </c>
      <c r="E14" s="203"/>
      <c r="F14" s="204"/>
      <c r="G14" s="220"/>
      <c r="J14" s="205"/>
    </row>
    <row r="15">
      <c r="A15" s="68" t="str">
        <f>IFERROR(__xludf.DUMMYFUNCTION("filter('Pre-Scouting - Saline'!AM:AM,'Pre-Scouting - Saline'!B:B=A3)"),"#REF!")</f>
        <v>#REF!</v>
      </c>
      <c r="B15" s="68" t="str">
        <f>IFERROR(__xludf.DUMMYFUNCTION("filter('Pre-Scouting - Saline'!AM:AM,'Pre-Scouting - Saline'!B:B=B3)"),"#REF!")</f>
        <v>#REF!</v>
      </c>
      <c r="C15" s="68" t="str">
        <f>IFERROR(__xludf.DUMMYFUNCTION("filter('Pre-Scouting - Saline'!AM:AM,'Pre-Scouting - Saline'!B:B=C3)"),"#REF!")</f>
        <v>#REF!</v>
      </c>
      <c r="D15" s="221" t="s">
        <v>539</v>
      </c>
      <c r="E15" s="222"/>
      <c r="F15" s="223"/>
      <c r="G15" s="208" t="str">
        <f>IFERROR(__xludf.DUMMYFUNCTION("filter('Pre-Scouting - Saline'!AM:AM,'Pre-Scouting - Saline'!B:B=G3)"),"#REF!")</f>
        <v>#REF!</v>
      </c>
      <c r="H15" s="68" t="str">
        <f>IFERROR(__xludf.DUMMYFUNCTION("filter('Pre-Scouting - Saline'!AM:AM,'Pre-Scouting - Saline'!B:B=H3)"),"#REF!")</f>
        <v>#REF!</v>
      </c>
      <c r="I15" s="68" t="str">
        <f>IFERROR(__xludf.DUMMYFUNCTION("filter('Pre-Scouting - Saline'!AM:AM,'Pre-Scouting - Saline'!B:B=I3)"),"#REF!")</f>
        <v>#REF!</v>
      </c>
      <c r="J15" s="207"/>
    </row>
    <row r="16">
      <c r="A16" s="60" t="str">
        <f>IFERROR(__xludf.DUMMYFUNCTION("filter('Pre-Scouting - Saline'!AR:AR,'Pre-Scouting - Saline'!B:B=A3)"),"#REF!")</f>
        <v>#REF!</v>
      </c>
      <c r="B16" s="60" t="str">
        <f>IFERROR(__xludf.DUMMYFUNCTION("filter('Pre-Scouting - Saline'!AR:AR,'Pre-Scouting - Saline'!B:B=B3)"),"#REF!")</f>
        <v>#REF!</v>
      </c>
      <c r="C16" s="60" t="str">
        <f>IFERROR(__xludf.DUMMYFUNCTION("filter('Pre-Scouting - Saline'!AR:AR,'Pre-Scouting - Saline'!B:B=C3)"),"#REF!")</f>
        <v>#REF!</v>
      </c>
      <c r="D16" s="212" t="s">
        <v>540</v>
      </c>
      <c r="F16" s="192"/>
      <c r="G16" s="60" t="str">
        <f>IFERROR(__xludf.DUMMYFUNCTION("filter('Pre-Scouting - Saline'!AR:AR,'Pre-Scouting - Saline'!B:B=G3)"),"#REF!")</f>
        <v>#REF!</v>
      </c>
      <c r="H16" s="60" t="str">
        <f>IFERROR(__xludf.DUMMYFUNCTION("filter('Pre-Scouting - Saline'!AR:AR,'Pre-Scouting - Saline'!B:B=H3)"),"#REF!")</f>
        <v>#REF!</v>
      </c>
      <c r="I16" s="60" t="str">
        <f>IFERROR(__xludf.DUMMYFUNCTION("filter('Pre-Scouting - Saline'!AR:AR,'Pre-Scouting - Saline'!B:B=I3)"),"#REF!")</f>
        <v>#REF!</v>
      </c>
      <c r="J16" s="66"/>
    </row>
    <row r="17">
      <c r="A17" s="224" t="str">
        <f>IFERROR(__xludf.DUMMYFUNCTION("filter('Pre-Scouting - Saline'!AW:AW,'Pre-Scouting - Saline'!B:B=A3)"),"#REF!")</f>
        <v>#REF!</v>
      </c>
      <c r="B17" s="68" t="str">
        <f>IFERROR(__xludf.DUMMYFUNCTION("filter('Pre-Scouting - Saline'!AW:AW,'Pre-Scouting - Saline'!B:B=B3)"),"#REF!")</f>
        <v>#REF!</v>
      </c>
      <c r="C17" s="68" t="str">
        <f>IFERROR(__xludf.DUMMYFUNCTION("filter('Pre-Scouting - Saline'!AW:AW,'Pre-Scouting - Saline'!B:B=C3)"),"#REF!")</f>
        <v>#REF!</v>
      </c>
      <c r="D17" s="211" t="s">
        <v>541</v>
      </c>
      <c r="F17" s="192"/>
      <c r="G17" s="68" t="str">
        <f>IFERROR(__xludf.DUMMYFUNCTION("filter('Pre-Scouting - Saline'!AW:AW,'Pre-Scouting - Saline'!B:B=G3)"),"#REF!")</f>
        <v>#REF!</v>
      </c>
      <c r="H17" s="68" t="str">
        <f>IFERROR(__xludf.DUMMYFUNCTION("filter('Pre-Scouting - Saline'!AW:AW,'Pre-Scouting - Saline'!B:B=H3)"),"#REF!")</f>
        <v>#REF!</v>
      </c>
      <c r="I17" s="68" t="str">
        <f>IFERROR(__xludf.DUMMYFUNCTION("filter('Pre-Scouting - Saline'!AW:AW,'Pre-Scouting - Saline'!B:B=I3)"),"#REF!")</f>
        <v>#REF!</v>
      </c>
    </row>
    <row r="18">
      <c r="A18" s="68" t="str">
        <f>IFERROR(__xludf.DUMMYFUNCTION("filter('Pre-Scouting - Saline'!BB:BB,'Pre-Scouting - Saline'!B:B=A3)"),"#REF!")</f>
        <v>#REF!</v>
      </c>
      <c r="B18" s="68" t="str">
        <f>IFERROR(__xludf.DUMMYFUNCTION("filter('Pre-Scouting - Saline'!BB:BB,'Pre-Scouting - Saline'!B:B=B3)"),"#REF!")</f>
        <v>#REF!</v>
      </c>
      <c r="C18" s="68" t="str">
        <f>IFERROR(__xludf.DUMMYFUNCTION("filter('Pre-Scouting - Saline'!BB:BB,'Pre-Scouting - Saline'!B:B=C3)"),"#REF!")</f>
        <v>#REF!</v>
      </c>
      <c r="D18" s="212" t="s">
        <v>542</v>
      </c>
      <c r="F18" s="192"/>
      <c r="G18" s="68" t="str">
        <f>IFERROR(__xludf.DUMMYFUNCTION("filter('Pre-Scouting - Saline'!BB:BB,'Pre-Scouting - Saline'!B:B=G3)"),"#REF!")</f>
        <v>#REF!</v>
      </c>
      <c r="H18" s="68" t="str">
        <f>IFERROR(__xludf.DUMMYFUNCTION("filter('Pre-Scouting - Saline'!BB:BB,'Pre-Scouting - Saline'!B:B=H3)"),"#REF!")</f>
        <v>#REF!</v>
      </c>
      <c r="I18" s="68" t="str">
        <f>IFERROR(__xludf.DUMMYFUNCTION("filter('Pre-Scouting - Saline'!BB:BB,'Pre-Scouting - Saline'!B:B=I3)"),"#REF!")</f>
        <v>#REF!</v>
      </c>
    </row>
    <row r="19">
      <c r="A19" s="68" t="str">
        <f>IFERROR(__xludf.DUMMYFUNCTION("filter('Pre-Scouting - Saline'!BG:BG,'Pre-Scouting - Saline'!B:B=A3)"),"#REF!")</f>
        <v>#REF!</v>
      </c>
      <c r="B19" s="68" t="str">
        <f>IFERROR(__xludf.DUMMYFUNCTION("filter('Pre-Scouting - Saline'!BG:BG,'Pre-Scouting - Saline'!B:B=B3)"),"#REF!")</f>
        <v>#REF!</v>
      </c>
      <c r="C19" s="68" t="str">
        <f>IFERROR(__xludf.DUMMYFUNCTION("filter('Pre-Scouting - Saline'!BG:BG,'Pre-Scouting - Saline'!B:B=C3)"),"#REF!")</f>
        <v>#REF!</v>
      </c>
      <c r="D19" s="212" t="s">
        <v>543</v>
      </c>
      <c r="F19" s="192"/>
      <c r="G19" s="68" t="str">
        <f>IFERROR(__xludf.DUMMYFUNCTION("filter('Pre-Scouting - Saline'!BG:BG,'Pre-Scouting - Saline'!B:B=G3)"),"#REF!")</f>
        <v>#REF!</v>
      </c>
      <c r="H19" s="224" t="str">
        <f>IFERROR(__xludf.DUMMYFUNCTION("filter('Pre-Scouting - Saline'!BG:BG,'Pre-Scouting - Saline'!B:B=H3)"),"#REF!")</f>
        <v>#REF!</v>
      </c>
      <c r="I19" s="68" t="str">
        <f>IFERROR(__xludf.DUMMYFUNCTION("filter('Pre-Scouting - Saline'!BG:BG,'Pre-Scouting - Saline'!B:B=I3)"),"#REF!")</f>
        <v>#REF!</v>
      </c>
      <c r="J19" s="225">
        <f>if(B28=3322,1,0)+if(C28=3322,1,0)+if(D28=3322,1,0)</f>
        <v>0</v>
      </c>
    </row>
    <row r="20">
      <c r="A20" s="68" t="str">
        <f>IFERROR(__xludf.DUMMYFUNCTION("filter('Pre-Scouting - Saline'!BL:BL,'Pre-Scouting - Saline'!B:B=A3)"),"#REF!")</f>
        <v>#REF!</v>
      </c>
      <c r="B20" s="68" t="str">
        <f>IFERROR(__xludf.DUMMYFUNCTION("filter('Pre-Scouting - Saline'!BL:BL,'Pre-Scouting - Saline'!B:B=B3)"),"#REF!")</f>
        <v>#REF!</v>
      </c>
      <c r="C20" s="68" t="str">
        <f>IFERROR(__xludf.DUMMYFUNCTION("filter('Pre-Scouting - Saline'!BL:BL,'Pre-Scouting - Saline'!B:B=C3)"),"#REF!")</f>
        <v>#REF!</v>
      </c>
      <c r="D20" s="211" t="s">
        <v>544</v>
      </c>
      <c r="F20" s="192"/>
      <c r="G20" s="226" t="str">
        <f>IFERROR(__xludf.DUMMYFUNCTION("filter('Pre-Scouting - Saline'!BL:BL,'Pre-Scouting - Saline'!B:B=G3)"),"#REF!")</f>
        <v>#REF!</v>
      </c>
      <c r="H20" s="226" t="str">
        <f>IFERROR(__xludf.DUMMYFUNCTION("filter('Pre-Scouting - Saline'!BL:BL,'Pre-Scouting - Saline'!B:B=H3)"),"#REF!")</f>
        <v>#REF!</v>
      </c>
      <c r="I20" s="226" t="str">
        <f>IFERROR(__xludf.DUMMYFUNCTION("filter('Pre-Scouting - Saline'!BL:BL,'Pre-Scouting - Saline'!B:B=I3)"),"#REF!")</f>
        <v>#REF!</v>
      </c>
      <c r="J20" s="225"/>
      <c r="K20" s="225"/>
    </row>
    <row r="21">
      <c r="A21" s="60" t="str">
        <f>IFERROR(__xludf.DUMMYFUNCTION("filter('Pre-Scouting - Saline'!BN:BN,'Pre-Scouting - Saline'!B:B=A3)"),"#REF!")</f>
        <v>#REF!</v>
      </c>
      <c r="B21" s="60" t="str">
        <f>IFERROR(__xludf.DUMMYFUNCTION("filter('Pre-Scouting - Saline'!BN:BN,'Pre-Scouting - Saline'!B:B=B3)"),"#REF!")</f>
        <v>#REF!</v>
      </c>
      <c r="C21" s="60" t="str">
        <f>IFERROR(__xludf.DUMMYFUNCTION("filter('Pre-Scouting - Saline'!BN:BN,'Pre-Scouting - Saline'!B:B=C3)"),"#REF!")</f>
        <v>#REF!</v>
      </c>
      <c r="D21" s="211" t="s">
        <v>545</v>
      </c>
      <c r="F21" s="192"/>
      <c r="G21" s="60" t="str">
        <f>IFERROR(__xludf.DUMMYFUNCTION("filter('Pre-Scouting - Saline'!BN:BN,'Pre-Scouting - Saline'!B:B=G3)"),"#REF!")</f>
        <v>#REF!</v>
      </c>
      <c r="H21" s="60" t="str">
        <f>IFERROR(__xludf.DUMMYFUNCTION("filter('Pre-Scouting - Saline'!BN:BN,'Pre-Scouting - Saline'!B:B=H3)"),"#REF!")</f>
        <v>#REF!</v>
      </c>
      <c r="I21" s="60" t="str">
        <f>IFERROR(__xludf.DUMMYFUNCTION("filter('Pre-Scouting - Saline'!BN:BN,'Pre-Scouting - Saline'!B:B=I3)"),"#REF!")</f>
        <v>#REF!</v>
      </c>
    </row>
    <row r="22">
      <c r="A22" s="60" t="str">
        <f>IFERROR(__xludf.DUMMYFUNCTION("filter('Pre-Scouting - Saline'!BO:BO,'Pre-Scouting - Saline'!B:B=A3)"),"#REF!")</f>
        <v>#REF!</v>
      </c>
      <c r="B22" s="60" t="str">
        <f>IFERROR(__xludf.DUMMYFUNCTION("filter('Pre-Scouting - Saline'!BO:BO,'Pre-Scouting - Saline'!B:B=B3)"),"#REF!")</f>
        <v>#REF!</v>
      </c>
      <c r="C22" s="60" t="str">
        <f>IFERROR(__xludf.DUMMYFUNCTION("filter('Pre-Scouting - Saline'!BO:BO,'Pre-Scouting - Saline'!B:B=C3)"),"#REF!")</f>
        <v>#REF!</v>
      </c>
      <c r="D22" s="215" t="s">
        <v>546</v>
      </c>
      <c r="E22" s="216"/>
      <c r="F22" s="217"/>
      <c r="G22" s="60" t="str">
        <f>IFERROR(__xludf.DUMMYFUNCTION("filter('Pre-Scouting - Saline'!BO:BO,'Pre-Scouting - Saline'!B:B=G3)"),"#REF!")</f>
        <v>#REF!</v>
      </c>
      <c r="H22" s="60" t="str">
        <f>IFERROR(__xludf.DUMMYFUNCTION("filter('Pre-Scouting - Saline'!BO:BO,'Pre-Scouting - Saline'!B:B=H3)"),"#REF!")</f>
        <v>#REF!</v>
      </c>
      <c r="I22" s="60" t="str">
        <f>IFERROR(__xludf.DUMMYFUNCTION("filter('Pre-Scouting - Saline'!BO:BO,'Pre-Scouting - Saline'!B:B=I3)"),"#REF!")</f>
        <v>#REF!</v>
      </c>
    </row>
    <row r="23">
      <c r="A23" s="227"/>
      <c r="D23" s="202" t="s">
        <v>450</v>
      </c>
      <c r="E23" s="203"/>
      <c r="F23" s="204"/>
      <c r="G23" s="228"/>
    </row>
    <row r="24">
      <c r="A24" s="208" t="str">
        <f>IFERROR(__xludf.DUMMYFUNCTION("filter('Pre-Scouting - Saline'!BR:BR,'Pre-Scouting - Saline'!B:B=A3)"),"#REF!")</f>
        <v>#REF!</v>
      </c>
      <c r="B24" s="60" t="str">
        <f>IFERROR(__xludf.DUMMYFUNCTION("filter('Pre-Scouting - Saline'!BR:BR,'Pre-Scouting - Saline'!B:B=B3)"),"#REF!")</f>
        <v>#REF!</v>
      </c>
      <c r="C24" s="60" t="str">
        <f>IFERROR(__xludf.DUMMYFUNCTION("filter('Pre-Scouting - Saline'!BR:BR,'Pre-Scouting - Saline'!B:B=C3)"),"#REF!")</f>
        <v>#REF!</v>
      </c>
      <c r="D24" s="229" t="s">
        <v>547</v>
      </c>
      <c r="F24" s="192"/>
      <c r="G24" s="60" t="str">
        <f>IFERROR(__xludf.DUMMYFUNCTION("filter('Pre-Scouting - Saline'!BR:BR,'Pre-Scouting - Saline'!B:B=G3)"),"#REF!")</f>
        <v>#REF!</v>
      </c>
      <c r="H24" s="60" t="str">
        <f>IFERROR(__xludf.DUMMYFUNCTION("filter('Pre-Scouting - Saline'!BR:BR,'Pre-Scouting - Saline'!B:B=H3)"),"#REF!")</f>
        <v>#REF!</v>
      </c>
      <c r="I24" s="60" t="str">
        <f>IFERROR(__xludf.DUMMYFUNCTION("filter('Pre-Scouting - Saline'!BR:BR,'Pre-Scouting - Saline'!B:B=I3)"),"#REF!")</f>
        <v>#REF!</v>
      </c>
    </row>
    <row r="25">
      <c r="A25" s="60" t="str">
        <f>IFERROR(__xludf.DUMMYFUNCTION("filter('Pre-Scouting - Saline'!BS:BS,'Pre-Scouting - Saline'!B:B=A3)"),"#REF!")</f>
        <v>#REF!</v>
      </c>
      <c r="B25" s="60" t="str">
        <f>IFERROR(__xludf.DUMMYFUNCTION("filter('Pre-Scouting - Saline'!BS:BS,'Pre-Scouting - Saline'!B:B=B3)"),"#REF!")</f>
        <v>#REF!</v>
      </c>
      <c r="C25" s="60" t="str">
        <f>IFERROR(__xludf.DUMMYFUNCTION("filter('Pre-Scouting - Saline'!BS:BS,'Pre-Scouting - Saline'!B:B=C3)"),"#REF!")</f>
        <v>#REF!</v>
      </c>
      <c r="D25" s="229" t="s">
        <v>548</v>
      </c>
      <c r="F25" s="192"/>
      <c r="G25" s="60" t="str">
        <f>IFERROR(__xludf.DUMMYFUNCTION("filter('Pre-Scouting - Saline'!BS:BS,'Pre-Scouting - Saline'!B:B=G3)"),"#REF!")</f>
        <v>#REF!</v>
      </c>
      <c r="H25" s="60" t="str">
        <f>IFERROR(__xludf.DUMMYFUNCTION("filter('Pre-Scouting - Saline'!BS:BS,'Pre-Scouting - Saline'!B:B=H3)"),"#REF!")</f>
        <v>#REF!</v>
      </c>
      <c r="I25" s="60" t="str">
        <f>IFERROR(__xludf.DUMMYFUNCTION("filter('Pre-Scouting - Saline'!BS:BS,'Pre-Scouting - Saline'!B:B=I3)"),"#REF!")</f>
        <v>#REF!</v>
      </c>
    </row>
    <row r="26">
      <c r="A26" s="60" t="str">
        <f>IFERROR(__xludf.DUMMYFUNCTION("filter('Pre-Scouting - Saline'!BP:BP,'Pre-Scouting - Saline'!B:B=A3)"),"#REF!")</f>
        <v>#REF!</v>
      </c>
      <c r="B26" s="60" t="str">
        <f>IFERROR(__xludf.DUMMYFUNCTION("filter('Pre-Scouting - Saline'!BP:BP,'Pre-Scouting - Saline'!B:B=B3)"),"#REF!")</f>
        <v>#REF!</v>
      </c>
      <c r="C26" s="60" t="str">
        <f>IFERROR(__xludf.DUMMYFUNCTION("filter('Pre-Scouting - Saline'!BP:BP,'Pre-Scouting - Saline'!B:B=C3)"),"#REF!")</f>
        <v>#REF!</v>
      </c>
      <c r="D26" s="229" t="s">
        <v>99</v>
      </c>
      <c r="F26" s="192"/>
      <c r="G26" s="60" t="str">
        <f>IFERROR(__xludf.DUMMYFUNCTION("filter('Pre-Scouting - Saline'!BP:BP,'Pre-Scouting - Saline'!B:B=G3)"),"#REF!")</f>
        <v>#REF!</v>
      </c>
      <c r="H26" s="60" t="str">
        <f>IFERROR(__xludf.DUMMYFUNCTION("filter('Pre-Scouting - Saline'!BP:BP,'Pre-Scouting - Saline'!B:B=H3)"),"#REF!")</f>
        <v>#REF!</v>
      </c>
      <c r="I26" s="60" t="str">
        <f>IFERROR(__xludf.DUMMYFUNCTION("filter('Pre-Scouting - Saline'!BP:BP,'Pre-Scouting - Saline'!B:B=I3)"),"#REF!")</f>
        <v>#REF!</v>
      </c>
    </row>
    <row r="27">
      <c r="A27" s="230" t="s">
        <v>533</v>
      </c>
      <c r="B27" s="231" t="s">
        <v>533</v>
      </c>
      <c r="C27" s="231" t="s">
        <v>533</v>
      </c>
      <c r="D27" s="232" t="s">
        <v>549</v>
      </c>
      <c r="E27" s="203"/>
      <c r="F27" s="203"/>
      <c r="G27" s="231" t="s">
        <v>533</v>
      </c>
      <c r="H27" s="231" t="s">
        <v>533</v>
      </c>
      <c r="I27" s="233" t="s">
        <v>533</v>
      </c>
      <c r="J27" s="234" t="s">
        <v>550</v>
      </c>
      <c r="K27" s="235"/>
    </row>
    <row r="28">
      <c r="A28" s="236" t="str">
        <f t="shared" ref="A28:C28" si="1">A3</f>
        <v/>
      </c>
      <c r="B28" s="236" t="str">
        <f t="shared" si="1"/>
        <v/>
      </c>
      <c r="C28" s="236" t="str">
        <f t="shared" si="1"/>
        <v/>
      </c>
      <c r="D28" s="237" t="s">
        <v>551</v>
      </c>
      <c r="E28" s="238"/>
      <c r="F28" s="239" t="s">
        <v>552</v>
      </c>
      <c r="G28" s="240" t="str">
        <f t="shared" ref="G28:I28" si="2">G3</f>
        <v/>
      </c>
      <c r="H28" s="240" t="str">
        <f t="shared" si="2"/>
        <v/>
      </c>
      <c r="I28" s="241" t="str">
        <f t="shared" si="2"/>
        <v/>
      </c>
      <c r="J28" s="242" t="s">
        <v>553</v>
      </c>
      <c r="K28" s="243">
        <f>Iferror(if((K32/2)&lt;0,0,round(K32/2,0)), "-")</f>
        <v>0</v>
      </c>
    </row>
    <row r="29">
      <c r="A29" s="244">
        <f>IFERROR(__xludf.DUMMYFUNCTION("IF(filter('Pre-Scouting - Saline'!CD:CD,'Pre-Scouting - Saline'!B:B=A3)=""1"",3,0)"),0.0)</f>
        <v>0</v>
      </c>
      <c r="B29" s="245">
        <f>IFERROR(__xludf.DUMMYFUNCTION("IF(filter('Pre-Scouting - Saline'!CD:CD,'Pre-Scouting - Saline'!B:B=B3)=""1"",3,0)"),0.0)</f>
        <v>0</v>
      </c>
      <c r="C29" s="245">
        <f>IFERROR(__xludf.DUMMYFUNCTION("IF(filter('Pre-Scouting - Saline'!CD:CD,'Pre-Scouting - Saline'!B:B=C3)=""1"",3,0)"),0.0)</f>
        <v>0</v>
      </c>
      <c r="D29" s="246">
        <f>SUM(A29:C29)</f>
        <v>0</v>
      </c>
      <c r="E29" s="247" t="s">
        <v>91</v>
      </c>
      <c r="F29" s="248">
        <f>Sum(G29:I29)</f>
        <v>0</v>
      </c>
      <c r="G29" s="249">
        <f>IFERROR(__xludf.DUMMYFUNCTION("IF(filter('Pre-Scouting - Saline'!CD:CD,'Pre-Scouting - Saline'!B:B=G3)=""1"",3,0)"),0.0)</f>
        <v>0</v>
      </c>
      <c r="H29" s="249">
        <f>IFERROR(__xludf.DUMMYFUNCTION("IF(filter('Pre-Scouting - Saline'!CD:CD,'Pre-Scouting - Saline'!B:B=H3)=""1"",3,0)"),0.0)</f>
        <v>0</v>
      </c>
      <c r="I29" s="250">
        <f>IFERROR(__xludf.DUMMYFUNCTION("IF(filter('Pre-Scouting - Saline'!CD:CD,'Pre-Scouting - Saline'!B:B=I3)=""1"",3,0)"),0.0)</f>
        <v>0</v>
      </c>
      <c r="J29" s="251" t="s">
        <v>554</v>
      </c>
      <c r="K29" s="252" t="str">
        <f>IFERROR(__xludf.DUMMYFUNCTION("Iferror(value(query(filter(A28:I29,A28:I28=3322), ""SELECT * OFFSET 1"",0)), ""-"")"),"-")</f>
        <v>-</v>
      </c>
    </row>
    <row r="30">
      <c r="A30" s="245">
        <f>iferror(if(A35="conservative", round('Auto Match Predictions'!A12,0)*4+round('Auto Match Predictions'!A14,0)*2,('Auto Match Predictions'!A13*4+'Auto Match Predictions'!A15*2)),0)</f>
        <v>0</v>
      </c>
      <c r="B30" s="245">
        <f>iferror(if(A35="conservative", round('Auto Match Predictions'!B12,0)*4+round('Auto Match Predictions'!B14,0)*2,('Auto Match Predictions'!B13*4+'Auto Match Predictions'!B15*2)),0)</f>
        <v>0</v>
      </c>
      <c r="C30" s="245">
        <f>iferror(if(A35="conservative", round('Auto Match Predictions'!C12,0)*4+round('Auto Match Predictions'!C14,0)*2,('Auto Match Predictions'!C13*4+'Auto Match Predictions'!C15*2)),0)</f>
        <v>0</v>
      </c>
      <c r="D30" s="246">
        <f>if(Sum(A30:C30)&gt;=32, 32, Sum(A30:C30))</f>
        <v>0</v>
      </c>
      <c r="E30" s="153" t="s">
        <v>77</v>
      </c>
      <c r="F30" s="248">
        <f>if(sum(G30:I30)&gt;=32,32,sum(G30:I30))</f>
        <v>0</v>
      </c>
      <c r="G30" s="249">
        <f>iferror(if(F35="conservative", round('Auto Match Predictions'!G12,0)*4+round('Auto Match Predictions'!G14,0)*2,('Auto Match Predictions'!G13*4+'Auto Match Predictions'!G15*2)),0)</f>
        <v>0</v>
      </c>
      <c r="H30" s="249">
        <f>iferror(if(F35="conservative", round('Auto Match Predictions'!H12,0)*4+round('Auto Match Predictions'!H14,0)*2,('Auto Match Predictions'!H13*4+'Auto Match Predictions'!H15*2)),0)</f>
        <v>0</v>
      </c>
      <c r="I30" s="250">
        <f>iferror(if(F35="conservative", round('Auto Match Predictions'!I12,0)*4+round('Auto Match Predictions'!I14,0)*2,('Auto Match Predictions'!I13*4+'Auto Match Predictions'!I15*2)),0)</f>
        <v>0</v>
      </c>
      <c r="J30" s="192"/>
      <c r="K30" s="252" t="str">
        <f>IFERROR(__xludf.DUMMYFUNCTION("Iferror(value(query(filter(A29:I30,A28:I28=3322), ""SELECT * OFFSET 1"",0)), ""-"")"),"-")</f>
        <v>-</v>
      </c>
    </row>
    <row r="31">
      <c r="A31" s="245"/>
      <c r="B31" s="245"/>
      <c r="C31" s="245"/>
      <c r="D31" s="246" t="str">
        <f>IFS(A31&gt;=8,8,B31&gt;=8,8,C31&gt;=8,8,A31&gt;=12,12,B31&gt;=12,12,C31&gt;=12,12)</f>
        <v>#N/A</v>
      </c>
      <c r="E31" s="247" t="s">
        <v>555</v>
      </c>
      <c r="F31" s="248" t="str">
        <f>Sum(G25:I25)</f>
        <v>#REF!</v>
      </c>
      <c r="G31" s="249"/>
      <c r="H31" s="249"/>
      <c r="I31" s="250"/>
      <c r="J31" s="192"/>
      <c r="K31" s="252"/>
    </row>
    <row r="32">
      <c r="A32" s="245" t="str">
        <f t="shared" ref="A32:B32" si="3">ifs(A27="None", 'Backend Sheet (IMPORTANT)'!B14*'Backend Sheet (IMPORTANT)'!B11,A27="Defense", 'Backend Sheet (IMPORTANT)'!B13*'Backend Sheet (IMPORTANT)'!B11)</f>
        <v>#REF!</v>
      </c>
      <c r="B32" s="245" t="str">
        <f t="shared" si="3"/>
        <v>#REF!</v>
      </c>
      <c r="C32" s="245" t="str">
        <f>ifs(C27="None", 'Backend Sheet (IMPORTANT)'!D15*'Backend Sheet (IMPORTANT)'!D12,C27="Defense", 'Backend Sheet (IMPORTANT)'!D14*'Backend Sheet (IMPORTANT)'!D12)</f>
        <v>#REF!</v>
      </c>
      <c r="D32" s="246" t="str">
        <f>sum(A32:C32)</f>
        <v>#REF!</v>
      </c>
      <c r="E32" s="153" t="s">
        <v>474</v>
      </c>
      <c r="F32" s="248" t="str">
        <f>Sum(G32:I32)</f>
        <v>#REF!</v>
      </c>
      <c r="G32" s="249" t="str">
        <f t="shared" ref="G32:I32" si="4">ifs(G27="None", 'Backend Sheet (IMPORTANT)'!E14*'Backend Sheet (IMPORTANT)'!E11,G27="Defense", 'Backend Sheet (IMPORTANT)'!E13*'Backend Sheet (IMPORTANT)'!E11)</f>
        <v>#REF!</v>
      </c>
      <c r="H32" s="249" t="str">
        <f t="shared" si="4"/>
        <v>#REF!</v>
      </c>
      <c r="I32" s="250" t="str">
        <f t="shared" si="4"/>
        <v>#REF!</v>
      </c>
      <c r="J32" s="192"/>
      <c r="K32" s="252">
        <f>Iferror(if(K34=0,0,K34-K29-K30-K33), "-")</f>
        <v>0</v>
      </c>
    </row>
    <row r="33">
      <c r="A33" s="253" t="str">
        <f t="shared" ref="A33:C33" si="5">If('Auto Match Predictions'!A22=4,15,if('Auto Match Predictions'!A22=3,10,if('Auto Match Predictions'!A22=2,6,if('Auto Match Predictions'!A22=1,4,0))))</f>
        <v>#REF!</v>
      </c>
      <c r="B33" s="253" t="str">
        <f t="shared" si="5"/>
        <v>#REF!</v>
      </c>
      <c r="C33" s="253" t="str">
        <f t="shared" si="5"/>
        <v>#REF!</v>
      </c>
      <c r="D33" s="254" t="str">
        <f>If('Auto Match Predictions'!A22=4,15,if('Auto Match Predictions'!A22=3,10,if('Auto Match Predictions'!A22=2,6,if('Auto Match Predictions'!A22=1,4,0))))+If('Auto Match Predictions'!B22=4,15,if('Auto Match Predictions'!B22=3,10,if('Auto Match Predictions'!B22=2,6,if('Auto Match Predictions'!B22=1,4,0))))+If('Auto Match Predictions'!C22=4,15,if('Auto Match Predictions'!C22=3,10,if('Auto Match Predictions'!C22=2,6,if('Auto Match Predictions'!C22=1,4,0))))</f>
        <v>#REF!</v>
      </c>
      <c r="E33" s="255" t="s">
        <v>556</v>
      </c>
      <c r="F33" s="256" t="str">
        <f>iferror(If('Auto Match Predictions'!G22=4,15,if('Auto Match Predictions'!G22=3,10,if('Auto Match Predictions'!G22=2,6,if('Auto Match Predictions'!G22=1,4,0))))+If('Auto Match Predictions'!H22=4,15,if('Auto Match Predictions'!H22=3,10,if('Auto Match Predictions'!H22=2,6,if('Auto Match Predictions'!H22=1,4,0))))+If('Auto Match Predictions'!I22=4,15,if('Auto Match Predictions'!I22=3,10,if('Auto Match Predictions'!I22=2,6,if('Auto Match Predictions'!I22=1,4,0)))), "")</f>
        <v/>
      </c>
      <c r="G33" s="257" t="str">
        <f t="shared" ref="G33:I33" si="6">iferror(If('Auto Match Predictions'!G22=4,15,if('Auto Match Predictions'!G22=3,10,if('Auto Match Predictions'!G22=2,6,if('Auto Match Predictions'!G22=1,4,0)))), "-")</f>
        <v>-</v>
      </c>
      <c r="H33" s="257" t="str">
        <f t="shared" si="6"/>
        <v>-</v>
      </c>
      <c r="I33" s="258" t="str">
        <f t="shared" si="6"/>
        <v>-</v>
      </c>
      <c r="J33" s="192"/>
      <c r="K33" s="259" t="str">
        <f>IFERROR(__xludf.DUMMYFUNCTION("Iferror(value(query(filter(A32:I33,A28:I28=3322), ""SELECT * OFFSET 1"",0)), ""-"")"),"-")</f>
        <v>-</v>
      </c>
    </row>
    <row r="34">
      <c r="A34" s="260" t="str">
        <f>SUM(A29:A33)</f>
        <v>#REF!</v>
      </c>
      <c r="B34" s="261" t="str">
        <f t="shared" ref="B34:D34" si="7">sum(B29:B33)</f>
        <v>#REF!</v>
      </c>
      <c r="C34" s="261" t="str">
        <f t="shared" si="7"/>
        <v>#REF!</v>
      </c>
      <c r="D34" s="262" t="str">
        <f t="shared" si="7"/>
        <v>#N/A</v>
      </c>
      <c r="E34" s="263" t="s">
        <v>557</v>
      </c>
      <c r="F34" s="264" t="str">
        <f>sum(F29:F33)</f>
        <v>#REF!</v>
      </c>
      <c r="G34" s="265" t="str">
        <f>SUM(G29:G33)</f>
        <v>#REF!</v>
      </c>
      <c r="H34" s="265" t="str">
        <f>iferror(SUM(H29:H33), "")</f>
        <v/>
      </c>
      <c r="I34" s="266" t="str">
        <f>SUM(I29:I33)</f>
        <v>#REF!</v>
      </c>
      <c r="J34" s="267"/>
      <c r="K34" s="268" t="str">
        <f>iferror(if(J19&lt;0,0,J20), "-")</f>
        <v/>
      </c>
    </row>
    <row r="35">
      <c r="A35" s="269" t="s">
        <v>558</v>
      </c>
      <c r="E35" s="270"/>
      <c r="F35" s="269" t="s">
        <v>558</v>
      </c>
      <c r="J35" s="270"/>
      <c r="K35" s="270"/>
    </row>
  </sheetData>
  <mergeCells count="58">
    <mergeCell ref="A23:C23"/>
    <mergeCell ref="D23:F23"/>
    <mergeCell ref="G23:I23"/>
    <mergeCell ref="D24:F24"/>
    <mergeCell ref="D25:F25"/>
    <mergeCell ref="D26:F26"/>
    <mergeCell ref="D27:F27"/>
    <mergeCell ref="J27:K27"/>
    <mergeCell ref="J29:J34"/>
    <mergeCell ref="A35:D35"/>
    <mergeCell ref="F35:I35"/>
    <mergeCell ref="D16:F16"/>
    <mergeCell ref="D17:F17"/>
    <mergeCell ref="D18:F18"/>
    <mergeCell ref="D19:F19"/>
    <mergeCell ref="D20:F20"/>
    <mergeCell ref="D21:F21"/>
    <mergeCell ref="D22:F22"/>
    <mergeCell ref="A1:C1"/>
    <mergeCell ref="D1:F1"/>
    <mergeCell ref="G1:I1"/>
    <mergeCell ref="J1:K3"/>
    <mergeCell ref="D2:F2"/>
    <mergeCell ref="G2:I2"/>
    <mergeCell ref="D3:F3"/>
    <mergeCell ref="J5:K5"/>
    <mergeCell ref="J6:K6"/>
    <mergeCell ref="A2:C2"/>
    <mergeCell ref="A4:C4"/>
    <mergeCell ref="D4:F4"/>
    <mergeCell ref="G4:I4"/>
    <mergeCell ref="J4:K4"/>
    <mergeCell ref="D5:F5"/>
    <mergeCell ref="D6:F6"/>
    <mergeCell ref="D7:F7"/>
    <mergeCell ref="J7:K7"/>
    <mergeCell ref="D8:F8"/>
    <mergeCell ref="J8:K8"/>
    <mergeCell ref="D9:F9"/>
    <mergeCell ref="J9:K9"/>
    <mergeCell ref="J10:K10"/>
    <mergeCell ref="D10:F10"/>
    <mergeCell ref="D11:F11"/>
    <mergeCell ref="D12:F12"/>
    <mergeCell ref="D13:F13"/>
    <mergeCell ref="A14:C14"/>
    <mergeCell ref="D14:F14"/>
    <mergeCell ref="D15:F15"/>
    <mergeCell ref="J17:K17"/>
    <mergeCell ref="J18:K18"/>
    <mergeCell ref="J19:K19"/>
    <mergeCell ref="J11:K11"/>
    <mergeCell ref="J12:K12"/>
    <mergeCell ref="J13:K13"/>
    <mergeCell ref="G14:I14"/>
    <mergeCell ref="J14:K14"/>
    <mergeCell ref="J15:K15"/>
    <mergeCell ref="J16:K16"/>
  </mergeCells>
  <dataValidations>
    <dataValidation type="list" allowBlank="1" sqref="A35">
      <formula1>"Conservative,None"</formula1>
    </dataValidation>
    <dataValidation type="list" allowBlank="1" sqref="A27:C27 G27:I27">
      <formula1>"None,Defense"</formula1>
    </dataValidation>
    <dataValidation type="list" allowBlank="1" sqref="F35">
      <formula1>"None,Conservative"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24.5"/>
    <col customWidth="1" min="3" max="3" width="15.88"/>
    <col customWidth="1" min="9" max="9" width="12.63"/>
    <col hidden="1" min="72" max="72" width="12.63"/>
    <col customWidth="1" min="73" max="73" width="14.25"/>
    <col customWidth="1" min="74" max="74" width="15.25"/>
    <col customWidth="1" hidden="1" min="75" max="75" width="14.25"/>
    <col customWidth="1" min="76" max="77" width="14.25"/>
  </cols>
  <sheetData>
    <row r="1">
      <c r="A1" s="7" t="s">
        <v>76</v>
      </c>
      <c r="C1" s="8" t="s">
        <v>77</v>
      </c>
      <c r="AI1" s="9"/>
      <c r="AJ1" s="10" t="s">
        <v>78</v>
      </c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2"/>
      <c r="BQ1" s="13"/>
      <c r="BR1" s="14" t="s">
        <v>79</v>
      </c>
      <c r="BS1" s="15"/>
      <c r="BT1" s="15"/>
      <c r="BU1" s="15"/>
      <c r="BV1" s="15"/>
      <c r="BW1" s="15"/>
      <c r="BX1" s="15"/>
      <c r="BY1" s="16"/>
      <c r="BZ1" s="17" t="s">
        <v>80</v>
      </c>
    </row>
    <row r="2">
      <c r="C2" s="18" t="s">
        <v>77</v>
      </c>
      <c r="D2" s="19" t="s">
        <v>81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 t="s">
        <v>82</v>
      </c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3" t="s">
        <v>83</v>
      </c>
      <c r="AI2" s="24"/>
      <c r="AJ2" s="25" t="s">
        <v>81</v>
      </c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7"/>
      <c r="AY2" s="28" t="s">
        <v>82</v>
      </c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7"/>
      <c r="BN2" s="29" t="s">
        <v>83</v>
      </c>
      <c r="BO2" s="30"/>
      <c r="BP2" s="31"/>
      <c r="BQ2" s="13"/>
      <c r="BR2" s="32" t="s">
        <v>84</v>
      </c>
      <c r="BS2" s="33"/>
      <c r="BT2" s="34" t="s">
        <v>85</v>
      </c>
      <c r="BY2" s="33"/>
    </row>
    <row r="3">
      <c r="C3" s="35"/>
      <c r="D3" s="36" t="s">
        <v>86</v>
      </c>
      <c r="E3" s="20"/>
      <c r="F3" s="20"/>
      <c r="G3" s="20"/>
      <c r="H3" s="20"/>
      <c r="I3" s="36" t="s">
        <v>87</v>
      </c>
      <c r="J3" s="20"/>
      <c r="K3" s="20"/>
      <c r="L3" s="20"/>
      <c r="M3" s="37"/>
      <c r="N3" s="19" t="s">
        <v>88</v>
      </c>
      <c r="O3" s="20"/>
      <c r="P3" s="20"/>
      <c r="Q3" s="20"/>
      <c r="R3" s="20"/>
      <c r="S3" s="38" t="s">
        <v>86</v>
      </c>
      <c r="W3" s="35"/>
      <c r="X3" s="8" t="s">
        <v>87</v>
      </c>
      <c r="AB3" s="35"/>
      <c r="AC3" s="8" t="s">
        <v>88</v>
      </c>
      <c r="AH3" s="39"/>
      <c r="AI3" s="9"/>
      <c r="AJ3" s="13" t="s">
        <v>86</v>
      </c>
      <c r="AO3" s="40" t="s">
        <v>87</v>
      </c>
      <c r="AT3" s="40" t="s">
        <v>88</v>
      </c>
      <c r="AY3" s="40" t="s">
        <v>86</v>
      </c>
      <c r="BD3" s="40" t="s">
        <v>87</v>
      </c>
      <c r="BI3" s="40" t="s">
        <v>88</v>
      </c>
      <c r="BN3" s="41"/>
      <c r="BO3" s="30"/>
      <c r="BP3" s="42"/>
      <c r="BQ3" s="43"/>
      <c r="BS3" s="33"/>
      <c r="BT3" s="44"/>
      <c r="BY3" s="33"/>
    </row>
    <row r="4">
      <c r="A4" s="45" t="s">
        <v>89</v>
      </c>
      <c r="B4" s="45" t="s">
        <v>90</v>
      </c>
      <c r="C4" s="46" t="s">
        <v>91</v>
      </c>
      <c r="D4" s="47" t="s">
        <v>92</v>
      </c>
      <c r="E4" s="47" t="s">
        <v>93</v>
      </c>
      <c r="F4" s="47" t="s">
        <v>94</v>
      </c>
      <c r="G4" s="47" t="s">
        <v>95</v>
      </c>
      <c r="H4" s="47" t="s">
        <v>96</v>
      </c>
      <c r="I4" s="48" t="s">
        <v>92</v>
      </c>
      <c r="J4" s="47" t="s">
        <v>93</v>
      </c>
      <c r="K4" s="47" t="s">
        <v>94</v>
      </c>
      <c r="L4" s="47" t="s">
        <v>95</v>
      </c>
      <c r="M4" s="47" t="s">
        <v>96</v>
      </c>
      <c r="N4" s="48" t="s">
        <v>92</v>
      </c>
      <c r="O4" s="47" t="s">
        <v>93</v>
      </c>
      <c r="P4" s="47" t="s">
        <v>94</v>
      </c>
      <c r="Q4" s="47" t="s">
        <v>95</v>
      </c>
      <c r="R4" s="47" t="s">
        <v>96</v>
      </c>
      <c r="S4" s="48" t="s">
        <v>92</v>
      </c>
      <c r="T4" s="47" t="s">
        <v>93</v>
      </c>
      <c r="U4" s="47" t="s">
        <v>94</v>
      </c>
      <c r="V4" s="47" t="s">
        <v>95</v>
      </c>
      <c r="W4" s="49" t="s">
        <v>96</v>
      </c>
      <c r="X4" s="47" t="s">
        <v>92</v>
      </c>
      <c r="Y4" s="47" t="s">
        <v>93</v>
      </c>
      <c r="Z4" s="47" t="s">
        <v>94</v>
      </c>
      <c r="AA4" s="47" t="s">
        <v>95</v>
      </c>
      <c r="AB4" s="49" t="s">
        <v>96</v>
      </c>
      <c r="AC4" s="47" t="s">
        <v>92</v>
      </c>
      <c r="AD4" s="47" t="s">
        <v>93</v>
      </c>
      <c r="AE4" s="47" t="s">
        <v>94</v>
      </c>
      <c r="AF4" s="47" t="s">
        <v>95</v>
      </c>
      <c r="AG4" s="47" t="s">
        <v>96</v>
      </c>
      <c r="AH4" s="48" t="s">
        <v>97</v>
      </c>
      <c r="AI4" s="50" t="s">
        <v>98</v>
      </c>
      <c r="AJ4" s="51" t="s">
        <v>92</v>
      </c>
      <c r="AK4" s="51" t="s">
        <v>93</v>
      </c>
      <c r="AL4" s="51" t="s">
        <v>94</v>
      </c>
      <c r="AM4" s="51" t="s">
        <v>95</v>
      </c>
      <c r="AN4" s="52" t="s">
        <v>96</v>
      </c>
      <c r="AO4" s="51" t="s">
        <v>92</v>
      </c>
      <c r="AP4" s="51" t="s">
        <v>93</v>
      </c>
      <c r="AQ4" s="51" t="s">
        <v>94</v>
      </c>
      <c r="AR4" s="51" t="s">
        <v>95</v>
      </c>
      <c r="AS4" s="52" t="s">
        <v>96</v>
      </c>
      <c r="AT4" s="51" t="s">
        <v>92</v>
      </c>
      <c r="AU4" s="51" t="s">
        <v>93</v>
      </c>
      <c r="AV4" s="51" t="s">
        <v>94</v>
      </c>
      <c r="AW4" s="51" t="s">
        <v>95</v>
      </c>
      <c r="AX4" s="52" t="s">
        <v>96</v>
      </c>
      <c r="AY4" s="51" t="s">
        <v>92</v>
      </c>
      <c r="AZ4" s="51" t="s">
        <v>93</v>
      </c>
      <c r="BA4" s="51" t="s">
        <v>94</v>
      </c>
      <c r="BB4" s="51" t="s">
        <v>95</v>
      </c>
      <c r="BC4" s="52" t="s">
        <v>96</v>
      </c>
      <c r="BD4" s="51" t="s">
        <v>92</v>
      </c>
      <c r="BE4" s="51" t="s">
        <v>93</v>
      </c>
      <c r="BF4" s="51" t="s">
        <v>94</v>
      </c>
      <c r="BG4" s="51" t="s">
        <v>95</v>
      </c>
      <c r="BH4" s="52" t="s">
        <v>96</v>
      </c>
      <c r="BI4" s="51" t="s">
        <v>92</v>
      </c>
      <c r="BJ4" s="51" t="s">
        <v>93</v>
      </c>
      <c r="BK4" s="51" t="s">
        <v>94</v>
      </c>
      <c r="BL4" s="51" t="s">
        <v>95</v>
      </c>
      <c r="BM4" s="52" t="s">
        <v>96</v>
      </c>
      <c r="BN4" s="51" t="s">
        <v>97</v>
      </c>
      <c r="BO4" s="52" t="s">
        <v>98</v>
      </c>
      <c r="BP4" s="31" t="s">
        <v>99</v>
      </c>
      <c r="BQ4" s="13" t="s">
        <v>100</v>
      </c>
      <c r="BR4" s="53" t="s">
        <v>101</v>
      </c>
      <c r="BS4" s="54" t="s">
        <v>102</v>
      </c>
      <c r="BT4" s="55" t="s">
        <v>103</v>
      </c>
      <c r="BU4" s="55" t="s">
        <v>104</v>
      </c>
      <c r="BV4" s="55" t="s">
        <v>105</v>
      </c>
      <c r="BW4" s="55" t="s">
        <v>106</v>
      </c>
      <c r="BX4" s="55" t="s">
        <v>107</v>
      </c>
      <c r="BY4" s="55" t="s">
        <v>108</v>
      </c>
      <c r="BZ4" s="56" t="s">
        <v>109</v>
      </c>
      <c r="CA4" s="56" t="s">
        <v>110</v>
      </c>
      <c r="CB4" s="56" t="s">
        <v>111</v>
      </c>
      <c r="CC4" s="56" t="s">
        <v>112</v>
      </c>
      <c r="CD4" s="56" t="s">
        <v>113</v>
      </c>
    </row>
    <row r="5">
      <c r="A5" s="2" t="s">
        <v>114</v>
      </c>
      <c r="B5" s="2">
        <v>6089.0</v>
      </c>
      <c r="C5" s="57" t="str">
        <f>IFERROR(__xludf.DUMMYFUNCTION("if(countif(query(filter('Data Recording'!E:E,'Data Recording'!D:D=B5), ""Select Col1""),""Yes"")=0,""0"",countif(query(filter('Data Recording'!E:E,'Data Recording'!D:D=B5), ""Select Col1""),""Yes"")) &amp; ""/"" &amp; if(COUNTA(query(ifna(filter('Data Recording'!"&amp;"E:E,'Data Recording'!D:D=B5),""""), ""Select Col1""))=0,""0"",COUNTA(query(ifna(filter('Data Recording'!E:E,'Data Recording'!D:D=B5),""""), ""Select Col1"")))"),"0/0")</f>
        <v>0/0</v>
      </c>
      <c r="D5" s="58" t="str">
        <f>IFERROR(__xludf.DUMMYFUNCTION("iferror(SUM(query(filter('Data Recording'!F:F,'Data Recording'!D:D=B5), ""Select Col1"")),""-"")"),"-")</f>
        <v>-</v>
      </c>
      <c r="E5" s="58" t="str">
        <f>IFERROR(__xludf.DUMMYFUNCTION("iferror(SUM(query(filter('Data Recording'!G:G,'Data Recording'!D:D=B5), ""Select Col1"")),""-"")"),"-")</f>
        <v>-</v>
      </c>
      <c r="F5" s="59" t="str">
        <f t="shared" ref="F5:F43" si="1">IFERROR(E5/D5,"-")</f>
        <v>-</v>
      </c>
      <c r="G5" s="60" t="str">
        <f>IFERROR(__xludf.DUMMYFUNCTION("iferror(AVERAGE(query(filter('Data Recording'!G:G,'Data Recording'!D:D=B5), ""Select Col1"")),""0.00"")"),"0.00")</f>
        <v>0.00</v>
      </c>
      <c r="H5" s="58" t="str">
        <f>IFERROR(__xludf.DUMMYFUNCTION("iferror(MAX(query(filter('Data Recording'!G:G,'Data Recording'!D:D=B5), ""Select Col1"")),""-"")"),"-")</f>
        <v>-</v>
      </c>
      <c r="I5" s="61" t="str">
        <f>IFERROR(__xludf.DUMMYFUNCTION("iferror(SUM(query(filter('Data Recording'!H:H,'Data Recording'!D:D=B5), ""Select Col1"")),""-"")"),"-")</f>
        <v>-</v>
      </c>
      <c r="J5" s="62" t="str">
        <f>IFERROR(__xludf.DUMMYFUNCTION("iferror(SUM(query(filter('Data Recording'!I:I,'Data Recording'!D:D=B5), ""Select Col1"")),""-"")"),"-")</f>
        <v>-</v>
      </c>
      <c r="K5" s="59" t="str">
        <f t="shared" ref="K5:K43" si="2">iferror(J5/I5,"-")</f>
        <v>-</v>
      </c>
      <c r="L5" s="60" t="str">
        <f>IFERROR(__xludf.DUMMYFUNCTION("iferror(AVERAGE(query(filter('Data Recording'!I:I,'Data Recording'!D:D=B5), ""Select Col1"")),""0.00"")"),"0.00")</f>
        <v>0.00</v>
      </c>
      <c r="M5" s="58" t="str">
        <f>IFERROR(__xludf.DUMMYFUNCTION("iferror(MAX(query(filter('Data Recording'!I:I,'Data Recording'!D:D=B5), ""Select Col1"")),""-"")"),"-")</f>
        <v>-</v>
      </c>
      <c r="N5" s="63" t="str">
        <f>IFERROR(__xludf.DUMMYFUNCTION("iferror(SUM(query(filter('Data Recording'!J:J,'Data Recording'!D:D=B5), ""Select Col1"")),""-"")"),"-")</f>
        <v>-</v>
      </c>
      <c r="O5" s="5" t="str">
        <f>IFERROR(__xludf.DUMMYFUNCTION("iferror(SUM(query(filter('Data Recording'!K:K,'Data Recording'!D:D=B5), ""Select Col1"")),""-"")"),"-")</f>
        <v>-</v>
      </c>
      <c r="P5" s="59" t="str">
        <f t="shared" ref="P5:P43" si="3">iferror(O5/N5,"-")</f>
        <v>-</v>
      </c>
      <c r="Q5" s="60" t="str">
        <f>IFERROR(__xludf.DUMMYFUNCTION("iferror(AVERAGE(query(filter('Data Recording'!K:K,'Data Recording'!D:D=B5), ""Select Col1"")),""0.00"")"),"0.00")</f>
        <v>0.00</v>
      </c>
      <c r="R5" s="58" t="str">
        <f>IFERROR(__xludf.DUMMYFUNCTION("iferror(MAX(query(filter('Data Recording'!K:K,'Data Recording'!D:D=B5), ""Select Col1"")),""-"")"),"-")</f>
        <v>-</v>
      </c>
      <c r="S5" s="63" t="str">
        <f>IFERROR(__xludf.DUMMYFUNCTION("iferror(SUM(query(filter('Data Recording'!L:L,'Data Recording'!D:D=B5), ""Select Col1"")),""-"")"),"-")</f>
        <v>-</v>
      </c>
      <c r="T5" s="5" t="str">
        <f>IFERROR(__xludf.DUMMYFUNCTION("iferror(SUM(query(filter('Data Recording'!M:M,'Data Recording'!D:D=B5), ""Select Col1"")),""-"")"),"-")</f>
        <v>-</v>
      </c>
      <c r="U5" s="59" t="str">
        <f t="shared" ref="U5:U43" si="4">iferror(T5/S5,"-")</f>
        <v>-</v>
      </c>
      <c r="V5" s="60" t="str">
        <f>IFERROR(__xludf.DUMMYFUNCTION("iferror(AVERAGE(query(filter('Data Recording'!M:M,'Data Recording'!D:D=B5), ""Select Col1"")),""-"")"),"-")</f>
        <v>-</v>
      </c>
      <c r="W5" s="57" t="str">
        <f>IFERROR(__xludf.DUMMYFUNCTION("iferror(MAX(query(filter('Data Recording'!M:M,'Data Recording'!D:D=B5), ""Select Col1"")),""-"")"),"-")</f>
        <v>-</v>
      </c>
      <c r="X5" s="5" t="str">
        <f>IFERROR(__xludf.DUMMYFUNCTION("iferror(SUM(query(filter('Data Recording'!N:N,'Data Recording'!D:D=B5), ""Select Col1"")),""-"")"),"-")</f>
        <v>-</v>
      </c>
      <c r="Y5" s="5" t="str">
        <f>IFERROR(__xludf.DUMMYFUNCTION("iferror(SUM(query(filter('Data Recording'!O:O,'Data Recording'!D:D=B5), ""Select Col1"")),""-"")"),"-")</f>
        <v>-</v>
      </c>
      <c r="Z5" s="59" t="str">
        <f t="shared" ref="Z5:Z43" si="5">Iferror(Y5/X5,"-")</f>
        <v>-</v>
      </c>
      <c r="AA5" s="60" t="str">
        <f>IFERROR(__xludf.DUMMYFUNCTION("iferror(AVERAGE(query(filter('Data Recording'!O:O,'Data Recording'!D:D=B5), ""Select Col1"")),""0.00"")"),"0.00")</f>
        <v>0.00</v>
      </c>
      <c r="AB5" s="57" t="str">
        <f>IFERROR(__xludf.DUMMYFUNCTION("iferror(MAX(query(filter('Data Recording'!O:O,'Data Recording'!D:D=B5), ""Select Col1"")),""-"")"),"-")</f>
        <v>-</v>
      </c>
      <c r="AC5" s="5" t="str">
        <f>IFERROR(__xludf.DUMMYFUNCTION("iferror(SUM(query(filter('Data Recording'!P:P,'Data Recording'!D:D=B5), ""Select Col1"")),""-"")"),"-")</f>
        <v>-</v>
      </c>
      <c r="AD5" s="5" t="str">
        <f>IFERROR(__xludf.DUMMYFUNCTION("iferror(SUM(query(filter('Data Recording'!Q:Q,'Data Recording'!D:D=B5), ""Select Col1"")),""-"")"),"-")</f>
        <v>-</v>
      </c>
      <c r="AE5" s="59" t="str">
        <f t="shared" ref="AE5:AE43" si="6">iferror(AD5/AC5,"-")</f>
        <v>-</v>
      </c>
      <c r="AF5" s="60" t="str">
        <f>IFERROR(__xludf.DUMMYFUNCTION("iferror(AVERAGE(query(filter('Data Recording'!Q:Q,'Data Recording'!D:D=B5), ""Select Col1"")),""0.00"")"),"0.00")</f>
        <v>0.00</v>
      </c>
      <c r="AG5" s="5" t="str">
        <f>IFERROR(__xludf.DUMMYFUNCTION("iferror(MAX(query(filter('Data Recording'!Q:Q,'Data Recording'!D:D=B5), ""Select Col1"")),""-"")"),"-")</f>
        <v>-</v>
      </c>
      <c r="AH5" s="63" t="str">
        <f>IFERROR(__xludf.DUMMYFUNCTION("if(countif(query(filter('Data Recording'!R:R,'Data Recording'!D:D=B5), ""Select Col1""),""Yes, Engaged"")+countif(query(filter('Data Recording'!R:R,'Data Recording'!D:D=B5), ""Select Col1""),""Yes, Docked"")=0,""0"",countif(query(filter('Data Recording'!R"&amp;":R,'Data Recording'!D:D=B5), ""Select Col1""),""Yes, Engaged""))+countif(query(filter('Data Recording'!R:R,'Data Recording'!D:D=B5), ""Select Col1""),""Yes, Docked"") &amp; ""/"" &amp; if(COUNTA(query(ifna(filter('Data Recording'!R:R,'Data Recording'!D:D=B5),"""""&amp;"), ""Select Col1""))=0,""0"",COUNTA(query(ifna(filter('Data Recording'!R:R,'Data Recording'!D:D=B5),""""), ""Select Col1"")))"),"0/0")</f>
        <v>0/0</v>
      </c>
      <c r="AI5" s="64" t="str">
        <f>IFERROR(__xludf.DUMMYFUNCTION("if(countif(query(filter('Data Recording'!R:R,'Data Recording'!D:D=B5), ""Select Col1""),""Yes, Engaged"")=0,""0"",countif(query(filter('Data Recording'!R:R,'Data Recording'!D:D=B5), ""Select Col1""),""Yes, Engaged"")) &amp; ""/"" &amp; if(COUNTA(query(ifna(filter"&amp;"('Data Recording'!R:R,'Data Recording'!D:D=B5),""""), ""Select Col1""))=0,""0"",COUNTA(query(ifna(filter('Data Recording'!R:R,'Data Recording'!D:D=B5),""""), ""Select Col1"")))"),"0/0")</f>
        <v>0/0</v>
      </c>
      <c r="AJ5" s="5" t="str">
        <f>IFERROR(__xludf.DUMMYFUNCTION("iferror(SUM(query(filter('Data Recording'!S:S,'Data Recording'!D:D=B5), ""Select Col1"")),""-"")"),"-")</f>
        <v>-</v>
      </c>
      <c r="AK5" s="5" t="str">
        <f>IFERROR(__xludf.DUMMYFUNCTION("iferror(SUM(query(filter('Data Recording'!T:T,'Data Recording'!D:D=B5), ""Select Col1"")),""-"")"),"-")</f>
        <v>-</v>
      </c>
      <c r="AL5" s="59" t="str">
        <f t="shared" ref="AL5:AL43" si="7">iferror(AK5/AJ5,"-")</f>
        <v>-</v>
      </c>
      <c r="AM5" s="60" t="str">
        <f>IFERROR(__xludf.DUMMYFUNCTION("iferror(AVERAGE(query(filter('Data Recording'!T:T,'Data Recording'!D:D=B5), ""Select Col1"")),""0.00"")"),"0.00")</f>
        <v>0.00</v>
      </c>
      <c r="AN5" s="65" t="str">
        <f>IFERROR(__xludf.DUMMYFUNCTION("iferror(MAX(query(filter('Data Recording'!T:T,'Data Recording'!D:D=B5), ""Select Col1"")),""-"")"),"-")</f>
        <v>-</v>
      </c>
      <c r="AO5" s="66" t="str">
        <f>IFERROR(__xludf.DUMMYFUNCTION("iferror(SUM(query(filter('Data Recording'!U:U,'Data Recording'!D:D=B5), ""Select Col1"")),""-"")"),"-")</f>
        <v>-</v>
      </c>
      <c r="AP5" s="66" t="str">
        <f>IFERROR(__xludf.DUMMYFUNCTION("iferror(SUM(query(filter('Data Recording'!V:V,'Data Recording'!D:D=B5), ""Select Col1"")),""-"")"),"-")</f>
        <v>-</v>
      </c>
      <c r="AQ5" s="67" t="str">
        <f t="shared" ref="AQ5:AQ43" si="8">iferror(AP5/AO5,"-")</f>
        <v>-</v>
      </c>
      <c r="AR5" s="68" t="str">
        <f>IFERROR(__xludf.DUMMYFUNCTION("iferror(AVERAGE(query(filter('Data Recording'!V:V,'Data Recording'!D:D=B5), ""Select Col1"")),""0.00"")"),"0.00")</f>
        <v>0.00</v>
      </c>
      <c r="AS5" s="69" t="str">
        <f>IFERROR(__xludf.DUMMYFUNCTION("iferror(MAX(query(filter('Data Recording'!V:V,'Data Recording'!D:D=B5), ""Select Col1"")),""-"")"),"-")</f>
        <v>-</v>
      </c>
      <c r="AT5" s="66" t="str">
        <f>IFERROR(__xludf.DUMMYFUNCTION("iferror(SUM(query(filter('Data Recording'!W:W,'Data Recording'!D:D=B5), ""Select Col1"")),""-"")"),"-")</f>
        <v>-</v>
      </c>
      <c r="AU5" s="66" t="str">
        <f>IFERROR(__xludf.DUMMYFUNCTION("iferror(SUM(query(filter('Data Recording'!X:X,'Data Recording'!D:D=B5), ""Select Col1"")),""-"")"),"-")</f>
        <v>-</v>
      </c>
      <c r="AV5" s="67" t="str">
        <f t="shared" ref="AV5:AV43" si="9">iferror(AU5/AT5,"-")</f>
        <v>-</v>
      </c>
      <c r="AW5" s="68" t="str">
        <f>IFERROR(__xludf.DUMMYFUNCTION("iferror(AVERAGE(query(filter('Data Recording'!X:X,'Data Recording'!D:D=B5), ""Select Col1"")),""0.00"")"),"0.00")</f>
        <v>0.00</v>
      </c>
      <c r="AX5" s="69" t="str">
        <f>IFERROR(__xludf.DUMMYFUNCTION("iferror(MAX(query(filter('Data Recording'!X:X,'Data Recording'!D:D=B5), ""Select Col1"")),""-"")"),"-")</f>
        <v>-</v>
      </c>
      <c r="AY5" s="66" t="str">
        <f>IFERROR(__xludf.DUMMYFUNCTION("iferror(SUM(query(filter('Data Recording'!Y:Y,'Data Recording'!D:D=B5), ""Select Col1"")),""-"")"),"-")</f>
        <v>-</v>
      </c>
      <c r="AZ5" s="66" t="str">
        <f>IFERROR(__xludf.DUMMYFUNCTION("iferror(SUM(query(filter('Data Recording'!Z:Z,'Data Recording'!D:D=B5), ""Select Col1"")),""-"")"),"-")</f>
        <v>-</v>
      </c>
      <c r="BA5" s="67" t="str">
        <f t="shared" ref="BA5:BA43" si="10">iferror(AZ5/AY5,"-")</f>
        <v>-</v>
      </c>
      <c r="BB5" s="68" t="str">
        <f>IFERROR(__xludf.DUMMYFUNCTION("iferror(AVERAGE(query(filter('Data Recording'!Z:Z,'Data Recording'!D:D=B5), ""Select Col1"")),""0.00"")"),"0.00")</f>
        <v>0.00</v>
      </c>
      <c r="BC5" s="69" t="str">
        <f>IFERROR(__xludf.DUMMYFUNCTION("iferror(MAX(query(filter('Data Recording'!Z:Z,'Data Recording'!D:D=B5), ""Select Col1"")),""-"")"),"-")</f>
        <v>-</v>
      </c>
      <c r="BD5" s="66" t="str">
        <f>IFERROR(__xludf.DUMMYFUNCTION("iferror(SUM(query(filter('Data Recording'!AA:AA,'Data Recording'!D:D=B5), ""Select Col1"")),""-"")"),"-")</f>
        <v>-</v>
      </c>
      <c r="BE5" s="66" t="str">
        <f>IFERROR(__xludf.DUMMYFUNCTION("iferror(SUM(query(filter('Data Recording'!AB:AB,'Data Recording'!D:D=B5), ""Select Col1"")),""-"")"),"-")</f>
        <v>-</v>
      </c>
      <c r="BF5" s="67" t="str">
        <f t="shared" ref="BF5:BF43" si="11">iferror(BE5/BD5,"-")</f>
        <v>-</v>
      </c>
      <c r="BG5" s="68" t="str">
        <f>IFERROR(__xludf.DUMMYFUNCTION("iferror(AVERAGE(query(filter('Data Recording'!AB:AB,'Data Recording'!D:D=B5), ""Select Col1"")),""0.00"")"),"0.00")</f>
        <v>0.00</v>
      </c>
      <c r="BH5" s="69" t="str">
        <f>IFERROR(__xludf.DUMMYFUNCTION("iferror(MAX(query(filter('Data Recording'!AB:AB,'Data Recording'!D:D=B5), ""Select Col1"")),""-"")"),"-")</f>
        <v>-</v>
      </c>
      <c r="BI5" s="66" t="str">
        <f>IFERROR(__xludf.DUMMYFUNCTION("iferror(SUM(query(filter('Data Recording'!AC:AC,'Data Recording'!D:D=B5), ""Select Col1"")),""-"")"),"-")</f>
        <v>-</v>
      </c>
      <c r="BJ5" s="66" t="str">
        <f>IFERROR(__xludf.DUMMYFUNCTION("iferror(SUM(query(filter('Data Recording'!AD:AD,'Data Recording'!D:D=B5), ""Select Col1"")),""-"")"),"-")</f>
        <v>-</v>
      </c>
      <c r="BK5" s="67" t="str">
        <f t="shared" ref="BK5:BK43" si="12">iferror(BJ5/BI5,"-")</f>
        <v>-</v>
      </c>
      <c r="BL5" s="68" t="str">
        <f>IFERROR(__xludf.DUMMYFUNCTION("iferror(AVERAGE(query(filter('Data Recording'!AD:AD,'Data Recording'!D:D=B5), ""Select Col1"")),""0.00"")"),"0.00")</f>
        <v>0.00</v>
      </c>
      <c r="BM5" s="69" t="str">
        <f>IFERROR(__xludf.DUMMYFUNCTION("iferror(MAX(query(filter('Data Recording'!AD:AD,'Data Recording'!D:D=B5), ""Select Col1"")),""-"")"),"-")</f>
        <v>-</v>
      </c>
      <c r="BN5" s="70" t="str">
        <f>IFERROR(__xludf.DUMMYFUNCTION("if(countif(query(filter('Data Recording'!AE:AE,'Data Recording'!D:D=B5), ""Select Col1""),""Yes, Engaged"")+countif(query(filter('Data Recording'!AE:AE,'Data Recording'!D:D=B5), ""Select Col1""),""Yes, Docked"")=0,""0"",countif(query(filter('Data Recordin"&amp;"g'!AE:AE,'Data Recording'!D:D=B5), ""Select Col1""),""Yes, Engaged""))+countif(query(filter('Data Recording'!AE:AE,'Data Recording'!D:D=B5), ""Select Col1""),""Yes, Docked"") &amp; ""/"" &amp; if(COUNTA(query(ifna(filter('Data Recording'!AE:AE,'Data Recording'!D:"&amp;"D=B5),""""), ""Select Col1""))=0,""0"",COUNTA(query(ifna(filter('Data Recording'!AE:AE,'Data Recording'!D:D=B5),""""), ""Select Col1"")))"),"0/0")</f>
        <v>0/0</v>
      </c>
      <c r="BO5" s="71" t="str">
        <f>IFERROR(__xludf.DUMMYFUNCTION("if(countif(query(filter('Data Recording'!AE:AE,'Data Recording'!D:D=B5), ""Select Col1""),""Yes, Engaged"")=0,""0"",countif(query(filter('Data Recording'!AE:AE,'Data Recording'!D:D=B5), ""Select Col1""),""Yes, Engaged"")) &amp; ""/"" &amp; if(COUNTA(query(ifna(fi"&amp;"lter('Data Recording'!AE:AE,'Data Recording'!D:D=B5),""""), ""Select Col1""))=0,""0"",COUNTA(query(ifna(filter('Data Recording'!AE:AE,'Data Recording'!D:D=B5),""""), ""Select Col1"")))"),"0/0")</f>
        <v>0/0</v>
      </c>
      <c r="BP5" s="64" t="str">
        <f>IFERROR(__xludf.DUMMYFUNCTION("if(countif(query(filter('Data Recording'!AH:AH,'Data Recording'!D:D=B5), ""Select Col1""),""Yes"")=0,""0"",countif(query(filter('Data Recording'!AH:AH,'Data Recording'!D:D=B5), ""Select Col1""),""Yes"")) &amp; ""/"" &amp; if(COUNTA(query(ifna(filter('Data Recordi"&amp;"ng'!AH:AH,'Data Recording'!D:D=B5),""""), ""Select Col1""))=0,""0"",COUNTA(query(ifna(filter('Data Recording'!AH:AH,'Data Recording'!D:D=B5),""""), ""Select Col1"")))"),"0/0")</f>
        <v>0/0</v>
      </c>
      <c r="BQ5" s="72"/>
      <c r="BR5" s="60" t="str">
        <f>IFERROR(__xludf.DUMMYFUNCTION("iferror(average(query(filter('Data Recording'!AF:AF,'Data Recording'!D:D=B5), ""Select Col1"")),""-"")"),"-")</f>
        <v>-</v>
      </c>
      <c r="BS5" s="73" t="str">
        <f>IFERROR(__xludf.DUMMYFUNCTION("iferror(average(query(filter('Data Recording'!AG:AG,'Data Recording'!D:D=B5), ""Select Col1"")),""-"")"),"-")</f>
        <v>-</v>
      </c>
      <c r="BT5" s="74" t="str">
        <f t="shared" ref="BT5:BT43" si="13">iferror(iferror(G5*6)+iferror(L5*4)+iferror(Q5*3)+iferror(V5*6)+iferror(AA5*4)+iferror(AF5*3)+iferror(AM5*5)+(AR5*3)+iferror(AW5*2)+iferror(BB5*5)+iferror(BG5*3)+iferror(BL5*2)+if(EQ(BZ5,CA5),CA5*12,BZ5*8)+if(EQ(CB5,CC5),CC5*10,CB5*6)+IF(CD5="1",multiply(CD5,3)),"-")</f>
        <v>-</v>
      </c>
      <c r="BU5" s="74" t="str">
        <f>IFERROR(__xludf.DUMMYFUNCTION("iferror(AVERAGE(query(filter('Data Recording'!AJ:AJ,'Data Recording'!D:D=B5), ""Select Col1"")),""-"")"),"-")</f>
        <v>-</v>
      </c>
      <c r="BV5" s="74" t="str">
        <f>IFERROR(__xludf.DUMMYFUNCTION("iferror(AVERAGE(query(filter('Data Recording'!AK:AK,'Data Recording'!D:D=B5), ""Select Col1"")),""-"")"),"-")</f>
        <v>-</v>
      </c>
      <c r="BW5" s="74">
        <f t="shared" ref="BW5:BW43" si="14">iferror(iferror((G5*6)+iferror(L5*4)+iferror(Q5*3)+iferror(V5*6)+iferror(AA5*4)+iferror(AF5*3)+iferror(AM5*5)+(AR5*3)+iferror(AW5*2)+iferror(BB5*5)+iferror(BG5*3)+iferror(BL5*2),"-"))</f>
        <v>0</v>
      </c>
      <c r="BX5" s="75" t="str">
        <f>IFERROR(__xludf.DUMMYFUNCTION("iferror(max(query(filter('Data Recording'!AJ:AJ,'Data Recording'!D:D=B5), ""Select Col1"")),""-"")"),"-")</f>
        <v>-</v>
      </c>
      <c r="BY5" s="76" t="str">
        <f>IFERROR(__xludf.DUMMYFUNCTION("iferror(MIN(query(filter('Data Recording'!AJ:AJ,'Data Recording'!D:D=B5), ""Select Col1"")),""-"")"),"-")</f>
        <v>-</v>
      </c>
      <c r="BZ5" s="77" t="str">
        <f>IFERROR(__xludf.DUMMYFUNCTION("iferror(if(DIVIDE(COUNTIF(query(filter('Data Recording'!R:R,'Data Recording'!D:D=B5), ""Select Col1""),""Yes, Docked"") + countif(query(filter('Data Recording'!R:R,'Data Recording'!D:D=B5), ""Select Col1""),""Yes, Engaged""),COUNTA(query(ifna(filter('Data"&amp;" Recording'!R:R,'Data Recording'!D:D=B5),""""), ""Select Col1"")))&gt;=(0.5),""1"",""0""),""-"")"),"-")</f>
        <v>-</v>
      </c>
      <c r="CA5" s="5" t="str">
        <f>IFERROR(__xludf.DUMMYFUNCTION("iferror(if(countif(query(filter('Data Recording'!R:R,'Data Recording'!D:D=B5), ""Select Col1""),""Yes, Engaged"")/COUNTA(query(ifna(filter('Data Recording'!R:R,'Data Recording'!D:D=B5),""""), ""Select Col1""))&gt;=(0.5),""1"",""0""),""-"")"),"-")</f>
        <v>-</v>
      </c>
      <c r="CB5" s="78" t="str">
        <f>IFERROR(__xludf.DUMMYFUNCTION("iferror(if(DIVIDE(COUNTIF(query(filter('Data Recording'!AE:AE,'Data Recording'!D:D=B5), ""Select Col1""),""Yes, Docked"") + countif(query(filter('Data Recording'!AE:AE,'Data Recording'!D:D=B5), ""Select Col1""),""Yes, Engaged""),COUNTA(query(ifna(filter('"&amp;"Data Recording'!AE:AE,'Data Recording'!D:D=B5),""""), ""Select Col1"")))&gt;=(0.5),""1"",""0""),""-"")"),"-")</f>
        <v>-</v>
      </c>
      <c r="CC5" s="5" t="str">
        <f>IFERROR(__xludf.DUMMYFUNCTION("iferror(if(countif(query(filter('Data Recording'!AE:AE,'Data Recording'!D:D=B5), ""Select Col1""),""Yes, Engaged"")/COUNTA(query(ifna(filter('Data Recording'!AE:AE,'Data Recording'!D:D=B5),""""), ""Select Col1""))&gt;=(0.5),""1"",""0""),""-"")"),"-")</f>
        <v>-</v>
      </c>
      <c r="CD5" s="78" t="str">
        <f>IFERROR(__xludf.DUMMYFUNCTION("iferror(if(DIVIDE(countif(query(filter('Data Recording'!E:E,'Data Recording'!D:D=B5), ""Select Col1""),""Yes""),COUNTA(query(ifna(filter('Data Recording'!E:E,'Data Recording'!D:D=B5),""""), ""Select Col1"")))&gt;=(0.5),""1"",""0""),""-"")"),"-")</f>
        <v>-</v>
      </c>
    </row>
    <row r="6">
      <c r="A6" s="2" t="s">
        <v>115</v>
      </c>
      <c r="B6" s="2">
        <v>8268.0</v>
      </c>
      <c r="C6" s="57" t="str">
        <f>IFERROR(__xludf.DUMMYFUNCTION("if(countif(query(filter('Data Recording'!E:E,'Data Recording'!D:D=B6), ""Select Col1""),""Yes"")=0,""0"",countif(query(filter('Data Recording'!E:E,'Data Recording'!D:D=B6), ""Select Col1""),""Yes"")) &amp; ""/"" &amp; if(COUNTA(query(ifna(filter('Data Recording'!"&amp;"E:E,'Data Recording'!D:D=B6),""""), ""Select Col1""))=0,""0"",COUNTA(query(ifna(filter('Data Recording'!E:E,'Data Recording'!D:D=B6),""""), ""Select Col1"")))"),"0/0")</f>
        <v>0/0</v>
      </c>
      <c r="D6" s="58" t="str">
        <f>IFERROR(__xludf.DUMMYFUNCTION("iferror(SUM(query(filter('Data Recording'!F:F,'Data Recording'!D:D=B6), ""Select Col1"")),""-"")"),"-")</f>
        <v>-</v>
      </c>
      <c r="E6" s="58" t="str">
        <f>IFERROR(__xludf.DUMMYFUNCTION("iferror(SUM(query(filter('Data Recording'!G:G,'Data Recording'!D:D=B6), ""Select Col1"")),""-"")"),"-")</f>
        <v>-</v>
      </c>
      <c r="F6" s="59" t="str">
        <f t="shared" si="1"/>
        <v>-</v>
      </c>
      <c r="G6" s="60" t="str">
        <f>IFERROR(__xludf.DUMMYFUNCTION("iferror(AVERAGE(query(filter('Data Recording'!G:G,'Data Recording'!D:D=B6), ""Select Col1"")),""0.00"")"),"0.00")</f>
        <v>0.00</v>
      </c>
      <c r="H6" s="58" t="str">
        <f>IFERROR(__xludf.DUMMYFUNCTION("iferror(MAX(query(filter('Data Recording'!G:G,'Data Recording'!D:D=B6), ""Select Col1"")),""-"")"),"-")</f>
        <v>-</v>
      </c>
      <c r="I6" s="61" t="str">
        <f>IFERROR(__xludf.DUMMYFUNCTION("iferror(SUM(query(filter('Data Recording'!H:H,'Data Recording'!D:D=B6), ""Select Col1"")),""-"")"),"-")</f>
        <v>-</v>
      </c>
      <c r="J6" s="62" t="str">
        <f>IFERROR(__xludf.DUMMYFUNCTION("iferror(SUM(query(filter('Data Recording'!I:I,'Data Recording'!D:D=B6), ""Select Col1"")),""-"")"),"-")</f>
        <v>-</v>
      </c>
      <c r="K6" s="59" t="str">
        <f t="shared" si="2"/>
        <v>-</v>
      </c>
      <c r="L6" s="60" t="str">
        <f>IFERROR(__xludf.DUMMYFUNCTION("iferror(AVERAGE(query(filter('Data Recording'!I:I,'Data Recording'!D:D=B6), ""Select Col1"")),""0.00"")"),"0.00")</f>
        <v>0.00</v>
      </c>
      <c r="M6" s="58" t="str">
        <f>IFERROR(__xludf.DUMMYFUNCTION("iferror(MAX(query(filter('Data Recording'!I:I,'Data Recording'!D:D=B6), ""Select Col1"")),""-"")"),"-")</f>
        <v>-</v>
      </c>
      <c r="N6" s="63" t="str">
        <f>IFERROR(__xludf.DUMMYFUNCTION("iferror(SUM(query(filter('Data Recording'!J:J,'Data Recording'!D:D=B6), ""Select Col1"")),""-"")"),"-")</f>
        <v>-</v>
      </c>
      <c r="O6" s="5" t="str">
        <f>IFERROR(__xludf.DUMMYFUNCTION("iferror(SUM(query(filter('Data Recording'!K:K,'Data Recording'!D:D=B6), ""Select Col1"")),""-"")"),"-")</f>
        <v>-</v>
      </c>
      <c r="P6" s="59" t="str">
        <f t="shared" si="3"/>
        <v>-</v>
      </c>
      <c r="Q6" s="60" t="str">
        <f>IFERROR(__xludf.DUMMYFUNCTION("iferror(AVERAGE(query(filter('Data Recording'!K:K,'Data Recording'!D:D=B6), ""Select Col1"")),""0.00"")"),"0.00")</f>
        <v>0.00</v>
      </c>
      <c r="R6" s="58" t="str">
        <f>IFERROR(__xludf.DUMMYFUNCTION("iferror(MAX(query(filter('Data Recording'!K:K,'Data Recording'!D:D=B6), ""Select Col1"")),""-"")"),"-")</f>
        <v>-</v>
      </c>
      <c r="S6" s="63" t="str">
        <f>IFERROR(__xludf.DUMMYFUNCTION("iferror(SUM(query(filter('Data Recording'!L:L,'Data Recording'!D:D=B6), ""Select Col1"")),""-"")"),"-")</f>
        <v>-</v>
      </c>
      <c r="T6" s="5" t="str">
        <f>IFERROR(__xludf.DUMMYFUNCTION("iferror(SUM(query(filter('Data Recording'!M:M,'Data Recording'!D:D=B6), ""Select Col1"")),""-"")"),"-")</f>
        <v>-</v>
      </c>
      <c r="U6" s="59" t="str">
        <f t="shared" si="4"/>
        <v>-</v>
      </c>
      <c r="V6" s="60" t="str">
        <f>IFERROR(__xludf.DUMMYFUNCTION("iferror(AVERAGE(query(filter('Data Recording'!M:M,'Data Recording'!D:D=B6), ""Select Col1"")),""-"")"),"-")</f>
        <v>-</v>
      </c>
      <c r="W6" s="57" t="str">
        <f>IFERROR(__xludf.DUMMYFUNCTION("iferror(MAX(query(filter('Data Recording'!M:M,'Data Recording'!D:D=B6), ""Select Col1"")),""-"")"),"-")</f>
        <v>-</v>
      </c>
      <c r="X6" s="5" t="str">
        <f>IFERROR(__xludf.DUMMYFUNCTION("iferror(SUM(query(filter('Data Recording'!N:N,'Data Recording'!D:D=B6), ""Select Col1"")),""-"")"),"-")</f>
        <v>-</v>
      </c>
      <c r="Y6" s="5" t="str">
        <f>IFERROR(__xludf.DUMMYFUNCTION("iferror(SUM(query(filter('Data Recording'!O:O,'Data Recording'!D:D=B6), ""Select Col1"")),""-"")"),"-")</f>
        <v>-</v>
      </c>
      <c r="Z6" s="59" t="str">
        <f t="shared" si="5"/>
        <v>-</v>
      </c>
      <c r="AA6" s="60" t="str">
        <f>IFERROR(__xludf.DUMMYFUNCTION("iferror(AVERAGE(query(filter('Data Recording'!O:O,'Data Recording'!D:D=B6), ""Select Col1"")),""0.00"")"),"0.00")</f>
        <v>0.00</v>
      </c>
      <c r="AB6" s="57" t="str">
        <f>IFERROR(__xludf.DUMMYFUNCTION("iferror(MAX(query(filter('Data Recording'!O:O,'Data Recording'!D:D=B6), ""Select Col1"")),""-"")"),"-")</f>
        <v>-</v>
      </c>
      <c r="AC6" s="5" t="str">
        <f>IFERROR(__xludf.DUMMYFUNCTION("iferror(SUM(query(filter('Data Recording'!P:P,'Data Recording'!D:D=B6), ""Select Col1"")),""-"")"),"-")</f>
        <v>-</v>
      </c>
      <c r="AD6" s="5" t="str">
        <f>IFERROR(__xludf.DUMMYFUNCTION("iferror(SUM(query(filter('Data Recording'!Q:Q,'Data Recording'!D:D=B6), ""Select Col1"")),""-"")"),"-")</f>
        <v>-</v>
      </c>
      <c r="AE6" s="59" t="str">
        <f t="shared" si="6"/>
        <v>-</v>
      </c>
      <c r="AF6" s="60" t="str">
        <f>IFERROR(__xludf.DUMMYFUNCTION("iferror(AVERAGE(query(filter('Data Recording'!Q:Q,'Data Recording'!D:D=B6), ""Select Col1"")),""0.00"")"),"0.00")</f>
        <v>0.00</v>
      </c>
      <c r="AG6" s="5" t="str">
        <f>IFERROR(__xludf.DUMMYFUNCTION("iferror(MAX(query(filter('Data Recording'!Q:Q,'Data Recording'!D:D=B6), ""Select Col1"")),""-"")"),"-")</f>
        <v>-</v>
      </c>
      <c r="AH6" s="63" t="str">
        <f>IFERROR(__xludf.DUMMYFUNCTION("if(countif(query(filter('Data Recording'!R:R,'Data Recording'!D:D=B6), ""Select Col1""),""Yes, Engaged"")+countif(query(filter('Data Recording'!R:R,'Data Recording'!D:D=B6), ""Select Col1""),""Yes, Docked"")=0,""0"",countif(query(filter('Data Recording'!R"&amp;":R,'Data Recording'!D:D=B6), ""Select Col1""),""Yes, Engaged""))+countif(query(filter('Data Recording'!R:R,'Data Recording'!D:D=B6), ""Select Col1""),""Yes, Docked"") &amp; ""/"" &amp; if(COUNTA(query(ifna(filter('Data Recording'!R:R,'Data Recording'!D:D=B6),"""""&amp;"), ""Select Col1""))=0,""0"",COUNTA(query(ifna(filter('Data Recording'!R:R,'Data Recording'!D:D=B6),""""), ""Select Col1"")))"),"0/0")</f>
        <v>0/0</v>
      </c>
      <c r="AI6" s="64" t="str">
        <f>IFERROR(__xludf.DUMMYFUNCTION("if(countif(query(filter('Data Recording'!R:R,'Data Recording'!D:D=B6), ""Select Col1""),""Yes, Engaged"")=0,""0"",countif(query(filter('Data Recording'!R:R,'Data Recording'!D:D=B6), ""Select Col1""),""Yes, Engaged"")) &amp; ""/"" &amp; if(COUNTA(query(ifna(filter"&amp;"('Data Recording'!R:R,'Data Recording'!D:D=B6),""""), ""Select Col1""))=0,""0"",COUNTA(query(ifna(filter('Data Recording'!R:R,'Data Recording'!D:D=B6),""""), ""Select Col1"")))"),"0/0")</f>
        <v>0/0</v>
      </c>
      <c r="AJ6" s="5" t="str">
        <f>IFERROR(__xludf.DUMMYFUNCTION("iferror(SUM(query(filter('Data Recording'!S:S,'Data Recording'!D:D=B6), ""Select Col1"")),""-"")"),"-")</f>
        <v>-</v>
      </c>
      <c r="AK6" s="5" t="str">
        <f>IFERROR(__xludf.DUMMYFUNCTION("iferror(SUM(query(filter('Data Recording'!T:T,'Data Recording'!D:D=B6), ""Select Col1"")),""-"")"),"-")</f>
        <v>-</v>
      </c>
      <c r="AL6" s="59" t="str">
        <f t="shared" si="7"/>
        <v>-</v>
      </c>
      <c r="AM6" s="60" t="str">
        <f>IFERROR(__xludf.DUMMYFUNCTION("iferror(AVERAGE(query(filter('Data Recording'!T:T,'Data Recording'!D:D=B6), ""Select Col1"")),""0.00"")"),"0.00")</f>
        <v>0.00</v>
      </c>
      <c r="AN6" s="65" t="str">
        <f>IFERROR(__xludf.DUMMYFUNCTION("iferror(MAX(query(filter('Data Recording'!T:T,'Data Recording'!D:D=B6), ""Select Col1"")),""-"")"),"-")</f>
        <v>-</v>
      </c>
      <c r="AO6" s="66" t="str">
        <f>IFERROR(__xludf.DUMMYFUNCTION("iferror(SUM(query(filter('Data Recording'!U:U,'Data Recording'!D:D=B6), ""Select Col1"")),""-"")"),"-")</f>
        <v>-</v>
      </c>
      <c r="AP6" s="66" t="str">
        <f>IFERROR(__xludf.DUMMYFUNCTION("iferror(SUM(query(filter('Data Recording'!V:V,'Data Recording'!D:D=B6), ""Select Col1"")),""-"")"),"-")</f>
        <v>-</v>
      </c>
      <c r="AQ6" s="67" t="str">
        <f t="shared" si="8"/>
        <v>-</v>
      </c>
      <c r="AR6" s="68" t="str">
        <f>IFERROR(__xludf.DUMMYFUNCTION("iferror(AVERAGE(query(filter('Data Recording'!V:V,'Data Recording'!D:D=B6), ""Select Col1"")),""0.00"")"),"0.00")</f>
        <v>0.00</v>
      </c>
      <c r="AS6" s="69" t="str">
        <f>IFERROR(__xludf.DUMMYFUNCTION("iferror(MAX(query(filter('Data Recording'!V:V,'Data Recording'!D:D=B6), ""Select Col1"")),""-"")"),"-")</f>
        <v>-</v>
      </c>
      <c r="AT6" s="66" t="str">
        <f>IFERROR(__xludf.DUMMYFUNCTION("iferror(SUM(query(filter('Data Recording'!W:W,'Data Recording'!D:D=B6), ""Select Col1"")),""-"")"),"-")</f>
        <v>-</v>
      </c>
      <c r="AU6" s="66" t="str">
        <f>IFERROR(__xludf.DUMMYFUNCTION("iferror(SUM(query(filter('Data Recording'!X:X,'Data Recording'!D:D=B6), ""Select Col1"")),""-"")"),"-")</f>
        <v>-</v>
      </c>
      <c r="AV6" s="67" t="str">
        <f t="shared" si="9"/>
        <v>-</v>
      </c>
      <c r="AW6" s="68" t="str">
        <f>IFERROR(__xludf.DUMMYFUNCTION("iferror(AVERAGE(query(filter('Data Recording'!X:X,'Data Recording'!D:D=B6), ""Select Col1"")),""0.00"")"),"0.00")</f>
        <v>0.00</v>
      </c>
      <c r="AX6" s="69" t="str">
        <f>IFERROR(__xludf.DUMMYFUNCTION("iferror(MAX(query(filter('Data Recording'!X:X,'Data Recording'!D:D=B6), ""Select Col1"")),""-"")"),"-")</f>
        <v>-</v>
      </c>
      <c r="AY6" s="66" t="str">
        <f>IFERROR(__xludf.DUMMYFUNCTION("iferror(SUM(query(filter('Data Recording'!Y:Y,'Data Recording'!D:D=B6), ""Select Col1"")),""-"")"),"-")</f>
        <v>-</v>
      </c>
      <c r="AZ6" s="66" t="str">
        <f>IFERROR(__xludf.DUMMYFUNCTION("iferror(SUM(query(filter('Data Recording'!Z:Z,'Data Recording'!D:D=B6), ""Select Col1"")),""-"")"),"-")</f>
        <v>-</v>
      </c>
      <c r="BA6" s="67" t="str">
        <f t="shared" si="10"/>
        <v>-</v>
      </c>
      <c r="BB6" s="68" t="str">
        <f>IFERROR(__xludf.DUMMYFUNCTION("iferror(AVERAGE(query(filter('Data Recording'!Z:Z,'Data Recording'!D:D=B6), ""Select Col1"")),""0.00"")"),"0.00")</f>
        <v>0.00</v>
      </c>
      <c r="BC6" s="69" t="str">
        <f>IFERROR(__xludf.DUMMYFUNCTION("iferror(MAX(query(filter('Data Recording'!Z:Z,'Data Recording'!D:D=B6), ""Select Col1"")),""-"")"),"-")</f>
        <v>-</v>
      </c>
      <c r="BD6" s="66" t="str">
        <f>IFERROR(__xludf.DUMMYFUNCTION("iferror(SUM(query(filter('Data Recording'!AA:AA,'Data Recording'!D:D=B6), ""Select Col1"")),""-"")"),"-")</f>
        <v>-</v>
      </c>
      <c r="BE6" s="66" t="str">
        <f>IFERROR(__xludf.DUMMYFUNCTION("iferror(SUM(query(filter('Data Recording'!AB:AB,'Data Recording'!D:D=B6), ""Select Col1"")),""-"")"),"-")</f>
        <v>-</v>
      </c>
      <c r="BF6" s="67" t="str">
        <f t="shared" si="11"/>
        <v>-</v>
      </c>
      <c r="BG6" s="68" t="str">
        <f>IFERROR(__xludf.DUMMYFUNCTION("iferror(AVERAGE(query(filter('Data Recording'!AB:AB,'Data Recording'!D:D=B6), ""Select Col1"")),""0.00"")"),"0.00")</f>
        <v>0.00</v>
      </c>
      <c r="BH6" s="69" t="str">
        <f>IFERROR(__xludf.DUMMYFUNCTION("iferror(MAX(query(filter('Data Recording'!AB:AB,'Data Recording'!D:D=B6), ""Select Col1"")),""-"")"),"-")</f>
        <v>-</v>
      </c>
      <c r="BI6" s="66" t="str">
        <f>IFERROR(__xludf.DUMMYFUNCTION("iferror(SUM(query(filter('Data Recording'!AC:AC,'Data Recording'!D:D=B6), ""Select Col1"")),""-"")"),"-")</f>
        <v>-</v>
      </c>
      <c r="BJ6" s="66" t="str">
        <f>IFERROR(__xludf.DUMMYFUNCTION("iferror(SUM(query(filter('Data Recording'!AD:AD,'Data Recording'!D:D=B6), ""Select Col1"")),""-"")"),"-")</f>
        <v>-</v>
      </c>
      <c r="BK6" s="67" t="str">
        <f t="shared" si="12"/>
        <v>-</v>
      </c>
      <c r="BL6" s="68" t="str">
        <f>IFERROR(__xludf.DUMMYFUNCTION("iferror(AVERAGE(query(filter('Data Recording'!AD:AD,'Data Recording'!D:D=B6), ""Select Col1"")),""0.00"")"),"0.00")</f>
        <v>0.00</v>
      </c>
      <c r="BM6" s="69" t="str">
        <f>IFERROR(__xludf.DUMMYFUNCTION("iferror(MAX(query(filter('Data Recording'!AD:AD,'Data Recording'!D:D=B6), ""Select Col1"")),""-"")"),"-")</f>
        <v>-</v>
      </c>
      <c r="BN6" s="70" t="str">
        <f>IFERROR(__xludf.DUMMYFUNCTION("if(countif(query(filter('Data Recording'!AE:AE,'Data Recording'!D:D=B6), ""Select Col1""),""Yes, Engaged"")+countif(query(filter('Data Recording'!AE:AE,'Data Recording'!D:D=B6), ""Select Col1""),""Yes, Docked"")=0,""0"",countif(query(filter('Data Recordin"&amp;"g'!AE:AE,'Data Recording'!D:D=B6), ""Select Col1""),""Yes, Engaged""))+countif(query(filter('Data Recording'!AE:AE,'Data Recording'!D:D=B6), ""Select Col1""),""Yes, Docked"") &amp; ""/"" &amp; if(COUNTA(query(ifna(filter('Data Recording'!AE:AE,'Data Recording'!D:"&amp;"D=B6),""""), ""Select Col1""))=0,""0"",COUNTA(query(ifna(filter('Data Recording'!AE:AE,'Data Recording'!D:D=B6),""""), ""Select Col1"")))"),"0/0")</f>
        <v>0/0</v>
      </c>
      <c r="BO6" s="71" t="str">
        <f>IFERROR(__xludf.DUMMYFUNCTION("if(countif(query(filter('Data Recording'!AE:AE,'Data Recording'!D:D=B6), ""Select Col1""),""Yes, Engaged"")=0,""0"",countif(query(filter('Data Recording'!AE:AE,'Data Recording'!D:D=B6), ""Select Col1""),""Yes, Engaged"")) &amp; ""/"" &amp; if(COUNTA(query(ifna(fi"&amp;"lter('Data Recording'!AE:AE,'Data Recording'!D:D=B6),""""), ""Select Col1""))=0,""0"",COUNTA(query(ifna(filter('Data Recording'!AE:AE,'Data Recording'!D:D=B6),""""), ""Select Col1"")))"),"0/0")</f>
        <v>0/0</v>
      </c>
      <c r="BP6" s="64" t="str">
        <f>IFERROR(__xludf.DUMMYFUNCTION("if(countif(query(filter('Data Recording'!AH:AH,'Data Recording'!D:D=B6), ""Select Col1""),""Yes"")=0,""0"",countif(query(filter('Data Recording'!AH:AH,'Data Recording'!D:D=B6), ""Select Col1""),""Yes"")) &amp; ""/"" &amp; if(COUNTA(query(ifna(filter('Data Recordi"&amp;"ng'!AH:AH,'Data Recording'!D:D=B6),""""), ""Select Col1""))=0,""0"",COUNTA(query(ifna(filter('Data Recording'!AH:AH,'Data Recording'!D:D=B6),""""), ""Select Col1"")))"),"0/0")</f>
        <v>0/0</v>
      </c>
      <c r="BQ6" s="72"/>
      <c r="BR6" s="60" t="str">
        <f>IFERROR(__xludf.DUMMYFUNCTION("iferror(average(query(filter('Data Recording'!AF:AF,'Data Recording'!D:D=B6), ""Select Col1"")),""-"")"),"-")</f>
        <v>-</v>
      </c>
      <c r="BS6" s="73" t="str">
        <f>IFERROR(__xludf.DUMMYFUNCTION("iferror(average(query(filter('Data Recording'!AG:AG,'Data Recording'!D:D=B6), ""Select Col1"")),""-"")"),"-")</f>
        <v>-</v>
      </c>
      <c r="BT6" s="74" t="str">
        <f t="shared" si="13"/>
        <v>-</v>
      </c>
      <c r="BU6" s="74" t="str">
        <f>IFERROR(__xludf.DUMMYFUNCTION("iferror(AVERAGE(query(filter('Data Recording'!AJ:AJ,'Data Recording'!D:D=B6), ""Select Col1"")),""-"")"),"-")</f>
        <v>-</v>
      </c>
      <c r="BV6" s="74" t="str">
        <f>IFERROR(__xludf.DUMMYFUNCTION("iferror(AVERAGE(query(filter('Data Recording'!AK:AK,'Data Recording'!D:D=B6), ""Select Col1"")),""-"")"),"-")</f>
        <v>-</v>
      </c>
      <c r="BW6" s="74">
        <f t="shared" si="14"/>
        <v>0</v>
      </c>
      <c r="BX6" s="75" t="str">
        <f>IFERROR(__xludf.DUMMYFUNCTION("iferror(max(query(filter('Data Recording'!AJ:AJ,'Data Recording'!D:D=B6), ""Select Col1"")),""-"")"),"-")</f>
        <v>-</v>
      </c>
      <c r="BY6" s="76" t="str">
        <f>IFERROR(__xludf.DUMMYFUNCTION("iferror(MIN(query(filter('Data Recording'!AJ:AJ,'Data Recording'!D:D=B6), ""Select Col1"")),""-"")"),"-")</f>
        <v>-</v>
      </c>
      <c r="BZ6" s="77" t="str">
        <f>IFERROR(__xludf.DUMMYFUNCTION("iferror(if(DIVIDE(COUNTIF(query(filter('Data Recording'!R:R,'Data Recording'!D:D=B6), ""Select Col1""),""Yes, Docked"") + countif(query(filter('Data Recording'!R:R,'Data Recording'!D:D=B6), ""Select Col1""),""Yes, Engaged""),COUNTA(query(ifna(filter('Data"&amp;" Recording'!R:R,'Data Recording'!D:D=B6),""""), ""Select Col1"")))&gt;=(0.5),""1"",""0""),""-"")"),"-")</f>
        <v>-</v>
      </c>
      <c r="CA6" s="5" t="str">
        <f>IFERROR(__xludf.DUMMYFUNCTION("iferror(if(countif(query(filter('Data Recording'!R:R,'Data Recording'!D:D=B6), ""Select Col1""),""Yes, Engaged"")/COUNTA(query(ifna(filter('Data Recording'!R:R,'Data Recording'!D:D=B6),""""), ""Select Col1""))&gt;=(0.5),""1"",""0""),""-"")"),"-")</f>
        <v>-</v>
      </c>
      <c r="CB6" s="78" t="str">
        <f>IFERROR(__xludf.DUMMYFUNCTION("iferror(if(DIVIDE(COUNTIF(query(filter('Data Recording'!AE:AE,'Data Recording'!D:D=B6), ""Select Col1""),""Yes, Docked"") + countif(query(filter('Data Recording'!AE:AE,'Data Recording'!D:D=B6), ""Select Col1""),""Yes, Engaged""),COUNTA(query(ifna(filter('"&amp;"Data Recording'!AE:AE,'Data Recording'!D:D=B6),""""), ""Select Col1"")))&gt;=(0.5),""1"",""0""),""-"")"),"-")</f>
        <v>-</v>
      </c>
      <c r="CC6" s="5" t="str">
        <f>IFERROR(__xludf.DUMMYFUNCTION("iferror(if(countif(query(filter('Data Recording'!AE:AE,'Data Recording'!D:D=B6), ""Select Col1""),""Yes, Engaged"")/COUNTA(query(ifna(filter('Data Recording'!AE:AE,'Data Recording'!D:D=B6),""""), ""Select Col1""))&gt;=(0.5),""1"",""0""),""-"")"),"-")</f>
        <v>-</v>
      </c>
      <c r="CD6" s="78" t="str">
        <f>IFERROR(__xludf.DUMMYFUNCTION("iferror(if(DIVIDE(countif(query(filter('Data Recording'!E:E,'Data Recording'!D:D=B6), ""Select Col1""),""Yes""),COUNTA(query(ifna(filter('Data Recording'!E:E,'Data Recording'!D:D=B6),""""), ""Select Col1"")))&gt;=(0.5),""1"",""0""),""-"")"),"-")</f>
        <v>-</v>
      </c>
    </row>
    <row r="7">
      <c r="A7" s="2" t="s">
        <v>116</v>
      </c>
      <c r="B7" s="2">
        <v>4405.0</v>
      </c>
      <c r="C7" s="57" t="str">
        <f>IFERROR(__xludf.DUMMYFUNCTION("if(countif(query(filter('Data Recording'!E:E,'Data Recording'!D:D=B7), ""Select Col1""),""Yes"")=0,""0"",countif(query(filter('Data Recording'!E:E,'Data Recording'!D:D=B7), ""Select Col1""),""Yes"")) &amp; ""/"" &amp; if(COUNTA(query(ifna(filter('Data Recording'!"&amp;"E:E,'Data Recording'!D:D=B7),""""), ""Select Col1""))=0,""0"",COUNTA(query(ifna(filter('Data Recording'!E:E,'Data Recording'!D:D=B7),""""), ""Select Col1"")))"),"8/8")</f>
        <v>8/8</v>
      </c>
      <c r="D7" s="58">
        <f>IFERROR(__xludf.DUMMYFUNCTION("iferror(SUM(query(filter('Data Recording'!F:F,'Data Recording'!D:D=B7), ""Select Col1"")),""-"")"),0.0)</f>
        <v>0</v>
      </c>
      <c r="E7" s="58">
        <f>IFERROR(__xludf.DUMMYFUNCTION("iferror(SUM(query(filter('Data Recording'!G:G,'Data Recording'!D:D=B7), ""Select Col1"")),""-"")"),0.0)</f>
        <v>0</v>
      </c>
      <c r="F7" s="59" t="str">
        <f t="shared" si="1"/>
        <v>-</v>
      </c>
      <c r="G7" s="60">
        <f>IFERROR(__xludf.DUMMYFUNCTION("iferror(AVERAGE(query(filter('Data Recording'!G:G,'Data Recording'!D:D=B7), ""Select Col1"")),""0.00"")"),0.0)</f>
        <v>0</v>
      </c>
      <c r="H7" s="58">
        <f>IFERROR(__xludf.DUMMYFUNCTION("iferror(MAX(query(filter('Data Recording'!G:G,'Data Recording'!D:D=B7), ""Select Col1"")),""-"")"),0.0)</f>
        <v>0</v>
      </c>
      <c r="I7" s="61">
        <f>IFERROR(__xludf.DUMMYFUNCTION("iferror(SUM(query(filter('Data Recording'!H:H,'Data Recording'!D:D=B7), ""Select Col1"")),""-"")"),0.0)</f>
        <v>0</v>
      </c>
      <c r="J7" s="62">
        <f>IFERROR(__xludf.DUMMYFUNCTION("iferror(SUM(query(filter('Data Recording'!I:I,'Data Recording'!D:D=B7), ""Select Col1"")),""-"")"),0.0)</f>
        <v>0</v>
      </c>
      <c r="K7" s="59" t="str">
        <f t="shared" si="2"/>
        <v>-</v>
      </c>
      <c r="L7" s="60">
        <f>IFERROR(__xludf.DUMMYFUNCTION("iferror(AVERAGE(query(filter('Data Recording'!I:I,'Data Recording'!D:D=B7), ""Select Col1"")),""0.00"")"),0.0)</f>
        <v>0</v>
      </c>
      <c r="M7" s="58">
        <f>IFERROR(__xludf.DUMMYFUNCTION("iferror(MAX(query(filter('Data Recording'!I:I,'Data Recording'!D:D=B7), ""Select Col1"")),""-"")"),0.0)</f>
        <v>0</v>
      </c>
      <c r="N7" s="63">
        <f>IFERROR(__xludf.DUMMYFUNCTION("iferror(SUM(query(filter('Data Recording'!J:J,'Data Recording'!D:D=B7), ""Select Col1"")),""-"")"),2.0)</f>
        <v>2</v>
      </c>
      <c r="O7" s="5">
        <f>IFERROR(__xludf.DUMMYFUNCTION("iferror(SUM(query(filter('Data Recording'!K:K,'Data Recording'!D:D=B7), ""Select Col1"")),""-"")"),1.0)</f>
        <v>1</v>
      </c>
      <c r="P7" s="59">
        <f t="shared" si="3"/>
        <v>0.5</v>
      </c>
      <c r="Q7" s="60">
        <f>IFERROR(__xludf.DUMMYFUNCTION("iferror(AVERAGE(query(filter('Data Recording'!K:K,'Data Recording'!D:D=B7), ""Select Col1"")),""0.00"")"),0.3333333333333333)</f>
        <v>0.3333333333</v>
      </c>
      <c r="R7" s="58">
        <f>IFERROR(__xludf.DUMMYFUNCTION("iferror(MAX(query(filter('Data Recording'!K:K,'Data Recording'!D:D=B7), ""Select Col1"")),""-"")"),1.0)</f>
        <v>1</v>
      </c>
      <c r="S7" s="63">
        <f>IFERROR(__xludf.DUMMYFUNCTION("iferror(SUM(query(filter('Data Recording'!L:L,'Data Recording'!D:D=B7), ""Select Col1"")),""-"")"),0.0)</f>
        <v>0</v>
      </c>
      <c r="T7" s="5">
        <f>IFERROR(__xludf.DUMMYFUNCTION("iferror(SUM(query(filter('Data Recording'!M:M,'Data Recording'!D:D=B7), ""Select Col1"")),""-"")"),0.0)</f>
        <v>0</v>
      </c>
      <c r="U7" s="59" t="str">
        <f t="shared" si="4"/>
        <v>-</v>
      </c>
      <c r="V7" s="60">
        <f>IFERROR(__xludf.DUMMYFUNCTION("iferror(AVERAGE(query(filter('Data Recording'!M:M,'Data Recording'!D:D=B7), ""Select Col1"")),""-"")"),0.0)</f>
        <v>0</v>
      </c>
      <c r="W7" s="57">
        <f>IFERROR(__xludf.DUMMYFUNCTION("iferror(MAX(query(filter('Data Recording'!M:M,'Data Recording'!D:D=B7), ""Select Col1"")),""-"")"),0.0)</f>
        <v>0</v>
      </c>
      <c r="X7" s="5">
        <f>IFERROR(__xludf.DUMMYFUNCTION("iferror(SUM(query(filter('Data Recording'!N:N,'Data Recording'!D:D=B7), ""Select Col1"")),""-"")"),0.0)</f>
        <v>0</v>
      </c>
      <c r="Y7" s="5">
        <f>IFERROR(__xludf.DUMMYFUNCTION("iferror(SUM(query(filter('Data Recording'!O:O,'Data Recording'!D:D=B7), ""Select Col1"")),""-"")"),0.0)</f>
        <v>0</v>
      </c>
      <c r="Z7" s="59" t="str">
        <f t="shared" si="5"/>
        <v>-</v>
      </c>
      <c r="AA7" s="60">
        <f>IFERROR(__xludf.DUMMYFUNCTION("iferror(AVERAGE(query(filter('Data Recording'!O:O,'Data Recording'!D:D=B7), ""Select Col1"")),""0.00"")"),0.0)</f>
        <v>0</v>
      </c>
      <c r="AB7" s="57">
        <f>IFERROR(__xludf.DUMMYFUNCTION("iferror(MAX(query(filter('Data Recording'!O:O,'Data Recording'!D:D=B7), ""Select Col1"")),""-"")"),0.0)</f>
        <v>0</v>
      </c>
      <c r="AC7" s="5">
        <f>IFERROR(__xludf.DUMMYFUNCTION("iferror(SUM(query(filter('Data Recording'!P:P,'Data Recording'!D:D=B7), ""Select Col1"")),""-"")"),5.0)</f>
        <v>5</v>
      </c>
      <c r="AD7" s="5">
        <f>IFERROR(__xludf.DUMMYFUNCTION("iferror(SUM(query(filter('Data Recording'!Q:Q,'Data Recording'!D:D=B7), ""Select Col1"")),""-"")"),3.0)</f>
        <v>3</v>
      </c>
      <c r="AE7" s="59">
        <f t="shared" si="6"/>
        <v>0.6</v>
      </c>
      <c r="AF7" s="60">
        <f>IFERROR(__xludf.DUMMYFUNCTION("iferror(AVERAGE(query(filter('Data Recording'!Q:Q,'Data Recording'!D:D=B7), ""Select Col1"")),""0.00"")"),0.5)</f>
        <v>0.5</v>
      </c>
      <c r="AG7" s="5">
        <f>IFERROR(__xludf.DUMMYFUNCTION("iferror(MAX(query(filter('Data Recording'!Q:Q,'Data Recording'!D:D=B7), ""Select Col1"")),""-"")"),1.0)</f>
        <v>1</v>
      </c>
      <c r="AH7" s="63" t="str">
        <f>IFERROR(__xludf.DUMMYFUNCTION("if(countif(query(filter('Data Recording'!R:R,'Data Recording'!D:D=B7), ""Select Col1""),""Yes, Engaged"")+countif(query(filter('Data Recording'!R:R,'Data Recording'!D:D=B7), ""Select Col1""),""Yes, Docked"")=0,""0"",countif(query(filter('Data Recording'!R"&amp;":R,'Data Recording'!D:D=B7), ""Select Col1""),""Yes, Engaged""))+countif(query(filter('Data Recording'!R:R,'Data Recording'!D:D=B7), ""Select Col1""),""Yes, Docked"") &amp; ""/"" &amp; if(COUNTA(query(ifna(filter('Data Recording'!R:R,'Data Recording'!D:D=B7),"""""&amp;"), ""Select Col1""))=0,""0"",COUNTA(query(ifna(filter('Data Recording'!R:R,'Data Recording'!D:D=B7),""""), ""Select Col1"")))"),"8/8")</f>
        <v>8/8</v>
      </c>
      <c r="AI7" s="64" t="str">
        <f>IFERROR(__xludf.DUMMYFUNCTION("if(countif(query(filter('Data Recording'!R:R,'Data Recording'!D:D=B7), ""Select Col1""),""Yes, Engaged"")=0,""0"",countif(query(filter('Data Recording'!R:R,'Data Recording'!D:D=B7), ""Select Col1""),""Yes, Engaged"")) &amp; ""/"" &amp; if(COUNTA(query(ifna(filter"&amp;"('Data Recording'!R:R,'Data Recording'!D:D=B7),""""), ""Select Col1""))=0,""0"",COUNTA(query(ifna(filter('Data Recording'!R:R,'Data Recording'!D:D=B7),""""), ""Select Col1"")))"),"8/8")</f>
        <v>8/8</v>
      </c>
      <c r="AJ7" s="5">
        <f>IFERROR(__xludf.DUMMYFUNCTION("iferror(SUM(query(filter('Data Recording'!S:S,'Data Recording'!D:D=B7), ""Select Col1"")),""-"")"),26.0)</f>
        <v>26</v>
      </c>
      <c r="AK7" s="5">
        <f>IFERROR(__xludf.DUMMYFUNCTION("iferror(SUM(query(filter('Data Recording'!T:T,'Data Recording'!D:D=B7), ""Select Col1"")),""-"")"),21.0)</f>
        <v>21</v>
      </c>
      <c r="AL7" s="59">
        <f t="shared" si="7"/>
        <v>0.8076923077</v>
      </c>
      <c r="AM7" s="60">
        <f>IFERROR(__xludf.DUMMYFUNCTION("iferror(AVERAGE(query(filter('Data Recording'!T:T,'Data Recording'!D:D=B7), ""Select Col1"")),""0.00"")"),2.625)</f>
        <v>2.625</v>
      </c>
      <c r="AN7" s="65">
        <f>IFERROR(__xludf.DUMMYFUNCTION("iferror(MAX(query(filter('Data Recording'!T:T,'Data Recording'!D:D=B7), ""Select Col1"")),""-"")"),4.0)</f>
        <v>4</v>
      </c>
      <c r="AO7" s="66">
        <f>IFERROR(__xludf.DUMMYFUNCTION("iferror(SUM(query(filter('Data Recording'!U:U,'Data Recording'!D:D=B7), ""Select Col1"")),""-"")"),2.0)</f>
        <v>2</v>
      </c>
      <c r="AP7" s="66">
        <f>IFERROR(__xludf.DUMMYFUNCTION("iferror(SUM(query(filter('Data Recording'!V:V,'Data Recording'!D:D=B7), ""Select Col1"")),""-"")"),3.0)</f>
        <v>3</v>
      </c>
      <c r="AQ7" s="67">
        <f t="shared" si="8"/>
        <v>1.5</v>
      </c>
      <c r="AR7" s="68">
        <f>IFERROR(__xludf.DUMMYFUNCTION("iferror(AVERAGE(query(filter('Data Recording'!V:V,'Data Recording'!D:D=B7), ""Select Col1"")),""0.00"")"),1.0)</f>
        <v>1</v>
      </c>
      <c r="AS7" s="69">
        <f>IFERROR(__xludf.DUMMYFUNCTION("iferror(MAX(query(filter('Data Recording'!V:V,'Data Recording'!D:D=B7), ""Select Col1"")),""-"")"),2.0)</f>
        <v>2</v>
      </c>
      <c r="AT7" s="66">
        <f>IFERROR(__xludf.DUMMYFUNCTION("iferror(SUM(query(filter('Data Recording'!W:W,'Data Recording'!D:D=B7), ""Select Col1"")),""-"")"),0.0)</f>
        <v>0</v>
      </c>
      <c r="AU7" s="66">
        <f>IFERROR(__xludf.DUMMYFUNCTION("iferror(SUM(query(filter('Data Recording'!X:X,'Data Recording'!D:D=B7), ""Select Col1"")),""-"")"),0.0)</f>
        <v>0</v>
      </c>
      <c r="AV7" s="67" t="str">
        <f t="shared" si="9"/>
        <v>-</v>
      </c>
      <c r="AW7" s="68">
        <f>IFERROR(__xludf.DUMMYFUNCTION("iferror(AVERAGE(query(filter('Data Recording'!X:X,'Data Recording'!D:D=B7), ""Select Col1"")),""0.00"")"),0.0)</f>
        <v>0</v>
      </c>
      <c r="AX7" s="69">
        <f>IFERROR(__xludf.DUMMYFUNCTION("iferror(MAX(query(filter('Data Recording'!X:X,'Data Recording'!D:D=B7), ""Select Col1"")),""-"")"),0.0)</f>
        <v>0</v>
      </c>
      <c r="AY7" s="66">
        <f>IFERROR(__xludf.DUMMYFUNCTION("iferror(SUM(query(filter('Data Recording'!Y:Y,'Data Recording'!D:D=B7), ""Select Col1"")),""-"")"),5.0)</f>
        <v>5</v>
      </c>
      <c r="AZ7" s="66">
        <f>IFERROR(__xludf.DUMMYFUNCTION("iferror(SUM(query(filter('Data Recording'!Z:Z,'Data Recording'!D:D=B7), ""Select Col1"")),""-"")"),4.0)</f>
        <v>4</v>
      </c>
      <c r="BA7" s="67">
        <f t="shared" si="10"/>
        <v>0.8</v>
      </c>
      <c r="BB7" s="68">
        <f>IFERROR(__xludf.DUMMYFUNCTION("iferror(AVERAGE(query(filter('Data Recording'!Z:Z,'Data Recording'!D:D=B7), ""Select Col1"")),""0.00"")"),1.0)</f>
        <v>1</v>
      </c>
      <c r="BC7" s="69">
        <f>IFERROR(__xludf.DUMMYFUNCTION("iferror(MAX(query(filter('Data Recording'!Z:Z,'Data Recording'!D:D=B7), ""Select Col1"")),""-"")"),1.0)</f>
        <v>1</v>
      </c>
      <c r="BD7" s="66">
        <f>IFERROR(__xludf.DUMMYFUNCTION("iferror(SUM(query(filter('Data Recording'!AA:AA,'Data Recording'!D:D=B7), ""Select Col1"")),""-"")"),1.0)</f>
        <v>1</v>
      </c>
      <c r="BE7" s="66">
        <f>IFERROR(__xludf.DUMMYFUNCTION("iferror(SUM(query(filter('Data Recording'!AB:AB,'Data Recording'!D:D=B7), ""Select Col1"")),""-"")"),1.0)</f>
        <v>1</v>
      </c>
      <c r="BF7" s="67">
        <f t="shared" si="11"/>
        <v>1</v>
      </c>
      <c r="BG7" s="68">
        <f>IFERROR(__xludf.DUMMYFUNCTION("iferror(AVERAGE(query(filter('Data Recording'!AB:AB,'Data Recording'!D:D=B7), ""Select Col1"")),""0.00"")"),0.5)</f>
        <v>0.5</v>
      </c>
      <c r="BH7" s="69">
        <f>IFERROR(__xludf.DUMMYFUNCTION("iferror(MAX(query(filter('Data Recording'!AB:AB,'Data Recording'!D:D=B7), ""Select Col1"")),""-"")"),1.0)</f>
        <v>1</v>
      </c>
      <c r="BI7" s="66">
        <f>IFERROR(__xludf.DUMMYFUNCTION("iferror(SUM(query(filter('Data Recording'!AC:AC,'Data Recording'!D:D=B7), ""Select Col1"")),""-"")"),1.0)</f>
        <v>1</v>
      </c>
      <c r="BJ7" s="66">
        <f>IFERROR(__xludf.DUMMYFUNCTION("iferror(SUM(query(filter('Data Recording'!AD:AD,'Data Recording'!D:D=B7), ""Select Col1"")),""-"")"),1.0)</f>
        <v>1</v>
      </c>
      <c r="BK7" s="67">
        <f t="shared" si="12"/>
        <v>1</v>
      </c>
      <c r="BL7" s="68">
        <f>IFERROR(__xludf.DUMMYFUNCTION("iferror(AVERAGE(query(filter('Data Recording'!AD:AD,'Data Recording'!D:D=B7), ""Select Col1"")),""0.00"")"),0.5)</f>
        <v>0.5</v>
      </c>
      <c r="BM7" s="69">
        <f>IFERROR(__xludf.DUMMYFUNCTION("iferror(MAX(query(filter('Data Recording'!AD:AD,'Data Recording'!D:D=B7), ""Select Col1"")),""-"")"),1.0)</f>
        <v>1</v>
      </c>
      <c r="BN7" s="70" t="str">
        <f>IFERROR(__xludf.DUMMYFUNCTION("if(countif(query(filter('Data Recording'!AE:AE,'Data Recording'!D:D=B7), ""Select Col1""),""Yes, Engaged"")+countif(query(filter('Data Recording'!AE:AE,'Data Recording'!D:D=B7), ""Select Col1""),""Yes, Docked"")=0,""0"",countif(query(filter('Data Recordin"&amp;"g'!AE:AE,'Data Recording'!D:D=B7), ""Select Col1""),""Yes, Engaged""))+countif(query(filter('Data Recording'!AE:AE,'Data Recording'!D:D=B7), ""Select Col1""),""Yes, Docked"") &amp; ""/"" &amp; if(COUNTA(query(ifna(filter('Data Recording'!AE:AE,'Data Recording'!D:"&amp;"D=B7),""""), ""Select Col1""))=0,""0"",COUNTA(query(ifna(filter('Data Recording'!AE:AE,'Data Recording'!D:D=B7),""""), ""Select Col1"")))"),"8/8")</f>
        <v>8/8</v>
      </c>
      <c r="BO7" s="71" t="str">
        <f>IFERROR(__xludf.DUMMYFUNCTION("if(countif(query(filter('Data Recording'!AE:AE,'Data Recording'!D:D=B7), ""Select Col1""),""Yes, Engaged"")=0,""0"",countif(query(filter('Data Recording'!AE:AE,'Data Recording'!D:D=B7), ""Select Col1""),""Yes, Engaged"")) &amp; ""/"" &amp; if(COUNTA(query(ifna(fi"&amp;"lter('Data Recording'!AE:AE,'Data Recording'!D:D=B7),""""), ""Select Col1""))=0,""0"",COUNTA(query(ifna(filter('Data Recording'!AE:AE,'Data Recording'!D:D=B7),""""), ""Select Col1"")))"),"8/8")</f>
        <v>8/8</v>
      </c>
      <c r="BP7" s="64" t="str">
        <f>IFERROR(__xludf.DUMMYFUNCTION("if(countif(query(filter('Data Recording'!AH:AH,'Data Recording'!D:D=B7), ""Select Col1""),""Yes"")=0,""0"",countif(query(filter('Data Recording'!AH:AH,'Data Recording'!D:D=B7), ""Select Col1""),""Yes"")) &amp; ""/"" &amp; if(COUNTA(query(ifna(filter('Data Recordi"&amp;"ng'!AH:AH,'Data Recording'!D:D=B7),""""), ""Select Col1""))=0,""0"",COUNTA(query(ifna(filter('Data Recording'!AH:AH,'Data Recording'!D:D=B7),""""), ""Select Col1"")))"),"0/8")</f>
        <v>0/8</v>
      </c>
      <c r="BQ7" s="72">
        <v>0.0</v>
      </c>
      <c r="BR7" s="60">
        <f>IFERROR(__xludf.DUMMYFUNCTION("iferror(average(query(filter('Data Recording'!AF:AF,'Data Recording'!D:D=B7), ""Select Col1"")),""-"")"),3.25)</f>
        <v>3.25</v>
      </c>
      <c r="BS7" s="73">
        <f>IFERROR(__xludf.DUMMYFUNCTION("iferror(average(query(filter('Data Recording'!AG:AG,'Data Recording'!D:D=B7), ""Select Col1"")),""-"")"),0.25)</f>
        <v>0.25</v>
      </c>
      <c r="BT7" s="74">
        <f t="shared" si="13"/>
        <v>51.125</v>
      </c>
      <c r="BU7" s="74">
        <f>IFERROR(__xludf.DUMMYFUNCTION("iferror(AVERAGE(query(filter('Data Recording'!AJ:AJ,'Data Recording'!D:D=B7), ""Select Col1"")),""-"")"),43.875)</f>
        <v>43.875</v>
      </c>
      <c r="BV7" s="74">
        <f>IFERROR(__xludf.DUMMYFUNCTION("iferror(AVERAGE(query(filter('Data Recording'!AK:AK,'Data Recording'!D:D=B7), ""Select Col1"")),""-"")"),18.875)</f>
        <v>18.875</v>
      </c>
      <c r="BW7" s="74">
        <f t="shared" si="14"/>
        <v>26.125</v>
      </c>
      <c r="BX7" s="75">
        <f>IFERROR(__xludf.DUMMYFUNCTION("iferror(max(query(filter('Data Recording'!AJ:AJ,'Data Recording'!D:D=B7), ""Select Col1"")),""-"")"),51.0)</f>
        <v>51</v>
      </c>
      <c r="BY7" s="76">
        <f>IFERROR(__xludf.DUMMYFUNCTION("iferror(MIN(query(filter('Data Recording'!AJ:AJ,'Data Recording'!D:D=B7), ""Select Col1"")),""-"")"),40.0)</f>
        <v>40</v>
      </c>
      <c r="BZ7" s="77" t="str">
        <f>IFERROR(__xludf.DUMMYFUNCTION("iferror(if(DIVIDE(COUNTIF(query(filter('Data Recording'!R:R,'Data Recording'!D:D=B7), ""Select Col1""),""Yes, Docked"") + countif(query(filter('Data Recording'!R:R,'Data Recording'!D:D=B7), ""Select Col1""),""Yes, Engaged""),COUNTA(query(ifna(filter('Data"&amp;" Recording'!R:R,'Data Recording'!D:D=B7),""""), ""Select Col1"")))&gt;=(0.5),""1"",""0""),""-"")"),"1")</f>
        <v>1</v>
      </c>
      <c r="CA7" s="5" t="str">
        <f>IFERROR(__xludf.DUMMYFUNCTION("iferror(if(countif(query(filter('Data Recording'!R:R,'Data Recording'!D:D=B7), ""Select Col1""),""Yes, Engaged"")/COUNTA(query(ifna(filter('Data Recording'!R:R,'Data Recording'!D:D=B7),""""), ""Select Col1""))&gt;=(0.5),""1"",""0""),""-"")"),"1")</f>
        <v>1</v>
      </c>
      <c r="CB7" s="78" t="str">
        <f>IFERROR(__xludf.DUMMYFUNCTION("iferror(if(DIVIDE(COUNTIF(query(filter('Data Recording'!AE:AE,'Data Recording'!D:D=B7), ""Select Col1""),""Yes, Docked"") + countif(query(filter('Data Recording'!AE:AE,'Data Recording'!D:D=B7), ""Select Col1""),""Yes, Engaged""),COUNTA(query(ifna(filter('"&amp;"Data Recording'!AE:AE,'Data Recording'!D:D=B7),""""), ""Select Col1"")))&gt;=(0.5),""1"",""0""),""-"")"),"1")</f>
        <v>1</v>
      </c>
      <c r="CC7" s="5" t="str">
        <f>IFERROR(__xludf.DUMMYFUNCTION("iferror(if(countif(query(filter('Data Recording'!AE:AE,'Data Recording'!D:D=B7), ""Select Col1""),""Yes, Engaged"")/COUNTA(query(ifna(filter('Data Recording'!AE:AE,'Data Recording'!D:D=B7),""""), ""Select Col1""))&gt;=(0.5),""1"",""0""),""-"")"),"1")</f>
        <v>1</v>
      </c>
      <c r="CD7" s="78" t="str">
        <f>IFERROR(__xludf.DUMMYFUNCTION("iferror(if(DIVIDE(countif(query(filter('Data Recording'!E:E,'Data Recording'!D:D=B7), ""Select Col1""),""Yes""),COUNTA(query(ifna(filter('Data Recording'!E:E,'Data Recording'!D:D=B7),""""), ""Select Col1"")))&gt;=(0.5),""1"",""0""),""-"")"),"1")</f>
        <v>1</v>
      </c>
    </row>
    <row r="8">
      <c r="A8" s="2" t="s">
        <v>117</v>
      </c>
      <c r="B8" s="2">
        <v>5050.0</v>
      </c>
      <c r="C8" s="57" t="str">
        <f>IFERROR(__xludf.DUMMYFUNCTION("if(countif(query(filter('Data Recording'!E:E,'Data Recording'!D:D=B8), ""Select Col1""),""Yes"")=0,""0"",countif(query(filter('Data Recording'!E:E,'Data Recording'!D:D=B8), ""Select Col1""),""Yes"")) &amp; ""/"" &amp; if(COUNTA(query(ifna(filter('Data Recording'!"&amp;"E:E,'Data Recording'!D:D=B8),""""), ""Select Col1""))=0,""0"",COUNTA(query(ifna(filter('Data Recording'!E:E,'Data Recording'!D:D=B8),""""), ""Select Col1"")))"),"20/20")</f>
        <v>20/20</v>
      </c>
      <c r="D8" s="58">
        <f>IFERROR(__xludf.DUMMYFUNCTION("iferror(SUM(query(filter('Data Recording'!F:F,'Data Recording'!D:D=B8), ""Select Col1"")),""-"")"),20.0)</f>
        <v>20</v>
      </c>
      <c r="E8" s="58">
        <f>IFERROR(__xludf.DUMMYFUNCTION("iferror(SUM(query(filter('Data Recording'!G:G,'Data Recording'!D:D=B8), ""Select Col1"")),""-"")"),20.0)</f>
        <v>20</v>
      </c>
      <c r="F8" s="59">
        <f t="shared" si="1"/>
        <v>1</v>
      </c>
      <c r="G8" s="60">
        <f>IFERROR(__xludf.DUMMYFUNCTION("iferror(AVERAGE(query(filter('Data Recording'!G:G,'Data Recording'!D:D=B8), ""Select Col1"")),""0.00"")"),1.0)</f>
        <v>1</v>
      </c>
      <c r="H8" s="58">
        <f>IFERROR(__xludf.DUMMYFUNCTION("iferror(MAX(query(filter('Data Recording'!G:G,'Data Recording'!D:D=B8), ""Select Col1"")),""-"")"),1.0)</f>
        <v>1</v>
      </c>
      <c r="I8" s="61">
        <f>IFERROR(__xludf.DUMMYFUNCTION("iferror(SUM(query(filter('Data Recording'!H:H,'Data Recording'!D:D=B8), ""Select Col1"")),""-"")"),0.0)</f>
        <v>0</v>
      </c>
      <c r="J8" s="62">
        <f>IFERROR(__xludf.DUMMYFUNCTION("iferror(SUM(query(filter('Data Recording'!I:I,'Data Recording'!D:D=B8), ""Select Col1"")),""-"")"),0.0)</f>
        <v>0</v>
      </c>
      <c r="K8" s="59" t="str">
        <f t="shared" si="2"/>
        <v>-</v>
      </c>
      <c r="L8" s="60" t="str">
        <f>IFERROR(__xludf.DUMMYFUNCTION("iferror(AVERAGE(query(filter('Data Recording'!I:I,'Data Recording'!D:D=B8), ""Select Col1"")),""0.00"")"),"0.00")</f>
        <v>0.00</v>
      </c>
      <c r="M8" s="58">
        <f>IFERROR(__xludf.DUMMYFUNCTION("iferror(MAX(query(filter('Data Recording'!I:I,'Data Recording'!D:D=B8), ""Select Col1"")),""-"")"),0.0)</f>
        <v>0</v>
      </c>
      <c r="N8" s="63">
        <f>IFERROR(__xludf.DUMMYFUNCTION("iferror(SUM(query(filter('Data Recording'!J:J,'Data Recording'!D:D=B8), ""Select Col1"")),""-"")"),0.0)</f>
        <v>0</v>
      </c>
      <c r="O8" s="5">
        <f>IFERROR(__xludf.DUMMYFUNCTION("iferror(SUM(query(filter('Data Recording'!K:K,'Data Recording'!D:D=B8), ""Select Col1"")),""-"")"),0.0)</f>
        <v>0</v>
      </c>
      <c r="P8" s="59" t="str">
        <f t="shared" si="3"/>
        <v>-</v>
      </c>
      <c r="Q8" s="60" t="str">
        <f>IFERROR(__xludf.DUMMYFUNCTION("iferror(AVERAGE(query(filter('Data Recording'!K:K,'Data Recording'!D:D=B8), ""Select Col1"")),""0.00"")"),"0.00")</f>
        <v>0.00</v>
      </c>
      <c r="R8" s="58">
        <f>IFERROR(__xludf.DUMMYFUNCTION("iferror(MAX(query(filter('Data Recording'!K:K,'Data Recording'!D:D=B8), ""Select Col1"")),""-"")"),0.0)</f>
        <v>0</v>
      </c>
      <c r="S8" s="63">
        <f>IFERROR(__xludf.DUMMYFUNCTION("iferror(SUM(query(filter('Data Recording'!L:L,'Data Recording'!D:D=B8), ""Select Col1"")),""-"")"),0.0)</f>
        <v>0</v>
      </c>
      <c r="T8" s="5">
        <f>IFERROR(__xludf.DUMMYFUNCTION("iferror(SUM(query(filter('Data Recording'!M:M,'Data Recording'!D:D=B8), ""Select Col1"")),""-"")"),0.0)</f>
        <v>0</v>
      </c>
      <c r="U8" s="59" t="str">
        <f t="shared" si="4"/>
        <v>-</v>
      </c>
      <c r="V8" s="60" t="str">
        <f>IFERROR(__xludf.DUMMYFUNCTION("iferror(AVERAGE(query(filter('Data Recording'!M:M,'Data Recording'!D:D=B8), ""Select Col1"")),""-"")"),"-")</f>
        <v>-</v>
      </c>
      <c r="W8" s="57">
        <f>IFERROR(__xludf.DUMMYFUNCTION("iferror(MAX(query(filter('Data Recording'!M:M,'Data Recording'!D:D=B8), ""Select Col1"")),""-"")"),0.0)</f>
        <v>0</v>
      </c>
      <c r="X8" s="5">
        <f>IFERROR(__xludf.DUMMYFUNCTION("iferror(SUM(query(filter('Data Recording'!N:N,'Data Recording'!D:D=B8), ""Select Col1"")),""-"")"),0.0)</f>
        <v>0</v>
      </c>
      <c r="Y8" s="5">
        <f>IFERROR(__xludf.DUMMYFUNCTION("iferror(SUM(query(filter('Data Recording'!O:O,'Data Recording'!D:D=B8), ""Select Col1"")),""-"")"),0.0)</f>
        <v>0</v>
      </c>
      <c r="Z8" s="59" t="str">
        <f t="shared" si="5"/>
        <v>-</v>
      </c>
      <c r="AA8" s="60" t="str">
        <f>IFERROR(__xludf.DUMMYFUNCTION("iferror(AVERAGE(query(filter('Data Recording'!O:O,'Data Recording'!D:D=B8), ""Select Col1"")),""0.00"")"),"0.00")</f>
        <v>0.00</v>
      </c>
      <c r="AB8" s="57">
        <f>IFERROR(__xludf.DUMMYFUNCTION("iferror(MAX(query(filter('Data Recording'!O:O,'Data Recording'!D:D=B8), ""Select Col1"")),""-"")"),0.0)</f>
        <v>0</v>
      </c>
      <c r="AC8" s="5">
        <f>IFERROR(__xludf.DUMMYFUNCTION("iferror(SUM(query(filter('Data Recording'!P:P,'Data Recording'!D:D=B8), ""Select Col1"")),""-"")"),0.0)</f>
        <v>0</v>
      </c>
      <c r="AD8" s="5">
        <f>IFERROR(__xludf.DUMMYFUNCTION("iferror(SUM(query(filter('Data Recording'!Q:Q,'Data Recording'!D:D=B8), ""Select Col1"")),""-"")"),0.0)</f>
        <v>0</v>
      </c>
      <c r="AE8" s="59" t="str">
        <f t="shared" si="6"/>
        <v>-</v>
      </c>
      <c r="AF8" s="60" t="str">
        <f>IFERROR(__xludf.DUMMYFUNCTION("iferror(AVERAGE(query(filter('Data Recording'!Q:Q,'Data Recording'!D:D=B8), ""Select Col1"")),""0.00"")"),"0.00")</f>
        <v>0.00</v>
      </c>
      <c r="AG8" s="5">
        <f>IFERROR(__xludf.DUMMYFUNCTION("iferror(MAX(query(filter('Data Recording'!Q:Q,'Data Recording'!D:D=B8), ""Select Col1"")),""-"")"),0.0)</f>
        <v>0</v>
      </c>
      <c r="AH8" s="63" t="str">
        <f>IFERROR(__xludf.DUMMYFUNCTION("if(countif(query(filter('Data Recording'!R:R,'Data Recording'!D:D=B8), ""Select Col1""),""Yes, Engaged"")+countif(query(filter('Data Recording'!R:R,'Data Recording'!D:D=B8), ""Select Col1""),""Yes, Docked"")=0,""0"",countif(query(filter('Data Recording'!R"&amp;":R,'Data Recording'!D:D=B8), ""Select Col1""),""Yes, Engaged""))+countif(query(filter('Data Recording'!R:R,'Data Recording'!D:D=B8), ""Select Col1""),""Yes, Docked"") &amp; ""/"" &amp; if(COUNTA(query(ifna(filter('Data Recording'!R:R,'Data Recording'!D:D=B8),"""""&amp;"), ""Select Col1""))=0,""0"",COUNTA(query(ifna(filter('Data Recording'!R:R,'Data Recording'!D:D=B8),""""), ""Select Col1"")))"),"11/20")</f>
        <v>11/20</v>
      </c>
      <c r="AI8" s="64" t="str">
        <f>IFERROR(__xludf.DUMMYFUNCTION("if(countif(query(filter('Data Recording'!R:R,'Data Recording'!D:D=B8), ""Select Col1""),""Yes, Engaged"")=0,""0"",countif(query(filter('Data Recording'!R:R,'Data Recording'!D:D=B8), ""Select Col1""),""Yes, Engaged"")) &amp; ""/"" &amp; if(COUNTA(query(ifna(filter"&amp;"('Data Recording'!R:R,'Data Recording'!D:D=B8),""""), ""Select Col1""))=0,""0"",COUNTA(query(ifna(filter('Data Recording'!R:R,'Data Recording'!D:D=B8),""""), ""Select Col1"")))"),"11/20")</f>
        <v>11/20</v>
      </c>
      <c r="AJ8" s="5">
        <f>IFERROR(__xludf.DUMMYFUNCTION("iferror(SUM(query(filter('Data Recording'!S:S,'Data Recording'!D:D=B8), ""Select Col1"")),""-"")"),50.0)</f>
        <v>50</v>
      </c>
      <c r="AK8" s="5">
        <f>IFERROR(__xludf.DUMMYFUNCTION("iferror(SUM(query(filter('Data Recording'!T:T,'Data Recording'!D:D=B8), ""Select Col1"")),""-"")"),49.0)</f>
        <v>49</v>
      </c>
      <c r="AL8" s="59">
        <f t="shared" si="7"/>
        <v>0.98</v>
      </c>
      <c r="AM8" s="60">
        <f>IFERROR(__xludf.DUMMYFUNCTION("iferror(AVERAGE(query(filter('Data Recording'!T:T,'Data Recording'!D:D=B8), ""Select Col1"")),""0.00"")"),2.5789473684210527)</f>
        <v>2.578947368</v>
      </c>
      <c r="AN8" s="65">
        <f>IFERROR(__xludf.DUMMYFUNCTION("iferror(MAX(query(filter('Data Recording'!T:T,'Data Recording'!D:D=B8), ""Select Col1"")),""-"")"),4.0)</f>
        <v>4</v>
      </c>
      <c r="AO8" s="66">
        <f>IFERROR(__xludf.DUMMYFUNCTION("iferror(SUM(query(filter('Data Recording'!U:U,'Data Recording'!D:D=B8), ""Select Col1"")),""-"")"),8.0)</f>
        <v>8</v>
      </c>
      <c r="AP8" s="66">
        <f>IFERROR(__xludf.DUMMYFUNCTION("iferror(SUM(query(filter('Data Recording'!V:V,'Data Recording'!D:D=B8), ""Select Col1"")),""-"")"),8.0)</f>
        <v>8</v>
      </c>
      <c r="AQ8" s="67">
        <f t="shared" si="8"/>
        <v>1</v>
      </c>
      <c r="AR8" s="68">
        <f>IFERROR(__xludf.DUMMYFUNCTION("iferror(AVERAGE(query(filter('Data Recording'!V:V,'Data Recording'!D:D=B8), ""Select Col1"")),""0.00"")"),1.6)</f>
        <v>1.6</v>
      </c>
      <c r="AS8" s="69">
        <f>IFERROR(__xludf.DUMMYFUNCTION("iferror(MAX(query(filter('Data Recording'!V:V,'Data Recording'!D:D=B8), ""Select Col1"")),""-"")"),2.0)</f>
        <v>2</v>
      </c>
      <c r="AT8" s="66">
        <f>IFERROR(__xludf.DUMMYFUNCTION("iferror(SUM(query(filter('Data Recording'!W:W,'Data Recording'!D:D=B8), ""Select Col1"")),""-"")"),0.0)</f>
        <v>0</v>
      </c>
      <c r="AU8" s="66">
        <f>IFERROR(__xludf.DUMMYFUNCTION("iferror(SUM(query(filter('Data Recording'!X:X,'Data Recording'!D:D=B8), ""Select Col1"")),""-"")"),0.0)</f>
        <v>0</v>
      </c>
      <c r="AV8" s="67" t="str">
        <f t="shared" si="9"/>
        <v>-</v>
      </c>
      <c r="AW8" s="68" t="str">
        <f>IFERROR(__xludf.DUMMYFUNCTION("iferror(AVERAGE(query(filter('Data Recording'!X:X,'Data Recording'!D:D=B8), ""Select Col1"")),""0.00"")"),"0.00")</f>
        <v>0.00</v>
      </c>
      <c r="AX8" s="69">
        <f>IFERROR(__xludf.DUMMYFUNCTION("iferror(MAX(query(filter('Data Recording'!X:X,'Data Recording'!D:D=B8), ""Select Col1"")),""-"")"),0.0)</f>
        <v>0</v>
      </c>
      <c r="AY8" s="66">
        <f>IFERROR(__xludf.DUMMYFUNCTION("iferror(SUM(query(filter('Data Recording'!Y:Y,'Data Recording'!D:D=B8), ""Select Col1"")),""-"")"),19.0)</f>
        <v>19</v>
      </c>
      <c r="AZ8" s="66">
        <f>IFERROR(__xludf.DUMMYFUNCTION("iferror(SUM(query(filter('Data Recording'!Z:Z,'Data Recording'!D:D=B8), ""Select Col1"")),""-"")"),14.0)</f>
        <v>14</v>
      </c>
      <c r="BA8" s="67">
        <f t="shared" si="10"/>
        <v>0.7368421053</v>
      </c>
      <c r="BB8" s="68">
        <f>IFERROR(__xludf.DUMMYFUNCTION("iferror(AVERAGE(query(filter('Data Recording'!Z:Z,'Data Recording'!D:D=B8), ""Select Col1"")),""0.00"")"),1.4)</f>
        <v>1.4</v>
      </c>
      <c r="BC8" s="69">
        <f>IFERROR(__xludf.DUMMYFUNCTION("iferror(MAX(query(filter('Data Recording'!Z:Z,'Data Recording'!D:D=B8), ""Select Col1"")),""-"")"),2.0)</f>
        <v>2</v>
      </c>
      <c r="BD8" s="66">
        <f>IFERROR(__xludf.DUMMYFUNCTION("iferror(SUM(query(filter('Data Recording'!AA:AA,'Data Recording'!D:D=B8), ""Select Col1"")),""-"")"),8.0)</f>
        <v>8</v>
      </c>
      <c r="BE8" s="66">
        <f>IFERROR(__xludf.DUMMYFUNCTION("iferror(SUM(query(filter('Data Recording'!AB:AB,'Data Recording'!D:D=B8), ""Select Col1"")),""-"")"),7.0)</f>
        <v>7</v>
      </c>
      <c r="BF8" s="67">
        <f t="shared" si="11"/>
        <v>0.875</v>
      </c>
      <c r="BG8" s="68">
        <f>IFERROR(__xludf.DUMMYFUNCTION("iferror(AVERAGE(query(filter('Data Recording'!AB:AB,'Data Recording'!D:D=B8), ""Select Col1"")),""0.00"")"),1.0)</f>
        <v>1</v>
      </c>
      <c r="BH8" s="69">
        <f>IFERROR(__xludf.DUMMYFUNCTION("iferror(MAX(query(filter('Data Recording'!AB:AB,'Data Recording'!D:D=B8), ""Select Col1"")),""-"")"),2.0)</f>
        <v>2</v>
      </c>
      <c r="BI8" s="66">
        <f>IFERROR(__xludf.DUMMYFUNCTION("iferror(SUM(query(filter('Data Recording'!AC:AC,'Data Recording'!D:D=B8), ""Select Col1"")),""-"")"),4.0)</f>
        <v>4</v>
      </c>
      <c r="BJ8" s="66">
        <f>IFERROR(__xludf.DUMMYFUNCTION("iferror(SUM(query(filter('Data Recording'!AD:AD,'Data Recording'!D:D=B8), ""Select Col1"")),""-"")"),4.0)</f>
        <v>4</v>
      </c>
      <c r="BK8" s="67">
        <f t="shared" si="12"/>
        <v>1</v>
      </c>
      <c r="BL8" s="68">
        <f>IFERROR(__xludf.DUMMYFUNCTION("iferror(AVERAGE(query(filter('Data Recording'!AD:AD,'Data Recording'!D:D=B8), ""Select Col1"")),""0.00"")"),1.3333333333333333)</f>
        <v>1.333333333</v>
      </c>
      <c r="BM8" s="69">
        <f>IFERROR(__xludf.DUMMYFUNCTION("iferror(MAX(query(filter('Data Recording'!AD:AD,'Data Recording'!D:D=B8), ""Select Col1"")),""-"")"),2.0)</f>
        <v>2</v>
      </c>
      <c r="BN8" s="70" t="str">
        <f>IFERROR(__xludf.DUMMYFUNCTION("if(countif(query(filter('Data Recording'!AE:AE,'Data Recording'!D:D=B8), ""Select Col1""),""Yes, Engaged"")+countif(query(filter('Data Recording'!AE:AE,'Data Recording'!D:D=B8), ""Select Col1""),""Yes, Docked"")=0,""0"",countif(query(filter('Data Recordin"&amp;"g'!AE:AE,'Data Recording'!D:D=B8), ""Select Col1""),""Yes, Engaged""))+countif(query(filter('Data Recording'!AE:AE,'Data Recording'!D:D=B8), ""Select Col1""),""Yes, Docked"") &amp; ""/"" &amp; if(COUNTA(query(ifna(filter('Data Recording'!AE:AE,'Data Recording'!D:"&amp;"D=B8),""""), ""Select Col1""))=0,""0"",COUNTA(query(ifna(filter('Data Recording'!AE:AE,'Data Recording'!D:D=B8),""""), ""Select Col1"")))"),"15/20")</f>
        <v>15/20</v>
      </c>
      <c r="BO8" s="71" t="str">
        <f>IFERROR(__xludf.DUMMYFUNCTION("if(countif(query(filter('Data Recording'!AE:AE,'Data Recording'!D:D=B8), ""Select Col1""),""Yes, Engaged"")=0,""0"",countif(query(filter('Data Recording'!AE:AE,'Data Recording'!D:D=B8), ""Select Col1""),""Yes, Engaged"")) &amp; ""/"" &amp; if(COUNTA(query(ifna(fi"&amp;"lter('Data Recording'!AE:AE,'Data Recording'!D:D=B8),""""), ""Select Col1""))=0,""0"",COUNTA(query(ifna(filter('Data Recording'!AE:AE,'Data Recording'!D:D=B8),""""), ""Select Col1"")))"),"13/20")</f>
        <v>13/20</v>
      </c>
      <c r="BP8" s="64" t="str">
        <f>IFERROR(__xludf.DUMMYFUNCTION("if(countif(query(filter('Data Recording'!AH:AH,'Data Recording'!D:D=B8), ""Select Col1""),""Yes"")=0,""0"",countif(query(filter('Data Recording'!AH:AH,'Data Recording'!D:D=B8), ""Select Col1""),""Yes"")) &amp; ""/"" &amp; if(COUNTA(query(ifna(filter('Data Recordi"&amp;"ng'!AH:AH,'Data Recording'!D:D=B8),""""), ""Select Col1""))=0,""0"",COUNTA(query(ifna(filter('Data Recording'!AH:AH,'Data Recording'!D:D=B8),""""), ""Select Col1"")))"),"2/20")</f>
        <v>2/20</v>
      </c>
      <c r="BQ8" s="72">
        <v>0.1</v>
      </c>
      <c r="BR8" s="60">
        <f>IFERROR(__xludf.DUMMYFUNCTION("iferror(average(query(filter('Data Recording'!AF:AF,'Data Recording'!D:D=B8), ""Select Col1"")),""-"")"),3.75)</f>
        <v>3.75</v>
      </c>
      <c r="BS8" s="73">
        <f>IFERROR(__xludf.DUMMYFUNCTION("iferror(average(query(filter('Data Recording'!AG:AG,'Data Recording'!D:D=B8), ""Select Col1"")),""-"")"),0.0)</f>
        <v>0</v>
      </c>
      <c r="BT8" s="74">
        <f t="shared" si="13"/>
        <v>61.36140351</v>
      </c>
      <c r="BU8" s="74">
        <f>IFERROR(__xludf.DUMMYFUNCTION("iferror(AVERAGE(query(filter('Data Recording'!AJ:AJ,'Data Recording'!D:D=B8), ""Select Col1"")),""-"")"),41.55)</f>
        <v>41.55</v>
      </c>
      <c r="BV8" s="74">
        <f>IFERROR(__xludf.DUMMYFUNCTION("iferror(AVERAGE(query(filter('Data Recording'!AK:AK,'Data Recording'!D:D=B8), ""Select Col1"")),""-"")"),24.4)</f>
        <v>24.4</v>
      </c>
      <c r="BW8" s="74">
        <f t="shared" si="14"/>
        <v>36.36140351</v>
      </c>
      <c r="BX8" s="75">
        <f>IFERROR(__xludf.DUMMYFUNCTION("iferror(max(query(filter('Data Recording'!AJ:AJ,'Data Recording'!D:D=B8), ""Select Col1"")),""-"")"),59.0)</f>
        <v>59</v>
      </c>
      <c r="BY8" s="76">
        <f>IFERROR(__xludf.DUMMYFUNCTION("iferror(MIN(query(filter('Data Recording'!AJ:AJ,'Data Recording'!D:D=B8), ""Select Col1"")),""-"")"),9.0)</f>
        <v>9</v>
      </c>
      <c r="BZ8" s="77" t="str">
        <f>IFERROR(__xludf.DUMMYFUNCTION("iferror(if(DIVIDE(COUNTIF(query(filter('Data Recording'!R:R,'Data Recording'!D:D=B8), ""Select Col1""),""Yes, Docked"") + countif(query(filter('Data Recording'!R:R,'Data Recording'!D:D=B8), ""Select Col1""),""Yes, Engaged""),COUNTA(query(ifna(filter('Data"&amp;" Recording'!R:R,'Data Recording'!D:D=B8),""""), ""Select Col1"")))&gt;=(0.5),""1"",""0""),""-"")"),"1")</f>
        <v>1</v>
      </c>
      <c r="CA8" s="5" t="str">
        <f>IFERROR(__xludf.DUMMYFUNCTION("iferror(if(countif(query(filter('Data Recording'!R:R,'Data Recording'!D:D=B8), ""Select Col1""),""Yes, Engaged"")/COUNTA(query(ifna(filter('Data Recording'!R:R,'Data Recording'!D:D=B8),""""), ""Select Col1""))&gt;=(0.5),""1"",""0""),""-"")"),"1")</f>
        <v>1</v>
      </c>
      <c r="CB8" s="78" t="str">
        <f>IFERROR(__xludf.DUMMYFUNCTION("iferror(if(DIVIDE(COUNTIF(query(filter('Data Recording'!AE:AE,'Data Recording'!D:D=B8), ""Select Col1""),""Yes, Docked"") + countif(query(filter('Data Recording'!AE:AE,'Data Recording'!D:D=B8), ""Select Col1""),""Yes, Engaged""),COUNTA(query(ifna(filter('"&amp;"Data Recording'!AE:AE,'Data Recording'!D:D=B8),""""), ""Select Col1"")))&gt;=(0.5),""1"",""0""),""-"")"),"1")</f>
        <v>1</v>
      </c>
      <c r="CC8" s="5" t="str">
        <f>IFERROR(__xludf.DUMMYFUNCTION("iferror(if(countif(query(filter('Data Recording'!AE:AE,'Data Recording'!D:D=B8), ""Select Col1""),""Yes, Engaged"")/COUNTA(query(ifna(filter('Data Recording'!AE:AE,'Data Recording'!D:D=B8),""""), ""Select Col1""))&gt;=(0.5),""1"",""0""),""-"")"),"1")</f>
        <v>1</v>
      </c>
      <c r="CD8" s="78" t="str">
        <f>IFERROR(__xludf.DUMMYFUNCTION("iferror(if(DIVIDE(countif(query(filter('Data Recording'!E:E,'Data Recording'!D:D=B8), ""Select Col1""),""Yes""),COUNTA(query(ifna(filter('Data Recording'!E:E,'Data Recording'!D:D=B8),""""), ""Select Col1"")))&gt;=(0.5),""1"",""0""),""-"")"),"1")</f>
        <v>1</v>
      </c>
    </row>
    <row r="9">
      <c r="A9" s="2" t="s">
        <v>118</v>
      </c>
      <c r="B9" s="2">
        <v>862.0</v>
      </c>
      <c r="C9" s="57" t="str">
        <f>IFERROR(__xludf.DUMMYFUNCTION("if(countif(query(filter('Data Recording'!E:E,'Data Recording'!D:D=B9), ""Select Col1""),""Yes"")=0,""0"",countif(query(filter('Data Recording'!E:E,'Data Recording'!D:D=B9), ""Select Col1""),""Yes"")) &amp; ""/"" &amp; if(COUNTA(query(ifna(filter('Data Recording'!"&amp;"E:E,'Data Recording'!D:D=B9),""""), ""Select Col1""))=0,""0"",COUNTA(query(ifna(filter('Data Recording'!E:E,'Data Recording'!D:D=B9),""""), ""Select Col1"")))"),"6/17")</f>
        <v>6/17</v>
      </c>
      <c r="D9" s="58">
        <f>IFERROR(__xludf.DUMMYFUNCTION("iferror(SUM(query(filter('Data Recording'!F:F,'Data Recording'!D:D=B9), ""Select Col1"")),""-"")"),0.0)</f>
        <v>0</v>
      </c>
      <c r="E9" s="58">
        <f>IFERROR(__xludf.DUMMYFUNCTION("iferror(SUM(query(filter('Data Recording'!G:G,'Data Recording'!D:D=B9), ""Select Col1"")),""-"")"),0.0)</f>
        <v>0</v>
      </c>
      <c r="F9" s="59" t="str">
        <f t="shared" si="1"/>
        <v>-</v>
      </c>
      <c r="G9" s="60" t="str">
        <f>IFERROR(__xludf.DUMMYFUNCTION("iferror(AVERAGE(query(filter('Data Recording'!G:G,'Data Recording'!D:D=B9), ""Select Col1"")),""0.00"")"),"0.00")</f>
        <v>0.00</v>
      </c>
      <c r="H9" s="58">
        <f>IFERROR(__xludf.DUMMYFUNCTION("iferror(MAX(query(filter('Data Recording'!G:G,'Data Recording'!D:D=B9), ""Select Col1"")),""-"")"),0.0)</f>
        <v>0</v>
      </c>
      <c r="I9" s="61">
        <f>IFERROR(__xludf.DUMMYFUNCTION("iferror(SUM(query(filter('Data Recording'!H:H,'Data Recording'!D:D=B9), ""Select Col1"")),""-"")"),0.0)</f>
        <v>0</v>
      </c>
      <c r="J9" s="62">
        <f>IFERROR(__xludf.DUMMYFUNCTION("iferror(SUM(query(filter('Data Recording'!I:I,'Data Recording'!D:D=B9), ""Select Col1"")),""-"")"),0.0)</f>
        <v>0</v>
      </c>
      <c r="K9" s="59" t="str">
        <f t="shared" si="2"/>
        <v>-</v>
      </c>
      <c r="L9" s="60" t="str">
        <f>IFERROR(__xludf.DUMMYFUNCTION("iferror(AVERAGE(query(filter('Data Recording'!I:I,'Data Recording'!D:D=B9), ""Select Col1"")),""0.00"")"),"0.00")</f>
        <v>0.00</v>
      </c>
      <c r="M9" s="58">
        <f>IFERROR(__xludf.DUMMYFUNCTION("iferror(MAX(query(filter('Data Recording'!I:I,'Data Recording'!D:D=B9), ""Select Col1"")),""-"")"),0.0)</f>
        <v>0</v>
      </c>
      <c r="N9" s="63">
        <f>IFERROR(__xludf.DUMMYFUNCTION("iferror(SUM(query(filter('Data Recording'!J:J,'Data Recording'!D:D=B9), ""Select Col1"")),""-"")"),0.0)</f>
        <v>0</v>
      </c>
      <c r="O9" s="5">
        <f>IFERROR(__xludf.DUMMYFUNCTION("iferror(SUM(query(filter('Data Recording'!K:K,'Data Recording'!D:D=B9), ""Select Col1"")),""-"")"),0.0)</f>
        <v>0</v>
      </c>
      <c r="P9" s="59" t="str">
        <f t="shared" si="3"/>
        <v>-</v>
      </c>
      <c r="Q9" s="60" t="str">
        <f>IFERROR(__xludf.DUMMYFUNCTION("iferror(AVERAGE(query(filter('Data Recording'!K:K,'Data Recording'!D:D=B9), ""Select Col1"")),""0.00"")"),"0.00")</f>
        <v>0.00</v>
      </c>
      <c r="R9" s="58">
        <f>IFERROR(__xludf.DUMMYFUNCTION("iferror(MAX(query(filter('Data Recording'!K:K,'Data Recording'!D:D=B9), ""Select Col1"")),""-"")"),0.0)</f>
        <v>0</v>
      </c>
      <c r="S9" s="63">
        <f>IFERROR(__xludf.DUMMYFUNCTION("iferror(SUM(query(filter('Data Recording'!L:L,'Data Recording'!D:D=B9), ""Select Col1"")),""-"")"),14.0)</f>
        <v>14</v>
      </c>
      <c r="T9" s="5">
        <f>IFERROR(__xludf.DUMMYFUNCTION("iferror(SUM(query(filter('Data Recording'!M:M,'Data Recording'!D:D=B9), ""Select Col1"")),""-"")"),14.0)</f>
        <v>14</v>
      </c>
      <c r="U9" s="59">
        <f t="shared" si="4"/>
        <v>1</v>
      </c>
      <c r="V9" s="60">
        <f>IFERROR(__xludf.DUMMYFUNCTION("iferror(AVERAGE(query(filter('Data Recording'!M:M,'Data Recording'!D:D=B9), ""Select Col1"")),""-"")"),1.0)</f>
        <v>1</v>
      </c>
      <c r="W9" s="57">
        <f>IFERROR(__xludf.DUMMYFUNCTION("iferror(MAX(query(filter('Data Recording'!M:M,'Data Recording'!D:D=B9), ""Select Col1"")),""-"")"),1.0)</f>
        <v>1</v>
      </c>
      <c r="X9" s="5">
        <f>IFERROR(__xludf.DUMMYFUNCTION("iferror(SUM(query(filter('Data Recording'!N:N,'Data Recording'!D:D=B9), ""Select Col1"")),""-"")"),0.0)</f>
        <v>0</v>
      </c>
      <c r="Y9" s="5">
        <f>IFERROR(__xludf.DUMMYFUNCTION("iferror(SUM(query(filter('Data Recording'!O:O,'Data Recording'!D:D=B9), ""Select Col1"")),""-"")"),0.0)</f>
        <v>0</v>
      </c>
      <c r="Z9" s="59" t="str">
        <f t="shared" si="5"/>
        <v>-</v>
      </c>
      <c r="AA9" s="60" t="str">
        <f>IFERROR(__xludf.DUMMYFUNCTION("iferror(AVERAGE(query(filter('Data Recording'!O:O,'Data Recording'!D:D=B9), ""Select Col1"")),""0.00"")"),"0.00")</f>
        <v>0.00</v>
      </c>
      <c r="AB9" s="57">
        <f>IFERROR(__xludf.DUMMYFUNCTION("iferror(MAX(query(filter('Data Recording'!O:O,'Data Recording'!D:D=B9), ""Select Col1"")),""-"")"),0.0)</f>
        <v>0</v>
      </c>
      <c r="AC9" s="5">
        <f>IFERROR(__xludf.DUMMYFUNCTION("iferror(SUM(query(filter('Data Recording'!P:P,'Data Recording'!D:D=B9), ""Select Col1"")),""-"")"),3.0)</f>
        <v>3</v>
      </c>
      <c r="AD9" s="5">
        <f>IFERROR(__xludf.DUMMYFUNCTION("iferror(SUM(query(filter('Data Recording'!Q:Q,'Data Recording'!D:D=B9), ""Select Col1"")),""-"")"),3.0)</f>
        <v>3</v>
      </c>
      <c r="AE9" s="59">
        <f t="shared" si="6"/>
        <v>1</v>
      </c>
      <c r="AF9" s="60">
        <f>IFERROR(__xludf.DUMMYFUNCTION("iferror(AVERAGE(query(filter('Data Recording'!Q:Q,'Data Recording'!D:D=B9), ""Select Col1"")),""0.00"")"),1.0)</f>
        <v>1</v>
      </c>
      <c r="AG9" s="5">
        <f>IFERROR(__xludf.DUMMYFUNCTION("iferror(MAX(query(filter('Data Recording'!Q:Q,'Data Recording'!D:D=B9), ""Select Col1"")),""-"")"),1.0)</f>
        <v>1</v>
      </c>
      <c r="AH9" s="63" t="str">
        <f>IFERROR(__xludf.DUMMYFUNCTION("if(countif(query(filter('Data Recording'!R:R,'Data Recording'!D:D=B9), ""Select Col1""),""Yes, Engaged"")+countif(query(filter('Data Recording'!R:R,'Data Recording'!D:D=B9), ""Select Col1""),""Yes, Docked"")=0,""0"",countif(query(filter('Data Recording'!R"&amp;":R,'Data Recording'!D:D=B9), ""Select Col1""),""Yes, Engaged""))+countif(query(filter('Data Recording'!R:R,'Data Recording'!D:D=B9), ""Select Col1""),""Yes, Docked"") &amp; ""/"" &amp; if(COUNTA(query(ifna(filter('Data Recording'!R:R,'Data Recording'!D:D=B9),"""""&amp;"), ""Select Col1""))=0,""0"",COUNTA(query(ifna(filter('Data Recording'!R:R,'Data Recording'!D:D=B9),""""), ""Select Col1"")))"),"10/17")</f>
        <v>10/17</v>
      </c>
      <c r="AI9" s="64" t="str">
        <f>IFERROR(__xludf.DUMMYFUNCTION("if(countif(query(filter('Data Recording'!R:R,'Data Recording'!D:D=B9), ""Select Col1""),""Yes, Engaged"")=0,""0"",countif(query(filter('Data Recording'!R:R,'Data Recording'!D:D=B9), ""Select Col1""),""Yes, Engaged"")) &amp; ""/"" &amp; if(COUNTA(query(ifna(filter"&amp;"('Data Recording'!R:R,'Data Recording'!D:D=B9),""""), ""Select Col1""))=0,""0"",COUNTA(query(ifna(filter('Data Recording'!R:R,'Data Recording'!D:D=B9),""""), ""Select Col1"")))"),"7/17")</f>
        <v>7/17</v>
      </c>
      <c r="AJ9" s="5">
        <f>IFERROR(__xludf.DUMMYFUNCTION("iferror(SUM(query(filter('Data Recording'!S:S,'Data Recording'!D:D=B9), ""Select Col1"")),""-"")"),54.0)</f>
        <v>54</v>
      </c>
      <c r="AK9" s="5">
        <f>IFERROR(__xludf.DUMMYFUNCTION("iferror(SUM(query(filter('Data Recording'!T:T,'Data Recording'!D:D=B9), ""Select Col1"")),""-"")"),48.0)</f>
        <v>48</v>
      </c>
      <c r="AL9" s="59">
        <f t="shared" si="7"/>
        <v>0.8888888889</v>
      </c>
      <c r="AM9" s="60">
        <f>IFERROR(__xludf.DUMMYFUNCTION("iferror(AVERAGE(query(filter('Data Recording'!T:T,'Data Recording'!D:D=B9), ""Select Col1"")),""0.00"")"),3.2)</f>
        <v>3.2</v>
      </c>
      <c r="AN9" s="65">
        <f>IFERROR(__xludf.DUMMYFUNCTION("iferror(MAX(query(filter('Data Recording'!T:T,'Data Recording'!D:D=B9), ""Select Col1"")),""-"")"),5.0)</f>
        <v>5</v>
      </c>
      <c r="AO9" s="66">
        <f>IFERROR(__xludf.DUMMYFUNCTION("iferror(SUM(query(filter('Data Recording'!U:U,'Data Recording'!D:D=B9), ""Select Col1"")),""-"")"),1.0)</f>
        <v>1</v>
      </c>
      <c r="AP9" s="66">
        <f>IFERROR(__xludf.DUMMYFUNCTION("iferror(SUM(query(filter('Data Recording'!V:V,'Data Recording'!D:D=B9), ""Select Col1"")),""-"")"),1.0)</f>
        <v>1</v>
      </c>
      <c r="AQ9" s="67">
        <f t="shared" si="8"/>
        <v>1</v>
      </c>
      <c r="AR9" s="68">
        <f>IFERROR(__xludf.DUMMYFUNCTION("iferror(AVERAGE(query(filter('Data Recording'!V:V,'Data Recording'!D:D=B9), ""Select Col1"")),""0.00"")"),1.0)</f>
        <v>1</v>
      </c>
      <c r="AS9" s="69">
        <f>IFERROR(__xludf.DUMMYFUNCTION("iferror(MAX(query(filter('Data Recording'!V:V,'Data Recording'!D:D=B9), ""Select Col1"")),""-"")"),1.0)</f>
        <v>1</v>
      </c>
      <c r="AT9" s="66">
        <f>IFERROR(__xludf.DUMMYFUNCTION("iferror(SUM(query(filter('Data Recording'!W:W,'Data Recording'!D:D=B9), ""Select Col1"")),""-"")"),16.0)</f>
        <v>16</v>
      </c>
      <c r="AU9" s="66">
        <f>IFERROR(__xludf.DUMMYFUNCTION("iferror(SUM(query(filter('Data Recording'!X:X,'Data Recording'!D:D=B9), ""Select Col1"")),""-"")"),16.0)</f>
        <v>16</v>
      </c>
      <c r="AV9" s="67">
        <f t="shared" si="9"/>
        <v>1</v>
      </c>
      <c r="AW9" s="68">
        <f>IFERROR(__xludf.DUMMYFUNCTION("iferror(AVERAGE(query(filter('Data Recording'!X:X,'Data Recording'!D:D=B9), ""Select Col1"")),""0.00"")"),1.6)</f>
        <v>1.6</v>
      </c>
      <c r="AX9" s="69">
        <f>IFERROR(__xludf.DUMMYFUNCTION("iferror(MAX(query(filter('Data Recording'!X:X,'Data Recording'!D:D=B9), ""Select Col1"")),""-"")"),3.0)</f>
        <v>3</v>
      </c>
      <c r="AY9" s="66">
        <f>IFERROR(__xludf.DUMMYFUNCTION("iferror(SUM(query(filter('Data Recording'!Y:Y,'Data Recording'!D:D=B9), ""Select Col1"")),""-"")"),6.0)</f>
        <v>6</v>
      </c>
      <c r="AZ9" s="66">
        <f>IFERROR(__xludf.DUMMYFUNCTION("iferror(SUM(query(filter('Data Recording'!Z:Z,'Data Recording'!D:D=B9), ""Select Col1"")),""-"")"),6.0)</f>
        <v>6</v>
      </c>
      <c r="BA9" s="67">
        <f t="shared" si="10"/>
        <v>1</v>
      </c>
      <c r="BB9" s="68">
        <f>IFERROR(__xludf.DUMMYFUNCTION("iferror(AVERAGE(query(filter('Data Recording'!Z:Z,'Data Recording'!D:D=B9), ""Select Col1"")),""0.00"")"),1.5)</f>
        <v>1.5</v>
      </c>
      <c r="BC9" s="69">
        <f>IFERROR(__xludf.DUMMYFUNCTION("iferror(MAX(query(filter('Data Recording'!Z:Z,'Data Recording'!D:D=B9), ""Select Col1"")),""-"")"),2.0)</f>
        <v>2</v>
      </c>
      <c r="BD9" s="66">
        <f>IFERROR(__xludf.DUMMYFUNCTION("iferror(SUM(query(filter('Data Recording'!AA:AA,'Data Recording'!D:D=B9), ""Select Col1"")),""-"")"),1.0)</f>
        <v>1</v>
      </c>
      <c r="BE9" s="66">
        <f>IFERROR(__xludf.DUMMYFUNCTION("iferror(SUM(query(filter('Data Recording'!AB:AB,'Data Recording'!D:D=B9), ""Select Col1"")),""-"")"),1.0)</f>
        <v>1</v>
      </c>
      <c r="BF9" s="67">
        <f t="shared" si="11"/>
        <v>1</v>
      </c>
      <c r="BG9" s="68">
        <f>IFERROR(__xludf.DUMMYFUNCTION("iferror(AVERAGE(query(filter('Data Recording'!AB:AB,'Data Recording'!D:D=B9), ""Select Col1"")),""0.00"")"),1.0)</f>
        <v>1</v>
      </c>
      <c r="BH9" s="69">
        <f>IFERROR(__xludf.DUMMYFUNCTION("iferror(MAX(query(filter('Data Recording'!AB:AB,'Data Recording'!D:D=B9), ""Select Col1"")),""-"")"),1.0)</f>
        <v>1</v>
      </c>
      <c r="BI9" s="66">
        <f>IFERROR(__xludf.DUMMYFUNCTION("iferror(SUM(query(filter('Data Recording'!AC:AC,'Data Recording'!D:D=B9), ""Select Col1"")),""-"")"),0.0)</f>
        <v>0</v>
      </c>
      <c r="BJ9" s="66">
        <f>IFERROR(__xludf.DUMMYFUNCTION("iferror(SUM(query(filter('Data Recording'!AD:AD,'Data Recording'!D:D=B9), ""Select Col1"")),""-"")"),0.0)</f>
        <v>0</v>
      </c>
      <c r="BK9" s="67" t="str">
        <f t="shared" si="12"/>
        <v>-</v>
      </c>
      <c r="BL9" s="68" t="str">
        <f>IFERROR(__xludf.DUMMYFUNCTION("iferror(AVERAGE(query(filter('Data Recording'!AD:AD,'Data Recording'!D:D=B9), ""Select Col1"")),""0.00"")"),"0.00")</f>
        <v>0.00</v>
      </c>
      <c r="BM9" s="69">
        <f>IFERROR(__xludf.DUMMYFUNCTION("iferror(MAX(query(filter('Data Recording'!AD:AD,'Data Recording'!D:D=B9), ""Select Col1"")),""-"")"),0.0)</f>
        <v>0</v>
      </c>
      <c r="BN9" s="70" t="str">
        <f>IFERROR(__xludf.DUMMYFUNCTION("if(countif(query(filter('Data Recording'!AE:AE,'Data Recording'!D:D=B9), ""Select Col1""),""Yes, Engaged"")+countif(query(filter('Data Recording'!AE:AE,'Data Recording'!D:D=B9), ""Select Col1""),""Yes, Docked"")=0,""0"",countif(query(filter('Data Recordin"&amp;"g'!AE:AE,'Data Recording'!D:D=B9), ""Select Col1""),""Yes, Engaged""))+countif(query(filter('Data Recording'!AE:AE,'Data Recording'!D:D=B9), ""Select Col1""),""Yes, Docked"") &amp; ""/"" &amp; if(COUNTA(query(ifna(filter('Data Recording'!AE:AE,'Data Recording'!D:"&amp;"D=B9),""""), ""Select Col1""))=0,""0"",COUNTA(query(ifna(filter('Data Recording'!AE:AE,'Data Recording'!D:D=B9),""""), ""Select Col1"")))"),"10/17")</f>
        <v>10/17</v>
      </c>
      <c r="BO9" s="71" t="str">
        <f>IFERROR(__xludf.DUMMYFUNCTION("if(countif(query(filter('Data Recording'!AE:AE,'Data Recording'!D:D=B9), ""Select Col1""),""Yes, Engaged"")=0,""0"",countif(query(filter('Data Recording'!AE:AE,'Data Recording'!D:D=B9), ""Select Col1""),""Yes, Engaged"")) &amp; ""/"" &amp; if(COUNTA(query(ifna(fi"&amp;"lter('Data Recording'!AE:AE,'Data Recording'!D:D=B9),""""), ""Select Col1""))=0,""0"",COUNTA(query(ifna(filter('Data Recording'!AE:AE,'Data Recording'!D:D=B9),""""), ""Select Col1"")))"),"10/17")</f>
        <v>10/17</v>
      </c>
      <c r="BP9" s="64" t="str">
        <f>IFERROR(__xludf.DUMMYFUNCTION("if(countif(query(filter('Data Recording'!AH:AH,'Data Recording'!D:D=B9), ""Select Col1""),""Yes"")=0,""0"",countif(query(filter('Data Recording'!AH:AH,'Data Recording'!D:D=B9), ""Select Col1""),""Yes"")) &amp; ""/"" &amp; if(COUNTA(query(ifna(filter('Data Recordi"&amp;"ng'!AH:AH,'Data Recording'!D:D=B9),""""), ""Select Col1""))=0,""0"",COUNTA(query(ifna(filter('Data Recording'!AH:AH,'Data Recording'!D:D=B9),""""), ""Select Col1"")))"),"4/17")</f>
        <v>4/17</v>
      </c>
      <c r="BQ9" s="79">
        <v>0.2353</v>
      </c>
      <c r="BR9" s="60">
        <f>IFERROR(__xludf.DUMMYFUNCTION("iferror(average(query(filter('Data Recording'!AF:AF,'Data Recording'!D:D=B9), ""Select Col1"")),""-"")"),3.5294117647058822)</f>
        <v>3.529411765</v>
      </c>
      <c r="BS9" s="73">
        <f>IFERROR(__xludf.DUMMYFUNCTION("iferror(average(query(filter('Data Recording'!AG:AG,'Data Recording'!D:D=B9), ""Select Col1"")),""-"")"),0.23529411764705882)</f>
        <v>0.2352941176</v>
      </c>
      <c r="BT9" s="74">
        <f t="shared" si="13"/>
        <v>59.7</v>
      </c>
      <c r="BU9" s="74">
        <f>IFERROR(__xludf.DUMMYFUNCTION("iferror(AVERAGE(query(filter('Data Recording'!AJ:AJ,'Data Recording'!D:D=B9), ""Select Col1"")),""-"")"),37.94117647058823)</f>
        <v>37.94117647</v>
      </c>
      <c r="BV9" s="74">
        <f>IFERROR(__xludf.DUMMYFUNCTION("iferror(AVERAGE(query(filter('Data Recording'!AK:AK,'Data Recording'!D:D=B9), ""Select Col1"")),""-"")"),23.58823529411765)</f>
        <v>23.58823529</v>
      </c>
      <c r="BW9" s="74">
        <f t="shared" si="14"/>
        <v>41.7</v>
      </c>
      <c r="BX9" s="75">
        <f>IFERROR(__xludf.DUMMYFUNCTION("iferror(max(query(filter('Data Recording'!AJ:AJ,'Data Recording'!D:D=B9), ""Select Col1"")),""-"")"),59.0)</f>
        <v>59</v>
      </c>
      <c r="BY9" s="76">
        <f>IFERROR(__xludf.DUMMYFUNCTION("iferror(MIN(query(filter('Data Recording'!AJ:AJ,'Data Recording'!D:D=B9), ""Select Col1"")),""-"")"),9.0)</f>
        <v>9</v>
      </c>
      <c r="BZ9" s="77" t="str">
        <f>IFERROR(__xludf.DUMMYFUNCTION("iferror(if(DIVIDE(COUNTIF(query(filter('Data Recording'!R:R,'Data Recording'!D:D=B9), ""Select Col1""),""Yes, Docked"") + countif(query(filter('Data Recording'!R:R,'Data Recording'!D:D=B9), ""Select Col1""),""Yes, Engaged""),COUNTA(query(ifna(filter('Data"&amp;" Recording'!R:R,'Data Recording'!D:D=B9),""""), ""Select Col1"")))&gt;=(0.5),""1"",""0""),""-"")"),"1")</f>
        <v>1</v>
      </c>
      <c r="CA9" s="5" t="str">
        <f>IFERROR(__xludf.DUMMYFUNCTION("iferror(if(countif(query(filter('Data Recording'!R:R,'Data Recording'!D:D=B9), ""Select Col1""),""Yes, Engaged"")/COUNTA(query(ifna(filter('Data Recording'!R:R,'Data Recording'!D:D=B9),""""), ""Select Col1""))&gt;=(0.5),""1"",""0""),""-"")"),"0")</f>
        <v>0</v>
      </c>
      <c r="CB9" s="78" t="str">
        <f>IFERROR(__xludf.DUMMYFUNCTION("iferror(if(DIVIDE(COUNTIF(query(filter('Data Recording'!AE:AE,'Data Recording'!D:D=B9), ""Select Col1""),""Yes, Docked"") + countif(query(filter('Data Recording'!AE:AE,'Data Recording'!D:D=B9), ""Select Col1""),""Yes, Engaged""),COUNTA(query(ifna(filter('"&amp;"Data Recording'!AE:AE,'Data Recording'!D:D=B9),""""), ""Select Col1"")))&gt;=(0.5),""1"",""0""),""-"")"),"1")</f>
        <v>1</v>
      </c>
      <c r="CC9" s="5" t="str">
        <f>IFERROR(__xludf.DUMMYFUNCTION("iferror(if(countif(query(filter('Data Recording'!AE:AE,'Data Recording'!D:D=B9), ""Select Col1""),""Yes, Engaged"")/COUNTA(query(ifna(filter('Data Recording'!AE:AE,'Data Recording'!D:D=B9),""""), ""Select Col1""))&gt;=(0.5),""1"",""0""),""-"")"),"1")</f>
        <v>1</v>
      </c>
      <c r="CD9" s="78" t="str">
        <f>IFERROR(__xludf.DUMMYFUNCTION("iferror(if(DIVIDE(countif(query(filter('Data Recording'!E:E,'Data Recording'!D:D=B9), ""Select Col1""),""Yes""),COUNTA(query(ifna(filter('Data Recording'!E:E,'Data Recording'!D:D=B9),""""), ""Select Col1"")))&gt;=(0.5),""1"",""0""),""-"")"),"0")</f>
        <v>0</v>
      </c>
    </row>
    <row r="10">
      <c r="A10" s="2" t="s">
        <v>119</v>
      </c>
      <c r="B10" s="2">
        <v>107.0</v>
      </c>
      <c r="C10" s="57" t="str">
        <f>IFERROR(__xludf.DUMMYFUNCTION("if(countif(query(filter('Data Recording'!E:E,'Data Recording'!D:D=B10), ""Select Col1""),""Yes"")=0,""0"",countif(query(filter('Data Recording'!E:E,'Data Recording'!D:D=B10), ""Select Col1""),""Yes"")) &amp; ""/"" &amp; if(COUNTA(query(ifna(filter('Data Recording"&amp;"'!E:E,'Data Recording'!D:D=B10),""""), ""Select Col1""))=0,""0"",COUNTA(query(ifna(filter('Data Recording'!E:E,'Data Recording'!D:D=B10),""""), ""Select Col1"")))"),"8/17")</f>
        <v>8/17</v>
      </c>
      <c r="D10" s="58">
        <f>IFERROR(__xludf.DUMMYFUNCTION("iferror(SUM(query(filter('Data Recording'!F:F,'Data Recording'!D:D=B10), ""Select Col1"")),""-"")"),2.0)</f>
        <v>2</v>
      </c>
      <c r="E10" s="58">
        <f>IFERROR(__xludf.DUMMYFUNCTION("iferror(SUM(query(filter('Data Recording'!G:G,'Data Recording'!D:D=B10), ""Select Col1"")),""-"")"),1.0)</f>
        <v>1</v>
      </c>
      <c r="F10" s="59">
        <f t="shared" si="1"/>
        <v>0.5</v>
      </c>
      <c r="G10" s="60">
        <f>IFERROR(__xludf.DUMMYFUNCTION("iferror(AVERAGE(query(filter('Data Recording'!G:G,'Data Recording'!D:D=B10), ""Select Col1"")),""0.00"")"),0.5)</f>
        <v>0.5</v>
      </c>
      <c r="H10" s="58">
        <f>IFERROR(__xludf.DUMMYFUNCTION("iferror(MAX(query(filter('Data Recording'!G:G,'Data Recording'!D:D=B10), ""Select Col1"")),""-"")"),1.0)</f>
        <v>1</v>
      </c>
      <c r="I10" s="61">
        <f>IFERROR(__xludf.DUMMYFUNCTION("iferror(SUM(query(filter('Data Recording'!H:H,'Data Recording'!D:D=B10), ""Select Col1"")),""-"")"),0.0)</f>
        <v>0</v>
      </c>
      <c r="J10" s="62">
        <f>IFERROR(__xludf.DUMMYFUNCTION("iferror(SUM(query(filter('Data Recording'!I:I,'Data Recording'!D:D=B10), ""Select Col1"")),""-"")"),0.0)</f>
        <v>0</v>
      </c>
      <c r="K10" s="59" t="str">
        <f t="shared" si="2"/>
        <v>-</v>
      </c>
      <c r="L10" s="60" t="str">
        <f>IFERROR(__xludf.DUMMYFUNCTION("iferror(AVERAGE(query(filter('Data Recording'!I:I,'Data Recording'!D:D=B10), ""Select Col1"")),""0.00"")"),"0.00")</f>
        <v>0.00</v>
      </c>
      <c r="M10" s="58">
        <f>IFERROR(__xludf.DUMMYFUNCTION("iferror(MAX(query(filter('Data Recording'!I:I,'Data Recording'!D:D=B10), ""Select Col1"")),""-"")"),0.0)</f>
        <v>0</v>
      </c>
      <c r="N10" s="63">
        <f>IFERROR(__xludf.DUMMYFUNCTION("iferror(SUM(query(filter('Data Recording'!J:J,'Data Recording'!D:D=B10), ""Select Col1"")),""-"")"),0.0)</f>
        <v>0</v>
      </c>
      <c r="O10" s="5">
        <f>IFERROR(__xludf.DUMMYFUNCTION("iferror(SUM(query(filter('Data Recording'!K:K,'Data Recording'!D:D=B10), ""Select Col1"")),""-"")"),0.0)</f>
        <v>0</v>
      </c>
      <c r="P10" s="59" t="str">
        <f t="shared" si="3"/>
        <v>-</v>
      </c>
      <c r="Q10" s="60" t="str">
        <f>IFERROR(__xludf.DUMMYFUNCTION("iferror(AVERAGE(query(filter('Data Recording'!K:K,'Data Recording'!D:D=B10), ""Select Col1"")),""0.00"")"),"0.00")</f>
        <v>0.00</v>
      </c>
      <c r="R10" s="58">
        <f>IFERROR(__xludf.DUMMYFUNCTION("iferror(MAX(query(filter('Data Recording'!K:K,'Data Recording'!D:D=B10), ""Select Col1"")),""-"")"),0.0)</f>
        <v>0</v>
      </c>
      <c r="S10" s="63">
        <f>IFERROR(__xludf.DUMMYFUNCTION("iferror(SUM(query(filter('Data Recording'!L:L,'Data Recording'!D:D=B10), ""Select Col1"")),""-"")"),15.0)</f>
        <v>15</v>
      </c>
      <c r="T10" s="5">
        <f>IFERROR(__xludf.DUMMYFUNCTION("iferror(SUM(query(filter('Data Recording'!M:M,'Data Recording'!D:D=B10), ""Select Col1"")),""-"")"),15.0)</f>
        <v>15</v>
      </c>
      <c r="U10" s="59">
        <f t="shared" si="4"/>
        <v>1</v>
      </c>
      <c r="V10" s="60">
        <f>IFERROR(__xludf.DUMMYFUNCTION("iferror(AVERAGE(query(filter('Data Recording'!M:M,'Data Recording'!D:D=B10), ""Select Col1"")),""-"")"),1.0)</f>
        <v>1</v>
      </c>
      <c r="W10" s="57">
        <f>IFERROR(__xludf.DUMMYFUNCTION("iferror(MAX(query(filter('Data Recording'!M:M,'Data Recording'!D:D=B10), ""Select Col1"")),""-"")"),1.0)</f>
        <v>1</v>
      </c>
      <c r="X10" s="5">
        <f>IFERROR(__xludf.DUMMYFUNCTION("iferror(SUM(query(filter('Data Recording'!N:N,'Data Recording'!D:D=B10), ""Select Col1"")),""-"")"),0.0)</f>
        <v>0</v>
      </c>
      <c r="Y10" s="5">
        <f>IFERROR(__xludf.DUMMYFUNCTION("iferror(SUM(query(filter('Data Recording'!O:O,'Data Recording'!D:D=B10), ""Select Col1"")),""-"")"),0.0)</f>
        <v>0</v>
      </c>
      <c r="Z10" s="59" t="str">
        <f t="shared" si="5"/>
        <v>-</v>
      </c>
      <c r="AA10" s="60" t="str">
        <f>IFERROR(__xludf.DUMMYFUNCTION("iferror(AVERAGE(query(filter('Data Recording'!O:O,'Data Recording'!D:D=B10), ""Select Col1"")),""0.00"")"),"0.00")</f>
        <v>0.00</v>
      </c>
      <c r="AB10" s="57">
        <f>IFERROR(__xludf.DUMMYFUNCTION("iferror(MAX(query(filter('Data Recording'!O:O,'Data Recording'!D:D=B10), ""Select Col1"")),""-"")"),0.0)</f>
        <v>0</v>
      </c>
      <c r="AC10" s="5">
        <f>IFERROR(__xludf.DUMMYFUNCTION("iferror(SUM(query(filter('Data Recording'!P:P,'Data Recording'!D:D=B10), ""Select Col1"")),""-"")"),0.0)</f>
        <v>0</v>
      </c>
      <c r="AD10" s="5">
        <f>IFERROR(__xludf.DUMMYFUNCTION("iferror(SUM(query(filter('Data Recording'!Q:Q,'Data Recording'!D:D=B10), ""Select Col1"")),""-"")"),0.0)</f>
        <v>0</v>
      </c>
      <c r="AE10" s="59" t="str">
        <f t="shared" si="6"/>
        <v>-</v>
      </c>
      <c r="AF10" s="60" t="str">
        <f>IFERROR(__xludf.DUMMYFUNCTION("iferror(AVERAGE(query(filter('Data Recording'!Q:Q,'Data Recording'!D:D=B10), ""Select Col1"")),""0.00"")"),"0.00")</f>
        <v>0.00</v>
      </c>
      <c r="AG10" s="5">
        <f>IFERROR(__xludf.DUMMYFUNCTION("iferror(MAX(query(filter('Data Recording'!Q:Q,'Data Recording'!D:D=B10), ""Select Col1"")),""-"")"),0.0)</f>
        <v>0</v>
      </c>
      <c r="AH10" s="63" t="str">
        <f>IFERROR(__xludf.DUMMYFUNCTION("if(countif(query(filter('Data Recording'!R:R,'Data Recording'!D:D=B10), ""Select Col1""),""Yes, Engaged"")+countif(query(filter('Data Recording'!R:R,'Data Recording'!D:D=B10), ""Select Col1""),""Yes, Docked"")=0,""0"",countif(query(filter('Data Recording'"&amp;"!R:R,'Data Recording'!D:D=B10), ""Select Col1""),""Yes, Engaged""))+countif(query(filter('Data Recording'!R:R,'Data Recording'!D:D=B10), ""Select Col1""),""Yes, Docked"") &amp; ""/"" &amp; if(COUNTA(query(ifna(filter('Data Recording'!R:R,'Data Recording'!D:D=B10)"&amp;",""""), ""Select Col1""))=0,""0"",COUNTA(query(ifna(filter('Data Recording'!R:R,'Data Recording'!D:D=B10),""""), ""Select Col1"")))"),"9/17")</f>
        <v>9/17</v>
      </c>
      <c r="AI10" s="64" t="str">
        <f>IFERROR(__xludf.DUMMYFUNCTION("if(countif(query(filter('Data Recording'!R:R,'Data Recording'!D:D=B10), ""Select Col1""),""Yes, Engaged"")=0,""0"",countif(query(filter('Data Recording'!R:R,'Data Recording'!D:D=B10), ""Select Col1""),""Yes, Engaged"")) &amp; ""/"" &amp; if(COUNTA(query(ifna(filt"&amp;"er('Data Recording'!R:R,'Data Recording'!D:D=B10),""""), ""Select Col1""))=0,""0"",COUNTA(query(ifna(filter('Data Recording'!R:R,'Data Recording'!D:D=B10),""""), ""Select Col1"")))"),"6/17")</f>
        <v>6/17</v>
      </c>
      <c r="AJ10" s="5">
        <f>IFERROR(__xludf.DUMMYFUNCTION("iferror(SUM(query(filter('Data Recording'!S:S,'Data Recording'!D:D=B10), ""Select Col1"")),""-"")"),29.0)</f>
        <v>29</v>
      </c>
      <c r="AK10" s="5">
        <f>IFERROR(__xludf.DUMMYFUNCTION("iferror(SUM(query(filter('Data Recording'!T:T,'Data Recording'!D:D=B10), ""Select Col1"")),""-"")"),25.0)</f>
        <v>25</v>
      </c>
      <c r="AL10" s="59">
        <f t="shared" si="7"/>
        <v>0.8620689655</v>
      </c>
      <c r="AM10" s="60">
        <f>IFERROR(__xludf.DUMMYFUNCTION("iferror(AVERAGE(query(filter('Data Recording'!T:T,'Data Recording'!D:D=B10), ""Select Col1"")),""0.00"")"),1.6666666666666667)</f>
        <v>1.666666667</v>
      </c>
      <c r="AN10" s="65">
        <f>IFERROR(__xludf.DUMMYFUNCTION("iferror(MAX(query(filter('Data Recording'!T:T,'Data Recording'!D:D=B10), ""Select Col1"")),""-"")"),3.0)</f>
        <v>3</v>
      </c>
      <c r="AO10" s="66">
        <f>IFERROR(__xludf.DUMMYFUNCTION("iferror(SUM(query(filter('Data Recording'!U:U,'Data Recording'!D:D=B10), ""Select Col1"")),""-"")"),0.0)</f>
        <v>0</v>
      </c>
      <c r="AP10" s="66">
        <f>IFERROR(__xludf.DUMMYFUNCTION("iferror(SUM(query(filter('Data Recording'!V:V,'Data Recording'!D:D=B10), ""Select Col1"")),""-"")"),0.0)</f>
        <v>0</v>
      </c>
      <c r="AQ10" s="67" t="str">
        <f t="shared" si="8"/>
        <v>-</v>
      </c>
      <c r="AR10" s="68" t="str">
        <f>IFERROR(__xludf.DUMMYFUNCTION("iferror(AVERAGE(query(filter('Data Recording'!V:V,'Data Recording'!D:D=B10), ""Select Col1"")),""0.00"")"),"0.00")</f>
        <v>0.00</v>
      </c>
      <c r="AS10" s="69">
        <f>IFERROR(__xludf.DUMMYFUNCTION("iferror(MAX(query(filter('Data Recording'!V:V,'Data Recording'!D:D=B10), ""Select Col1"")),""-"")"),0.0)</f>
        <v>0</v>
      </c>
      <c r="AT10" s="66">
        <f>IFERROR(__xludf.DUMMYFUNCTION("iferror(SUM(query(filter('Data Recording'!W:W,'Data Recording'!D:D=B10), ""Select Col1"")),""-"")"),10.0)</f>
        <v>10</v>
      </c>
      <c r="AU10" s="66">
        <f>IFERROR(__xludf.DUMMYFUNCTION("iferror(SUM(query(filter('Data Recording'!X:X,'Data Recording'!D:D=B10), ""Select Col1"")),""-"")"),9.0)</f>
        <v>9</v>
      </c>
      <c r="AV10" s="67">
        <f t="shared" si="9"/>
        <v>0.9</v>
      </c>
      <c r="AW10" s="68">
        <f>IFERROR(__xludf.DUMMYFUNCTION("iferror(AVERAGE(query(filter('Data Recording'!X:X,'Data Recording'!D:D=B10), ""Select Col1"")),""0.00"")"),1.125)</f>
        <v>1.125</v>
      </c>
      <c r="AX10" s="69">
        <f>IFERROR(__xludf.DUMMYFUNCTION("iferror(MAX(query(filter('Data Recording'!X:X,'Data Recording'!D:D=B10), ""Select Col1"")),""-"")"),2.0)</f>
        <v>2</v>
      </c>
      <c r="AY10" s="66">
        <f>IFERROR(__xludf.DUMMYFUNCTION("iferror(SUM(query(filter('Data Recording'!Y:Y,'Data Recording'!D:D=B10), ""Select Col1"")),""-"")"),7.0)</f>
        <v>7</v>
      </c>
      <c r="AZ10" s="66">
        <f>IFERROR(__xludf.DUMMYFUNCTION("iferror(SUM(query(filter('Data Recording'!Z:Z,'Data Recording'!D:D=B10), ""Select Col1"")),""-"")"),7.0)</f>
        <v>7</v>
      </c>
      <c r="BA10" s="67">
        <f t="shared" si="10"/>
        <v>1</v>
      </c>
      <c r="BB10" s="68">
        <f>IFERROR(__xludf.DUMMYFUNCTION("iferror(AVERAGE(query(filter('Data Recording'!Z:Z,'Data Recording'!D:D=B10), ""Select Col1"")),""0.00"")"),0.7777777777777778)</f>
        <v>0.7777777778</v>
      </c>
      <c r="BC10" s="69">
        <f>IFERROR(__xludf.DUMMYFUNCTION("iferror(MAX(query(filter('Data Recording'!Z:Z,'Data Recording'!D:D=B10), ""Select Col1"")),""-"")"),1.0)</f>
        <v>1</v>
      </c>
      <c r="BD10" s="66">
        <f>IFERROR(__xludf.DUMMYFUNCTION("iferror(SUM(query(filter('Data Recording'!AA:AA,'Data Recording'!D:D=B10), ""Select Col1"")),""-"")"),2.0)</f>
        <v>2</v>
      </c>
      <c r="BE10" s="66">
        <f>IFERROR(__xludf.DUMMYFUNCTION("iferror(SUM(query(filter('Data Recording'!AB:AB,'Data Recording'!D:D=B10), ""Select Col1"")),""-"")"),2.0)</f>
        <v>2</v>
      </c>
      <c r="BF10" s="67">
        <f t="shared" si="11"/>
        <v>1</v>
      </c>
      <c r="BG10" s="68">
        <f>IFERROR(__xludf.DUMMYFUNCTION("iferror(AVERAGE(query(filter('Data Recording'!AB:AB,'Data Recording'!D:D=B10), ""Select Col1"")),""0.00"")"),1.0)</f>
        <v>1</v>
      </c>
      <c r="BH10" s="69">
        <f>IFERROR(__xludf.DUMMYFUNCTION("iferror(MAX(query(filter('Data Recording'!AB:AB,'Data Recording'!D:D=B10), ""Select Col1"")),""-"")"),1.0)</f>
        <v>1</v>
      </c>
      <c r="BI10" s="66">
        <f>IFERROR(__xludf.DUMMYFUNCTION("iferror(SUM(query(filter('Data Recording'!AC:AC,'Data Recording'!D:D=B10), ""Select Col1"")),""-"")"),41.0)</f>
        <v>41</v>
      </c>
      <c r="BJ10" s="66">
        <f>IFERROR(__xludf.DUMMYFUNCTION("iferror(SUM(query(filter('Data Recording'!AD:AD,'Data Recording'!D:D=B10), ""Select Col1"")),""-"")"),37.0)</f>
        <v>37</v>
      </c>
      <c r="BK10" s="67">
        <f t="shared" si="12"/>
        <v>0.9024390244</v>
      </c>
      <c r="BL10" s="68">
        <f>IFERROR(__xludf.DUMMYFUNCTION("iferror(AVERAGE(query(filter('Data Recording'!AD:AD,'Data Recording'!D:D=B10), ""Select Col1"")),""0.00"")"),3.0833333333333335)</f>
        <v>3.083333333</v>
      </c>
      <c r="BM10" s="69">
        <f>IFERROR(__xludf.DUMMYFUNCTION("iferror(MAX(query(filter('Data Recording'!AD:AD,'Data Recording'!D:D=B10), ""Select Col1"")),""-"")"),7.0)</f>
        <v>7</v>
      </c>
      <c r="BN10" s="70" t="str">
        <f>IFERROR(__xludf.DUMMYFUNCTION("if(countif(query(filter('Data Recording'!AE:AE,'Data Recording'!D:D=B10), ""Select Col1""),""Yes, Engaged"")+countif(query(filter('Data Recording'!AE:AE,'Data Recording'!D:D=B10), ""Select Col1""),""Yes, Docked"")=0,""0"",countif(query(filter('Data Record"&amp;"ing'!AE:AE,'Data Recording'!D:D=B10), ""Select Col1""),""Yes, Engaged""))+countif(query(filter('Data Recording'!AE:AE,'Data Recording'!D:D=B10), ""Select Col1""),""Yes, Docked"") &amp; ""/"" &amp; if(COUNTA(query(ifna(filter('Data Recording'!AE:AE,'Data Recording"&amp;"'!D:D=B10),""""), ""Select Col1""))=0,""0"",COUNTA(query(ifna(filter('Data Recording'!AE:AE,'Data Recording'!D:D=B10),""""), ""Select Col1"")))"),"14/17")</f>
        <v>14/17</v>
      </c>
      <c r="BO10" s="71" t="str">
        <f>IFERROR(__xludf.DUMMYFUNCTION("if(countif(query(filter('Data Recording'!AE:AE,'Data Recording'!D:D=B10), ""Select Col1""),""Yes, Engaged"")=0,""0"",countif(query(filter('Data Recording'!AE:AE,'Data Recording'!D:D=B10), ""Select Col1""),""Yes, Engaged"")) &amp; ""/"" &amp; if(COUNTA(query(ifna("&amp;"filter('Data Recording'!AE:AE,'Data Recording'!D:D=B10),""""), ""Select Col1""))=0,""0"",COUNTA(query(ifna(filter('Data Recording'!AE:AE,'Data Recording'!D:D=B10),""""), ""Select Col1"")))"),"14/17")</f>
        <v>14/17</v>
      </c>
      <c r="BP10" s="64" t="str">
        <f>IFERROR(__xludf.DUMMYFUNCTION("if(countif(query(filter('Data Recording'!AH:AH,'Data Recording'!D:D=B10), ""Select Col1""),""Yes"")=0,""0"",countif(query(filter('Data Recording'!AH:AH,'Data Recording'!D:D=B10), ""Select Col1""),""Yes"")) &amp; ""/"" &amp; if(COUNTA(query(ifna(filter('Data Recor"&amp;"ding'!AH:AH,'Data Recording'!D:D=B10),""""), ""Select Col1""))=0,""0"",COUNTA(query(ifna(filter('Data Recording'!AH:AH,'Data Recording'!D:D=B10),""""), ""Select Col1"")))"),"2/17")</f>
        <v>2/17</v>
      </c>
      <c r="BQ10" s="79">
        <v>0.1176</v>
      </c>
      <c r="BR10" s="60">
        <f>IFERROR(__xludf.DUMMYFUNCTION("iferror(average(query(filter('Data Recording'!AF:AF,'Data Recording'!D:D=B10), ""Select Col1"")),""-"")"),2.6470588235294117)</f>
        <v>2.647058824</v>
      </c>
      <c r="BS10" s="73">
        <f>IFERROR(__xludf.DUMMYFUNCTION("iferror(average(query(filter('Data Recording'!AG:AG,'Data Recording'!D:D=B10), ""Select Col1"")),""-"")"),0.0)</f>
        <v>0</v>
      </c>
      <c r="BT10" s="74">
        <f t="shared" si="13"/>
        <v>50.63888889</v>
      </c>
      <c r="BU10" s="74">
        <f>IFERROR(__xludf.DUMMYFUNCTION("iferror(AVERAGE(query(filter('Data Recording'!AJ:AJ,'Data Recording'!D:D=B10), ""Select Col1"")),""-"")"),36.64705882352941)</f>
        <v>36.64705882</v>
      </c>
      <c r="BV10" s="74">
        <f>IFERROR(__xludf.DUMMYFUNCTION("iferror(AVERAGE(query(filter('Data Recording'!AK:AK,'Data Recording'!D:D=B10), ""Select Col1"")),""-"")"),20.823529411764707)</f>
        <v>20.82352941</v>
      </c>
      <c r="BW10" s="74">
        <f t="shared" si="14"/>
        <v>32.63888889</v>
      </c>
      <c r="BX10" s="75">
        <f>IFERROR(__xludf.DUMMYFUNCTION("iferror(max(query(filter('Data Recording'!AJ:AJ,'Data Recording'!D:D=B10), ""Select Col1"")),""-"")"),49.0)</f>
        <v>49</v>
      </c>
      <c r="BY10" s="76">
        <f>IFERROR(__xludf.DUMMYFUNCTION("iferror(MIN(query(filter('Data Recording'!AJ:AJ,'Data Recording'!D:D=B10), ""Select Col1"")),""-"")"),19.0)</f>
        <v>19</v>
      </c>
      <c r="BZ10" s="77" t="str">
        <f>IFERROR(__xludf.DUMMYFUNCTION("iferror(if(DIVIDE(COUNTIF(query(filter('Data Recording'!R:R,'Data Recording'!D:D=B10), ""Select Col1""),""Yes, Docked"") + countif(query(filter('Data Recording'!R:R,'Data Recording'!D:D=B10), ""Select Col1""),""Yes, Engaged""),COUNTA(query(ifna(filter('Da"&amp;"ta Recording'!R:R,'Data Recording'!D:D=B10),""""), ""Select Col1"")))&gt;=(0.5),""1"",""0""),""-"")"),"1")</f>
        <v>1</v>
      </c>
      <c r="CA10" s="5" t="str">
        <f>IFERROR(__xludf.DUMMYFUNCTION("iferror(if(countif(query(filter('Data Recording'!R:R,'Data Recording'!D:D=B10), ""Select Col1""),""Yes, Engaged"")/COUNTA(query(ifna(filter('Data Recording'!R:R,'Data Recording'!D:D=B10),""""), ""Select Col1""))&gt;=(0.5),""1"",""0""),""-"")"),"0")</f>
        <v>0</v>
      </c>
      <c r="CB10" s="78" t="str">
        <f>IFERROR(__xludf.DUMMYFUNCTION("iferror(if(DIVIDE(COUNTIF(query(filter('Data Recording'!AE:AE,'Data Recording'!D:D=B10), ""Select Col1""),""Yes, Docked"") + countif(query(filter('Data Recording'!AE:AE,'Data Recording'!D:D=B10), ""Select Col1""),""Yes, Engaged""),COUNTA(query(ifna(filter"&amp;"('Data Recording'!AE:AE,'Data Recording'!D:D=B10),""""), ""Select Col1"")))&gt;=(0.5),""1"",""0""),""-"")"),"1")</f>
        <v>1</v>
      </c>
      <c r="CC10" s="5" t="str">
        <f>IFERROR(__xludf.DUMMYFUNCTION("iferror(if(countif(query(filter('Data Recording'!AE:AE,'Data Recording'!D:D=B10), ""Select Col1""),""Yes, Engaged"")/COUNTA(query(ifna(filter('Data Recording'!AE:AE,'Data Recording'!D:D=B10),""""), ""Select Col1""))&gt;=(0.5),""1"",""0""),""-"")"),"1")</f>
        <v>1</v>
      </c>
      <c r="CD10" s="78" t="str">
        <f>IFERROR(__xludf.DUMMYFUNCTION("iferror(if(DIVIDE(countif(query(filter('Data Recording'!E:E,'Data Recording'!D:D=B10), ""Select Col1""),""Yes""),COUNTA(query(ifna(filter('Data Recording'!E:E,'Data Recording'!D:D=B10),""""), ""Select Col1"")))&gt;=(0.5),""1"",""0""),""-"")"),"0")</f>
        <v>0</v>
      </c>
    </row>
    <row r="11">
      <c r="A11" s="2" t="s">
        <v>120</v>
      </c>
      <c r="B11" s="2">
        <v>6081.0</v>
      </c>
      <c r="C11" s="57" t="str">
        <f>IFERROR(__xludf.DUMMYFUNCTION("if(countif(query(filter('Data Recording'!E:E,'Data Recording'!D:D=B11), ""Select Col1""),""Yes"")=0,""0"",countif(query(filter('Data Recording'!E:E,'Data Recording'!D:D=B11), ""Select Col1""),""Yes"")) &amp; ""/"" &amp; if(COUNTA(query(ifna(filter('Data Recording"&amp;"'!E:E,'Data Recording'!D:D=B11),""""), ""Select Col1""))=0,""0"",COUNTA(query(ifna(filter('Data Recording'!E:E,'Data Recording'!D:D=B11),""""), ""Select Col1"")))"),"16/16")</f>
        <v>16/16</v>
      </c>
      <c r="D11" s="58">
        <f>IFERROR(__xludf.DUMMYFUNCTION("iferror(SUM(query(filter('Data Recording'!F:F,'Data Recording'!D:D=B11), ""Select Col1"")),""-"")"),16.0)</f>
        <v>16</v>
      </c>
      <c r="E11" s="58">
        <f>IFERROR(__xludf.DUMMYFUNCTION("iferror(SUM(query(filter('Data Recording'!G:G,'Data Recording'!D:D=B11), ""Select Col1"")),""-"")"),13.0)</f>
        <v>13</v>
      </c>
      <c r="F11" s="59">
        <f t="shared" si="1"/>
        <v>0.8125</v>
      </c>
      <c r="G11" s="60">
        <f>IFERROR(__xludf.DUMMYFUNCTION("iferror(AVERAGE(query(filter('Data Recording'!G:G,'Data Recording'!D:D=B11), ""Select Col1"")),""0.00"")"),0.8125)</f>
        <v>0.8125</v>
      </c>
      <c r="H11" s="58">
        <f>IFERROR(__xludf.DUMMYFUNCTION("iferror(MAX(query(filter('Data Recording'!G:G,'Data Recording'!D:D=B11), ""Select Col1"")),""-"")"),1.0)</f>
        <v>1</v>
      </c>
      <c r="I11" s="61">
        <f>IFERROR(__xludf.DUMMYFUNCTION("iferror(SUM(query(filter('Data Recording'!H:H,'Data Recording'!D:D=B11), ""Select Col1"")),""-"")"),0.0)</f>
        <v>0</v>
      </c>
      <c r="J11" s="62">
        <f>IFERROR(__xludf.DUMMYFUNCTION("iferror(SUM(query(filter('Data Recording'!I:I,'Data Recording'!D:D=B11), ""Select Col1"")),""-"")"),0.0)</f>
        <v>0</v>
      </c>
      <c r="K11" s="59" t="str">
        <f t="shared" si="2"/>
        <v>-</v>
      </c>
      <c r="L11" s="60" t="str">
        <f>IFERROR(__xludf.DUMMYFUNCTION("iferror(AVERAGE(query(filter('Data Recording'!I:I,'Data Recording'!D:D=B11), ""Select Col1"")),""0.00"")"),"0.00")</f>
        <v>0.00</v>
      </c>
      <c r="M11" s="58">
        <f>IFERROR(__xludf.DUMMYFUNCTION("iferror(MAX(query(filter('Data Recording'!I:I,'Data Recording'!D:D=B11), ""Select Col1"")),""-"")"),0.0)</f>
        <v>0</v>
      </c>
      <c r="N11" s="63">
        <f>IFERROR(__xludf.DUMMYFUNCTION("iferror(SUM(query(filter('Data Recording'!J:J,'Data Recording'!D:D=B11), ""Select Col1"")),""-"")"),0.0)</f>
        <v>0</v>
      </c>
      <c r="O11" s="5">
        <f>IFERROR(__xludf.DUMMYFUNCTION("iferror(SUM(query(filter('Data Recording'!K:K,'Data Recording'!D:D=B11), ""Select Col1"")),""-"")"),0.0)</f>
        <v>0</v>
      </c>
      <c r="P11" s="59" t="str">
        <f t="shared" si="3"/>
        <v>-</v>
      </c>
      <c r="Q11" s="60" t="str">
        <f>IFERROR(__xludf.DUMMYFUNCTION("iferror(AVERAGE(query(filter('Data Recording'!K:K,'Data Recording'!D:D=B11), ""Select Col1"")),""0.00"")"),"0.00")</f>
        <v>0.00</v>
      </c>
      <c r="R11" s="58">
        <f>IFERROR(__xludf.DUMMYFUNCTION("iferror(MAX(query(filter('Data Recording'!K:K,'Data Recording'!D:D=B11), ""Select Col1"")),""-"")"),0.0)</f>
        <v>0</v>
      </c>
      <c r="S11" s="63">
        <f>IFERROR(__xludf.DUMMYFUNCTION("iferror(SUM(query(filter('Data Recording'!L:L,'Data Recording'!D:D=B11), ""Select Col1"")),""-"")"),7.0)</f>
        <v>7</v>
      </c>
      <c r="T11" s="5">
        <f>IFERROR(__xludf.DUMMYFUNCTION("iferror(SUM(query(filter('Data Recording'!M:M,'Data Recording'!D:D=B11), ""Select Col1"")),""-"")"),4.0)</f>
        <v>4</v>
      </c>
      <c r="U11" s="59">
        <f t="shared" si="4"/>
        <v>0.5714285714</v>
      </c>
      <c r="V11" s="60">
        <f>IFERROR(__xludf.DUMMYFUNCTION("iferror(AVERAGE(query(filter('Data Recording'!M:M,'Data Recording'!D:D=B11), ""Select Col1"")),""-"")"),0.5714285714285714)</f>
        <v>0.5714285714</v>
      </c>
      <c r="W11" s="57">
        <f>IFERROR(__xludf.DUMMYFUNCTION("iferror(MAX(query(filter('Data Recording'!M:M,'Data Recording'!D:D=B11), ""Select Col1"")),""-"")"),1.0)</f>
        <v>1</v>
      </c>
      <c r="X11" s="5">
        <f>IFERROR(__xludf.DUMMYFUNCTION("iferror(SUM(query(filter('Data Recording'!N:N,'Data Recording'!D:D=B11), ""Select Col1"")),""-"")"),1.0)</f>
        <v>1</v>
      </c>
      <c r="Y11" s="5">
        <f>IFERROR(__xludf.DUMMYFUNCTION("iferror(SUM(query(filter('Data Recording'!O:O,'Data Recording'!D:D=B11), ""Select Col1"")),""-"")"),0.0)</f>
        <v>0</v>
      </c>
      <c r="Z11" s="59">
        <f t="shared" si="5"/>
        <v>0</v>
      </c>
      <c r="AA11" s="60">
        <f>IFERROR(__xludf.DUMMYFUNCTION("iferror(AVERAGE(query(filter('Data Recording'!O:O,'Data Recording'!D:D=B11), ""Select Col1"")),""0.00"")"),0.0)</f>
        <v>0</v>
      </c>
      <c r="AB11" s="57">
        <f>IFERROR(__xludf.DUMMYFUNCTION("iferror(MAX(query(filter('Data Recording'!O:O,'Data Recording'!D:D=B11), ""Select Col1"")),""-"")"),0.0)</f>
        <v>0</v>
      </c>
      <c r="AC11" s="5">
        <f>IFERROR(__xludf.DUMMYFUNCTION("iferror(SUM(query(filter('Data Recording'!P:P,'Data Recording'!D:D=B11), ""Select Col1"")),""-"")"),3.0)</f>
        <v>3</v>
      </c>
      <c r="AD11" s="5">
        <f>IFERROR(__xludf.DUMMYFUNCTION("iferror(SUM(query(filter('Data Recording'!Q:Q,'Data Recording'!D:D=B11), ""Select Col1"")),""-"")"),3.0)</f>
        <v>3</v>
      </c>
      <c r="AE11" s="59">
        <f t="shared" si="6"/>
        <v>1</v>
      </c>
      <c r="AF11" s="60">
        <f>IFERROR(__xludf.DUMMYFUNCTION("iferror(AVERAGE(query(filter('Data Recording'!Q:Q,'Data Recording'!D:D=B11), ""Select Col1"")),""0.00"")"),1.0)</f>
        <v>1</v>
      </c>
      <c r="AG11" s="5">
        <f>IFERROR(__xludf.DUMMYFUNCTION("iferror(MAX(query(filter('Data Recording'!Q:Q,'Data Recording'!D:D=B11), ""Select Col1"")),""-"")"),1.0)</f>
        <v>1</v>
      </c>
      <c r="AH11" s="63" t="str">
        <f>IFERROR(__xludf.DUMMYFUNCTION("if(countif(query(filter('Data Recording'!R:R,'Data Recording'!D:D=B11), ""Select Col1""),""Yes, Engaged"")+countif(query(filter('Data Recording'!R:R,'Data Recording'!D:D=B11), ""Select Col1""),""Yes, Docked"")=0,""0"",countif(query(filter('Data Recording'"&amp;"!R:R,'Data Recording'!D:D=B11), ""Select Col1""),""Yes, Engaged""))+countif(query(filter('Data Recording'!R:R,'Data Recording'!D:D=B11), ""Select Col1""),""Yes, Docked"") &amp; ""/"" &amp; if(COUNTA(query(ifna(filter('Data Recording'!R:R,'Data Recording'!D:D=B11)"&amp;",""""), ""Select Col1""))=0,""0"",COUNTA(query(ifna(filter('Data Recording'!R:R,'Data Recording'!D:D=B11),""""), ""Select Col1"")))"),"5/16")</f>
        <v>5/16</v>
      </c>
      <c r="AI11" s="64" t="str">
        <f>IFERROR(__xludf.DUMMYFUNCTION("if(countif(query(filter('Data Recording'!R:R,'Data Recording'!D:D=B11), ""Select Col1""),""Yes, Engaged"")=0,""0"",countif(query(filter('Data Recording'!R:R,'Data Recording'!D:D=B11), ""Select Col1""),""Yes, Engaged"")) &amp; ""/"" &amp; if(COUNTA(query(ifna(filt"&amp;"er('Data Recording'!R:R,'Data Recording'!D:D=B11),""""), ""Select Col1""))=0,""0"",COUNTA(query(ifna(filter('Data Recording'!R:R,'Data Recording'!D:D=B11),""""), ""Select Col1"")))"),"5/16")</f>
        <v>5/16</v>
      </c>
      <c r="AJ11" s="5">
        <f>IFERROR(__xludf.DUMMYFUNCTION("iferror(SUM(query(filter('Data Recording'!S:S,'Data Recording'!D:D=B11), ""Select Col1"")),""-"")"),17.0)</f>
        <v>17</v>
      </c>
      <c r="AK11" s="5">
        <f>IFERROR(__xludf.DUMMYFUNCTION("iferror(SUM(query(filter('Data Recording'!T:T,'Data Recording'!D:D=B11), ""Select Col1"")),""-"")"),12.0)</f>
        <v>12</v>
      </c>
      <c r="AL11" s="59">
        <f t="shared" si="7"/>
        <v>0.7058823529</v>
      </c>
      <c r="AM11" s="60">
        <f>IFERROR(__xludf.DUMMYFUNCTION("iferror(AVERAGE(query(filter('Data Recording'!T:T,'Data Recording'!D:D=B11), ""Select Col1"")),""0.00"")"),1.3333333333333333)</f>
        <v>1.333333333</v>
      </c>
      <c r="AN11" s="65">
        <f>IFERROR(__xludf.DUMMYFUNCTION("iferror(MAX(query(filter('Data Recording'!T:T,'Data Recording'!D:D=B11), ""Select Col1"")),""-"")"),2.0)</f>
        <v>2</v>
      </c>
      <c r="AO11" s="66">
        <f>IFERROR(__xludf.DUMMYFUNCTION("iferror(SUM(query(filter('Data Recording'!U:U,'Data Recording'!D:D=B11), ""Select Col1"")),""-"")"),12.0)</f>
        <v>12</v>
      </c>
      <c r="AP11" s="66">
        <f>IFERROR(__xludf.DUMMYFUNCTION("iferror(SUM(query(filter('Data Recording'!V:V,'Data Recording'!D:D=B11), ""Select Col1"")),""-"")"),6.0)</f>
        <v>6</v>
      </c>
      <c r="AQ11" s="67">
        <f t="shared" si="8"/>
        <v>0.5</v>
      </c>
      <c r="AR11" s="68">
        <f>IFERROR(__xludf.DUMMYFUNCTION("iferror(AVERAGE(query(filter('Data Recording'!V:V,'Data Recording'!D:D=B11), ""Select Col1"")),""0.00"")"),0.8571428571428571)</f>
        <v>0.8571428571</v>
      </c>
      <c r="AS11" s="69">
        <f>IFERROR(__xludf.DUMMYFUNCTION("iferror(MAX(query(filter('Data Recording'!V:V,'Data Recording'!D:D=B11), ""Select Col1"")),""-"")"),2.0)</f>
        <v>2</v>
      </c>
      <c r="AT11" s="66">
        <f>IFERROR(__xludf.DUMMYFUNCTION("iferror(SUM(query(filter('Data Recording'!W:W,'Data Recording'!D:D=B11), ""Select Col1"")),""-"")"),17.0)</f>
        <v>17</v>
      </c>
      <c r="AU11" s="66">
        <f>IFERROR(__xludf.DUMMYFUNCTION("iferror(SUM(query(filter('Data Recording'!X:X,'Data Recording'!D:D=B11), ""Select Col1"")),""-"")"),16.0)</f>
        <v>16</v>
      </c>
      <c r="AV11" s="67">
        <f t="shared" si="9"/>
        <v>0.9411764706</v>
      </c>
      <c r="AW11" s="68">
        <f>IFERROR(__xludf.DUMMYFUNCTION("iferror(AVERAGE(query(filter('Data Recording'!X:X,'Data Recording'!D:D=B11), ""Select Col1"")),""0.00"")"),1.3333333333333333)</f>
        <v>1.333333333</v>
      </c>
      <c r="AX11" s="69">
        <f>IFERROR(__xludf.DUMMYFUNCTION("iferror(MAX(query(filter('Data Recording'!X:X,'Data Recording'!D:D=B11), ""Select Col1"")),""-"")"),3.0)</f>
        <v>3</v>
      </c>
      <c r="AY11" s="66">
        <f>IFERROR(__xludf.DUMMYFUNCTION("iferror(SUM(query(filter('Data Recording'!Y:Y,'Data Recording'!D:D=B11), ""Select Col1"")),""-"")"),19.0)</f>
        <v>19</v>
      </c>
      <c r="AZ11" s="66">
        <f>IFERROR(__xludf.DUMMYFUNCTION("iferror(SUM(query(filter('Data Recording'!Z:Z,'Data Recording'!D:D=B11), ""Select Col1"")),""-"")"),17.0)</f>
        <v>17</v>
      </c>
      <c r="BA11" s="67">
        <f t="shared" si="10"/>
        <v>0.8947368421</v>
      </c>
      <c r="BB11" s="68">
        <f>IFERROR(__xludf.DUMMYFUNCTION("iferror(AVERAGE(query(filter('Data Recording'!Z:Z,'Data Recording'!D:D=B11), ""Select Col1"")),""0.00"")"),1.3076923076923077)</f>
        <v>1.307692308</v>
      </c>
      <c r="BC11" s="69">
        <f>IFERROR(__xludf.DUMMYFUNCTION("iferror(MAX(query(filter('Data Recording'!Z:Z,'Data Recording'!D:D=B11), ""Select Col1"")),""-"")"),3.0)</f>
        <v>3</v>
      </c>
      <c r="BD11" s="66">
        <f>IFERROR(__xludf.DUMMYFUNCTION("iferror(SUM(query(filter('Data Recording'!AA:AA,'Data Recording'!D:D=B11), ""Select Col1"")),""-"")"),16.0)</f>
        <v>16</v>
      </c>
      <c r="BE11" s="66">
        <f>IFERROR(__xludf.DUMMYFUNCTION("iferror(SUM(query(filter('Data Recording'!AB:AB,'Data Recording'!D:D=B11), ""Select Col1"")),""-"")"),13.0)</f>
        <v>13</v>
      </c>
      <c r="BF11" s="67">
        <f t="shared" si="11"/>
        <v>0.8125</v>
      </c>
      <c r="BG11" s="68">
        <f>IFERROR(__xludf.DUMMYFUNCTION("iferror(AVERAGE(query(filter('Data Recording'!AB:AB,'Data Recording'!D:D=B11), ""Select Col1"")),""0.00"")"),1.0)</f>
        <v>1</v>
      </c>
      <c r="BH11" s="69">
        <f>IFERROR(__xludf.DUMMYFUNCTION("iferror(MAX(query(filter('Data Recording'!AB:AB,'Data Recording'!D:D=B11), ""Select Col1"")),""-"")"),2.0)</f>
        <v>2</v>
      </c>
      <c r="BI11" s="66">
        <f>IFERROR(__xludf.DUMMYFUNCTION("iferror(SUM(query(filter('Data Recording'!AC:AC,'Data Recording'!D:D=B11), ""Select Col1"")),""-"")"),8.0)</f>
        <v>8</v>
      </c>
      <c r="BJ11" s="66">
        <f>IFERROR(__xludf.DUMMYFUNCTION("iferror(SUM(query(filter('Data Recording'!AD:AD,'Data Recording'!D:D=B11), ""Select Col1"")),""-"")"),7.0)</f>
        <v>7</v>
      </c>
      <c r="BK11" s="67">
        <f t="shared" si="12"/>
        <v>0.875</v>
      </c>
      <c r="BL11" s="68">
        <f>IFERROR(__xludf.DUMMYFUNCTION("iferror(AVERAGE(query(filter('Data Recording'!AD:AD,'Data Recording'!D:D=B11), ""Select Col1"")),""0.00"")"),1.4)</f>
        <v>1.4</v>
      </c>
      <c r="BM11" s="69">
        <f>IFERROR(__xludf.DUMMYFUNCTION("iferror(MAX(query(filter('Data Recording'!AD:AD,'Data Recording'!D:D=B11), ""Select Col1"")),""-"")"),2.0)</f>
        <v>2</v>
      </c>
      <c r="BN11" s="70" t="str">
        <f>IFERROR(__xludf.DUMMYFUNCTION("if(countif(query(filter('Data Recording'!AE:AE,'Data Recording'!D:D=B11), ""Select Col1""),""Yes, Engaged"")+countif(query(filter('Data Recording'!AE:AE,'Data Recording'!D:D=B11), ""Select Col1""),""Yes, Docked"")=0,""0"",countif(query(filter('Data Record"&amp;"ing'!AE:AE,'Data Recording'!D:D=B11), ""Select Col1""),""Yes, Engaged""))+countif(query(filter('Data Recording'!AE:AE,'Data Recording'!D:D=B11), ""Select Col1""),""Yes, Docked"") &amp; ""/"" &amp; if(COUNTA(query(ifna(filter('Data Recording'!AE:AE,'Data Recording"&amp;"'!D:D=B11),""""), ""Select Col1""))=0,""0"",COUNTA(query(ifna(filter('Data Recording'!AE:AE,'Data Recording'!D:D=B11),""""), ""Select Col1"")))"),"11/16")</f>
        <v>11/16</v>
      </c>
      <c r="BO11" s="71" t="str">
        <f>IFERROR(__xludf.DUMMYFUNCTION("if(countif(query(filter('Data Recording'!AE:AE,'Data Recording'!D:D=B11), ""Select Col1""),""Yes, Engaged"")=0,""0"",countif(query(filter('Data Recording'!AE:AE,'Data Recording'!D:D=B11), ""Select Col1""),""Yes, Engaged"")) &amp; ""/"" &amp; if(COUNTA(query(ifna("&amp;"filter('Data Recording'!AE:AE,'Data Recording'!D:D=B11),""""), ""Select Col1""))=0,""0"",COUNTA(query(ifna(filter('Data Recording'!AE:AE,'Data Recording'!D:D=B11),""""), ""Select Col1"")))"),"10/16")</f>
        <v>10/16</v>
      </c>
      <c r="BP11" s="64" t="str">
        <f>IFERROR(__xludf.DUMMYFUNCTION("if(countif(query(filter('Data Recording'!AH:AH,'Data Recording'!D:D=B11), ""Select Col1""),""Yes"")=0,""0"",countif(query(filter('Data Recording'!AH:AH,'Data Recording'!D:D=B11), ""Select Col1""),""Yes"")) &amp; ""/"" &amp; if(COUNTA(query(ifna(filter('Data Recor"&amp;"ding'!AH:AH,'Data Recording'!D:D=B11),""""), ""Select Col1""))=0,""0"",COUNTA(query(ifna(filter('Data Recording'!AH:AH,'Data Recording'!D:D=B11),""""), ""Select Col1"")))"),"1/16")</f>
        <v>1/16</v>
      </c>
      <c r="BQ11" s="79">
        <v>0.0625</v>
      </c>
      <c r="BR11" s="60">
        <f>IFERROR(__xludf.DUMMYFUNCTION("iferror(average(query(filter('Data Recording'!AF:AF,'Data Recording'!D:D=B11), ""Select Col1"")),""-"")"),3.8125)</f>
        <v>3.8125</v>
      </c>
      <c r="BS11" s="73">
        <f>IFERROR(__xludf.DUMMYFUNCTION("iferror(average(query(filter('Data Recording'!AG:AG,'Data Recording'!D:D=B11), ""Select Col1"")),""-"")"),0.1875)</f>
        <v>0.1875</v>
      </c>
      <c r="BT11" s="74">
        <f t="shared" si="13"/>
        <v>48.54679487</v>
      </c>
      <c r="BU11" s="74">
        <f>IFERROR(__xludf.DUMMYFUNCTION("iferror(AVERAGE(query(filter('Data Recording'!AJ:AJ,'Data Recording'!D:D=B11), ""Select Col1"")),""-"")"),36.5625)</f>
        <v>36.5625</v>
      </c>
      <c r="BV11" s="74">
        <f>IFERROR(__xludf.DUMMYFUNCTION("iferror(AVERAGE(query(filter('Data Recording'!AK:AK,'Data Recording'!D:D=B11), ""Select Col1"")),""-"")"),22.4375)</f>
        <v>22.4375</v>
      </c>
      <c r="BW11" s="74">
        <f t="shared" si="14"/>
        <v>35.54679487</v>
      </c>
      <c r="BX11" s="75">
        <f>IFERROR(__xludf.DUMMYFUNCTION("iferror(max(query(filter('Data Recording'!AJ:AJ,'Data Recording'!D:D=B11), ""Select Col1"")),""-"")"),53.0)</f>
        <v>53</v>
      </c>
      <c r="BY11" s="76">
        <f>IFERROR(__xludf.DUMMYFUNCTION("iferror(MIN(query(filter('Data Recording'!AJ:AJ,'Data Recording'!D:D=B11), ""Select Col1"")),""-"")"),29.0)</f>
        <v>29</v>
      </c>
      <c r="BZ11" s="77" t="str">
        <f>IFERROR(__xludf.DUMMYFUNCTION("iferror(if(DIVIDE(COUNTIF(query(filter('Data Recording'!R:R,'Data Recording'!D:D=B11), ""Select Col1""),""Yes, Docked"") + countif(query(filter('Data Recording'!R:R,'Data Recording'!D:D=B11), ""Select Col1""),""Yes, Engaged""),COUNTA(query(ifna(filter('Da"&amp;"ta Recording'!R:R,'Data Recording'!D:D=B11),""""), ""Select Col1"")))&gt;=(0.5),""1"",""0""),""-"")"),"0")</f>
        <v>0</v>
      </c>
      <c r="CA11" s="5" t="str">
        <f>IFERROR(__xludf.DUMMYFUNCTION("iferror(if(countif(query(filter('Data Recording'!R:R,'Data Recording'!D:D=B11), ""Select Col1""),""Yes, Engaged"")/COUNTA(query(ifna(filter('Data Recording'!R:R,'Data Recording'!D:D=B11),""""), ""Select Col1""))&gt;=(0.5),""1"",""0""),""-"")"),"0")</f>
        <v>0</v>
      </c>
      <c r="CB11" s="78" t="str">
        <f>IFERROR(__xludf.DUMMYFUNCTION("iferror(if(DIVIDE(COUNTIF(query(filter('Data Recording'!AE:AE,'Data Recording'!D:D=B11), ""Select Col1""),""Yes, Docked"") + countif(query(filter('Data Recording'!AE:AE,'Data Recording'!D:D=B11), ""Select Col1""),""Yes, Engaged""),COUNTA(query(ifna(filter"&amp;"('Data Recording'!AE:AE,'Data Recording'!D:D=B11),""""), ""Select Col1"")))&gt;=(0.5),""1"",""0""),""-"")"),"1")</f>
        <v>1</v>
      </c>
      <c r="CC11" s="5" t="str">
        <f>IFERROR(__xludf.DUMMYFUNCTION("iferror(if(countif(query(filter('Data Recording'!AE:AE,'Data Recording'!D:D=B11), ""Select Col1""),""Yes, Engaged"")/COUNTA(query(ifna(filter('Data Recording'!AE:AE,'Data Recording'!D:D=B11),""""), ""Select Col1""))&gt;=(0.5),""1"",""0""),""-"")"),"1")</f>
        <v>1</v>
      </c>
      <c r="CD11" s="78" t="str">
        <f>IFERROR(__xludf.DUMMYFUNCTION("iferror(if(DIVIDE(countif(query(filter('Data Recording'!E:E,'Data Recording'!D:D=B11), ""Select Col1""),""Yes""),COUNTA(query(ifna(filter('Data Recording'!E:E,'Data Recording'!D:D=B11),""""), ""Select Col1"")))&gt;=(0.5),""1"",""0""),""-"")"),"1")</f>
        <v>1</v>
      </c>
    </row>
    <row r="12">
      <c r="A12" s="2" t="s">
        <v>121</v>
      </c>
      <c r="B12" s="2">
        <v>5066.0</v>
      </c>
      <c r="C12" s="57" t="str">
        <f>IFERROR(__xludf.DUMMYFUNCTION("if(countif(query(filter('Data Recording'!E:E,'Data Recording'!D:D=B12), ""Select Col1""),""Yes"")=0,""0"",countif(query(filter('Data Recording'!E:E,'Data Recording'!D:D=B12), ""Select Col1""),""Yes"")) &amp; ""/"" &amp; if(COUNTA(query(ifna(filter('Data Recording"&amp;"'!E:E,'Data Recording'!D:D=B12),""""), ""Select Col1""))=0,""0"",COUNTA(query(ifna(filter('Data Recording'!E:E,'Data Recording'!D:D=B12),""""), ""Select Col1"")))"),"3/14")</f>
        <v>3/14</v>
      </c>
      <c r="D12" s="58">
        <f>IFERROR(__xludf.DUMMYFUNCTION("iferror(SUM(query(filter('Data Recording'!F:F,'Data Recording'!D:D=B12), ""Select Col1"")),""-"")"),0.0)</f>
        <v>0</v>
      </c>
      <c r="E12" s="58">
        <f>IFERROR(__xludf.DUMMYFUNCTION("iferror(SUM(query(filter('Data Recording'!G:G,'Data Recording'!D:D=B12), ""Select Col1"")),""-"")"),0.0)</f>
        <v>0</v>
      </c>
      <c r="F12" s="59" t="str">
        <f t="shared" si="1"/>
        <v>-</v>
      </c>
      <c r="G12" s="60" t="str">
        <f>IFERROR(__xludf.DUMMYFUNCTION("iferror(AVERAGE(query(filter('Data Recording'!G:G,'Data Recording'!D:D=B12), ""Select Col1"")),""0.00"")"),"0.00")</f>
        <v>0.00</v>
      </c>
      <c r="H12" s="58">
        <f>IFERROR(__xludf.DUMMYFUNCTION("iferror(MAX(query(filter('Data Recording'!G:G,'Data Recording'!D:D=B12), ""Select Col1"")),""-"")"),0.0)</f>
        <v>0</v>
      </c>
      <c r="I12" s="61">
        <f>IFERROR(__xludf.DUMMYFUNCTION("iferror(SUM(query(filter('Data Recording'!H:H,'Data Recording'!D:D=B12), ""Select Col1"")),""-"")"),0.0)</f>
        <v>0</v>
      </c>
      <c r="J12" s="62">
        <f>IFERROR(__xludf.DUMMYFUNCTION("iferror(SUM(query(filter('Data Recording'!I:I,'Data Recording'!D:D=B12), ""Select Col1"")),""-"")"),0.0)</f>
        <v>0</v>
      </c>
      <c r="K12" s="59" t="str">
        <f t="shared" si="2"/>
        <v>-</v>
      </c>
      <c r="L12" s="60" t="str">
        <f>IFERROR(__xludf.DUMMYFUNCTION("iferror(AVERAGE(query(filter('Data Recording'!I:I,'Data Recording'!D:D=B12), ""Select Col1"")),""0.00"")"),"0.00")</f>
        <v>0.00</v>
      </c>
      <c r="M12" s="58">
        <f>IFERROR(__xludf.DUMMYFUNCTION("iferror(MAX(query(filter('Data Recording'!I:I,'Data Recording'!D:D=B12), ""Select Col1"")),""-"")"),0.0)</f>
        <v>0</v>
      </c>
      <c r="N12" s="63">
        <f>IFERROR(__xludf.DUMMYFUNCTION("iferror(SUM(query(filter('Data Recording'!J:J,'Data Recording'!D:D=B12), ""Select Col1"")),""-"")"),0.0)</f>
        <v>0</v>
      </c>
      <c r="O12" s="5">
        <f>IFERROR(__xludf.DUMMYFUNCTION("iferror(SUM(query(filter('Data Recording'!K:K,'Data Recording'!D:D=B12), ""Select Col1"")),""-"")"),0.0)</f>
        <v>0</v>
      </c>
      <c r="P12" s="59" t="str">
        <f t="shared" si="3"/>
        <v>-</v>
      </c>
      <c r="Q12" s="60" t="str">
        <f>IFERROR(__xludf.DUMMYFUNCTION("iferror(AVERAGE(query(filter('Data Recording'!K:K,'Data Recording'!D:D=B12), ""Select Col1"")),""0.00"")"),"0.00")</f>
        <v>0.00</v>
      </c>
      <c r="R12" s="58">
        <f>IFERROR(__xludf.DUMMYFUNCTION("iferror(MAX(query(filter('Data Recording'!K:K,'Data Recording'!D:D=B12), ""Select Col1"")),""-"")"),0.0)</f>
        <v>0</v>
      </c>
      <c r="S12" s="63">
        <f>IFERROR(__xludf.DUMMYFUNCTION("iferror(SUM(query(filter('Data Recording'!L:L,'Data Recording'!D:D=B12), ""Select Col1"")),""-"")"),14.0)</f>
        <v>14</v>
      </c>
      <c r="T12" s="5">
        <f>IFERROR(__xludf.DUMMYFUNCTION("iferror(SUM(query(filter('Data Recording'!M:M,'Data Recording'!D:D=B12), ""Select Col1"")),""-"")"),13.0)</f>
        <v>13</v>
      </c>
      <c r="U12" s="59">
        <f t="shared" si="4"/>
        <v>0.9285714286</v>
      </c>
      <c r="V12" s="60">
        <f>IFERROR(__xludf.DUMMYFUNCTION("iferror(AVERAGE(query(filter('Data Recording'!M:M,'Data Recording'!D:D=B12), ""Select Col1"")),""-"")"),0.9285714285714286)</f>
        <v>0.9285714286</v>
      </c>
      <c r="W12" s="57">
        <f>IFERROR(__xludf.DUMMYFUNCTION("iferror(MAX(query(filter('Data Recording'!M:M,'Data Recording'!D:D=B12), ""Select Col1"")),""-"")"),1.0)</f>
        <v>1</v>
      </c>
      <c r="X12" s="5">
        <f>IFERROR(__xludf.DUMMYFUNCTION("iferror(SUM(query(filter('Data Recording'!N:N,'Data Recording'!D:D=B12), ""Select Col1"")),""-"")"),0.0)</f>
        <v>0</v>
      </c>
      <c r="Y12" s="5">
        <f>IFERROR(__xludf.DUMMYFUNCTION("iferror(SUM(query(filter('Data Recording'!O:O,'Data Recording'!D:D=B12), ""Select Col1"")),""-"")"),0.0)</f>
        <v>0</v>
      </c>
      <c r="Z12" s="59" t="str">
        <f t="shared" si="5"/>
        <v>-</v>
      </c>
      <c r="AA12" s="60" t="str">
        <f>IFERROR(__xludf.DUMMYFUNCTION("iferror(AVERAGE(query(filter('Data Recording'!O:O,'Data Recording'!D:D=B12), ""Select Col1"")),""0.00"")"),"0.00")</f>
        <v>0.00</v>
      </c>
      <c r="AB12" s="57">
        <f>IFERROR(__xludf.DUMMYFUNCTION("iferror(MAX(query(filter('Data Recording'!O:O,'Data Recording'!D:D=B12), ""Select Col1"")),""-"")"),0.0)</f>
        <v>0</v>
      </c>
      <c r="AC12" s="5">
        <f>IFERROR(__xludf.DUMMYFUNCTION("iferror(SUM(query(filter('Data Recording'!P:P,'Data Recording'!D:D=B12), ""Select Col1"")),""-"")"),1.0)</f>
        <v>1</v>
      </c>
      <c r="AD12" s="5">
        <f>IFERROR(__xludf.DUMMYFUNCTION("iferror(SUM(query(filter('Data Recording'!Q:Q,'Data Recording'!D:D=B12), ""Select Col1"")),""-"")"),1.0)</f>
        <v>1</v>
      </c>
      <c r="AE12" s="59">
        <f t="shared" si="6"/>
        <v>1</v>
      </c>
      <c r="AF12" s="60">
        <f>IFERROR(__xludf.DUMMYFUNCTION("iferror(AVERAGE(query(filter('Data Recording'!Q:Q,'Data Recording'!D:D=B12), ""Select Col1"")),""0.00"")"),1.0)</f>
        <v>1</v>
      </c>
      <c r="AG12" s="5">
        <f>IFERROR(__xludf.DUMMYFUNCTION("iferror(MAX(query(filter('Data Recording'!Q:Q,'Data Recording'!D:D=B12), ""Select Col1"")),""-"")"),1.0)</f>
        <v>1</v>
      </c>
      <c r="AH12" s="63" t="str">
        <f>IFERROR(__xludf.DUMMYFUNCTION("if(countif(query(filter('Data Recording'!R:R,'Data Recording'!D:D=B12), ""Select Col1""),""Yes, Engaged"")+countif(query(filter('Data Recording'!R:R,'Data Recording'!D:D=B12), ""Select Col1""),""Yes, Docked"")=0,""0"",countif(query(filter('Data Recording'"&amp;"!R:R,'Data Recording'!D:D=B12), ""Select Col1""),""Yes, Engaged""))+countif(query(filter('Data Recording'!R:R,'Data Recording'!D:D=B12), ""Select Col1""),""Yes, Docked"") &amp; ""/"" &amp; if(COUNTA(query(ifna(filter('Data Recording'!R:R,'Data Recording'!D:D=B12)"&amp;",""""), ""Select Col1""))=0,""0"",COUNTA(query(ifna(filter('Data Recording'!R:R,'Data Recording'!D:D=B12),""""), ""Select Col1"")))"),"8/14")</f>
        <v>8/14</v>
      </c>
      <c r="AI12" s="64" t="str">
        <f>IFERROR(__xludf.DUMMYFUNCTION("if(countif(query(filter('Data Recording'!R:R,'Data Recording'!D:D=B12), ""Select Col1""),""Yes, Engaged"")=0,""0"",countif(query(filter('Data Recording'!R:R,'Data Recording'!D:D=B12), ""Select Col1""),""Yes, Engaged"")) &amp; ""/"" &amp; if(COUNTA(query(ifna(filt"&amp;"er('Data Recording'!R:R,'Data Recording'!D:D=B12),""""), ""Select Col1""))=0,""0"",COUNTA(query(ifna(filter('Data Recording'!R:R,'Data Recording'!D:D=B12),""""), ""Select Col1"")))"),"7/14")</f>
        <v>7/14</v>
      </c>
      <c r="AJ12" s="5">
        <f>IFERROR(__xludf.DUMMYFUNCTION("iferror(SUM(query(filter('Data Recording'!S:S,'Data Recording'!D:D=B12), ""Select Col1"")),""-"")"),15.0)</f>
        <v>15</v>
      </c>
      <c r="AK12" s="5">
        <f>IFERROR(__xludf.DUMMYFUNCTION("iferror(SUM(query(filter('Data Recording'!T:T,'Data Recording'!D:D=B12), ""Select Col1"")),""-"")"),8.0)</f>
        <v>8</v>
      </c>
      <c r="AL12" s="59">
        <f t="shared" si="7"/>
        <v>0.5333333333</v>
      </c>
      <c r="AM12" s="60">
        <f>IFERROR(__xludf.DUMMYFUNCTION("iferror(AVERAGE(query(filter('Data Recording'!T:T,'Data Recording'!D:D=B12), ""Select Col1"")),""0.00"")"),0.8)</f>
        <v>0.8</v>
      </c>
      <c r="AN12" s="65">
        <f>IFERROR(__xludf.DUMMYFUNCTION("iferror(MAX(query(filter('Data Recording'!T:T,'Data Recording'!D:D=B12), ""Select Col1"")),""-"")"),3.0)</f>
        <v>3</v>
      </c>
      <c r="AO12" s="66">
        <f>IFERROR(__xludf.DUMMYFUNCTION("iferror(SUM(query(filter('Data Recording'!U:U,'Data Recording'!D:D=B12), ""Select Col1"")),""-"")"),3.0)</f>
        <v>3</v>
      </c>
      <c r="AP12" s="66">
        <f>IFERROR(__xludf.DUMMYFUNCTION("iferror(SUM(query(filter('Data Recording'!V:V,'Data Recording'!D:D=B12), ""Select Col1"")),""-"")"),3.0)</f>
        <v>3</v>
      </c>
      <c r="AQ12" s="67">
        <f t="shared" si="8"/>
        <v>1</v>
      </c>
      <c r="AR12" s="68">
        <f>IFERROR(__xludf.DUMMYFUNCTION("iferror(AVERAGE(query(filter('Data Recording'!V:V,'Data Recording'!D:D=B12), ""Select Col1"")),""0.00"")"),1.5)</f>
        <v>1.5</v>
      </c>
      <c r="AS12" s="69">
        <f>IFERROR(__xludf.DUMMYFUNCTION("iferror(MAX(query(filter('Data Recording'!V:V,'Data Recording'!D:D=B12), ""Select Col1"")),""-"")"),2.0)</f>
        <v>2</v>
      </c>
      <c r="AT12" s="66">
        <f>IFERROR(__xludf.DUMMYFUNCTION("iferror(SUM(query(filter('Data Recording'!W:W,'Data Recording'!D:D=B12), ""Select Col1"")),""-"")"),6.0)</f>
        <v>6</v>
      </c>
      <c r="AU12" s="66">
        <f>IFERROR(__xludf.DUMMYFUNCTION("iferror(SUM(query(filter('Data Recording'!X:X,'Data Recording'!D:D=B12), ""Select Col1"")),""-"")"),6.0)</f>
        <v>6</v>
      </c>
      <c r="AV12" s="67">
        <f t="shared" si="9"/>
        <v>1</v>
      </c>
      <c r="AW12" s="68">
        <f>IFERROR(__xludf.DUMMYFUNCTION("iferror(AVERAGE(query(filter('Data Recording'!X:X,'Data Recording'!D:D=B12), ""Select Col1"")),""0.00"")"),1.0)</f>
        <v>1</v>
      </c>
      <c r="AX12" s="69">
        <f>IFERROR(__xludf.DUMMYFUNCTION("iferror(MAX(query(filter('Data Recording'!X:X,'Data Recording'!D:D=B12), ""Select Col1"")),""-"")"),1.0)</f>
        <v>1</v>
      </c>
      <c r="AY12" s="66">
        <f>IFERROR(__xludf.DUMMYFUNCTION("iferror(SUM(query(filter('Data Recording'!Y:Y,'Data Recording'!D:D=B12), ""Select Col1"")),""-"")"),12.0)</f>
        <v>12</v>
      </c>
      <c r="AZ12" s="66">
        <f>IFERROR(__xludf.DUMMYFUNCTION("iferror(SUM(query(filter('Data Recording'!Z:Z,'Data Recording'!D:D=B12), ""Select Col1"")),""-"")"),11.0)</f>
        <v>11</v>
      </c>
      <c r="BA12" s="67">
        <f t="shared" si="10"/>
        <v>0.9166666667</v>
      </c>
      <c r="BB12" s="68">
        <f>IFERROR(__xludf.DUMMYFUNCTION("iferror(AVERAGE(query(filter('Data Recording'!Z:Z,'Data Recording'!D:D=B12), ""Select Col1"")),""0.00"")"),1.375)</f>
        <v>1.375</v>
      </c>
      <c r="BC12" s="69">
        <f>IFERROR(__xludf.DUMMYFUNCTION("iferror(MAX(query(filter('Data Recording'!Z:Z,'Data Recording'!D:D=B12), ""Select Col1"")),""-"")"),2.0)</f>
        <v>2</v>
      </c>
      <c r="BD12" s="66">
        <f>IFERROR(__xludf.DUMMYFUNCTION("iferror(SUM(query(filter('Data Recording'!AA:AA,'Data Recording'!D:D=B12), ""Select Col1"")),""-"")"),0.0)</f>
        <v>0</v>
      </c>
      <c r="BE12" s="66">
        <f>IFERROR(__xludf.DUMMYFUNCTION("iferror(SUM(query(filter('Data Recording'!AB:AB,'Data Recording'!D:D=B12), ""Select Col1"")),""-"")"),0.0)</f>
        <v>0</v>
      </c>
      <c r="BF12" s="67" t="str">
        <f t="shared" si="11"/>
        <v>-</v>
      </c>
      <c r="BG12" s="68" t="str">
        <f>IFERROR(__xludf.DUMMYFUNCTION("iferror(AVERAGE(query(filter('Data Recording'!AB:AB,'Data Recording'!D:D=B12), ""Select Col1"")),""0.00"")"),"0.00")</f>
        <v>0.00</v>
      </c>
      <c r="BH12" s="69">
        <f>IFERROR(__xludf.DUMMYFUNCTION("iferror(MAX(query(filter('Data Recording'!AB:AB,'Data Recording'!D:D=B12), ""Select Col1"")),""-"")"),0.0)</f>
        <v>0</v>
      </c>
      <c r="BI12" s="66">
        <f>IFERROR(__xludf.DUMMYFUNCTION("iferror(SUM(query(filter('Data Recording'!AC:AC,'Data Recording'!D:D=B12), ""Select Col1"")),""-"")"),0.0)</f>
        <v>0</v>
      </c>
      <c r="BJ12" s="66">
        <f>IFERROR(__xludf.DUMMYFUNCTION("iferror(SUM(query(filter('Data Recording'!AD:AD,'Data Recording'!D:D=B12), ""Select Col1"")),""-"")"),0.0)</f>
        <v>0</v>
      </c>
      <c r="BK12" s="67" t="str">
        <f t="shared" si="12"/>
        <v>-</v>
      </c>
      <c r="BL12" s="68" t="str">
        <f>IFERROR(__xludf.DUMMYFUNCTION("iferror(AVERAGE(query(filter('Data Recording'!AD:AD,'Data Recording'!D:D=B12), ""Select Col1"")),""0.00"")"),"0.00")</f>
        <v>0.00</v>
      </c>
      <c r="BM12" s="69">
        <f>IFERROR(__xludf.DUMMYFUNCTION("iferror(MAX(query(filter('Data Recording'!AD:AD,'Data Recording'!D:D=B12), ""Select Col1"")),""-"")"),0.0)</f>
        <v>0</v>
      </c>
      <c r="BN12" s="70" t="str">
        <f>IFERROR(__xludf.DUMMYFUNCTION("if(countif(query(filter('Data Recording'!AE:AE,'Data Recording'!D:D=B12), ""Select Col1""),""Yes, Engaged"")+countif(query(filter('Data Recording'!AE:AE,'Data Recording'!D:D=B12), ""Select Col1""),""Yes, Docked"")=0,""0"",countif(query(filter('Data Record"&amp;"ing'!AE:AE,'Data Recording'!D:D=B12), ""Select Col1""),""Yes, Engaged""))+countif(query(filter('Data Recording'!AE:AE,'Data Recording'!D:D=B12), ""Select Col1""),""Yes, Docked"") &amp; ""/"" &amp; if(COUNTA(query(ifna(filter('Data Recording'!AE:AE,'Data Recording"&amp;"'!D:D=B12),""""), ""Select Col1""))=0,""0"",COUNTA(query(ifna(filter('Data Recording'!AE:AE,'Data Recording'!D:D=B12),""""), ""Select Col1"")))"),"10/14")</f>
        <v>10/14</v>
      </c>
      <c r="BO12" s="71" t="str">
        <f>IFERROR(__xludf.DUMMYFUNCTION("if(countif(query(filter('Data Recording'!AE:AE,'Data Recording'!D:D=B12), ""Select Col1""),""Yes, Engaged"")=0,""0"",countif(query(filter('Data Recording'!AE:AE,'Data Recording'!D:D=B12), ""Select Col1""),""Yes, Engaged"")) &amp; ""/"" &amp; if(COUNTA(query(ifna("&amp;"filter('Data Recording'!AE:AE,'Data Recording'!D:D=B12),""""), ""Select Col1""))=0,""0"",COUNTA(query(ifna(filter('Data Recording'!AE:AE,'Data Recording'!D:D=B12),""""), ""Select Col1"")))"),"10/14")</f>
        <v>10/14</v>
      </c>
      <c r="BP12" s="64" t="str">
        <f>IFERROR(__xludf.DUMMYFUNCTION("if(countif(query(filter('Data Recording'!AH:AH,'Data Recording'!D:D=B12), ""Select Col1""),""Yes"")=0,""0"",countif(query(filter('Data Recording'!AH:AH,'Data Recording'!D:D=B12), ""Select Col1""),""Yes"")) &amp; ""/"" &amp; if(COUNTA(query(ifna(filter('Data Recor"&amp;"ding'!AH:AH,'Data Recording'!D:D=B12),""""), ""Select Col1""))=0,""0"",COUNTA(query(ifna(filter('Data Recording'!AH:AH,'Data Recording'!D:D=B12),""""), ""Select Col1"")))"),"0/14")</f>
        <v>0/14</v>
      </c>
      <c r="BQ12" s="72">
        <v>0.0</v>
      </c>
      <c r="BR12" s="60">
        <f>IFERROR(__xludf.DUMMYFUNCTION("iferror(average(query(filter('Data Recording'!AF:AF,'Data Recording'!D:D=B12), ""Select Col1"")),""-"")"),2.0714285714285716)</f>
        <v>2.071428571</v>
      </c>
      <c r="BS12" s="73">
        <f>IFERROR(__xludf.DUMMYFUNCTION("iferror(average(query(filter('Data Recording'!AG:AG,'Data Recording'!D:D=B12), ""Select Col1"")),""-"")"),0.0)</f>
        <v>0</v>
      </c>
      <c r="BT12" s="74">
        <f t="shared" si="13"/>
        <v>47.94642857</v>
      </c>
      <c r="BU12" s="74">
        <f>IFERROR(__xludf.DUMMYFUNCTION("iferror(AVERAGE(query(filter('Data Recording'!AJ:AJ,'Data Recording'!D:D=B12), ""Select Col1"")),""-"")"),28.857142857142858)</f>
        <v>28.85714286</v>
      </c>
      <c r="BV12" s="74">
        <f>IFERROR(__xludf.DUMMYFUNCTION("iferror(AVERAGE(query(filter('Data Recording'!AK:AK,'Data Recording'!D:D=B12), ""Select Col1"")),""-"")"),14.071428571428571)</f>
        <v>14.07142857</v>
      </c>
      <c r="BW12" s="74">
        <f t="shared" si="14"/>
        <v>25.94642857</v>
      </c>
      <c r="BX12" s="75">
        <f>IFERROR(__xludf.DUMMYFUNCTION("iferror(max(query(filter('Data Recording'!AJ:AJ,'Data Recording'!D:D=B12), ""Select Col1"")),""-"")"),48.0)</f>
        <v>48</v>
      </c>
      <c r="BY12" s="76">
        <f>IFERROR(__xludf.DUMMYFUNCTION("iferror(MIN(query(filter('Data Recording'!AJ:AJ,'Data Recording'!D:D=B12), ""Select Col1"")),""-"")"),14.0)</f>
        <v>14</v>
      </c>
      <c r="BZ12" s="77" t="str">
        <f>IFERROR(__xludf.DUMMYFUNCTION("iferror(if(DIVIDE(COUNTIF(query(filter('Data Recording'!R:R,'Data Recording'!D:D=B12), ""Select Col1""),""Yes, Docked"") + countif(query(filter('Data Recording'!R:R,'Data Recording'!D:D=B12), ""Select Col1""),""Yes, Engaged""),COUNTA(query(ifna(filter('Da"&amp;"ta Recording'!R:R,'Data Recording'!D:D=B12),""""), ""Select Col1"")))&gt;=(0.5),""1"",""0""),""-"")"),"1")</f>
        <v>1</v>
      </c>
      <c r="CA12" s="5" t="str">
        <f>IFERROR(__xludf.DUMMYFUNCTION("iferror(if(countif(query(filter('Data Recording'!R:R,'Data Recording'!D:D=B12), ""Select Col1""),""Yes, Engaged"")/COUNTA(query(ifna(filter('Data Recording'!R:R,'Data Recording'!D:D=B12),""""), ""Select Col1""))&gt;=(0.5),""1"",""0""),""-"")"),"1")</f>
        <v>1</v>
      </c>
      <c r="CB12" s="78" t="str">
        <f>IFERROR(__xludf.DUMMYFUNCTION("iferror(if(DIVIDE(COUNTIF(query(filter('Data Recording'!AE:AE,'Data Recording'!D:D=B12), ""Select Col1""),""Yes, Docked"") + countif(query(filter('Data Recording'!AE:AE,'Data Recording'!D:D=B12), ""Select Col1""),""Yes, Engaged""),COUNTA(query(ifna(filter"&amp;"('Data Recording'!AE:AE,'Data Recording'!D:D=B12),""""), ""Select Col1"")))&gt;=(0.5),""1"",""0""),""-"")"),"1")</f>
        <v>1</v>
      </c>
      <c r="CC12" s="5" t="str">
        <f>IFERROR(__xludf.DUMMYFUNCTION("iferror(if(countif(query(filter('Data Recording'!AE:AE,'Data Recording'!D:D=B12), ""Select Col1""),""Yes, Engaged"")/COUNTA(query(ifna(filter('Data Recording'!AE:AE,'Data Recording'!D:D=B12),""""), ""Select Col1""))&gt;=(0.5),""1"",""0""),""-"")"),"1")</f>
        <v>1</v>
      </c>
      <c r="CD12" s="78" t="str">
        <f>IFERROR(__xludf.DUMMYFUNCTION("iferror(if(DIVIDE(countif(query(filter('Data Recording'!E:E,'Data Recording'!D:D=B12), ""Select Col1""),""Yes""),COUNTA(query(ifna(filter('Data Recording'!E:E,'Data Recording'!D:D=B12),""""), ""Select Col1"")))&gt;=(0.5),""1"",""0""),""-"")"),"0")</f>
        <v>0</v>
      </c>
    </row>
    <row r="13">
      <c r="A13" s="2" t="s">
        <v>122</v>
      </c>
      <c r="B13" s="2">
        <v>815.0</v>
      </c>
      <c r="C13" s="57" t="str">
        <f>IFERROR(__xludf.DUMMYFUNCTION("if(countif(query(filter('Data Recording'!E:E,'Data Recording'!D:D=B13), ""Select Col1""),""Yes"")=0,""0"",countif(query(filter('Data Recording'!E:E,'Data Recording'!D:D=B13), ""Select Col1""),""Yes"")) &amp; ""/"" &amp; if(COUNTA(query(ifna(filter('Data Recording"&amp;"'!E:E,'Data Recording'!D:D=B13),""""), ""Select Col1""))=0,""0"",COUNTA(query(ifna(filter('Data Recording'!E:E,'Data Recording'!D:D=B13),""""), ""Select Col1"")))"),"12/15")</f>
        <v>12/15</v>
      </c>
      <c r="D13" s="58">
        <f>IFERROR(__xludf.DUMMYFUNCTION("iferror(SUM(query(filter('Data Recording'!F:F,'Data Recording'!D:D=B13), ""Select Col1"")),""-"")"),10.0)</f>
        <v>10</v>
      </c>
      <c r="E13" s="58">
        <f>IFERROR(__xludf.DUMMYFUNCTION("iferror(SUM(query(filter('Data Recording'!G:G,'Data Recording'!D:D=B13), ""Select Col1"")),""-"")"),10.0)</f>
        <v>10</v>
      </c>
      <c r="F13" s="59">
        <f t="shared" si="1"/>
        <v>1</v>
      </c>
      <c r="G13" s="60">
        <f>IFERROR(__xludf.DUMMYFUNCTION("iferror(AVERAGE(query(filter('Data Recording'!G:G,'Data Recording'!D:D=B13), ""Select Col1"")),""0.00"")"),1.0)</f>
        <v>1</v>
      </c>
      <c r="H13" s="58">
        <f>IFERROR(__xludf.DUMMYFUNCTION("iferror(MAX(query(filter('Data Recording'!G:G,'Data Recording'!D:D=B13), ""Select Col1"")),""-"")"),1.0)</f>
        <v>1</v>
      </c>
      <c r="I13" s="61">
        <f>IFERROR(__xludf.DUMMYFUNCTION("iferror(SUM(query(filter('Data Recording'!H:H,'Data Recording'!D:D=B13), ""Select Col1"")),""-"")"),0.0)</f>
        <v>0</v>
      </c>
      <c r="J13" s="62">
        <f>IFERROR(__xludf.DUMMYFUNCTION("iferror(SUM(query(filter('Data Recording'!I:I,'Data Recording'!D:D=B13), ""Select Col1"")),""-"")"),0.0)</f>
        <v>0</v>
      </c>
      <c r="K13" s="59" t="str">
        <f t="shared" si="2"/>
        <v>-</v>
      </c>
      <c r="L13" s="60" t="str">
        <f>IFERROR(__xludf.DUMMYFUNCTION("iferror(AVERAGE(query(filter('Data Recording'!I:I,'Data Recording'!D:D=B13), ""Select Col1"")),""0.00"")"),"0.00")</f>
        <v>0.00</v>
      </c>
      <c r="M13" s="58">
        <f>IFERROR(__xludf.DUMMYFUNCTION("iferror(MAX(query(filter('Data Recording'!I:I,'Data Recording'!D:D=B13), ""Select Col1"")),""-"")"),0.0)</f>
        <v>0</v>
      </c>
      <c r="N13" s="63">
        <f>IFERROR(__xludf.DUMMYFUNCTION("iferror(SUM(query(filter('Data Recording'!J:J,'Data Recording'!D:D=B13), ""Select Col1"")),""-"")"),0.0)</f>
        <v>0</v>
      </c>
      <c r="O13" s="5">
        <f>IFERROR(__xludf.DUMMYFUNCTION("iferror(SUM(query(filter('Data Recording'!K:K,'Data Recording'!D:D=B13), ""Select Col1"")),""-"")"),0.0)</f>
        <v>0</v>
      </c>
      <c r="P13" s="59" t="str">
        <f t="shared" si="3"/>
        <v>-</v>
      </c>
      <c r="Q13" s="60" t="str">
        <f>IFERROR(__xludf.DUMMYFUNCTION("iferror(AVERAGE(query(filter('Data Recording'!K:K,'Data Recording'!D:D=B13), ""Select Col1"")),""0.00"")"),"0.00")</f>
        <v>0.00</v>
      </c>
      <c r="R13" s="58">
        <f>IFERROR(__xludf.DUMMYFUNCTION("iferror(MAX(query(filter('Data Recording'!K:K,'Data Recording'!D:D=B13), ""Select Col1"")),""-"")"),0.0)</f>
        <v>0</v>
      </c>
      <c r="S13" s="63">
        <f>IFERROR(__xludf.DUMMYFUNCTION("iferror(SUM(query(filter('Data Recording'!L:L,'Data Recording'!D:D=B13), ""Select Col1"")),""-"")"),0.0)</f>
        <v>0</v>
      </c>
      <c r="T13" s="5">
        <f>IFERROR(__xludf.DUMMYFUNCTION("iferror(SUM(query(filter('Data Recording'!M:M,'Data Recording'!D:D=B13), ""Select Col1"")),""-"")"),0.0)</f>
        <v>0</v>
      </c>
      <c r="U13" s="59" t="str">
        <f t="shared" si="4"/>
        <v>-</v>
      </c>
      <c r="V13" s="60" t="str">
        <f>IFERROR(__xludf.DUMMYFUNCTION("iferror(AVERAGE(query(filter('Data Recording'!M:M,'Data Recording'!D:D=B13), ""Select Col1"")),""-"")"),"-")</f>
        <v>-</v>
      </c>
      <c r="W13" s="57">
        <f>IFERROR(__xludf.DUMMYFUNCTION("iferror(MAX(query(filter('Data Recording'!M:M,'Data Recording'!D:D=B13), ""Select Col1"")),""-"")"),0.0)</f>
        <v>0</v>
      </c>
      <c r="X13" s="5">
        <f>IFERROR(__xludf.DUMMYFUNCTION("iferror(SUM(query(filter('Data Recording'!N:N,'Data Recording'!D:D=B13), ""Select Col1"")),""-"")"),0.0)</f>
        <v>0</v>
      </c>
      <c r="Y13" s="5">
        <f>IFERROR(__xludf.DUMMYFUNCTION("iferror(SUM(query(filter('Data Recording'!O:O,'Data Recording'!D:D=B13), ""Select Col1"")),""-"")"),0.0)</f>
        <v>0</v>
      </c>
      <c r="Z13" s="59" t="str">
        <f t="shared" si="5"/>
        <v>-</v>
      </c>
      <c r="AA13" s="60" t="str">
        <f>IFERROR(__xludf.DUMMYFUNCTION("iferror(AVERAGE(query(filter('Data Recording'!O:O,'Data Recording'!D:D=B13), ""Select Col1"")),""0.00"")"),"0.00")</f>
        <v>0.00</v>
      </c>
      <c r="AB13" s="57">
        <f>IFERROR(__xludf.DUMMYFUNCTION("iferror(MAX(query(filter('Data Recording'!O:O,'Data Recording'!D:D=B13), ""Select Col1"")),""-"")"),0.0)</f>
        <v>0</v>
      </c>
      <c r="AC13" s="5">
        <f>IFERROR(__xludf.DUMMYFUNCTION("iferror(SUM(query(filter('Data Recording'!P:P,'Data Recording'!D:D=B13), ""Select Col1"")),""-"")"),0.0)</f>
        <v>0</v>
      </c>
      <c r="AD13" s="5">
        <f>IFERROR(__xludf.DUMMYFUNCTION("iferror(SUM(query(filter('Data Recording'!Q:Q,'Data Recording'!D:D=B13), ""Select Col1"")),""-"")"),0.0)</f>
        <v>0</v>
      </c>
      <c r="AE13" s="59" t="str">
        <f t="shared" si="6"/>
        <v>-</v>
      </c>
      <c r="AF13" s="60" t="str">
        <f>IFERROR(__xludf.DUMMYFUNCTION("iferror(AVERAGE(query(filter('Data Recording'!Q:Q,'Data Recording'!D:D=B13), ""Select Col1"")),""0.00"")"),"0.00")</f>
        <v>0.00</v>
      </c>
      <c r="AG13" s="5">
        <f>IFERROR(__xludf.DUMMYFUNCTION("iferror(MAX(query(filter('Data Recording'!Q:Q,'Data Recording'!D:D=B13), ""Select Col1"")),""-"")"),0.0)</f>
        <v>0</v>
      </c>
      <c r="AH13" s="63" t="str">
        <f>IFERROR(__xludf.DUMMYFUNCTION("if(countif(query(filter('Data Recording'!R:R,'Data Recording'!D:D=B13), ""Select Col1""),""Yes, Engaged"")+countif(query(filter('Data Recording'!R:R,'Data Recording'!D:D=B13), ""Select Col1""),""Yes, Docked"")=0,""0"",countif(query(filter('Data Recording'"&amp;"!R:R,'Data Recording'!D:D=B13), ""Select Col1""),""Yes, Engaged""))+countif(query(filter('Data Recording'!R:R,'Data Recording'!D:D=B13), ""Select Col1""),""Yes, Docked"") &amp; ""/"" &amp; if(COUNTA(query(ifna(filter('Data Recording'!R:R,'Data Recording'!D:D=B13)"&amp;",""""), ""Select Col1""))=0,""0"",COUNTA(query(ifna(filter('Data Recording'!R:R,'Data Recording'!D:D=B13),""""), ""Select Col1"")))"),"6/15")</f>
        <v>6/15</v>
      </c>
      <c r="AI13" s="64" t="str">
        <f>IFERROR(__xludf.DUMMYFUNCTION("if(countif(query(filter('Data Recording'!R:R,'Data Recording'!D:D=B13), ""Select Col1""),""Yes, Engaged"")=0,""0"",countif(query(filter('Data Recording'!R:R,'Data Recording'!D:D=B13), ""Select Col1""),""Yes, Engaged"")) &amp; ""/"" &amp; if(COUNTA(query(ifna(filt"&amp;"er('Data Recording'!R:R,'Data Recording'!D:D=B13),""""), ""Select Col1""))=0,""0"",COUNTA(query(ifna(filter('Data Recording'!R:R,'Data Recording'!D:D=B13),""""), ""Select Col1"")))"),"3/15")</f>
        <v>3/15</v>
      </c>
      <c r="AJ13" s="5">
        <f>IFERROR(__xludf.DUMMYFUNCTION("iferror(SUM(query(filter('Data Recording'!S:S,'Data Recording'!D:D=B13), ""Select Col1"")),""-"")"),21.0)</f>
        <v>21</v>
      </c>
      <c r="AK13" s="5">
        <f>IFERROR(__xludf.DUMMYFUNCTION("iferror(SUM(query(filter('Data Recording'!T:T,'Data Recording'!D:D=B13), ""Select Col1"")),""-"")"),19.0)</f>
        <v>19</v>
      </c>
      <c r="AL13" s="59">
        <f t="shared" si="7"/>
        <v>0.9047619048</v>
      </c>
      <c r="AM13" s="60">
        <f>IFERROR(__xludf.DUMMYFUNCTION("iferror(AVERAGE(query(filter('Data Recording'!T:T,'Data Recording'!D:D=B13), ""Select Col1"")),""0.00"")"),2.111111111111111)</f>
        <v>2.111111111</v>
      </c>
      <c r="AN13" s="65">
        <f>IFERROR(__xludf.DUMMYFUNCTION("iferror(MAX(query(filter('Data Recording'!T:T,'Data Recording'!D:D=B13), ""Select Col1"")),""-"")"),4.0)</f>
        <v>4</v>
      </c>
      <c r="AO13" s="66">
        <f>IFERROR(__xludf.DUMMYFUNCTION("iferror(SUM(query(filter('Data Recording'!U:U,'Data Recording'!D:D=B13), ""Select Col1"")),""-"")"),9.0)</f>
        <v>9</v>
      </c>
      <c r="AP13" s="66">
        <f>IFERROR(__xludf.DUMMYFUNCTION("iferror(SUM(query(filter('Data Recording'!V:V,'Data Recording'!D:D=B13), ""Select Col1"")),""-"")"),8.0)</f>
        <v>8</v>
      </c>
      <c r="AQ13" s="67">
        <f t="shared" si="8"/>
        <v>0.8888888889</v>
      </c>
      <c r="AR13" s="68">
        <f>IFERROR(__xludf.DUMMYFUNCTION("iferror(AVERAGE(query(filter('Data Recording'!V:V,'Data Recording'!D:D=B13), ""Select Col1"")),""0.00"")"),1.3333333333333333)</f>
        <v>1.333333333</v>
      </c>
      <c r="AS13" s="69">
        <f>IFERROR(__xludf.DUMMYFUNCTION("iferror(MAX(query(filter('Data Recording'!V:V,'Data Recording'!D:D=B13), ""Select Col1"")),""-"")"),3.0)</f>
        <v>3</v>
      </c>
      <c r="AT13" s="66">
        <f>IFERROR(__xludf.DUMMYFUNCTION("iferror(SUM(query(filter('Data Recording'!W:W,'Data Recording'!D:D=B13), ""Select Col1"")),""-"")"),6.0)</f>
        <v>6</v>
      </c>
      <c r="AU13" s="66">
        <f>IFERROR(__xludf.DUMMYFUNCTION("iferror(SUM(query(filter('Data Recording'!X:X,'Data Recording'!D:D=B13), ""Select Col1"")),""-"")"),6.0)</f>
        <v>6</v>
      </c>
      <c r="AV13" s="67">
        <f t="shared" si="9"/>
        <v>1</v>
      </c>
      <c r="AW13" s="68">
        <f>IFERROR(__xludf.DUMMYFUNCTION("iferror(AVERAGE(query(filter('Data Recording'!X:X,'Data Recording'!D:D=B13), ""Select Col1"")),""0.00"")"),1.5)</f>
        <v>1.5</v>
      </c>
      <c r="AX13" s="69">
        <f>IFERROR(__xludf.DUMMYFUNCTION("iferror(MAX(query(filter('Data Recording'!X:X,'Data Recording'!D:D=B13), ""Select Col1"")),""-"")"),2.0)</f>
        <v>2</v>
      </c>
      <c r="AY13" s="66">
        <f>IFERROR(__xludf.DUMMYFUNCTION("iferror(SUM(query(filter('Data Recording'!Y:Y,'Data Recording'!D:D=B13), ""Select Col1"")),""-"")"),3.0)</f>
        <v>3</v>
      </c>
      <c r="AZ13" s="66">
        <f>IFERROR(__xludf.DUMMYFUNCTION("iferror(SUM(query(filter('Data Recording'!Z:Z,'Data Recording'!D:D=B13), ""Select Col1"")),""-"")"),3.0)</f>
        <v>3</v>
      </c>
      <c r="BA13" s="67">
        <f t="shared" si="10"/>
        <v>1</v>
      </c>
      <c r="BB13" s="68">
        <f>IFERROR(__xludf.DUMMYFUNCTION("iferror(AVERAGE(query(filter('Data Recording'!Z:Z,'Data Recording'!D:D=B13), ""Select Col1"")),""0.00"")"),1.0)</f>
        <v>1</v>
      </c>
      <c r="BC13" s="69">
        <f>IFERROR(__xludf.DUMMYFUNCTION("iferror(MAX(query(filter('Data Recording'!Z:Z,'Data Recording'!D:D=B13), ""Select Col1"")),""-"")"),1.0)</f>
        <v>1</v>
      </c>
      <c r="BD13" s="66">
        <f>IFERROR(__xludf.DUMMYFUNCTION("iferror(SUM(query(filter('Data Recording'!AA:AA,'Data Recording'!D:D=B13), ""Select Col1"")),""-"")"),1.0)</f>
        <v>1</v>
      </c>
      <c r="BE13" s="66">
        <f>IFERROR(__xludf.DUMMYFUNCTION("iferror(SUM(query(filter('Data Recording'!AB:AB,'Data Recording'!D:D=B13), ""Select Col1"")),""-"")"),1.0)</f>
        <v>1</v>
      </c>
      <c r="BF13" s="67">
        <f t="shared" si="11"/>
        <v>1</v>
      </c>
      <c r="BG13" s="68">
        <f>IFERROR(__xludf.DUMMYFUNCTION("iferror(AVERAGE(query(filter('Data Recording'!AB:AB,'Data Recording'!D:D=B13), ""Select Col1"")),""0.00"")"),1.0)</f>
        <v>1</v>
      </c>
      <c r="BH13" s="69">
        <f>IFERROR(__xludf.DUMMYFUNCTION("iferror(MAX(query(filter('Data Recording'!AB:AB,'Data Recording'!D:D=B13), ""Select Col1"")),""-"")"),1.0)</f>
        <v>1</v>
      </c>
      <c r="BI13" s="66">
        <f>IFERROR(__xludf.DUMMYFUNCTION("iferror(SUM(query(filter('Data Recording'!AC:AC,'Data Recording'!D:D=B13), ""Select Col1"")),""-"")"),2.0)</f>
        <v>2</v>
      </c>
      <c r="BJ13" s="66">
        <f>IFERROR(__xludf.DUMMYFUNCTION("iferror(SUM(query(filter('Data Recording'!AD:AD,'Data Recording'!D:D=B13), ""Select Col1"")),""-"")"),2.0)</f>
        <v>2</v>
      </c>
      <c r="BK13" s="67">
        <f t="shared" si="12"/>
        <v>1</v>
      </c>
      <c r="BL13" s="68">
        <f>IFERROR(__xludf.DUMMYFUNCTION("iferror(AVERAGE(query(filter('Data Recording'!AD:AD,'Data Recording'!D:D=B13), ""Select Col1"")),""0.00"")"),2.0)</f>
        <v>2</v>
      </c>
      <c r="BM13" s="69">
        <f>IFERROR(__xludf.DUMMYFUNCTION("iferror(MAX(query(filter('Data Recording'!AD:AD,'Data Recording'!D:D=B13), ""Select Col1"")),""-"")"),2.0)</f>
        <v>2</v>
      </c>
      <c r="BN13" s="70" t="str">
        <f>IFERROR(__xludf.DUMMYFUNCTION("if(countif(query(filter('Data Recording'!AE:AE,'Data Recording'!D:D=B13), ""Select Col1""),""Yes, Engaged"")+countif(query(filter('Data Recording'!AE:AE,'Data Recording'!D:D=B13), ""Select Col1""),""Yes, Docked"")=0,""0"",countif(query(filter('Data Record"&amp;"ing'!AE:AE,'Data Recording'!D:D=B13), ""Select Col1""),""Yes, Engaged""))+countif(query(filter('Data Recording'!AE:AE,'Data Recording'!D:D=B13), ""Select Col1""),""Yes, Docked"") &amp; ""/"" &amp; if(COUNTA(query(ifna(filter('Data Recording'!AE:AE,'Data Recording"&amp;"'!D:D=B13),""""), ""Select Col1""))=0,""0"",COUNTA(query(ifna(filter('Data Recording'!AE:AE,'Data Recording'!D:D=B13),""""), ""Select Col1"")))"),"10/15")</f>
        <v>10/15</v>
      </c>
      <c r="BO13" s="71" t="str">
        <f>IFERROR(__xludf.DUMMYFUNCTION("if(countif(query(filter('Data Recording'!AE:AE,'Data Recording'!D:D=B13), ""Select Col1""),""Yes, Engaged"")=0,""0"",countif(query(filter('Data Recording'!AE:AE,'Data Recording'!D:D=B13), ""Select Col1""),""Yes, Engaged"")) &amp; ""/"" &amp; if(COUNTA(query(ifna("&amp;"filter('Data Recording'!AE:AE,'Data Recording'!D:D=B13),""""), ""Select Col1""))=0,""0"",COUNTA(query(ifna(filter('Data Recording'!AE:AE,'Data Recording'!D:D=B13),""""), ""Select Col1"")))"),"10/15")</f>
        <v>10/15</v>
      </c>
      <c r="BP13" s="64" t="str">
        <f>IFERROR(__xludf.DUMMYFUNCTION("if(countif(query(filter('Data Recording'!AH:AH,'Data Recording'!D:D=B13), ""Select Col1""),""Yes"")=0,""0"",countif(query(filter('Data Recording'!AH:AH,'Data Recording'!D:D=B13), ""Select Col1""),""Yes"")) &amp; ""/"" &amp; if(COUNTA(query(ifna(filter('Data Recor"&amp;"ding'!AH:AH,'Data Recording'!D:D=B13),""""), ""Select Col1""))=0,""0"",COUNTA(query(ifna(filter('Data Recording'!AH:AH,'Data Recording'!D:D=B13),""""), ""Select Col1"")))"),"4/15")</f>
        <v>4/15</v>
      </c>
      <c r="BQ13" s="79">
        <v>0.2666</v>
      </c>
      <c r="BR13" s="60">
        <f>IFERROR(__xludf.DUMMYFUNCTION("iferror(average(query(filter('Data Recording'!AF:AF,'Data Recording'!D:D=B13), ""Select Col1"")),""-"")"),1.9333333333333333)</f>
        <v>1.933333333</v>
      </c>
      <c r="BS13" s="73">
        <f>IFERROR(__xludf.DUMMYFUNCTION("iferror(average(query(filter('Data Recording'!AG:AG,'Data Recording'!D:D=B13), ""Select Col1"")),""-"")"),0.26666666666666666)</f>
        <v>0.2666666667</v>
      </c>
      <c r="BT13" s="74">
        <f t="shared" si="13"/>
        <v>48.55555556</v>
      </c>
      <c r="BU13" s="74">
        <f>IFERROR(__xludf.DUMMYFUNCTION("iferror(AVERAGE(query(filter('Data Recording'!AJ:AJ,'Data Recording'!D:D=B13), ""Select Col1"")),""-"")"),27.466666666666665)</f>
        <v>27.46666667</v>
      </c>
      <c r="BV13" s="74">
        <f>IFERROR(__xludf.DUMMYFUNCTION("iferror(AVERAGE(query(filter('Data Recording'!AK:AK,'Data Recording'!D:D=B13), ""Select Col1"")),""-"")"),14.2)</f>
        <v>14.2</v>
      </c>
      <c r="BW13" s="74">
        <f t="shared" si="14"/>
        <v>35.55555556</v>
      </c>
      <c r="BX13" s="75">
        <f>IFERROR(__xludf.DUMMYFUNCTION("iferror(max(query(filter('Data Recording'!AJ:AJ,'Data Recording'!D:D=B13), ""Select Col1"")),""-"")"),42.0)</f>
        <v>42</v>
      </c>
      <c r="BY13" s="76">
        <f>IFERROR(__xludf.DUMMYFUNCTION("iferror(MIN(query(filter('Data Recording'!AJ:AJ,'Data Recording'!D:D=B13), ""Select Col1"")),""-"")"),18.0)</f>
        <v>18</v>
      </c>
      <c r="BZ13" s="77" t="str">
        <f>IFERROR(__xludf.DUMMYFUNCTION("iferror(if(DIVIDE(COUNTIF(query(filter('Data Recording'!R:R,'Data Recording'!D:D=B13), ""Select Col1""),""Yes, Docked"") + countif(query(filter('Data Recording'!R:R,'Data Recording'!D:D=B13), ""Select Col1""),""Yes, Engaged""),COUNTA(query(ifna(filter('Da"&amp;"ta Recording'!R:R,'Data Recording'!D:D=B13),""""), ""Select Col1"")))&gt;=(0.5),""1"",""0""),""-"")"),"0")</f>
        <v>0</v>
      </c>
      <c r="CA13" s="5" t="str">
        <f>IFERROR(__xludf.DUMMYFUNCTION("iferror(if(countif(query(filter('Data Recording'!R:R,'Data Recording'!D:D=B13), ""Select Col1""),""Yes, Engaged"")/COUNTA(query(ifna(filter('Data Recording'!R:R,'Data Recording'!D:D=B13),""""), ""Select Col1""))&gt;=(0.5),""1"",""0""),""-"")"),"0")</f>
        <v>0</v>
      </c>
      <c r="CB13" s="78" t="str">
        <f>IFERROR(__xludf.DUMMYFUNCTION("iferror(if(DIVIDE(COUNTIF(query(filter('Data Recording'!AE:AE,'Data Recording'!D:D=B13), ""Select Col1""),""Yes, Docked"") + countif(query(filter('Data Recording'!AE:AE,'Data Recording'!D:D=B13), ""Select Col1""),""Yes, Engaged""),COUNTA(query(ifna(filter"&amp;"('Data Recording'!AE:AE,'Data Recording'!D:D=B13),""""), ""Select Col1"")))&gt;=(0.5),""1"",""0""),""-"")"),"1")</f>
        <v>1</v>
      </c>
      <c r="CC13" s="5" t="str">
        <f>IFERROR(__xludf.DUMMYFUNCTION("iferror(if(countif(query(filter('Data Recording'!AE:AE,'Data Recording'!D:D=B13), ""Select Col1""),""Yes, Engaged"")/COUNTA(query(ifna(filter('Data Recording'!AE:AE,'Data Recording'!D:D=B13),""""), ""Select Col1""))&gt;=(0.5),""1"",""0""),""-"")"),"1")</f>
        <v>1</v>
      </c>
      <c r="CD13" s="78" t="str">
        <f>IFERROR(__xludf.DUMMYFUNCTION("iferror(if(DIVIDE(countif(query(filter('Data Recording'!E:E,'Data Recording'!D:D=B13), ""Select Col1""),""Yes""),COUNTA(query(ifna(filter('Data Recording'!E:E,'Data Recording'!D:D=B13),""""), ""Select Col1"")))&gt;=(0.5),""1"",""0""),""-"")"),"1")</f>
        <v>1</v>
      </c>
    </row>
    <row r="14">
      <c r="A14" s="2" t="s">
        <v>123</v>
      </c>
      <c r="B14" s="2">
        <v>7225.0</v>
      </c>
      <c r="C14" s="57" t="str">
        <f>IFERROR(__xludf.DUMMYFUNCTION("if(countif(query(filter('Data Recording'!E:E,'Data Recording'!D:D=B14), ""Select Col1""),""Yes"")=0,""0"",countif(query(filter('Data Recording'!E:E,'Data Recording'!D:D=B14), ""Select Col1""),""Yes"")) &amp; ""/"" &amp; if(COUNTA(query(ifna(filter('Data Recording"&amp;"'!E:E,'Data Recording'!D:D=B14),""""), ""Select Col1""))=0,""0"",COUNTA(query(ifna(filter('Data Recording'!E:E,'Data Recording'!D:D=B14),""""), ""Select Col1"")))"),"18/19")</f>
        <v>18/19</v>
      </c>
      <c r="D14" s="58">
        <f>IFERROR(__xludf.DUMMYFUNCTION("iferror(SUM(query(filter('Data Recording'!F:F,'Data Recording'!D:D=B14), ""Select Col1"")),""-"")"),1.0)</f>
        <v>1</v>
      </c>
      <c r="E14" s="58">
        <f>IFERROR(__xludf.DUMMYFUNCTION("iferror(SUM(query(filter('Data Recording'!G:G,'Data Recording'!D:D=B14), ""Select Col1"")),""-"")"),0.0)</f>
        <v>0</v>
      </c>
      <c r="F14" s="59">
        <f t="shared" si="1"/>
        <v>0</v>
      </c>
      <c r="G14" s="60">
        <f>IFERROR(__xludf.DUMMYFUNCTION("iferror(AVERAGE(query(filter('Data Recording'!G:G,'Data Recording'!D:D=B14), ""Select Col1"")),""0.00"")"),0.0)</f>
        <v>0</v>
      </c>
      <c r="H14" s="58">
        <f>IFERROR(__xludf.DUMMYFUNCTION("iferror(MAX(query(filter('Data Recording'!G:G,'Data Recording'!D:D=B14), ""Select Col1"")),""-"")"),0.0)</f>
        <v>0</v>
      </c>
      <c r="I14" s="61">
        <f>IFERROR(__xludf.DUMMYFUNCTION("iferror(SUM(query(filter('Data Recording'!H:H,'Data Recording'!D:D=B14), ""Select Col1"")),""-"")"),1.0)</f>
        <v>1</v>
      </c>
      <c r="J14" s="62">
        <f>IFERROR(__xludf.DUMMYFUNCTION("iferror(SUM(query(filter('Data Recording'!I:I,'Data Recording'!D:D=B14), ""Select Col1"")),""-"")"),1.0)</f>
        <v>1</v>
      </c>
      <c r="K14" s="59">
        <f t="shared" si="2"/>
        <v>1</v>
      </c>
      <c r="L14" s="60">
        <f>IFERROR(__xludf.DUMMYFUNCTION("iferror(AVERAGE(query(filter('Data Recording'!I:I,'Data Recording'!D:D=B14), ""Select Col1"")),""0.00"")"),1.0)</f>
        <v>1</v>
      </c>
      <c r="M14" s="58">
        <f>IFERROR(__xludf.DUMMYFUNCTION("iferror(MAX(query(filter('Data Recording'!I:I,'Data Recording'!D:D=B14), ""Select Col1"")),""-"")"),1.0)</f>
        <v>1</v>
      </c>
      <c r="N14" s="63">
        <f>IFERROR(__xludf.DUMMYFUNCTION("iferror(SUM(query(filter('Data Recording'!J:J,'Data Recording'!D:D=B14), ""Select Col1"")),""-"")"),0.0)</f>
        <v>0</v>
      </c>
      <c r="O14" s="5">
        <f>IFERROR(__xludf.DUMMYFUNCTION("iferror(SUM(query(filter('Data Recording'!K:K,'Data Recording'!D:D=B14), ""Select Col1"")),""-"")"),0.0)</f>
        <v>0</v>
      </c>
      <c r="P14" s="59" t="str">
        <f t="shared" si="3"/>
        <v>-</v>
      </c>
      <c r="Q14" s="60" t="str">
        <f>IFERROR(__xludf.DUMMYFUNCTION("iferror(AVERAGE(query(filter('Data Recording'!K:K,'Data Recording'!D:D=B14), ""Select Col1"")),""0.00"")"),"0.00")</f>
        <v>0.00</v>
      </c>
      <c r="R14" s="58">
        <f>IFERROR(__xludf.DUMMYFUNCTION("iferror(MAX(query(filter('Data Recording'!K:K,'Data Recording'!D:D=B14), ""Select Col1"")),""-"")"),0.0)</f>
        <v>0</v>
      </c>
      <c r="S14" s="63">
        <f>IFERROR(__xludf.DUMMYFUNCTION("iferror(SUM(query(filter('Data Recording'!L:L,'Data Recording'!D:D=B14), ""Select Col1"")),""-"")"),18.0)</f>
        <v>18</v>
      </c>
      <c r="T14" s="5">
        <f>IFERROR(__xludf.DUMMYFUNCTION("iferror(SUM(query(filter('Data Recording'!M:M,'Data Recording'!D:D=B14), ""Select Col1"")),""-"")"),18.0)</f>
        <v>18</v>
      </c>
      <c r="U14" s="59">
        <f t="shared" si="4"/>
        <v>1</v>
      </c>
      <c r="V14" s="60">
        <f>IFERROR(__xludf.DUMMYFUNCTION("iferror(AVERAGE(query(filter('Data Recording'!M:M,'Data Recording'!D:D=B14), ""Select Col1"")),""-"")"),1.0)</f>
        <v>1</v>
      </c>
      <c r="W14" s="57">
        <f>IFERROR(__xludf.DUMMYFUNCTION("iferror(MAX(query(filter('Data Recording'!M:M,'Data Recording'!D:D=B14), ""Select Col1"")),""-"")"),1.0)</f>
        <v>1</v>
      </c>
      <c r="X14" s="5">
        <f>IFERROR(__xludf.DUMMYFUNCTION("iferror(SUM(query(filter('Data Recording'!N:N,'Data Recording'!D:D=B14), ""Select Col1"")),""-"")"),0.0)</f>
        <v>0</v>
      </c>
      <c r="Y14" s="5">
        <f>IFERROR(__xludf.DUMMYFUNCTION("iferror(SUM(query(filter('Data Recording'!O:O,'Data Recording'!D:D=B14), ""Select Col1"")),""-"")"),0.0)</f>
        <v>0</v>
      </c>
      <c r="Z14" s="59" t="str">
        <f t="shared" si="5"/>
        <v>-</v>
      </c>
      <c r="AA14" s="60" t="str">
        <f>IFERROR(__xludf.DUMMYFUNCTION("iferror(AVERAGE(query(filter('Data Recording'!O:O,'Data Recording'!D:D=B14), ""Select Col1"")),""0.00"")"),"0.00")</f>
        <v>0.00</v>
      </c>
      <c r="AB14" s="57">
        <f>IFERROR(__xludf.DUMMYFUNCTION("iferror(MAX(query(filter('Data Recording'!O:O,'Data Recording'!D:D=B14), ""Select Col1"")),""-"")"),0.0)</f>
        <v>0</v>
      </c>
      <c r="AC14" s="5">
        <f>IFERROR(__xludf.DUMMYFUNCTION("iferror(SUM(query(filter('Data Recording'!P:P,'Data Recording'!D:D=B14), ""Select Col1"")),""-"")"),0.0)</f>
        <v>0</v>
      </c>
      <c r="AD14" s="5">
        <f>IFERROR(__xludf.DUMMYFUNCTION("iferror(SUM(query(filter('Data Recording'!Q:Q,'Data Recording'!D:D=B14), ""Select Col1"")),""-"")"),0.0)</f>
        <v>0</v>
      </c>
      <c r="AE14" s="59" t="str">
        <f t="shared" si="6"/>
        <v>-</v>
      </c>
      <c r="AF14" s="60" t="str">
        <f>IFERROR(__xludf.DUMMYFUNCTION("iferror(AVERAGE(query(filter('Data Recording'!Q:Q,'Data Recording'!D:D=B14), ""Select Col1"")),""0.00"")"),"0.00")</f>
        <v>0.00</v>
      </c>
      <c r="AG14" s="5">
        <f>IFERROR(__xludf.DUMMYFUNCTION("iferror(MAX(query(filter('Data Recording'!Q:Q,'Data Recording'!D:D=B14), ""Select Col1"")),""-"")"),0.0)</f>
        <v>0</v>
      </c>
      <c r="AH14" s="63" t="str">
        <f>IFERROR(__xludf.DUMMYFUNCTION("if(countif(query(filter('Data Recording'!R:R,'Data Recording'!D:D=B14), ""Select Col1""),""Yes, Engaged"")+countif(query(filter('Data Recording'!R:R,'Data Recording'!D:D=B14), ""Select Col1""),""Yes, Docked"")=0,""0"",countif(query(filter('Data Recording'"&amp;"!R:R,'Data Recording'!D:D=B14), ""Select Col1""),""Yes, Engaged""))+countif(query(filter('Data Recording'!R:R,'Data Recording'!D:D=B14), ""Select Col1""),""Yes, Docked"") &amp; ""/"" &amp; if(COUNTA(query(ifna(filter('Data Recording'!R:R,'Data Recording'!D:D=B14)"&amp;",""""), ""Select Col1""))=0,""0"",COUNTA(query(ifna(filter('Data Recording'!R:R,'Data Recording'!D:D=B14),""""), ""Select Col1"")))"),"0/19")</f>
        <v>0/19</v>
      </c>
      <c r="AI14" s="64" t="str">
        <f>IFERROR(__xludf.DUMMYFUNCTION("if(countif(query(filter('Data Recording'!R:R,'Data Recording'!D:D=B14), ""Select Col1""),""Yes, Engaged"")=0,""0"",countif(query(filter('Data Recording'!R:R,'Data Recording'!D:D=B14), ""Select Col1""),""Yes, Engaged"")) &amp; ""/"" &amp; if(COUNTA(query(ifna(filt"&amp;"er('Data Recording'!R:R,'Data Recording'!D:D=B14),""""), ""Select Col1""))=0,""0"",COUNTA(query(ifna(filter('Data Recording'!R:R,'Data Recording'!D:D=B14),""""), ""Select Col1"")))"),"0/19")</f>
        <v>0/19</v>
      </c>
      <c r="AJ14" s="5">
        <f>IFERROR(__xludf.DUMMYFUNCTION("iferror(SUM(query(filter('Data Recording'!S:S,'Data Recording'!D:D=B14), ""Select Col1"")),""-"")"),47.0)</f>
        <v>47</v>
      </c>
      <c r="AK14" s="5">
        <f>IFERROR(__xludf.DUMMYFUNCTION("iferror(SUM(query(filter('Data Recording'!T:T,'Data Recording'!D:D=B14), ""Select Col1"")),""-"")"),42.0)</f>
        <v>42</v>
      </c>
      <c r="AL14" s="59">
        <f t="shared" si="7"/>
        <v>0.8936170213</v>
      </c>
      <c r="AM14" s="60">
        <f>IFERROR(__xludf.DUMMYFUNCTION("iferror(AVERAGE(query(filter('Data Recording'!T:T,'Data Recording'!D:D=B14), ""Select Col1"")),""0.00"")"),2.3333333333333335)</f>
        <v>2.333333333</v>
      </c>
      <c r="AN14" s="65">
        <f>IFERROR(__xludf.DUMMYFUNCTION("iferror(MAX(query(filter('Data Recording'!T:T,'Data Recording'!D:D=B14), ""Select Col1"")),""-"")"),4.0)</f>
        <v>4</v>
      </c>
      <c r="AO14" s="66">
        <f>IFERROR(__xludf.DUMMYFUNCTION("iferror(SUM(query(filter('Data Recording'!U:U,'Data Recording'!D:D=B14), ""Select Col1"")),""-"")"),20.0)</f>
        <v>20</v>
      </c>
      <c r="AP14" s="66">
        <f>IFERROR(__xludf.DUMMYFUNCTION("iferror(SUM(query(filter('Data Recording'!V:V,'Data Recording'!D:D=B14), ""Select Col1"")),""-"")"),19.0)</f>
        <v>19</v>
      </c>
      <c r="AQ14" s="67">
        <f t="shared" si="8"/>
        <v>0.95</v>
      </c>
      <c r="AR14" s="68">
        <f>IFERROR(__xludf.DUMMYFUNCTION("iferror(AVERAGE(query(filter('Data Recording'!V:V,'Data Recording'!D:D=B14), ""Select Col1"")),""0.00"")"),1.5833333333333333)</f>
        <v>1.583333333</v>
      </c>
      <c r="AS14" s="69">
        <f>IFERROR(__xludf.DUMMYFUNCTION("iferror(MAX(query(filter('Data Recording'!V:V,'Data Recording'!D:D=B14), ""Select Col1"")),""-"")"),3.0)</f>
        <v>3</v>
      </c>
      <c r="AT14" s="66">
        <f>IFERROR(__xludf.DUMMYFUNCTION("iferror(SUM(query(filter('Data Recording'!W:W,'Data Recording'!D:D=B14), ""Select Col1"")),""-"")"),8.0)</f>
        <v>8</v>
      </c>
      <c r="AU14" s="66">
        <f>IFERROR(__xludf.DUMMYFUNCTION("iferror(SUM(query(filter('Data Recording'!X:X,'Data Recording'!D:D=B14), ""Select Col1"")),""-"")"),8.0)</f>
        <v>8</v>
      </c>
      <c r="AV14" s="67">
        <f t="shared" si="9"/>
        <v>1</v>
      </c>
      <c r="AW14" s="68">
        <f>IFERROR(__xludf.DUMMYFUNCTION("iferror(AVERAGE(query(filter('Data Recording'!X:X,'Data Recording'!D:D=B14), ""Select Col1"")),""0.00"")"),1.0)</f>
        <v>1</v>
      </c>
      <c r="AX14" s="69">
        <f>IFERROR(__xludf.DUMMYFUNCTION("iferror(MAX(query(filter('Data Recording'!X:X,'Data Recording'!D:D=B14), ""Select Col1"")),""-"")"),1.0)</f>
        <v>1</v>
      </c>
      <c r="AY14" s="66">
        <f>IFERROR(__xludf.DUMMYFUNCTION("iferror(SUM(query(filter('Data Recording'!Y:Y,'Data Recording'!D:D=B14), ""Select Col1"")),""-"")"),0.0)</f>
        <v>0</v>
      </c>
      <c r="AZ14" s="66">
        <f>IFERROR(__xludf.DUMMYFUNCTION("iferror(SUM(query(filter('Data Recording'!Z:Z,'Data Recording'!D:D=B14), ""Select Col1"")),""-"")"),0.0)</f>
        <v>0</v>
      </c>
      <c r="BA14" s="67" t="str">
        <f t="shared" si="10"/>
        <v>-</v>
      </c>
      <c r="BB14" s="68" t="str">
        <f>IFERROR(__xludf.DUMMYFUNCTION("iferror(AVERAGE(query(filter('Data Recording'!Z:Z,'Data Recording'!D:D=B14), ""Select Col1"")),""0.00"")"),"0.00")</f>
        <v>0.00</v>
      </c>
      <c r="BC14" s="69">
        <f>IFERROR(__xludf.DUMMYFUNCTION("iferror(MAX(query(filter('Data Recording'!Z:Z,'Data Recording'!D:D=B14), ""Select Col1"")),""-"")"),0.0)</f>
        <v>0</v>
      </c>
      <c r="BD14" s="66">
        <f>IFERROR(__xludf.DUMMYFUNCTION("iferror(SUM(query(filter('Data Recording'!AA:AA,'Data Recording'!D:D=B14), ""Select Col1"")),""-"")"),1.0)</f>
        <v>1</v>
      </c>
      <c r="BE14" s="66">
        <f>IFERROR(__xludf.DUMMYFUNCTION("iferror(SUM(query(filter('Data Recording'!AB:AB,'Data Recording'!D:D=B14), ""Select Col1"")),""-"")"),1.0)</f>
        <v>1</v>
      </c>
      <c r="BF14" s="67">
        <f t="shared" si="11"/>
        <v>1</v>
      </c>
      <c r="BG14" s="68">
        <f>IFERROR(__xludf.DUMMYFUNCTION("iferror(AVERAGE(query(filter('Data Recording'!AB:AB,'Data Recording'!D:D=B14), ""Select Col1"")),""0.00"")"),1.0)</f>
        <v>1</v>
      </c>
      <c r="BH14" s="69">
        <f>IFERROR(__xludf.DUMMYFUNCTION("iferror(MAX(query(filter('Data Recording'!AB:AB,'Data Recording'!D:D=B14), ""Select Col1"")),""-"")"),1.0)</f>
        <v>1</v>
      </c>
      <c r="BI14" s="66">
        <f>IFERROR(__xludf.DUMMYFUNCTION("iferror(SUM(query(filter('Data Recording'!AC:AC,'Data Recording'!D:D=B14), ""Select Col1"")),""-"")"),0.0)</f>
        <v>0</v>
      </c>
      <c r="BJ14" s="66">
        <f>IFERROR(__xludf.DUMMYFUNCTION("iferror(SUM(query(filter('Data Recording'!AD:AD,'Data Recording'!D:D=B14), ""Select Col1"")),""-"")"),0.0)</f>
        <v>0</v>
      </c>
      <c r="BK14" s="67" t="str">
        <f t="shared" si="12"/>
        <v>-</v>
      </c>
      <c r="BL14" s="68" t="str">
        <f>IFERROR(__xludf.DUMMYFUNCTION("iferror(AVERAGE(query(filter('Data Recording'!AD:AD,'Data Recording'!D:D=B14), ""Select Col1"")),""0.00"")"),"0.00")</f>
        <v>0.00</v>
      </c>
      <c r="BM14" s="69">
        <f>IFERROR(__xludf.DUMMYFUNCTION("iferror(MAX(query(filter('Data Recording'!AD:AD,'Data Recording'!D:D=B14), ""Select Col1"")),""-"")"),0.0)</f>
        <v>0</v>
      </c>
      <c r="BN14" s="70" t="str">
        <f>IFERROR(__xludf.DUMMYFUNCTION("if(countif(query(filter('Data Recording'!AE:AE,'Data Recording'!D:D=B14), ""Select Col1""),""Yes, Engaged"")+countif(query(filter('Data Recording'!AE:AE,'Data Recording'!D:D=B14), ""Select Col1""),""Yes, Docked"")=0,""0"",countif(query(filter('Data Record"&amp;"ing'!AE:AE,'Data Recording'!D:D=B14), ""Select Col1""),""Yes, Engaged""))+countif(query(filter('Data Recording'!AE:AE,'Data Recording'!D:D=B14), ""Select Col1""),""Yes, Docked"") &amp; ""/"" &amp; if(COUNTA(query(ifna(filter('Data Recording'!AE:AE,'Data Recording"&amp;"'!D:D=B14),""""), ""Select Col1""))=0,""0"",COUNTA(query(ifna(filter('Data Recording'!AE:AE,'Data Recording'!D:D=B14),""""), ""Select Col1"")))"),"1/19")</f>
        <v>1/19</v>
      </c>
      <c r="BO14" s="71" t="str">
        <f>IFERROR(__xludf.DUMMYFUNCTION("if(countif(query(filter('Data Recording'!AE:AE,'Data Recording'!D:D=B14), ""Select Col1""),""Yes, Engaged"")=0,""0"",countif(query(filter('Data Recording'!AE:AE,'Data Recording'!D:D=B14), ""Select Col1""),""Yes, Engaged"")) &amp; ""/"" &amp; if(COUNTA(query(ifna("&amp;"filter('Data Recording'!AE:AE,'Data Recording'!D:D=B14),""""), ""Select Col1""))=0,""0"",COUNTA(query(ifna(filter('Data Recording'!AE:AE,'Data Recording'!D:D=B14),""""), ""Select Col1"")))"),"0/19")</f>
        <v>0/19</v>
      </c>
      <c r="BP14" s="64" t="str">
        <f>IFERROR(__xludf.DUMMYFUNCTION("if(countif(query(filter('Data Recording'!AH:AH,'Data Recording'!D:D=B14), ""Select Col1""),""Yes"")=0,""0"",countif(query(filter('Data Recording'!AH:AH,'Data Recording'!D:D=B14), ""Select Col1""),""Yes"")) &amp; ""/"" &amp; if(COUNTA(query(ifna(filter('Data Recor"&amp;"ding'!AH:AH,'Data Recording'!D:D=B14),""""), ""Select Col1""))=0,""0"",COUNTA(query(ifna(filter('Data Recording'!AH:AH,'Data Recording'!D:D=B14),""""), ""Select Col1"")))"),"2/19")</f>
        <v>2/19</v>
      </c>
      <c r="BQ14" s="79">
        <v>0.1053</v>
      </c>
      <c r="BR14" s="60">
        <f>IFERROR(__xludf.DUMMYFUNCTION("iferror(average(query(filter('Data Recording'!AF:AF,'Data Recording'!D:D=B14), ""Select Col1"")),""-"")"),3.263157894736842)</f>
        <v>3.263157895</v>
      </c>
      <c r="BS14" s="73">
        <f>IFERROR(__xludf.DUMMYFUNCTION("iferror(average(query(filter('Data Recording'!AG:AG,'Data Recording'!D:D=B14), ""Select Col1"")),""-"")"),0.0)</f>
        <v>0</v>
      </c>
      <c r="BT14" s="74">
        <f t="shared" si="13"/>
        <v>34.41666667</v>
      </c>
      <c r="BU14" s="74">
        <f>IFERROR(__xludf.DUMMYFUNCTION("iferror(AVERAGE(query(filter('Data Recording'!AJ:AJ,'Data Recording'!D:D=B14), ""Select Col1"")),""-"")"),26.789473684210527)</f>
        <v>26.78947368</v>
      </c>
      <c r="BV14" s="74">
        <f>IFERROR(__xludf.DUMMYFUNCTION("iferror(AVERAGE(query(filter('Data Recording'!AK:AK,'Data Recording'!D:D=B14), ""Select Col1"")),""-"")"),20.94736842105263)</f>
        <v>20.94736842</v>
      </c>
      <c r="BW14" s="74">
        <f t="shared" si="14"/>
        <v>31.41666667</v>
      </c>
      <c r="BX14" s="75">
        <f>IFERROR(__xludf.DUMMYFUNCTION("iferror(max(query(filter('Data Recording'!AJ:AJ,'Data Recording'!D:D=B14), ""Select Col1"")),""-"")"),33.0)</f>
        <v>33</v>
      </c>
      <c r="BY14" s="76">
        <f>IFERROR(__xludf.DUMMYFUNCTION("iferror(MIN(query(filter('Data Recording'!AJ:AJ,'Data Recording'!D:D=B14), ""Select Col1"")),""-"")"),14.0)</f>
        <v>14</v>
      </c>
      <c r="BZ14" s="77" t="str">
        <f>IFERROR(__xludf.DUMMYFUNCTION("iferror(if(DIVIDE(COUNTIF(query(filter('Data Recording'!R:R,'Data Recording'!D:D=B14), ""Select Col1""),""Yes, Docked"") + countif(query(filter('Data Recording'!R:R,'Data Recording'!D:D=B14), ""Select Col1""),""Yes, Engaged""),COUNTA(query(ifna(filter('Da"&amp;"ta Recording'!R:R,'Data Recording'!D:D=B14),""""), ""Select Col1"")))&gt;=(0.5),""1"",""0""),""-"")"),"0")</f>
        <v>0</v>
      </c>
      <c r="CA14" s="5" t="str">
        <f>IFERROR(__xludf.DUMMYFUNCTION("iferror(if(countif(query(filter('Data Recording'!R:R,'Data Recording'!D:D=B14), ""Select Col1""),""Yes, Engaged"")/COUNTA(query(ifna(filter('Data Recording'!R:R,'Data Recording'!D:D=B14),""""), ""Select Col1""))&gt;=(0.5),""1"",""0""),""-"")"),"0")</f>
        <v>0</v>
      </c>
      <c r="CB14" s="78" t="str">
        <f>IFERROR(__xludf.DUMMYFUNCTION("iferror(if(DIVIDE(COUNTIF(query(filter('Data Recording'!AE:AE,'Data Recording'!D:D=B14), ""Select Col1""),""Yes, Docked"") + countif(query(filter('Data Recording'!AE:AE,'Data Recording'!D:D=B14), ""Select Col1""),""Yes, Engaged""),COUNTA(query(ifna(filter"&amp;"('Data Recording'!AE:AE,'Data Recording'!D:D=B14),""""), ""Select Col1"")))&gt;=(0.5),""1"",""0""),""-"")"),"0")</f>
        <v>0</v>
      </c>
      <c r="CC14" s="5" t="str">
        <f>IFERROR(__xludf.DUMMYFUNCTION("iferror(if(countif(query(filter('Data Recording'!AE:AE,'Data Recording'!D:D=B14), ""Select Col1""),""Yes, Engaged"")/COUNTA(query(ifna(filter('Data Recording'!AE:AE,'Data Recording'!D:D=B14),""""), ""Select Col1""))&gt;=(0.5),""1"",""0""),""-"")"),"0")</f>
        <v>0</v>
      </c>
      <c r="CD14" s="78" t="str">
        <f>IFERROR(__xludf.DUMMYFUNCTION("iferror(if(DIVIDE(countif(query(filter('Data Recording'!E:E,'Data Recording'!D:D=B14), ""Select Col1""),""Yes""),COUNTA(query(ifna(filter('Data Recording'!E:E,'Data Recording'!D:D=B14),""""), ""Select Col1"")))&gt;=(0.5),""1"",""0""),""-"")"),"1")</f>
        <v>1</v>
      </c>
    </row>
    <row r="15">
      <c r="A15" s="2" t="s">
        <v>124</v>
      </c>
      <c r="B15" s="2">
        <v>1504.0</v>
      </c>
      <c r="C15" s="57" t="str">
        <f>IFERROR(__xludf.DUMMYFUNCTION("if(countif(query(filter('Data Recording'!E:E,'Data Recording'!D:D=B15), ""Select Col1""),""Yes"")=0,""0"",countif(query(filter('Data Recording'!E:E,'Data Recording'!D:D=B15), ""Select Col1""),""Yes"")) &amp; ""/"" &amp; if(COUNTA(query(ifna(filter('Data Recording"&amp;"'!E:E,'Data Recording'!D:D=B15),""""), ""Select Col1""))=0,""0"",COUNTA(query(ifna(filter('Data Recording'!E:E,'Data Recording'!D:D=B15),""""), ""Select Col1"")))"),"6/6")</f>
        <v>6/6</v>
      </c>
      <c r="D15" s="58">
        <f>IFERROR(__xludf.DUMMYFUNCTION("iferror(SUM(query(filter('Data Recording'!F:F,'Data Recording'!D:D=B15), ""Select Col1"")),""-"")"),0.0)</f>
        <v>0</v>
      </c>
      <c r="E15" s="58">
        <f>IFERROR(__xludf.DUMMYFUNCTION("iferror(SUM(query(filter('Data Recording'!G:G,'Data Recording'!D:D=B15), ""Select Col1"")),""-"")"),0.0)</f>
        <v>0</v>
      </c>
      <c r="F15" s="59" t="str">
        <f t="shared" si="1"/>
        <v>-</v>
      </c>
      <c r="G15" s="60">
        <f>IFERROR(__xludf.DUMMYFUNCTION("iferror(AVERAGE(query(filter('Data Recording'!G:G,'Data Recording'!D:D=B15), ""Select Col1"")),""0.00"")"),0.0)</f>
        <v>0</v>
      </c>
      <c r="H15" s="58">
        <f>IFERROR(__xludf.DUMMYFUNCTION("iferror(MAX(query(filter('Data Recording'!G:G,'Data Recording'!D:D=B15), ""Select Col1"")),""-"")"),0.0)</f>
        <v>0</v>
      </c>
      <c r="I15" s="61">
        <f>IFERROR(__xludf.DUMMYFUNCTION("iferror(SUM(query(filter('Data Recording'!H:H,'Data Recording'!D:D=B15), ""Select Col1"")),""-"")"),0.0)</f>
        <v>0</v>
      </c>
      <c r="J15" s="62">
        <f>IFERROR(__xludf.DUMMYFUNCTION("iferror(SUM(query(filter('Data Recording'!I:I,'Data Recording'!D:D=B15), ""Select Col1"")),""-"")"),0.0)</f>
        <v>0</v>
      </c>
      <c r="K15" s="59" t="str">
        <f t="shared" si="2"/>
        <v>-</v>
      </c>
      <c r="L15" s="60">
        <f>IFERROR(__xludf.DUMMYFUNCTION("iferror(AVERAGE(query(filter('Data Recording'!I:I,'Data Recording'!D:D=B15), ""Select Col1"")),""0.00"")"),0.0)</f>
        <v>0</v>
      </c>
      <c r="M15" s="58">
        <f>IFERROR(__xludf.DUMMYFUNCTION("iferror(MAX(query(filter('Data Recording'!I:I,'Data Recording'!D:D=B15), ""Select Col1"")),""-"")"),0.0)</f>
        <v>0</v>
      </c>
      <c r="N15" s="63">
        <f>IFERROR(__xludf.DUMMYFUNCTION("iferror(SUM(query(filter('Data Recording'!J:J,'Data Recording'!D:D=B15), ""Select Col1"")),""-"")"),0.0)</f>
        <v>0</v>
      </c>
      <c r="O15" s="5">
        <f>IFERROR(__xludf.DUMMYFUNCTION("iferror(SUM(query(filter('Data Recording'!K:K,'Data Recording'!D:D=B15), ""Select Col1"")),""-"")"),0.0)</f>
        <v>0</v>
      </c>
      <c r="P15" s="59" t="str">
        <f t="shared" si="3"/>
        <v>-</v>
      </c>
      <c r="Q15" s="60">
        <f>IFERROR(__xludf.DUMMYFUNCTION("iferror(AVERAGE(query(filter('Data Recording'!K:K,'Data Recording'!D:D=B15), ""Select Col1"")),""0.00"")"),0.0)</f>
        <v>0</v>
      </c>
      <c r="R15" s="58">
        <f>IFERROR(__xludf.DUMMYFUNCTION("iferror(MAX(query(filter('Data Recording'!K:K,'Data Recording'!D:D=B15), ""Select Col1"")),""-"")"),0.0)</f>
        <v>0</v>
      </c>
      <c r="S15" s="63">
        <f>IFERROR(__xludf.DUMMYFUNCTION("iferror(SUM(query(filter('Data Recording'!L:L,'Data Recording'!D:D=B15), ""Select Col1"")),""-"")"),0.0)</f>
        <v>0</v>
      </c>
      <c r="T15" s="5">
        <f>IFERROR(__xludf.DUMMYFUNCTION("iferror(SUM(query(filter('Data Recording'!M:M,'Data Recording'!D:D=B15), ""Select Col1"")),""-"")"),0.0)</f>
        <v>0</v>
      </c>
      <c r="U15" s="59" t="str">
        <f t="shared" si="4"/>
        <v>-</v>
      </c>
      <c r="V15" s="60">
        <f>IFERROR(__xludf.DUMMYFUNCTION("iferror(AVERAGE(query(filter('Data Recording'!M:M,'Data Recording'!D:D=B15), ""Select Col1"")),""-"")"),0.0)</f>
        <v>0</v>
      </c>
      <c r="W15" s="57">
        <f>IFERROR(__xludf.DUMMYFUNCTION("iferror(MAX(query(filter('Data Recording'!M:M,'Data Recording'!D:D=B15), ""Select Col1"")),""-"")"),0.0)</f>
        <v>0</v>
      </c>
      <c r="X15" s="5">
        <f>IFERROR(__xludf.DUMMYFUNCTION("iferror(SUM(query(filter('Data Recording'!N:N,'Data Recording'!D:D=B15), ""Select Col1"")),""-"")"),0.0)</f>
        <v>0</v>
      </c>
      <c r="Y15" s="5">
        <f>IFERROR(__xludf.DUMMYFUNCTION("iferror(SUM(query(filter('Data Recording'!O:O,'Data Recording'!D:D=B15), ""Select Col1"")),""-"")"),0.0)</f>
        <v>0</v>
      </c>
      <c r="Z15" s="59" t="str">
        <f t="shared" si="5"/>
        <v>-</v>
      </c>
      <c r="AA15" s="60">
        <f>IFERROR(__xludf.DUMMYFUNCTION("iferror(AVERAGE(query(filter('Data Recording'!O:O,'Data Recording'!D:D=B15), ""Select Col1"")),""0.00"")"),0.0)</f>
        <v>0</v>
      </c>
      <c r="AB15" s="57">
        <f>IFERROR(__xludf.DUMMYFUNCTION("iferror(MAX(query(filter('Data Recording'!O:O,'Data Recording'!D:D=B15), ""Select Col1"")),""-"")"),0.0)</f>
        <v>0</v>
      </c>
      <c r="AC15" s="5">
        <f>IFERROR(__xludf.DUMMYFUNCTION("iferror(SUM(query(filter('Data Recording'!P:P,'Data Recording'!D:D=B15), ""Select Col1"")),""-"")"),6.0)</f>
        <v>6</v>
      </c>
      <c r="AD15" s="5">
        <f>IFERROR(__xludf.DUMMYFUNCTION("iferror(SUM(query(filter('Data Recording'!Q:Q,'Data Recording'!D:D=B15), ""Select Col1"")),""-"")"),4.0)</f>
        <v>4</v>
      </c>
      <c r="AE15" s="59">
        <f t="shared" si="6"/>
        <v>0.6666666667</v>
      </c>
      <c r="AF15" s="60">
        <f>IFERROR(__xludf.DUMMYFUNCTION("iferror(AVERAGE(query(filter('Data Recording'!Q:Q,'Data Recording'!D:D=B15), ""Select Col1"")),""0.00"")"),0.6666666666666666)</f>
        <v>0.6666666667</v>
      </c>
      <c r="AG15" s="5">
        <f>IFERROR(__xludf.DUMMYFUNCTION("iferror(MAX(query(filter('Data Recording'!Q:Q,'Data Recording'!D:D=B15), ""Select Col1"")),""-"")"),1.0)</f>
        <v>1</v>
      </c>
      <c r="AH15" s="63" t="str">
        <f>IFERROR(__xludf.DUMMYFUNCTION("if(countif(query(filter('Data Recording'!R:R,'Data Recording'!D:D=B15), ""Select Col1""),""Yes, Engaged"")+countif(query(filter('Data Recording'!R:R,'Data Recording'!D:D=B15), ""Select Col1""),""Yes, Docked"")=0,""0"",countif(query(filter('Data Recording'"&amp;"!R:R,'Data Recording'!D:D=B15), ""Select Col1""),""Yes, Engaged""))+countif(query(filter('Data Recording'!R:R,'Data Recording'!D:D=B15), ""Select Col1""),""Yes, Docked"") &amp; ""/"" &amp; if(COUNTA(query(ifna(filter('Data Recording'!R:R,'Data Recording'!D:D=B15)"&amp;",""""), ""Select Col1""))=0,""0"",COUNTA(query(ifna(filter('Data Recording'!R:R,'Data Recording'!D:D=B15),""""), ""Select Col1"")))"),"0/6")</f>
        <v>0/6</v>
      </c>
      <c r="AI15" s="64" t="str">
        <f>IFERROR(__xludf.DUMMYFUNCTION("if(countif(query(filter('Data Recording'!R:R,'Data Recording'!D:D=B15), ""Select Col1""),""Yes, Engaged"")=0,""0"",countif(query(filter('Data Recording'!R:R,'Data Recording'!D:D=B15), ""Select Col1""),""Yes, Engaged"")) &amp; ""/"" &amp; if(COUNTA(query(ifna(filt"&amp;"er('Data Recording'!R:R,'Data Recording'!D:D=B15),""""), ""Select Col1""))=0,""0"",COUNTA(query(ifna(filter('Data Recording'!R:R,'Data Recording'!D:D=B15),""""), ""Select Col1"")))"),"0/6")</f>
        <v>0/6</v>
      </c>
      <c r="AJ15" s="5">
        <f>IFERROR(__xludf.DUMMYFUNCTION("iferror(SUM(query(filter('Data Recording'!S:S,'Data Recording'!D:D=B15), ""Select Col1"")),""-"")"),0.0)</f>
        <v>0</v>
      </c>
      <c r="AK15" s="5">
        <f>IFERROR(__xludf.DUMMYFUNCTION("iferror(SUM(query(filter('Data Recording'!T:T,'Data Recording'!D:D=B15), ""Select Col1"")),""-"")"),0.0)</f>
        <v>0</v>
      </c>
      <c r="AL15" s="59" t="str">
        <f t="shared" si="7"/>
        <v>-</v>
      </c>
      <c r="AM15" s="60">
        <f>IFERROR(__xludf.DUMMYFUNCTION("iferror(AVERAGE(query(filter('Data Recording'!T:T,'Data Recording'!D:D=B15), ""Select Col1"")),""0.00"")"),0.0)</f>
        <v>0</v>
      </c>
      <c r="AN15" s="65">
        <f>IFERROR(__xludf.DUMMYFUNCTION("iferror(MAX(query(filter('Data Recording'!T:T,'Data Recording'!D:D=B15), ""Select Col1"")),""-"")"),0.0)</f>
        <v>0</v>
      </c>
      <c r="AO15" s="66">
        <f>IFERROR(__xludf.DUMMYFUNCTION("iferror(SUM(query(filter('Data Recording'!U:U,'Data Recording'!D:D=B15), ""Select Col1"")),""-"")"),0.0)</f>
        <v>0</v>
      </c>
      <c r="AP15" s="66">
        <f>IFERROR(__xludf.DUMMYFUNCTION("iferror(SUM(query(filter('Data Recording'!V:V,'Data Recording'!D:D=B15), ""Select Col1"")),""-"")"),0.0)</f>
        <v>0</v>
      </c>
      <c r="AQ15" s="67" t="str">
        <f t="shared" si="8"/>
        <v>-</v>
      </c>
      <c r="AR15" s="68">
        <f>IFERROR(__xludf.DUMMYFUNCTION("iferror(AVERAGE(query(filter('Data Recording'!V:V,'Data Recording'!D:D=B15), ""Select Col1"")),""0.00"")"),0.0)</f>
        <v>0</v>
      </c>
      <c r="AS15" s="69">
        <f>IFERROR(__xludf.DUMMYFUNCTION("iferror(MAX(query(filter('Data Recording'!V:V,'Data Recording'!D:D=B15), ""Select Col1"")),""-"")"),0.0)</f>
        <v>0</v>
      </c>
      <c r="AT15" s="66">
        <f>IFERROR(__xludf.DUMMYFUNCTION("iferror(SUM(query(filter('Data Recording'!W:W,'Data Recording'!D:D=B15), ""Select Col1"")),""-"")"),0.0)</f>
        <v>0</v>
      </c>
      <c r="AU15" s="66">
        <f>IFERROR(__xludf.DUMMYFUNCTION("iferror(SUM(query(filter('Data Recording'!X:X,'Data Recording'!D:D=B15), ""Select Col1"")),""-"")"),0.0)</f>
        <v>0</v>
      </c>
      <c r="AV15" s="67" t="str">
        <f t="shared" si="9"/>
        <v>-</v>
      </c>
      <c r="AW15" s="68">
        <f>IFERROR(__xludf.DUMMYFUNCTION("iferror(AVERAGE(query(filter('Data Recording'!X:X,'Data Recording'!D:D=B15), ""Select Col1"")),""0.00"")"),0.0)</f>
        <v>0</v>
      </c>
      <c r="AX15" s="69">
        <f>IFERROR(__xludf.DUMMYFUNCTION("iferror(MAX(query(filter('Data Recording'!X:X,'Data Recording'!D:D=B15), ""Select Col1"")),""-"")"),0.0)</f>
        <v>0</v>
      </c>
      <c r="AY15" s="66">
        <f>IFERROR(__xludf.DUMMYFUNCTION("iferror(SUM(query(filter('Data Recording'!Y:Y,'Data Recording'!D:D=B15), ""Select Col1"")),""-"")"),10.0)</f>
        <v>10</v>
      </c>
      <c r="AZ15" s="66">
        <f>IFERROR(__xludf.DUMMYFUNCTION("iferror(SUM(query(filter('Data Recording'!Z:Z,'Data Recording'!D:D=B15), ""Select Col1"")),""-"")"),10.0)</f>
        <v>10</v>
      </c>
      <c r="BA15" s="67">
        <f t="shared" si="10"/>
        <v>1</v>
      </c>
      <c r="BB15" s="68">
        <f>IFERROR(__xludf.DUMMYFUNCTION("iferror(AVERAGE(query(filter('Data Recording'!Z:Z,'Data Recording'!D:D=B15), ""Select Col1"")),""0.00"")"),1.6666666666666667)</f>
        <v>1.666666667</v>
      </c>
      <c r="BC15" s="69">
        <f>IFERROR(__xludf.DUMMYFUNCTION("iferror(MAX(query(filter('Data Recording'!Z:Z,'Data Recording'!D:D=B15), ""Select Col1"")),""-"")"),3.0)</f>
        <v>3</v>
      </c>
      <c r="BD15" s="66">
        <f>IFERROR(__xludf.DUMMYFUNCTION("iferror(SUM(query(filter('Data Recording'!AA:AA,'Data Recording'!D:D=B15), ""Select Col1"")),""-"")"),7.0)</f>
        <v>7</v>
      </c>
      <c r="BE15" s="66">
        <f>IFERROR(__xludf.DUMMYFUNCTION("iferror(SUM(query(filter('Data Recording'!AB:AB,'Data Recording'!D:D=B15), ""Select Col1"")),""-"")"),7.0)</f>
        <v>7</v>
      </c>
      <c r="BF15" s="67">
        <f t="shared" si="11"/>
        <v>1</v>
      </c>
      <c r="BG15" s="68">
        <f>IFERROR(__xludf.DUMMYFUNCTION("iferror(AVERAGE(query(filter('Data Recording'!AB:AB,'Data Recording'!D:D=B15), ""Select Col1"")),""0.00"")"),1.1666666666666667)</f>
        <v>1.166666667</v>
      </c>
      <c r="BH15" s="69">
        <f>IFERROR(__xludf.DUMMYFUNCTION("iferror(MAX(query(filter('Data Recording'!AB:AB,'Data Recording'!D:D=B15), ""Select Col1"")),""-"")"),2.0)</f>
        <v>2</v>
      </c>
      <c r="BI15" s="66">
        <f>IFERROR(__xludf.DUMMYFUNCTION("iferror(SUM(query(filter('Data Recording'!AC:AC,'Data Recording'!D:D=B15), ""Select Col1"")),""-"")"),1.0)</f>
        <v>1</v>
      </c>
      <c r="BJ15" s="66">
        <f>IFERROR(__xludf.DUMMYFUNCTION("iferror(SUM(query(filter('Data Recording'!AD:AD,'Data Recording'!D:D=B15), ""Select Col1"")),""-"")"),1.0)</f>
        <v>1</v>
      </c>
      <c r="BK15" s="67">
        <f t="shared" si="12"/>
        <v>1</v>
      </c>
      <c r="BL15" s="68">
        <f>IFERROR(__xludf.DUMMYFUNCTION("iferror(AVERAGE(query(filter('Data Recording'!AD:AD,'Data Recording'!D:D=B15), ""Select Col1"")),""0.00"")"),0.16666666666666666)</f>
        <v>0.1666666667</v>
      </c>
      <c r="BM15" s="69">
        <f>IFERROR(__xludf.DUMMYFUNCTION("iferror(MAX(query(filter('Data Recording'!AD:AD,'Data Recording'!D:D=B15), ""Select Col1"")),""-"")"),1.0)</f>
        <v>1</v>
      </c>
      <c r="BN15" s="70" t="str">
        <f>IFERROR(__xludf.DUMMYFUNCTION("if(countif(query(filter('Data Recording'!AE:AE,'Data Recording'!D:D=B15), ""Select Col1""),""Yes, Engaged"")+countif(query(filter('Data Recording'!AE:AE,'Data Recording'!D:D=B15), ""Select Col1""),""Yes, Docked"")=0,""0"",countif(query(filter('Data Record"&amp;"ing'!AE:AE,'Data Recording'!D:D=B15), ""Select Col1""),""Yes, Engaged""))+countif(query(filter('Data Recording'!AE:AE,'Data Recording'!D:D=B15), ""Select Col1""),""Yes, Docked"") &amp; ""/"" &amp; if(COUNTA(query(ifna(filter('Data Recording'!AE:AE,'Data Recording"&amp;"'!D:D=B15),""""), ""Select Col1""))=0,""0"",COUNTA(query(ifna(filter('Data Recording'!AE:AE,'Data Recording'!D:D=B15),""""), ""Select Col1"")))"),"5/6")</f>
        <v>5/6</v>
      </c>
      <c r="BO15" s="71" t="str">
        <f>IFERROR(__xludf.DUMMYFUNCTION("if(countif(query(filter('Data Recording'!AE:AE,'Data Recording'!D:D=B15), ""Select Col1""),""Yes, Engaged"")=0,""0"",countif(query(filter('Data Recording'!AE:AE,'Data Recording'!D:D=B15), ""Select Col1""),""Yes, Engaged"")) &amp; ""/"" &amp; if(COUNTA(query(ifna("&amp;"filter('Data Recording'!AE:AE,'Data Recording'!D:D=B15),""""), ""Select Col1""))=0,""0"",COUNTA(query(ifna(filter('Data Recording'!AE:AE,'Data Recording'!D:D=B15),""""), ""Select Col1"")))"),"5/6")</f>
        <v>5/6</v>
      </c>
      <c r="BP15" s="64" t="str">
        <f>IFERROR(__xludf.DUMMYFUNCTION("if(countif(query(filter('Data Recording'!AH:AH,'Data Recording'!D:D=B15), ""Select Col1""),""Yes"")=0,""0"",countif(query(filter('Data Recording'!AH:AH,'Data Recording'!D:D=B15), ""Select Col1""),""Yes"")) &amp; ""/"" &amp; if(COUNTA(query(ifna(filter('Data Recor"&amp;"ding'!AH:AH,'Data Recording'!D:D=B15),""""), ""Select Col1""))=0,""0"",COUNTA(query(ifna(filter('Data Recording'!AH:AH,'Data Recording'!D:D=B15),""""), ""Select Col1"")))"),"0/6")</f>
        <v>0/6</v>
      </c>
      <c r="BQ15" s="72">
        <v>0.0</v>
      </c>
      <c r="BR15" s="60">
        <f>IFERROR(__xludf.DUMMYFUNCTION("iferror(average(query(filter('Data Recording'!AF:AF,'Data Recording'!D:D=B15), ""Select Col1"")),""-"")"),2.3333333333333335)</f>
        <v>2.333333333</v>
      </c>
      <c r="BS15" s="73">
        <f>IFERROR(__xludf.DUMMYFUNCTION("iferror(average(query(filter('Data Recording'!AG:AG,'Data Recording'!D:D=B15), ""Select Col1"")),""-"")"),2.1666666666666665)</f>
        <v>2.166666667</v>
      </c>
      <c r="BT15" s="74">
        <f t="shared" si="13"/>
        <v>27.16666667</v>
      </c>
      <c r="BU15" s="74">
        <f>IFERROR(__xludf.DUMMYFUNCTION("iferror(AVERAGE(query(filter('Data Recording'!AJ:AJ,'Data Recording'!D:D=B15), ""Select Col1"")),""-"")"),26.0)</f>
        <v>26</v>
      </c>
      <c r="BV15" s="74">
        <f>IFERROR(__xludf.DUMMYFUNCTION("iferror(AVERAGE(query(filter('Data Recording'!AK:AK,'Data Recording'!D:D=B15), ""Select Col1"")),""-"")"),14.166666666666666)</f>
        <v>14.16666667</v>
      </c>
      <c r="BW15" s="74">
        <f t="shared" si="14"/>
        <v>14.16666667</v>
      </c>
      <c r="BX15" s="75">
        <f>IFERROR(__xludf.DUMMYFUNCTION("iferror(max(query(filter('Data Recording'!AJ:AJ,'Data Recording'!D:D=B15), ""Select Col1"")),""-"")"),34.0)</f>
        <v>34</v>
      </c>
      <c r="BY15" s="76">
        <f>IFERROR(__xludf.DUMMYFUNCTION("iferror(MIN(query(filter('Data Recording'!AJ:AJ,'Data Recording'!D:D=B15), ""Select Col1"")),""-"")"),20.0)</f>
        <v>20</v>
      </c>
      <c r="BZ15" s="77" t="str">
        <f>IFERROR(__xludf.DUMMYFUNCTION("iferror(if(DIVIDE(COUNTIF(query(filter('Data Recording'!R:R,'Data Recording'!D:D=B15), ""Select Col1""),""Yes, Docked"") + countif(query(filter('Data Recording'!R:R,'Data Recording'!D:D=B15), ""Select Col1""),""Yes, Engaged""),COUNTA(query(ifna(filter('Da"&amp;"ta Recording'!R:R,'Data Recording'!D:D=B15),""""), ""Select Col1"")))&gt;=(0.5),""1"",""0""),""-"")"),"0")</f>
        <v>0</v>
      </c>
      <c r="CA15" s="5" t="str">
        <f>IFERROR(__xludf.DUMMYFUNCTION("iferror(if(countif(query(filter('Data Recording'!R:R,'Data Recording'!D:D=B15), ""Select Col1""),""Yes, Engaged"")/COUNTA(query(ifna(filter('Data Recording'!R:R,'Data Recording'!D:D=B15),""""), ""Select Col1""))&gt;=(0.5),""1"",""0""),""-"")"),"0")</f>
        <v>0</v>
      </c>
      <c r="CB15" s="78" t="str">
        <f>IFERROR(__xludf.DUMMYFUNCTION("iferror(if(DIVIDE(COUNTIF(query(filter('Data Recording'!AE:AE,'Data Recording'!D:D=B15), ""Select Col1""),""Yes, Docked"") + countif(query(filter('Data Recording'!AE:AE,'Data Recording'!D:D=B15), ""Select Col1""),""Yes, Engaged""),COUNTA(query(ifna(filter"&amp;"('Data Recording'!AE:AE,'Data Recording'!D:D=B15),""""), ""Select Col1"")))&gt;=(0.5),""1"",""0""),""-"")"),"1")</f>
        <v>1</v>
      </c>
      <c r="CC15" s="5" t="str">
        <f>IFERROR(__xludf.DUMMYFUNCTION("iferror(if(countif(query(filter('Data Recording'!AE:AE,'Data Recording'!D:D=B15), ""Select Col1""),""Yes, Engaged"")/COUNTA(query(ifna(filter('Data Recording'!AE:AE,'Data Recording'!D:D=B15),""""), ""Select Col1""))&gt;=(0.5),""1"",""0""),""-"")"),"1")</f>
        <v>1</v>
      </c>
      <c r="CD15" s="78" t="str">
        <f>IFERROR(__xludf.DUMMYFUNCTION("iferror(if(DIVIDE(countif(query(filter('Data Recording'!E:E,'Data Recording'!D:D=B15), ""Select Col1""),""Yes""),COUNTA(query(ifna(filter('Data Recording'!E:E,'Data Recording'!D:D=B15),""""), ""Select Col1"")))&gt;=(0.5),""1"",""0""),""-"")"),"1")</f>
        <v>1</v>
      </c>
    </row>
    <row r="16">
      <c r="A16" s="2" t="s">
        <v>125</v>
      </c>
      <c r="B16" s="2">
        <v>5641.0</v>
      </c>
      <c r="C16" s="57" t="str">
        <f>IFERROR(__xludf.DUMMYFUNCTION("if(countif(query(filter('Data Recording'!E:E,'Data Recording'!D:D=B16), ""Select Col1""),""Yes"")=0,""0"",countif(query(filter('Data Recording'!E:E,'Data Recording'!D:D=B16), ""Select Col1""),""Yes"")) &amp; ""/"" &amp; if(COUNTA(query(ifna(filter('Data Recording"&amp;"'!E:E,'Data Recording'!D:D=B16),""""), ""Select Col1""))=0,""0"",COUNTA(query(ifna(filter('Data Recording'!E:E,'Data Recording'!D:D=B16),""""), ""Select Col1"")))"),"11/11")</f>
        <v>11/11</v>
      </c>
      <c r="D16" s="58">
        <f>IFERROR(__xludf.DUMMYFUNCTION("iferror(SUM(query(filter('Data Recording'!F:F,'Data Recording'!D:D=B16), ""Select Col1"")),""-"")"),0.0)</f>
        <v>0</v>
      </c>
      <c r="E16" s="58">
        <f>IFERROR(__xludf.DUMMYFUNCTION("iferror(SUM(query(filter('Data Recording'!G:G,'Data Recording'!D:D=B16), ""Select Col1"")),""-"")"),0.0)</f>
        <v>0</v>
      </c>
      <c r="F16" s="59" t="str">
        <f t="shared" si="1"/>
        <v>-</v>
      </c>
      <c r="G16" s="60" t="str">
        <f>IFERROR(__xludf.DUMMYFUNCTION("iferror(AVERAGE(query(filter('Data Recording'!G:G,'Data Recording'!D:D=B16), ""Select Col1"")),""0.00"")"),"0.00")</f>
        <v>0.00</v>
      </c>
      <c r="H16" s="58">
        <f>IFERROR(__xludf.DUMMYFUNCTION("iferror(MAX(query(filter('Data Recording'!G:G,'Data Recording'!D:D=B16), ""Select Col1"")),""-"")"),0.0)</f>
        <v>0</v>
      </c>
      <c r="I16" s="61">
        <f>IFERROR(__xludf.DUMMYFUNCTION("iferror(SUM(query(filter('Data Recording'!H:H,'Data Recording'!D:D=B16), ""Select Col1"")),""-"")"),0.0)</f>
        <v>0</v>
      </c>
      <c r="J16" s="62">
        <f>IFERROR(__xludf.DUMMYFUNCTION("iferror(SUM(query(filter('Data Recording'!I:I,'Data Recording'!D:D=B16), ""Select Col1"")),""-"")"),0.0)</f>
        <v>0</v>
      </c>
      <c r="K16" s="59" t="str">
        <f t="shared" si="2"/>
        <v>-</v>
      </c>
      <c r="L16" s="60" t="str">
        <f>IFERROR(__xludf.DUMMYFUNCTION("iferror(AVERAGE(query(filter('Data Recording'!I:I,'Data Recording'!D:D=B16), ""Select Col1"")),""0.00"")"),"0.00")</f>
        <v>0.00</v>
      </c>
      <c r="M16" s="58">
        <f>IFERROR(__xludf.DUMMYFUNCTION("iferror(MAX(query(filter('Data Recording'!I:I,'Data Recording'!D:D=B16), ""Select Col1"")),""-"")"),0.0)</f>
        <v>0</v>
      </c>
      <c r="N16" s="63">
        <f>IFERROR(__xludf.DUMMYFUNCTION("iferror(SUM(query(filter('Data Recording'!J:J,'Data Recording'!D:D=B16), ""Select Col1"")),""-"")"),0.0)</f>
        <v>0</v>
      </c>
      <c r="O16" s="5">
        <f>IFERROR(__xludf.DUMMYFUNCTION("iferror(SUM(query(filter('Data Recording'!K:K,'Data Recording'!D:D=B16), ""Select Col1"")),""-"")"),0.0)</f>
        <v>0</v>
      </c>
      <c r="P16" s="59" t="str">
        <f t="shared" si="3"/>
        <v>-</v>
      </c>
      <c r="Q16" s="60" t="str">
        <f>IFERROR(__xludf.DUMMYFUNCTION("iferror(AVERAGE(query(filter('Data Recording'!K:K,'Data Recording'!D:D=B16), ""Select Col1"")),""0.00"")"),"0.00")</f>
        <v>0.00</v>
      </c>
      <c r="R16" s="58">
        <f>IFERROR(__xludf.DUMMYFUNCTION("iferror(MAX(query(filter('Data Recording'!K:K,'Data Recording'!D:D=B16), ""Select Col1"")),""-"")"),0.0)</f>
        <v>0</v>
      </c>
      <c r="S16" s="63">
        <f>IFERROR(__xludf.DUMMYFUNCTION("iferror(SUM(query(filter('Data Recording'!L:L,'Data Recording'!D:D=B16), ""Select Col1"")),""-"")"),0.0)</f>
        <v>0</v>
      </c>
      <c r="T16" s="5">
        <f>IFERROR(__xludf.DUMMYFUNCTION("iferror(SUM(query(filter('Data Recording'!M:M,'Data Recording'!D:D=B16), ""Select Col1"")),""-"")"),0.0)</f>
        <v>0</v>
      </c>
      <c r="U16" s="59" t="str">
        <f t="shared" si="4"/>
        <v>-</v>
      </c>
      <c r="V16" s="60" t="str">
        <f>IFERROR(__xludf.DUMMYFUNCTION("iferror(AVERAGE(query(filter('Data Recording'!M:M,'Data Recording'!D:D=B16), ""Select Col1"")),""-"")"),"-")</f>
        <v>-</v>
      </c>
      <c r="W16" s="57">
        <f>IFERROR(__xludf.DUMMYFUNCTION("iferror(MAX(query(filter('Data Recording'!M:M,'Data Recording'!D:D=B16), ""Select Col1"")),""-"")"),0.0)</f>
        <v>0</v>
      </c>
      <c r="X16" s="5">
        <f>IFERROR(__xludf.DUMMYFUNCTION("iferror(SUM(query(filter('Data Recording'!N:N,'Data Recording'!D:D=B16), ""Select Col1"")),""-"")"),0.0)</f>
        <v>0</v>
      </c>
      <c r="Y16" s="5">
        <f>IFERROR(__xludf.DUMMYFUNCTION("iferror(SUM(query(filter('Data Recording'!O:O,'Data Recording'!D:D=B16), ""Select Col1"")),""-"")"),0.0)</f>
        <v>0</v>
      </c>
      <c r="Z16" s="59" t="str">
        <f t="shared" si="5"/>
        <v>-</v>
      </c>
      <c r="AA16" s="60" t="str">
        <f>IFERROR(__xludf.DUMMYFUNCTION("iferror(AVERAGE(query(filter('Data Recording'!O:O,'Data Recording'!D:D=B16), ""Select Col1"")),""0.00"")"),"0.00")</f>
        <v>0.00</v>
      </c>
      <c r="AB16" s="57">
        <f>IFERROR(__xludf.DUMMYFUNCTION("iferror(MAX(query(filter('Data Recording'!O:O,'Data Recording'!D:D=B16), ""Select Col1"")),""-"")"),0.0)</f>
        <v>0</v>
      </c>
      <c r="AC16" s="5">
        <f>IFERROR(__xludf.DUMMYFUNCTION("iferror(SUM(query(filter('Data Recording'!P:P,'Data Recording'!D:D=B16), ""Select Col1"")),""-"")"),0.0)</f>
        <v>0</v>
      </c>
      <c r="AD16" s="5">
        <f>IFERROR(__xludf.DUMMYFUNCTION("iferror(SUM(query(filter('Data Recording'!Q:Q,'Data Recording'!D:D=B16), ""Select Col1"")),""-"")"),0.0)</f>
        <v>0</v>
      </c>
      <c r="AE16" s="59" t="str">
        <f t="shared" si="6"/>
        <v>-</v>
      </c>
      <c r="AF16" s="60" t="str">
        <f>IFERROR(__xludf.DUMMYFUNCTION("iferror(AVERAGE(query(filter('Data Recording'!Q:Q,'Data Recording'!D:D=B16), ""Select Col1"")),""0.00"")"),"0.00")</f>
        <v>0.00</v>
      </c>
      <c r="AG16" s="5">
        <f>IFERROR(__xludf.DUMMYFUNCTION("iferror(MAX(query(filter('Data Recording'!Q:Q,'Data Recording'!D:D=B16), ""Select Col1"")),""-"")"),0.0)</f>
        <v>0</v>
      </c>
      <c r="AH16" s="63" t="str">
        <f>IFERROR(__xludf.DUMMYFUNCTION("if(countif(query(filter('Data Recording'!R:R,'Data Recording'!D:D=B16), ""Select Col1""),""Yes, Engaged"")+countif(query(filter('Data Recording'!R:R,'Data Recording'!D:D=B16), ""Select Col1""),""Yes, Docked"")=0,""0"",countif(query(filter('Data Recording'"&amp;"!R:R,'Data Recording'!D:D=B16), ""Select Col1""),""Yes, Engaged""))+countif(query(filter('Data Recording'!R:R,'Data Recording'!D:D=B16), ""Select Col1""),""Yes, Docked"") &amp; ""/"" &amp; if(COUNTA(query(ifna(filter('Data Recording'!R:R,'Data Recording'!D:D=B16)"&amp;",""""), ""Select Col1""))=0,""0"",COUNTA(query(ifna(filter('Data Recording'!R:R,'Data Recording'!D:D=B16),""""), ""Select Col1"")))"),"10/11")</f>
        <v>10/11</v>
      </c>
      <c r="AI16" s="64" t="str">
        <f>IFERROR(__xludf.DUMMYFUNCTION("if(countif(query(filter('Data Recording'!R:R,'Data Recording'!D:D=B16), ""Select Col1""),""Yes, Engaged"")=0,""0"",countif(query(filter('Data Recording'!R:R,'Data Recording'!D:D=B16), ""Select Col1""),""Yes, Engaged"")) &amp; ""/"" &amp; if(COUNTA(query(ifna(filt"&amp;"er('Data Recording'!R:R,'Data Recording'!D:D=B16),""""), ""Select Col1""))=0,""0"",COUNTA(query(ifna(filter('Data Recording'!R:R,'Data Recording'!D:D=B16),""""), ""Select Col1"")))"),"6/11")</f>
        <v>6/11</v>
      </c>
      <c r="AJ16" s="5">
        <f>IFERROR(__xludf.DUMMYFUNCTION("iferror(SUM(query(filter('Data Recording'!S:S,'Data Recording'!D:D=B16), ""Select Col1"")),""-"")"),0.0)</f>
        <v>0</v>
      </c>
      <c r="AK16" s="5">
        <f>IFERROR(__xludf.DUMMYFUNCTION("iferror(SUM(query(filter('Data Recording'!T:T,'Data Recording'!D:D=B16), ""Select Col1"")),""-"")"),0.0)</f>
        <v>0</v>
      </c>
      <c r="AL16" s="59" t="str">
        <f t="shared" si="7"/>
        <v>-</v>
      </c>
      <c r="AM16" s="60" t="str">
        <f>IFERROR(__xludf.DUMMYFUNCTION("iferror(AVERAGE(query(filter('Data Recording'!T:T,'Data Recording'!D:D=B16), ""Select Col1"")),""0.00"")"),"0.00")</f>
        <v>0.00</v>
      </c>
      <c r="AN16" s="65">
        <f>IFERROR(__xludf.DUMMYFUNCTION("iferror(MAX(query(filter('Data Recording'!T:T,'Data Recording'!D:D=B16), ""Select Col1"")),""-"")"),0.0)</f>
        <v>0</v>
      </c>
      <c r="AO16" s="66">
        <f>IFERROR(__xludf.DUMMYFUNCTION("iferror(SUM(query(filter('Data Recording'!U:U,'Data Recording'!D:D=B16), ""Select Col1"")),""-"")"),0.0)</f>
        <v>0</v>
      </c>
      <c r="AP16" s="66">
        <f>IFERROR(__xludf.DUMMYFUNCTION("iferror(SUM(query(filter('Data Recording'!V:V,'Data Recording'!D:D=B16), ""Select Col1"")),""-"")"),0.0)</f>
        <v>0</v>
      </c>
      <c r="AQ16" s="67" t="str">
        <f t="shared" si="8"/>
        <v>-</v>
      </c>
      <c r="AR16" s="68" t="str">
        <f>IFERROR(__xludf.DUMMYFUNCTION("iferror(AVERAGE(query(filter('Data Recording'!V:V,'Data Recording'!D:D=B16), ""Select Col1"")),""0.00"")"),"0.00")</f>
        <v>0.00</v>
      </c>
      <c r="AS16" s="69">
        <f>IFERROR(__xludf.DUMMYFUNCTION("iferror(MAX(query(filter('Data Recording'!V:V,'Data Recording'!D:D=B16), ""Select Col1"")),""-"")"),0.0)</f>
        <v>0</v>
      </c>
      <c r="AT16" s="66">
        <f>IFERROR(__xludf.DUMMYFUNCTION("iferror(SUM(query(filter('Data Recording'!W:W,'Data Recording'!D:D=B16), ""Select Col1"")),""-"")"),1.0)</f>
        <v>1</v>
      </c>
      <c r="AU16" s="66">
        <f>IFERROR(__xludf.DUMMYFUNCTION("iferror(SUM(query(filter('Data Recording'!X:X,'Data Recording'!D:D=B16), ""Select Col1"")),""-"")"),1.0)</f>
        <v>1</v>
      </c>
      <c r="AV16" s="67">
        <f t="shared" si="9"/>
        <v>1</v>
      </c>
      <c r="AW16" s="68">
        <f>IFERROR(__xludf.DUMMYFUNCTION("iferror(AVERAGE(query(filter('Data Recording'!X:X,'Data Recording'!D:D=B16), ""Select Col1"")),""0.00"")"),1.0)</f>
        <v>1</v>
      </c>
      <c r="AX16" s="69">
        <f>IFERROR(__xludf.DUMMYFUNCTION("iferror(MAX(query(filter('Data Recording'!X:X,'Data Recording'!D:D=B16), ""Select Col1"")),""-"")"),1.0)</f>
        <v>1</v>
      </c>
      <c r="AY16" s="66">
        <f>IFERROR(__xludf.DUMMYFUNCTION("iferror(SUM(query(filter('Data Recording'!Y:Y,'Data Recording'!D:D=B16), ""Select Col1"")),""-"")"),0.0)</f>
        <v>0</v>
      </c>
      <c r="AZ16" s="66">
        <f>IFERROR(__xludf.DUMMYFUNCTION("iferror(SUM(query(filter('Data Recording'!Z:Z,'Data Recording'!D:D=B16), ""Select Col1"")),""-"")"),0.0)</f>
        <v>0</v>
      </c>
      <c r="BA16" s="67" t="str">
        <f t="shared" si="10"/>
        <v>-</v>
      </c>
      <c r="BB16" s="68" t="str">
        <f>IFERROR(__xludf.DUMMYFUNCTION("iferror(AVERAGE(query(filter('Data Recording'!Z:Z,'Data Recording'!D:D=B16), ""Select Col1"")),""0.00"")"),"0.00")</f>
        <v>0.00</v>
      </c>
      <c r="BC16" s="69">
        <f>IFERROR(__xludf.DUMMYFUNCTION("iferror(MAX(query(filter('Data Recording'!Z:Z,'Data Recording'!D:D=B16), ""Select Col1"")),""-"")"),0.0)</f>
        <v>0</v>
      </c>
      <c r="BD16" s="66">
        <f>IFERROR(__xludf.DUMMYFUNCTION("iferror(SUM(query(filter('Data Recording'!AA:AA,'Data Recording'!D:D=B16), ""Select Col1"")),""-"")"),8.0)</f>
        <v>8</v>
      </c>
      <c r="BE16" s="66">
        <f>IFERROR(__xludf.DUMMYFUNCTION("iferror(SUM(query(filter('Data Recording'!AB:AB,'Data Recording'!D:D=B16), ""Select Col1"")),""-"")"),6.0)</f>
        <v>6</v>
      </c>
      <c r="BF16" s="67">
        <f t="shared" si="11"/>
        <v>0.75</v>
      </c>
      <c r="BG16" s="68">
        <f>IFERROR(__xludf.DUMMYFUNCTION("iferror(AVERAGE(query(filter('Data Recording'!AB:AB,'Data Recording'!D:D=B16), ""Select Col1"")),""0.00"")"),1.2)</f>
        <v>1.2</v>
      </c>
      <c r="BH16" s="69">
        <f>IFERROR(__xludf.DUMMYFUNCTION("iferror(MAX(query(filter('Data Recording'!AB:AB,'Data Recording'!D:D=B16), ""Select Col1"")),""-"")"),2.0)</f>
        <v>2</v>
      </c>
      <c r="BI16" s="66">
        <f>IFERROR(__xludf.DUMMYFUNCTION("iferror(SUM(query(filter('Data Recording'!AC:AC,'Data Recording'!D:D=B16), ""Select Col1"")),""-"")"),11.0)</f>
        <v>11</v>
      </c>
      <c r="BJ16" s="66">
        <f>IFERROR(__xludf.DUMMYFUNCTION("iferror(SUM(query(filter('Data Recording'!AD:AD,'Data Recording'!D:D=B16), ""Select Col1"")),""-"")"),11.0)</f>
        <v>11</v>
      </c>
      <c r="BK16" s="67">
        <f t="shared" si="12"/>
        <v>1</v>
      </c>
      <c r="BL16" s="68">
        <f>IFERROR(__xludf.DUMMYFUNCTION("iferror(AVERAGE(query(filter('Data Recording'!AD:AD,'Data Recording'!D:D=B16), ""Select Col1"")),""0.00"")"),1.8333333333333333)</f>
        <v>1.833333333</v>
      </c>
      <c r="BM16" s="69">
        <f>IFERROR(__xludf.DUMMYFUNCTION("iferror(MAX(query(filter('Data Recording'!AD:AD,'Data Recording'!D:D=B16), ""Select Col1"")),""-"")"),3.0)</f>
        <v>3</v>
      </c>
      <c r="BN16" s="70" t="str">
        <f>IFERROR(__xludf.DUMMYFUNCTION("if(countif(query(filter('Data Recording'!AE:AE,'Data Recording'!D:D=B16), ""Select Col1""),""Yes, Engaged"")+countif(query(filter('Data Recording'!AE:AE,'Data Recording'!D:D=B16), ""Select Col1""),""Yes, Docked"")=0,""0"",countif(query(filter('Data Record"&amp;"ing'!AE:AE,'Data Recording'!D:D=B16), ""Select Col1""),""Yes, Engaged""))+countif(query(filter('Data Recording'!AE:AE,'Data Recording'!D:D=B16), ""Select Col1""),""Yes, Docked"") &amp; ""/"" &amp; if(COUNTA(query(ifna(filter('Data Recording'!AE:AE,'Data Recording"&amp;"'!D:D=B16),""""), ""Select Col1""))=0,""0"",COUNTA(query(ifna(filter('Data Recording'!AE:AE,'Data Recording'!D:D=B16),""""), ""Select Col1"")))"),"9/11")</f>
        <v>9/11</v>
      </c>
      <c r="BO16" s="71" t="str">
        <f>IFERROR(__xludf.DUMMYFUNCTION("if(countif(query(filter('Data Recording'!AE:AE,'Data Recording'!D:D=B16), ""Select Col1""),""Yes, Engaged"")=0,""0"",countif(query(filter('Data Recording'!AE:AE,'Data Recording'!D:D=B16), ""Select Col1""),""Yes, Engaged"")) &amp; ""/"" &amp; if(COUNTA(query(ifna("&amp;"filter('Data Recording'!AE:AE,'Data Recording'!D:D=B16),""""), ""Select Col1""))=0,""0"",COUNTA(query(ifna(filter('Data Recording'!AE:AE,'Data Recording'!D:D=B16),""""), ""Select Col1"")))"),"9/11")</f>
        <v>9/11</v>
      </c>
      <c r="BP16" s="64" t="str">
        <f>IFERROR(__xludf.DUMMYFUNCTION("if(countif(query(filter('Data Recording'!AH:AH,'Data Recording'!D:D=B16), ""Select Col1""),""Yes"")=0,""0"",countif(query(filter('Data Recording'!AH:AH,'Data Recording'!D:D=B16), ""Select Col1""),""Yes"")) &amp; ""/"" &amp; if(COUNTA(query(ifna(filter('Data Recor"&amp;"ding'!AH:AH,'Data Recording'!D:D=B16),""""), ""Select Col1""))=0,""0"",COUNTA(query(ifna(filter('Data Recording'!AH:AH,'Data Recording'!D:D=B16),""""), ""Select Col1"")))"),"0/11")</f>
        <v>0/11</v>
      </c>
      <c r="BQ16" s="72">
        <v>0.0</v>
      </c>
      <c r="BR16" s="60">
        <f>IFERROR(__xludf.DUMMYFUNCTION("iferror(average(query(filter('Data Recording'!AF:AF,'Data Recording'!D:D=B16), ""Select Col1"")),""-"")"),0.0)</f>
        <v>0</v>
      </c>
      <c r="BS16" s="73">
        <f>IFERROR(__xludf.DUMMYFUNCTION("iferror(average(query(filter('Data Recording'!AG:AG,'Data Recording'!D:D=B16), ""Select Col1"")),""-"")"),0.9090909090909091)</f>
        <v>0.9090909091</v>
      </c>
      <c r="BT16" s="74">
        <f t="shared" si="13"/>
        <v>34.26666667</v>
      </c>
      <c r="BU16" s="74">
        <f>IFERROR(__xludf.DUMMYFUNCTION("iferror(AVERAGE(query(filter('Data Recording'!AJ:AJ,'Data Recording'!D:D=B16), ""Select Col1"")),""-"")"),24.727272727272727)</f>
        <v>24.72727273</v>
      </c>
      <c r="BV16" s="74">
        <f>IFERROR(__xludf.DUMMYFUNCTION("iferror(AVERAGE(query(filter('Data Recording'!AK:AK,'Data Recording'!D:D=B16), ""Select Col1"")),""-"")"),3.8181818181818183)</f>
        <v>3.818181818</v>
      </c>
      <c r="BW16" s="74">
        <f t="shared" si="14"/>
        <v>9.266666667</v>
      </c>
      <c r="BX16" s="75">
        <f>IFERROR(__xludf.DUMMYFUNCTION("iferror(max(query(filter('Data Recording'!AJ:AJ,'Data Recording'!D:D=B16), ""Select Col1"")),""-"")"),31.0)</f>
        <v>31</v>
      </c>
      <c r="BY16" s="76">
        <f>IFERROR(__xludf.DUMMYFUNCTION("iferror(MIN(query(filter('Data Recording'!AJ:AJ,'Data Recording'!D:D=B16), ""Select Col1"")),""-"")"),11.0)</f>
        <v>11</v>
      </c>
      <c r="BZ16" s="77" t="str">
        <f>IFERROR(__xludf.DUMMYFUNCTION("iferror(if(DIVIDE(COUNTIF(query(filter('Data Recording'!R:R,'Data Recording'!D:D=B16), ""Select Col1""),""Yes, Docked"") + countif(query(filter('Data Recording'!R:R,'Data Recording'!D:D=B16), ""Select Col1""),""Yes, Engaged""),COUNTA(query(ifna(filter('Da"&amp;"ta Recording'!R:R,'Data Recording'!D:D=B16),""""), ""Select Col1"")))&gt;=(0.5),""1"",""0""),""-"")"),"1")</f>
        <v>1</v>
      </c>
      <c r="CA16" s="5" t="str">
        <f>IFERROR(__xludf.DUMMYFUNCTION("iferror(if(countif(query(filter('Data Recording'!R:R,'Data Recording'!D:D=B16), ""Select Col1""),""Yes, Engaged"")/COUNTA(query(ifna(filter('Data Recording'!R:R,'Data Recording'!D:D=B16),""""), ""Select Col1""))&gt;=(0.5),""1"",""0""),""-"")"),"1")</f>
        <v>1</v>
      </c>
      <c r="CB16" s="78" t="str">
        <f>IFERROR(__xludf.DUMMYFUNCTION("iferror(if(DIVIDE(COUNTIF(query(filter('Data Recording'!AE:AE,'Data Recording'!D:D=B16), ""Select Col1""),""Yes, Docked"") + countif(query(filter('Data Recording'!AE:AE,'Data Recording'!D:D=B16), ""Select Col1""),""Yes, Engaged""),COUNTA(query(ifna(filter"&amp;"('Data Recording'!AE:AE,'Data Recording'!D:D=B16),""""), ""Select Col1"")))&gt;=(0.5),""1"",""0""),""-"")"),"1")</f>
        <v>1</v>
      </c>
      <c r="CC16" s="5" t="str">
        <f>IFERROR(__xludf.DUMMYFUNCTION("iferror(if(countif(query(filter('Data Recording'!AE:AE,'Data Recording'!D:D=B16), ""Select Col1""),""Yes, Engaged"")/COUNTA(query(ifna(filter('Data Recording'!AE:AE,'Data Recording'!D:D=B16),""""), ""Select Col1""))&gt;=(0.5),""1"",""0""),""-"")"),"1")</f>
        <v>1</v>
      </c>
      <c r="CD16" s="78" t="str">
        <f>IFERROR(__xludf.DUMMYFUNCTION("iferror(if(DIVIDE(countif(query(filter('Data Recording'!E:E,'Data Recording'!D:D=B16), ""Select Col1""),""Yes""),COUNTA(query(ifna(filter('Data Recording'!E:E,'Data Recording'!D:D=B16),""""), ""Select Col1"")))&gt;=(0.5),""1"",""0""),""-"")"),"1")</f>
        <v>1</v>
      </c>
    </row>
    <row r="17">
      <c r="A17" s="2" t="s">
        <v>126</v>
      </c>
      <c r="B17" s="2">
        <v>3322.0</v>
      </c>
      <c r="C17" s="57" t="str">
        <f>IFERROR(__xludf.DUMMYFUNCTION("if(countif(query(filter('Data Recording'!E:E,'Data Recording'!D:D=B17), ""Select Col1""),""Yes"")=0,""0"",countif(query(filter('Data Recording'!E:E,'Data Recording'!D:D=B17), ""Select Col1""),""Yes"")) &amp; ""/"" &amp; if(COUNTA(query(ifna(filter('Data Recording"&amp;"'!E:E,'Data Recording'!D:D=B17),""""), ""Select Col1""))=0,""0"",COUNTA(query(ifna(filter('Data Recording'!E:E,'Data Recording'!D:D=B17),""""), ""Select Col1"")))"),"14/17")</f>
        <v>14/17</v>
      </c>
      <c r="D17" s="58">
        <f>IFERROR(__xludf.DUMMYFUNCTION("iferror(SUM(query(filter('Data Recording'!F:F,'Data Recording'!D:D=B17), ""Select Col1"")),""-"")"),0.0)</f>
        <v>0</v>
      </c>
      <c r="E17" s="58">
        <f>IFERROR(__xludf.DUMMYFUNCTION("iferror(SUM(query(filter('Data Recording'!G:G,'Data Recording'!D:D=B17), ""Select Col1"")),""-"")"),0.0)</f>
        <v>0</v>
      </c>
      <c r="F17" s="59" t="str">
        <f t="shared" si="1"/>
        <v>-</v>
      </c>
      <c r="G17" s="60">
        <f>IFERROR(__xludf.DUMMYFUNCTION("iferror(AVERAGE(query(filter('Data Recording'!G:G,'Data Recording'!D:D=B17), ""Select Col1"")),""0.00"")"),0.0)</f>
        <v>0</v>
      </c>
      <c r="H17" s="58">
        <f>IFERROR(__xludf.DUMMYFUNCTION("iferror(MAX(query(filter('Data Recording'!G:G,'Data Recording'!D:D=B17), ""Select Col1"")),""-"")"),0.0)</f>
        <v>0</v>
      </c>
      <c r="I17" s="61">
        <f>IFERROR(__xludf.DUMMYFUNCTION("iferror(SUM(query(filter('Data Recording'!H:H,'Data Recording'!D:D=B17), ""Select Col1"")),""-"")"),13.0)</f>
        <v>13</v>
      </c>
      <c r="J17" s="62">
        <f>IFERROR(__xludf.DUMMYFUNCTION("iferror(SUM(query(filter('Data Recording'!I:I,'Data Recording'!D:D=B17), ""Select Col1"")),""-"")"),12.0)</f>
        <v>12</v>
      </c>
      <c r="K17" s="59">
        <f t="shared" si="2"/>
        <v>0.9230769231</v>
      </c>
      <c r="L17" s="60">
        <f>IFERROR(__xludf.DUMMYFUNCTION("iferror(AVERAGE(query(filter('Data Recording'!I:I,'Data Recording'!D:D=B17), ""Select Col1"")),""0.00"")"),0.9230769230769231)</f>
        <v>0.9230769231</v>
      </c>
      <c r="M17" s="58">
        <f>IFERROR(__xludf.DUMMYFUNCTION("iferror(MAX(query(filter('Data Recording'!I:I,'Data Recording'!D:D=B17), ""Select Col1"")),""-"")"),1.0)</f>
        <v>1</v>
      </c>
      <c r="N17" s="63">
        <f>IFERROR(__xludf.DUMMYFUNCTION("iferror(SUM(query(filter('Data Recording'!J:J,'Data Recording'!D:D=B17), ""Select Col1"")),""-"")"),1.0)</f>
        <v>1</v>
      </c>
      <c r="O17" s="5">
        <f>IFERROR(__xludf.DUMMYFUNCTION("iferror(SUM(query(filter('Data Recording'!K:K,'Data Recording'!D:D=B17), ""Select Col1"")),""-"")"),1.0)</f>
        <v>1</v>
      </c>
      <c r="P17" s="59">
        <f t="shared" si="3"/>
        <v>1</v>
      </c>
      <c r="Q17" s="60">
        <f>IFERROR(__xludf.DUMMYFUNCTION("iferror(AVERAGE(query(filter('Data Recording'!K:K,'Data Recording'!D:D=B17), ""Select Col1"")),""0.00"")"),1.0)</f>
        <v>1</v>
      </c>
      <c r="R17" s="58">
        <f>IFERROR(__xludf.DUMMYFUNCTION("iferror(MAX(query(filter('Data Recording'!K:K,'Data Recording'!D:D=B17), ""Select Col1"")),""-"")"),1.0)</f>
        <v>1</v>
      </c>
      <c r="S17" s="63">
        <f>IFERROR(__xludf.DUMMYFUNCTION("iferror(SUM(query(filter('Data Recording'!L:L,'Data Recording'!D:D=B17), ""Select Col1"")),""-"")"),0.0)</f>
        <v>0</v>
      </c>
      <c r="T17" s="5">
        <f>IFERROR(__xludf.DUMMYFUNCTION("iferror(SUM(query(filter('Data Recording'!M:M,'Data Recording'!D:D=B17), ""Select Col1"")),""-"")"),0.0)</f>
        <v>0</v>
      </c>
      <c r="U17" s="59" t="str">
        <f t="shared" si="4"/>
        <v>-</v>
      </c>
      <c r="V17" s="60">
        <f>IFERROR(__xludf.DUMMYFUNCTION("iferror(AVERAGE(query(filter('Data Recording'!M:M,'Data Recording'!D:D=B17), ""Select Col1"")),""-"")"),0.0)</f>
        <v>0</v>
      </c>
      <c r="W17" s="57">
        <f>IFERROR(__xludf.DUMMYFUNCTION("iferror(MAX(query(filter('Data Recording'!M:M,'Data Recording'!D:D=B17), ""Select Col1"")),""-"")"),0.0)</f>
        <v>0</v>
      </c>
      <c r="X17" s="5">
        <f>IFERROR(__xludf.DUMMYFUNCTION("iferror(SUM(query(filter('Data Recording'!N:N,'Data Recording'!D:D=B17), ""Select Col1"")),""-"")"),2.0)</f>
        <v>2</v>
      </c>
      <c r="Y17" s="5">
        <f>IFERROR(__xludf.DUMMYFUNCTION("iferror(SUM(query(filter('Data Recording'!O:O,'Data Recording'!D:D=B17), ""Select Col1"")),""-"")"),2.0)</f>
        <v>2</v>
      </c>
      <c r="Z17" s="59">
        <f t="shared" si="5"/>
        <v>1</v>
      </c>
      <c r="AA17" s="60">
        <f>IFERROR(__xludf.DUMMYFUNCTION("iferror(AVERAGE(query(filter('Data Recording'!O:O,'Data Recording'!D:D=B17), ""Select Col1"")),""0.00"")"),0.6666666666666666)</f>
        <v>0.6666666667</v>
      </c>
      <c r="AB17" s="57">
        <f>IFERROR(__xludf.DUMMYFUNCTION("iferror(MAX(query(filter('Data Recording'!O:O,'Data Recording'!D:D=B17), ""Select Col1"")),""-"")"),1.0)</f>
        <v>1</v>
      </c>
      <c r="AC17" s="5">
        <f>IFERROR(__xludf.DUMMYFUNCTION("iferror(SUM(query(filter('Data Recording'!P:P,'Data Recording'!D:D=B17), ""Select Col1"")),""-"")"),1.0)</f>
        <v>1</v>
      </c>
      <c r="AD17" s="5">
        <f>IFERROR(__xludf.DUMMYFUNCTION("iferror(SUM(query(filter('Data Recording'!Q:Q,'Data Recording'!D:D=B17), ""Select Col1"")),""-"")"),1.0)</f>
        <v>1</v>
      </c>
      <c r="AE17" s="59">
        <f t="shared" si="6"/>
        <v>1</v>
      </c>
      <c r="AF17" s="60">
        <f>IFERROR(__xludf.DUMMYFUNCTION("iferror(AVERAGE(query(filter('Data Recording'!Q:Q,'Data Recording'!D:D=B17), ""Select Col1"")),""0.00"")"),0.5)</f>
        <v>0.5</v>
      </c>
      <c r="AG17" s="5">
        <f>IFERROR(__xludf.DUMMYFUNCTION("iferror(MAX(query(filter('Data Recording'!Q:Q,'Data Recording'!D:D=B17), ""Select Col1"")),""-"")"),1.0)</f>
        <v>1</v>
      </c>
      <c r="AH17" s="63" t="str">
        <f>IFERROR(__xludf.DUMMYFUNCTION("if(countif(query(filter('Data Recording'!R:R,'Data Recording'!D:D=B17), ""Select Col1""),""Yes, Engaged"")+countif(query(filter('Data Recording'!R:R,'Data Recording'!D:D=B17), ""Select Col1""),""Yes, Docked"")=0,""0"",countif(query(filter('Data Recording'"&amp;"!R:R,'Data Recording'!D:D=B17), ""Select Col1""),""Yes, Engaged""))+countif(query(filter('Data Recording'!R:R,'Data Recording'!D:D=B17), ""Select Col1""),""Yes, Docked"") &amp; ""/"" &amp; if(COUNTA(query(ifna(filter('Data Recording'!R:R,'Data Recording'!D:D=B17)"&amp;",""""), ""Select Col1""))=0,""0"",COUNTA(query(ifna(filter('Data Recording'!R:R,'Data Recording'!D:D=B17),""""), ""Select Col1"")))"),"0/17")</f>
        <v>0/17</v>
      </c>
      <c r="AI17" s="64" t="str">
        <f>IFERROR(__xludf.DUMMYFUNCTION("if(countif(query(filter('Data Recording'!R:R,'Data Recording'!D:D=B17), ""Select Col1""),""Yes, Engaged"")=0,""0"",countif(query(filter('Data Recording'!R:R,'Data Recording'!D:D=B17), ""Select Col1""),""Yes, Engaged"")) &amp; ""/"" &amp; if(COUNTA(query(ifna(filt"&amp;"er('Data Recording'!R:R,'Data Recording'!D:D=B17),""""), ""Select Col1""))=0,""0"",COUNTA(query(ifna(filter('Data Recording'!R:R,'Data Recording'!D:D=B17),""""), ""Select Col1"")))"),"0/17")</f>
        <v>0/17</v>
      </c>
      <c r="AJ17" s="5">
        <f>IFERROR(__xludf.DUMMYFUNCTION("iferror(SUM(query(filter('Data Recording'!S:S,'Data Recording'!D:D=B17), ""Select Col1"")),""-"")"),0.0)</f>
        <v>0</v>
      </c>
      <c r="AK17" s="5">
        <f>IFERROR(__xludf.DUMMYFUNCTION("iferror(SUM(query(filter('Data Recording'!T:T,'Data Recording'!D:D=B17), ""Select Col1"")),""-"")"),0.0)</f>
        <v>0</v>
      </c>
      <c r="AL17" s="59" t="str">
        <f t="shared" si="7"/>
        <v>-</v>
      </c>
      <c r="AM17" s="60">
        <f>IFERROR(__xludf.DUMMYFUNCTION("iferror(AVERAGE(query(filter('Data Recording'!T:T,'Data Recording'!D:D=B17), ""Select Col1"")),""0.00"")"),0.0)</f>
        <v>0</v>
      </c>
      <c r="AN17" s="65">
        <f>IFERROR(__xludf.DUMMYFUNCTION("iferror(MAX(query(filter('Data Recording'!T:T,'Data Recording'!D:D=B17), ""Select Col1"")),""-"")"),0.0)</f>
        <v>0</v>
      </c>
      <c r="AO17" s="66">
        <f>IFERROR(__xludf.DUMMYFUNCTION("iferror(SUM(query(filter('Data Recording'!U:U,'Data Recording'!D:D=B17), ""Select Col1"")),""-"")"),10.0)</f>
        <v>10</v>
      </c>
      <c r="AP17" s="66">
        <f>IFERROR(__xludf.DUMMYFUNCTION("iferror(SUM(query(filter('Data Recording'!V:V,'Data Recording'!D:D=B17), ""Select Col1"")),""-"")"),7.0)</f>
        <v>7</v>
      </c>
      <c r="AQ17" s="67">
        <f t="shared" si="8"/>
        <v>0.7</v>
      </c>
      <c r="AR17" s="68">
        <f>IFERROR(__xludf.DUMMYFUNCTION("iferror(AVERAGE(query(filter('Data Recording'!V:V,'Data Recording'!D:D=B17), ""Select Col1"")),""0.00"")"),0.7777777777777778)</f>
        <v>0.7777777778</v>
      </c>
      <c r="AS17" s="69">
        <f>IFERROR(__xludf.DUMMYFUNCTION("iferror(MAX(query(filter('Data Recording'!V:V,'Data Recording'!D:D=B17), ""Select Col1"")),""-"")"),2.0)</f>
        <v>2</v>
      </c>
      <c r="AT17" s="66">
        <f>IFERROR(__xludf.DUMMYFUNCTION("iferror(SUM(query(filter('Data Recording'!W:W,'Data Recording'!D:D=B17), ""Select Col1"")),""-"")"),8.0)</f>
        <v>8</v>
      </c>
      <c r="AU17" s="66">
        <f>IFERROR(__xludf.DUMMYFUNCTION("iferror(SUM(query(filter('Data Recording'!X:X,'Data Recording'!D:D=B17), ""Select Col1"")),""-"")"),8.0)</f>
        <v>8</v>
      </c>
      <c r="AV17" s="67">
        <f t="shared" si="9"/>
        <v>1</v>
      </c>
      <c r="AW17" s="68">
        <f>IFERROR(__xludf.DUMMYFUNCTION("iferror(AVERAGE(query(filter('Data Recording'!X:X,'Data Recording'!D:D=B17), ""Select Col1"")),""0.00"")"),1.1428571428571428)</f>
        <v>1.142857143</v>
      </c>
      <c r="AX17" s="69">
        <f>IFERROR(__xludf.DUMMYFUNCTION("iferror(MAX(query(filter('Data Recording'!X:X,'Data Recording'!D:D=B17), ""Select Col1"")),""-"")"),2.0)</f>
        <v>2</v>
      </c>
      <c r="AY17" s="66">
        <f>IFERROR(__xludf.DUMMYFUNCTION("iferror(SUM(query(filter('Data Recording'!Y:Y,'Data Recording'!D:D=B17), ""Select Col1"")),""-"")"),0.0)</f>
        <v>0</v>
      </c>
      <c r="AZ17" s="66">
        <f>IFERROR(__xludf.DUMMYFUNCTION("iferror(SUM(query(filter('Data Recording'!Z:Z,'Data Recording'!D:D=B17), ""Select Col1"")),""-"")"),0.0)</f>
        <v>0</v>
      </c>
      <c r="BA17" s="67" t="str">
        <f t="shared" si="10"/>
        <v>-</v>
      </c>
      <c r="BB17" s="68">
        <f>IFERROR(__xludf.DUMMYFUNCTION("iferror(AVERAGE(query(filter('Data Recording'!Z:Z,'Data Recording'!D:D=B17), ""Select Col1"")),""0.00"")"),0.0)</f>
        <v>0</v>
      </c>
      <c r="BC17" s="69">
        <f>IFERROR(__xludf.DUMMYFUNCTION("iferror(MAX(query(filter('Data Recording'!Z:Z,'Data Recording'!D:D=B17), ""Select Col1"")),""-"")"),0.0)</f>
        <v>0</v>
      </c>
      <c r="BD17" s="66">
        <f>IFERROR(__xludf.DUMMYFUNCTION("iferror(SUM(query(filter('Data Recording'!AA:AA,'Data Recording'!D:D=B17), ""Select Col1"")),""-"")"),28.0)</f>
        <v>28</v>
      </c>
      <c r="BE17" s="66">
        <f>IFERROR(__xludf.DUMMYFUNCTION("iferror(SUM(query(filter('Data Recording'!AB:AB,'Data Recording'!D:D=B17), ""Select Col1"")),""-"")"),28.0)</f>
        <v>28</v>
      </c>
      <c r="BF17" s="67">
        <f t="shared" si="11"/>
        <v>1</v>
      </c>
      <c r="BG17" s="68">
        <f>IFERROR(__xludf.DUMMYFUNCTION("iferror(AVERAGE(query(filter('Data Recording'!AB:AB,'Data Recording'!D:D=B17), ""Select Col1"")),""0.00"")"),1.75)</f>
        <v>1.75</v>
      </c>
      <c r="BH17" s="69">
        <f>IFERROR(__xludf.DUMMYFUNCTION("iferror(MAX(query(filter('Data Recording'!AB:AB,'Data Recording'!D:D=B17), ""Select Col1"")),""-"")"),3.0)</f>
        <v>3</v>
      </c>
      <c r="BI17" s="66">
        <f>IFERROR(__xludf.DUMMYFUNCTION("iferror(SUM(query(filter('Data Recording'!AC:AC,'Data Recording'!D:D=B17), ""Select Col1"")),""-"")"),22.0)</f>
        <v>22</v>
      </c>
      <c r="BJ17" s="66">
        <f>IFERROR(__xludf.DUMMYFUNCTION("iferror(SUM(query(filter('Data Recording'!AD:AD,'Data Recording'!D:D=B17), ""Select Col1"")),""-"")"),22.0)</f>
        <v>22</v>
      </c>
      <c r="BK17" s="67">
        <f t="shared" si="12"/>
        <v>1</v>
      </c>
      <c r="BL17" s="68">
        <f>IFERROR(__xludf.DUMMYFUNCTION("iferror(AVERAGE(query(filter('Data Recording'!AD:AD,'Data Recording'!D:D=B17), ""Select Col1"")),""0.00"")"),1.8333333333333333)</f>
        <v>1.833333333</v>
      </c>
      <c r="BM17" s="69">
        <f>IFERROR(__xludf.DUMMYFUNCTION("iferror(MAX(query(filter('Data Recording'!AD:AD,'Data Recording'!D:D=B17), ""Select Col1"")),""-"")"),4.0)</f>
        <v>4</v>
      </c>
      <c r="BN17" s="70" t="str">
        <f>IFERROR(__xludf.DUMMYFUNCTION("if(countif(query(filter('Data Recording'!AE:AE,'Data Recording'!D:D=B17), ""Select Col1""),""Yes, Engaged"")+countif(query(filter('Data Recording'!AE:AE,'Data Recording'!D:D=B17), ""Select Col1""),""Yes, Docked"")=0,""0"",countif(query(filter('Data Record"&amp;"ing'!AE:AE,'Data Recording'!D:D=B17), ""Select Col1""),""Yes, Engaged""))+countif(query(filter('Data Recording'!AE:AE,'Data Recording'!D:D=B17), ""Select Col1""),""Yes, Docked"") &amp; ""/"" &amp; if(COUNTA(query(ifna(filter('Data Recording'!AE:AE,'Data Recording"&amp;"'!D:D=B17),""""), ""Select Col1""))=0,""0"",COUNTA(query(ifna(filter('Data Recording'!AE:AE,'Data Recording'!D:D=B17),""""), ""Select Col1"")))"),"11/17")</f>
        <v>11/17</v>
      </c>
      <c r="BO17" s="71" t="str">
        <f>IFERROR(__xludf.DUMMYFUNCTION("if(countif(query(filter('Data Recording'!AE:AE,'Data Recording'!D:D=B17), ""Select Col1""),""Yes, Engaged"")=0,""0"",countif(query(filter('Data Recording'!AE:AE,'Data Recording'!D:D=B17), ""Select Col1""),""Yes, Engaged"")) &amp; ""/"" &amp; if(COUNTA(query(ifna("&amp;"filter('Data Recording'!AE:AE,'Data Recording'!D:D=B17),""""), ""Select Col1""))=0,""0"",COUNTA(query(ifna(filter('Data Recording'!AE:AE,'Data Recording'!D:D=B17),""""), ""Select Col1"")))"),"9/17")</f>
        <v>9/17</v>
      </c>
      <c r="BP17" s="64" t="str">
        <f>IFERROR(__xludf.DUMMYFUNCTION("if(countif(query(filter('Data Recording'!AH:AH,'Data Recording'!D:D=B17), ""Select Col1""),""Yes"")=0,""0"",countif(query(filter('Data Recording'!AH:AH,'Data Recording'!D:D=B17), ""Select Col1""),""Yes"")) &amp; ""/"" &amp; if(COUNTA(query(ifna(filter('Data Recor"&amp;"ding'!AH:AH,'Data Recording'!D:D=B17),""""), ""Select Col1""))=0,""0"",COUNTA(query(ifna(filter('Data Recording'!AH:AH,'Data Recording'!D:D=B17),""""), ""Select Col1"")))"),"0/17")</f>
        <v>0/17</v>
      </c>
      <c r="BQ17" s="72">
        <v>0.0</v>
      </c>
      <c r="BR17" s="60">
        <f>IFERROR(__xludf.DUMMYFUNCTION("iferror(average(query(filter('Data Recording'!AF:AF,'Data Recording'!D:D=B17), ""Select Col1"")),""-"")"),3.0)</f>
        <v>3</v>
      </c>
      <c r="BS17" s="73">
        <f>IFERROR(__xludf.DUMMYFUNCTION("iferror(average(query(filter('Data Recording'!AG:AG,'Data Recording'!D:D=B17), ""Select Col1"")),""-"")"),0.5294117647058824)</f>
        <v>0.5294117647</v>
      </c>
      <c r="BT17" s="74">
        <f t="shared" si="13"/>
        <v>37.39468864</v>
      </c>
      <c r="BU17" s="74">
        <f>IFERROR(__xludf.DUMMYFUNCTION("iferror(AVERAGE(query(filter('Data Recording'!AJ:AJ,'Data Recording'!D:D=B17), ""Select Col1"")),""-"")"),22.529411764705884)</f>
        <v>22.52941176</v>
      </c>
      <c r="BV17" s="74">
        <f>IFERROR(__xludf.DUMMYFUNCTION("iferror(AVERAGE(query(filter('Data Recording'!AK:AK,'Data Recording'!D:D=B17), ""Select Col1"")),""-"")"),13.352941176470589)</f>
        <v>13.35294118</v>
      </c>
      <c r="BW17" s="74">
        <f t="shared" si="14"/>
        <v>24.39468864</v>
      </c>
      <c r="BX17" s="75">
        <f>IFERROR(__xludf.DUMMYFUNCTION("iferror(max(query(filter('Data Recording'!AJ:AJ,'Data Recording'!D:D=B17), ""Select Col1"")),""-"")"),32.0)</f>
        <v>32</v>
      </c>
      <c r="BY17" s="76">
        <f>IFERROR(__xludf.DUMMYFUNCTION("iferror(MIN(query(filter('Data Recording'!AJ:AJ,'Data Recording'!D:D=B17), ""Select Col1"")),""-"")"),9.0)</f>
        <v>9</v>
      </c>
      <c r="BZ17" s="77" t="str">
        <f>IFERROR(__xludf.DUMMYFUNCTION("iferror(if(DIVIDE(COUNTIF(query(filter('Data Recording'!R:R,'Data Recording'!D:D=B17), ""Select Col1""),""Yes, Docked"") + countif(query(filter('Data Recording'!R:R,'Data Recording'!D:D=B17), ""Select Col1""),""Yes, Engaged""),COUNTA(query(ifna(filter('Da"&amp;"ta Recording'!R:R,'Data Recording'!D:D=B17),""""), ""Select Col1"")))&gt;=(0.5),""1"",""0""),""-"")"),"0")</f>
        <v>0</v>
      </c>
      <c r="CA17" s="5" t="str">
        <f>IFERROR(__xludf.DUMMYFUNCTION("iferror(if(countif(query(filter('Data Recording'!R:R,'Data Recording'!D:D=B17), ""Select Col1""),""Yes, Engaged"")/COUNTA(query(ifna(filter('Data Recording'!R:R,'Data Recording'!D:D=B17),""""), ""Select Col1""))&gt;=(0.5),""1"",""0""),""-"")"),"0")</f>
        <v>0</v>
      </c>
      <c r="CB17" s="78" t="str">
        <f>IFERROR(__xludf.DUMMYFUNCTION("iferror(if(DIVIDE(COUNTIF(query(filter('Data Recording'!AE:AE,'Data Recording'!D:D=B17), ""Select Col1""),""Yes, Docked"") + countif(query(filter('Data Recording'!AE:AE,'Data Recording'!D:D=B17), ""Select Col1""),""Yes, Engaged""),COUNTA(query(ifna(filter"&amp;"('Data Recording'!AE:AE,'Data Recording'!D:D=B17),""""), ""Select Col1"")))&gt;=(0.5),""1"",""0""),""-"")"),"1")</f>
        <v>1</v>
      </c>
      <c r="CC17" s="5" t="str">
        <f>IFERROR(__xludf.DUMMYFUNCTION("iferror(if(countif(query(filter('Data Recording'!AE:AE,'Data Recording'!D:D=B17), ""Select Col1""),""Yes, Engaged"")/COUNTA(query(ifna(filter('Data Recording'!AE:AE,'Data Recording'!D:D=B17),""""), ""Select Col1""))&gt;=(0.5),""1"",""0""),""-"")"),"1")</f>
        <v>1</v>
      </c>
      <c r="CD17" s="78" t="str">
        <f>IFERROR(__xludf.DUMMYFUNCTION("iferror(if(DIVIDE(countif(query(filter('Data Recording'!E:E,'Data Recording'!D:D=B17), ""Select Col1""),""Yes""),COUNTA(query(ifna(filter('Data Recording'!E:E,'Data Recording'!D:D=B17),""""), ""Select Col1"")))&gt;=(0.5),""1"",""0""),""-"")"),"1")</f>
        <v>1</v>
      </c>
    </row>
    <row r="18">
      <c r="A18" s="2" t="s">
        <v>127</v>
      </c>
      <c r="B18" s="2">
        <v>5067.0</v>
      </c>
      <c r="C18" s="57" t="str">
        <f>IFERROR(__xludf.DUMMYFUNCTION("if(countif(query(filter('Data Recording'!E:E,'Data Recording'!D:D=B18), ""Select Col1""),""Yes"")=0,""0"",countif(query(filter('Data Recording'!E:E,'Data Recording'!D:D=B18), ""Select Col1""),""Yes"")) &amp; ""/"" &amp; if(COUNTA(query(ifna(filter('Data Recording"&amp;"'!E:E,'Data Recording'!D:D=B18),""""), ""Select Col1""))=0,""0"",COUNTA(query(ifna(filter('Data Recording'!E:E,'Data Recording'!D:D=B18),""""), ""Select Col1"")))"),"5/6")</f>
        <v>5/6</v>
      </c>
      <c r="D18" s="58">
        <f>IFERROR(__xludf.DUMMYFUNCTION("iferror(SUM(query(filter('Data Recording'!F:F,'Data Recording'!D:D=B18), ""Select Col1"")),""-"")"),5.0)</f>
        <v>5</v>
      </c>
      <c r="E18" s="58">
        <f>IFERROR(__xludf.DUMMYFUNCTION("iferror(SUM(query(filter('Data Recording'!G:G,'Data Recording'!D:D=B18), ""Select Col1"")),""-"")"),2.0)</f>
        <v>2</v>
      </c>
      <c r="F18" s="59">
        <f t="shared" si="1"/>
        <v>0.4</v>
      </c>
      <c r="G18" s="60">
        <f>IFERROR(__xludf.DUMMYFUNCTION("iferror(AVERAGE(query(filter('Data Recording'!G:G,'Data Recording'!D:D=B18), ""Select Col1"")),""0.00"")"),0.4)</f>
        <v>0.4</v>
      </c>
      <c r="H18" s="58">
        <f>IFERROR(__xludf.DUMMYFUNCTION("iferror(MAX(query(filter('Data Recording'!G:G,'Data Recording'!D:D=B18), ""Select Col1"")),""-"")"),1.0)</f>
        <v>1</v>
      </c>
      <c r="I18" s="61">
        <f>IFERROR(__xludf.DUMMYFUNCTION("iferror(SUM(query(filter('Data Recording'!H:H,'Data Recording'!D:D=B18), ""Select Col1"")),""-"")"),1.0)</f>
        <v>1</v>
      </c>
      <c r="J18" s="62">
        <f>IFERROR(__xludf.DUMMYFUNCTION("iferror(SUM(query(filter('Data Recording'!I:I,'Data Recording'!D:D=B18), ""Select Col1"")),""-"")"),0.0)</f>
        <v>0</v>
      </c>
      <c r="K18" s="59">
        <f t="shared" si="2"/>
        <v>0</v>
      </c>
      <c r="L18" s="60">
        <f>IFERROR(__xludf.DUMMYFUNCTION("iferror(AVERAGE(query(filter('Data Recording'!I:I,'Data Recording'!D:D=B18), ""Select Col1"")),""0.00"")"),0.0)</f>
        <v>0</v>
      </c>
      <c r="M18" s="58">
        <f>IFERROR(__xludf.DUMMYFUNCTION("iferror(MAX(query(filter('Data Recording'!I:I,'Data Recording'!D:D=B18), ""Select Col1"")),""-"")"),0.0)</f>
        <v>0</v>
      </c>
      <c r="N18" s="63">
        <f>IFERROR(__xludf.DUMMYFUNCTION("iferror(SUM(query(filter('Data Recording'!J:J,'Data Recording'!D:D=B18), ""Select Col1"")),""-"")"),0.0)</f>
        <v>0</v>
      </c>
      <c r="O18" s="5">
        <f>IFERROR(__xludf.DUMMYFUNCTION("iferror(SUM(query(filter('Data Recording'!K:K,'Data Recording'!D:D=B18), ""Select Col1"")),""-"")"),1.0)</f>
        <v>1</v>
      </c>
      <c r="P18" s="59" t="str">
        <f t="shared" si="3"/>
        <v>-</v>
      </c>
      <c r="Q18" s="60">
        <f>IFERROR(__xludf.DUMMYFUNCTION("iferror(AVERAGE(query(filter('Data Recording'!K:K,'Data Recording'!D:D=B18), ""Select Col1"")),""0.00"")"),1.0)</f>
        <v>1</v>
      </c>
      <c r="R18" s="58">
        <f>IFERROR(__xludf.DUMMYFUNCTION("iferror(MAX(query(filter('Data Recording'!K:K,'Data Recording'!D:D=B18), ""Select Col1"")),""-"")"),1.0)</f>
        <v>1</v>
      </c>
      <c r="S18" s="63">
        <f>IFERROR(__xludf.DUMMYFUNCTION("iferror(SUM(query(filter('Data Recording'!L:L,'Data Recording'!D:D=B18), ""Select Col1"")),""-"")"),0.0)</f>
        <v>0</v>
      </c>
      <c r="T18" s="5">
        <f>IFERROR(__xludf.DUMMYFUNCTION("iferror(SUM(query(filter('Data Recording'!M:M,'Data Recording'!D:D=B18), ""Select Col1"")),""-"")"),0.0)</f>
        <v>0</v>
      </c>
      <c r="U18" s="59" t="str">
        <f t="shared" si="4"/>
        <v>-</v>
      </c>
      <c r="V18" s="60" t="str">
        <f>IFERROR(__xludf.DUMMYFUNCTION("iferror(AVERAGE(query(filter('Data Recording'!M:M,'Data Recording'!D:D=B18), ""Select Col1"")),""-"")"),"-")</f>
        <v>-</v>
      </c>
      <c r="W18" s="57">
        <f>IFERROR(__xludf.DUMMYFUNCTION("iferror(MAX(query(filter('Data Recording'!M:M,'Data Recording'!D:D=B18), ""Select Col1"")),""-"")"),0.0)</f>
        <v>0</v>
      </c>
      <c r="X18" s="5">
        <f>IFERROR(__xludf.DUMMYFUNCTION("iferror(SUM(query(filter('Data Recording'!N:N,'Data Recording'!D:D=B18), ""Select Col1"")),""-"")"),0.0)</f>
        <v>0</v>
      </c>
      <c r="Y18" s="5">
        <f>IFERROR(__xludf.DUMMYFUNCTION("iferror(SUM(query(filter('Data Recording'!O:O,'Data Recording'!D:D=B18), ""Select Col1"")),""-"")"),0.0)</f>
        <v>0</v>
      </c>
      <c r="Z18" s="59" t="str">
        <f t="shared" si="5"/>
        <v>-</v>
      </c>
      <c r="AA18" s="60" t="str">
        <f>IFERROR(__xludf.DUMMYFUNCTION("iferror(AVERAGE(query(filter('Data Recording'!O:O,'Data Recording'!D:D=B18), ""Select Col1"")),""0.00"")"),"0.00")</f>
        <v>0.00</v>
      </c>
      <c r="AB18" s="57">
        <f>IFERROR(__xludf.DUMMYFUNCTION("iferror(MAX(query(filter('Data Recording'!O:O,'Data Recording'!D:D=B18), ""Select Col1"")),""-"")"),0.0)</f>
        <v>0</v>
      </c>
      <c r="AC18" s="5">
        <f>IFERROR(__xludf.DUMMYFUNCTION("iferror(SUM(query(filter('Data Recording'!P:P,'Data Recording'!D:D=B18), ""Select Col1"")),""-"")"),0.0)</f>
        <v>0</v>
      </c>
      <c r="AD18" s="5">
        <f>IFERROR(__xludf.DUMMYFUNCTION("iferror(SUM(query(filter('Data Recording'!Q:Q,'Data Recording'!D:D=B18), ""Select Col1"")),""-"")"),0.0)</f>
        <v>0</v>
      </c>
      <c r="AE18" s="59" t="str">
        <f t="shared" si="6"/>
        <v>-</v>
      </c>
      <c r="AF18" s="60" t="str">
        <f>IFERROR(__xludf.DUMMYFUNCTION("iferror(AVERAGE(query(filter('Data Recording'!Q:Q,'Data Recording'!D:D=B18), ""Select Col1"")),""0.00"")"),"0.00")</f>
        <v>0.00</v>
      </c>
      <c r="AG18" s="5">
        <f>IFERROR(__xludf.DUMMYFUNCTION("iferror(MAX(query(filter('Data Recording'!Q:Q,'Data Recording'!D:D=B18), ""Select Col1"")),""-"")"),0.0)</f>
        <v>0</v>
      </c>
      <c r="AH18" s="63" t="str">
        <f>IFERROR(__xludf.DUMMYFUNCTION("if(countif(query(filter('Data Recording'!R:R,'Data Recording'!D:D=B18), ""Select Col1""),""Yes, Engaged"")+countif(query(filter('Data Recording'!R:R,'Data Recording'!D:D=B18), ""Select Col1""),""Yes, Docked"")=0,""0"",countif(query(filter('Data Recording'"&amp;"!R:R,'Data Recording'!D:D=B18), ""Select Col1""),""Yes, Engaged""))+countif(query(filter('Data Recording'!R:R,'Data Recording'!D:D=B18), ""Select Col1""),""Yes, Docked"") &amp; ""/"" &amp; if(COUNTA(query(ifna(filter('Data Recording'!R:R,'Data Recording'!D:D=B18)"&amp;",""""), ""Select Col1""))=0,""0"",COUNTA(query(ifna(filter('Data Recording'!R:R,'Data Recording'!D:D=B18),""""), ""Select Col1"")))"),"1/6")</f>
        <v>1/6</v>
      </c>
      <c r="AI18" s="64" t="str">
        <f>IFERROR(__xludf.DUMMYFUNCTION("if(countif(query(filter('Data Recording'!R:R,'Data Recording'!D:D=B18), ""Select Col1""),""Yes, Engaged"")=0,""0"",countif(query(filter('Data Recording'!R:R,'Data Recording'!D:D=B18), ""Select Col1""),""Yes, Engaged"")) &amp; ""/"" &amp; if(COUNTA(query(ifna(filt"&amp;"er('Data Recording'!R:R,'Data Recording'!D:D=B18),""""), ""Select Col1""))=0,""0"",COUNTA(query(ifna(filter('Data Recording'!R:R,'Data Recording'!D:D=B18),""""), ""Select Col1"")))"),"0/6")</f>
        <v>0/6</v>
      </c>
      <c r="AJ18" s="5">
        <f>IFERROR(__xludf.DUMMYFUNCTION("iferror(SUM(query(filter('Data Recording'!S:S,'Data Recording'!D:D=B18), ""Select Col1"")),""-"")"),7.0)</f>
        <v>7</v>
      </c>
      <c r="AK18" s="5">
        <f>IFERROR(__xludf.DUMMYFUNCTION("iferror(SUM(query(filter('Data Recording'!T:T,'Data Recording'!D:D=B18), ""Select Col1"")),""-"")"),7.0)</f>
        <v>7</v>
      </c>
      <c r="AL18" s="59">
        <f t="shared" si="7"/>
        <v>1</v>
      </c>
      <c r="AM18" s="60">
        <f>IFERROR(__xludf.DUMMYFUNCTION("iferror(AVERAGE(query(filter('Data Recording'!T:T,'Data Recording'!D:D=B18), ""Select Col1"")),""0.00"")"),1.75)</f>
        <v>1.75</v>
      </c>
      <c r="AN18" s="65">
        <f>IFERROR(__xludf.DUMMYFUNCTION("iferror(MAX(query(filter('Data Recording'!T:T,'Data Recording'!D:D=B18), ""Select Col1"")),""-"")"),2.0)</f>
        <v>2</v>
      </c>
      <c r="AO18" s="66">
        <f>IFERROR(__xludf.DUMMYFUNCTION("iferror(SUM(query(filter('Data Recording'!U:U,'Data Recording'!D:D=B18), ""Select Col1"")),""-"")"),0.0)</f>
        <v>0</v>
      </c>
      <c r="AP18" s="66">
        <f>IFERROR(__xludf.DUMMYFUNCTION("iferror(SUM(query(filter('Data Recording'!V:V,'Data Recording'!D:D=B18), ""Select Col1"")),""-"")"),0.0)</f>
        <v>0</v>
      </c>
      <c r="AQ18" s="67" t="str">
        <f t="shared" si="8"/>
        <v>-</v>
      </c>
      <c r="AR18" s="68" t="str">
        <f>IFERROR(__xludf.DUMMYFUNCTION("iferror(AVERAGE(query(filter('Data Recording'!V:V,'Data Recording'!D:D=B18), ""Select Col1"")),""0.00"")"),"0.00")</f>
        <v>0.00</v>
      </c>
      <c r="AS18" s="69">
        <f>IFERROR(__xludf.DUMMYFUNCTION("iferror(MAX(query(filter('Data Recording'!V:V,'Data Recording'!D:D=B18), ""Select Col1"")),""-"")"),0.0)</f>
        <v>0</v>
      </c>
      <c r="AT18" s="66">
        <f>IFERROR(__xludf.DUMMYFUNCTION("iferror(SUM(query(filter('Data Recording'!W:W,'Data Recording'!D:D=B18), ""Select Col1"")),""-"")"),0.0)</f>
        <v>0</v>
      </c>
      <c r="AU18" s="66">
        <f>IFERROR(__xludf.DUMMYFUNCTION("iferror(SUM(query(filter('Data Recording'!X:X,'Data Recording'!D:D=B18), ""Select Col1"")),""-"")"),0.0)</f>
        <v>0</v>
      </c>
      <c r="AV18" s="67" t="str">
        <f t="shared" si="9"/>
        <v>-</v>
      </c>
      <c r="AW18" s="68" t="str">
        <f>IFERROR(__xludf.DUMMYFUNCTION("iferror(AVERAGE(query(filter('Data Recording'!X:X,'Data Recording'!D:D=B18), ""Select Col1"")),""0.00"")"),"0.00")</f>
        <v>0.00</v>
      </c>
      <c r="AX18" s="69">
        <f>IFERROR(__xludf.DUMMYFUNCTION("iferror(MAX(query(filter('Data Recording'!X:X,'Data Recording'!D:D=B18), ""Select Col1"")),""-"")"),0.0)</f>
        <v>0</v>
      </c>
      <c r="AY18" s="66">
        <f>IFERROR(__xludf.DUMMYFUNCTION("iferror(SUM(query(filter('Data Recording'!Y:Y,'Data Recording'!D:D=B18), ""Select Col1"")),""-"")"),3.0)</f>
        <v>3</v>
      </c>
      <c r="AZ18" s="66">
        <f>IFERROR(__xludf.DUMMYFUNCTION("iferror(SUM(query(filter('Data Recording'!Z:Z,'Data Recording'!D:D=B18), ""Select Col1"")),""-"")"),3.0)</f>
        <v>3</v>
      </c>
      <c r="BA18" s="67">
        <f t="shared" si="10"/>
        <v>1</v>
      </c>
      <c r="BB18" s="68">
        <f>IFERROR(__xludf.DUMMYFUNCTION("iferror(AVERAGE(query(filter('Data Recording'!Z:Z,'Data Recording'!D:D=B18), ""Select Col1"")),""0.00"")"),1.0)</f>
        <v>1</v>
      </c>
      <c r="BC18" s="69">
        <f>IFERROR(__xludf.DUMMYFUNCTION("iferror(MAX(query(filter('Data Recording'!Z:Z,'Data Recording'!D:D=B18), ""Select Col1"")),""-"")"),1.0)</f>
        <v>1</v>
      </c>
      <c r="BD18" s="66">
        <f>IFERROR(__xludf.DUMMYFUNCTION("iferror(SUM(query(filter('Data Recording'!AA:AA,'Data Recording'!D:D=B18), ""Select Col1"")),""-"")"),0.0)</f>
        <v>0</v>
      </c>
      <c r="BE18" s="66">
        <f>IFERROR(__xludf.DUMMYFUNCTION("iferror(SUM(query(filter('Data Recording'!AB:AB,'Data Recording'!D:D=B18), ""Select Col1"")),""-"")"),0.0)</f>
        <v>0</v>
      </c>
      <c r="BF18" s="67" t="str">
        <f t="shared" si="11"/>
        <v>-</v>
      </c>
      <c r="BG18" s="68" t="str">
        <f>IFERROR(__xludf.DUMMYFUNCTION("iferror(AVERAGE(query(filter('Data Recording'!AB:AB,'Data Recording'!D:D=B18), ""Select Col1"")),""0.00"")"),"0.00")</f>
        <v>0.00</v>
      </c>
      <c r="BH18" s="69">
        <f>IFERROR(__xludf.DUMMYFUNCTION("iferror(MAX(query(filter('Data Recording'!AB:AB,'Data Recording'!D:D=B18), ""Select Col1"")),""-"")"),0.0)</f>
        <v>0</v>
      </c>
      <c r="BI18" s="66">
        <f>IFERROR(__xludf.DUMMYFUNCTION("iferror(SUM(query(filter('Data Recording'!AC:AC,'Data Recording'!D:D=B18), ""Select Col1"")),""-"")"),0.0)</f>
        <v>0</v>
      </c>
      <c r="BJ18" s="66">
        <f>IFERROR(__xludf.DUMMYFUNCTION("iferror(SUM(query(filter('Data Recording'!AD:AD,'Data Recording'!D:D=B18), ""Select Col1"")),""-"")"),0.0)</f>
        <v>0</v>
      </c>
      <c r="BK18" s="67" t="str">
        <f t="shared" si="12"/>
        <v>-</v>
      </c>
      <c r="BL18" s="68" t="str">
        <f>IFERROR(__xludf.DUMMYFUNCTION("iferror(AVERAGE(query(filter('Data Recording'!AD:AD,'Data Recording'!D:D=B18), ""Select Col1"")),""0.00"")"),"0.00")</f>
        <v>0.00</v>
      </c>
      <c r="BM18" s="69">
        <f>IFERROR(__xludf.DUMMYFUNCTION("iferror(MAX(query(filter('Data Recording'!AD:AD,'Data Recording'!D:D=B18), ""Select Col1"")),""-"")"),0.0)</f>
        <v>0</v>
      </c>
      <c r="BN18" s="70" t="str">
        <f>IFERROR(__xludf.DUMMYFUNCTION("if(countif(query(filter('Data Recording'!AE:AE,'Data Recording'!D:D=B18), ""Select Col1""),""Yes, Engaged"")+countif(query(filter('Data Recording'!AE:AE,'Data Recording'!D:D=B18), ""Select Col1""),""Yes, Docked"")=0,""0"",countif(query(filter('Data Record"&amp;"ing'!AE:AE,'Data Recording'!D:D=B18), ""Select Col1""),""Yes, Engaged""))+countif(query(filter('Data Recording'!AE:AE,'Data Recording'!D:D=B18), ""Select Col1""),""Yes, Docked"") &amp; ""/"" &amp; if(COUNTA(query(ifna(filter('Data Recording'!AE:AE,'Data Recording"&amp;"'!D:D=B18),""""), ""Select Col1""))=0,""0"",COUNTA(query(ifna(filter('Data Recording'!AE:AE,'Data Recording'!D:D=B18),""""), ""Select Col1"")))"),"4/6")</f>
        <v>4/6</v>
      </c>
      <c r="BO18" s="71" t="str">
        <f>IFERROR(__xludf.DUMMYFUNCTION("if(countif(query(filter('Data Recording'!AE:AE,'Data Recording'!D:D=B18), ""Select Col1""),""Yes, Engaged"")=0,""0"",countif(query(filter('Data Recording'!AE:AE,'Data Recording'!D:D=B18), ""Select Col1""),""Yes, Engaged"")) &amp; ""/"" &amp; if(COUNTA(query(ifna("&amp;"filter('Data Recording'!AE:AE,'Data Recording'!D:D=B18),""""), ""Select Col1""))=0,""0"",COUNTA(query(ifna(filter('Data Recording'!AE:AE,'Data Recording'!D:D=B18),""""), ""Select Col1"")))"),"4/6")</f>
        <v>4/6</v>
      </c>
      <c r="BP18" s="64" t="str">
        <f>IFERROR(__xludf.DUMMYFUNCTION("if(countif(query(filter('Data Recording'!AH:AH,'Data Recording'!D:D=B18), ""Select Col1""),""Yes"")=0,""0"",countif(query(filter('Data Recording'!AH:AH,'Data Recording'!D:D=B18), ""Select Col1""),""Yes"")) &amp; ""/"" &amp; if(COUNTA(query(ifna(filter('Data Recor"&amp;"ding'!AH:AH,'Data Recording'!D:D=B18),""""), ""Select Col1""))=0,""0"",COUNTA(query(ifna(filter('Data Recording'!AH:AH,'Data Recording'!D:D=B18),""""), ""Select Col1"")))"),"1/6")</f>
        <v>1/6</v>
      </c>
      <c r="BQ18" s="79">
        <v>0.1666</v>
      </c>
      <c r="BR18" s="60">
        <f>IFERROR(__xludf.DUMMYFUNCTION("iferror(average(query(filter('Data Recording'!AF:AF,'Data Recording'!D:D=B18), ""Select Col1"")),""-"")"),2.0)</f>
        <v>2</v>
      </c>
      <c r="BS18" s="73">
        <f>IFERROR(__xludf.DUMMYFUNCTION("iferror(average(query(filter('Data Recording'!AG:AG,'Data Recording'!D:D=B18), ""Select Col1"")),""-"")"),1.1666666666666667)</f>
        <v>1.166666667</v>
      </c>
      <c r="BT18" s="74">
        <f t="shared" si="13"/>
        <v>32.15</v>
      </c>
      <c r="BU18" s="74">
        <f>IFERROR(__xludf.DUMMYFUNCTION("iferror(AVERAGE(query(filter('Data Recording'!AJ:AJ,'Data Recording'!D:D=B18), ""Select Col1"")),""-"")"),21.833333333333332)</f>
        <v>21.83333333</v>
      </c>
      <c r="BV18" s="74">
        <f>IFERROR(__xludf.DUMMYFUNCTION("iferror(AVERAGE(query(filter('Data Recording'!AK:AK,'Data Recording'!D:D=B18), ""Select Col1"")),""-"")"),10.833333333333334)</f>
        <v>10.83333333</v>
      </c>
      <c r="BW18" s="74">
        <f t="shared" si="14"/>
        <v>19.15</v>
      </c>
      <c r="BX18" s="75">
        <f>IFERROR(__xludf.DUMMYFUNCTION("iferror(max(query(filter('Data Recording'!AJ:AJ,'Data Recording'!D:D=B18), ""Select Col1"")),""-"")"),36.0)</f>
        <v>36</v>
      </c>
      <c r="BY18" s="76">
        <f>IFERROR(__xludf.DUMMYFUNCTION("iferror(MIN(query(filter('Data Recording'!AJ:AJ,'Data Recording'!D:D=B18), ""Select Col1"")),""-"")"),13.0)</f>
        <v>13</v>
      </c>
      <c r="BZ18" s="77" t="str">
        <f>IFERROR(__xludf.DUMMYFUNCTION("iferror(if(DIVIDE(COUNTIF(query(filter('Data Recording'!R:R,'Data Recording'!D:D=B18), ""Select Col1""),""Yes, Docked"") + countif(query(filter('Data Recording'!R:R,'Data Recording'!D:D=B18), ""Select Col1""),""Yes, Engaged""),COUNTA(query(ifna(filter('Da"&amp;"ta Recording'!R:R,'Data Recording'!D:D=B18),""""), ""Select Col1"")))&gt;=(0.5),""1"",""0""),""-"")"),"0")</f>
        <v>0</v>
      </c>
      <c r="CA18" s="5" t="str">
        <f>IFERROR(__xludf.DUMMYFUNCTION("iferror(if(countif(query(filter('Data Recording'!R:R,'Data Recording'!D:D=B18), ""Select Col1""),""Yes, Engaged"")/COUNTA(query(ifna(filter('Data Recording'!R:R,'Data Recording'!D:D=B18),""""), ""Select Col1""))&gt;=(0.5),""1"",""0""),""-"")"),"0")</f>
        <v>0</v>
      </c>
      <c r="CB18" s="78" t="str">
        <f>IFERROR(__xludf.DUMMYFUNCTION("iferror(if(DIVIDE(COUNTIF(query(filter('Data Recording'!AE:AE,'Data Recording'!D:D=B18), ""Select Col1""),""Yes, Docked"") + countif(query(filter('Data Recording'!AE:AE,'Data Recording'!D:D=B18), ""Select Col1""),""Yes, Engaged""),COUNTA(query(ifna(filter"&amp;"('Data Recording'!AE:AE,'Data Recording'!D:D=B18),""""), ""Select Col1"")))&gt;=(0.5),""1"",""0""),""-"")"),"1")</f>
        <v>1</v>
      </c>
      <c r="CC18" s="5" t="str">
        <f>IFERROR(__xludf.DUMMYFUNCTION("iferror(if(countif(query(filter('Data Recording'!AE:AE,'Data Recording'!D:D=B18), ""Select Col1""),""Yes, Engaged"")/COUNTA(query(ifna(filter('Data Recording'!AE:AE,'Data Recording'!D:D=B18),""""), ""Select Col1""))&gt;=(0.5),""1"",""0""),""-"")"),"1")</f>
        <v>1</v>
      </c>
      <c r="CD18" s="78" t="str">
        <f>IFERROR(__xludf.DUMMYFUNCTION("iferror(if(DIVIDE(countif(query(filter('Data Recording'!E:E,'Data Recording'!D:D=B18), ""Select Col1""),""Yes""),COUNTA(query(ifna(filter('Data Recording'!E:E,'Data Recording'!D:D=B18),""""), ""Select Col1"")))&gt;=(0.5),""1"",""0""),""-"")"),"1")</f>
        <v>1</v>
      </c>
    </row>
    <row r="19">
      <c r="A19" s="2" t="s">
        <v>128</v>
      </c>
      <c r="B19" s="2">
        <v>3707.0</v>
      </c>
      <c r="C19" s="57" t="str">
        <f>IFERROR(__xludf.DUMMYFUNCTION("if(countif(query(filter('Data Recording'!E:E,'Data Recording'!D:D=B19), ""Select Col1""),""Yes"")=0,""0"",countif(query(filter('Data Recording'!E:E,'Data Recording'!D:D=B19), ""Select Col1""),""Yes"")) &amp; ""/"" &amp; if(COUNTA(query(ifna(filter('Data Recording"&amp;"'!E:E,'Data Recording'!D:D=B19),""""), ""Select Col1""))=0,""0"",COUNTA(query(ifna(filter('Data Recording'!E:E,'Data Recording'!D:D=B19),""""), ""Select Col1"")))"),"12/14")</f>
        <v>12/14</v>
      </c>
      <c r="D19" s="58">
        <f>IFERROR(__xludf.DUMMYFUNCTION("iferror(SUM(query(filter('Data Recording'!F:F,'Data Recording'!D:D=B19), ""Select Col1"")),""-"")"),0.0)</f>
        <v>0</v>
      </c>
      <c r="E19" s="58">
        <f>IFERROR(__xludf.DUMMYFUNCTION("iferror(SUM(query(filter('Data Recording'!G:G,'Data Recording'!D:D=B19), ""Select Col1"")),""-"")"),0.0)</f>
        <v>0</v>
      </c>
      <c r="F19" s="59" t="str">
        <f t="shared" si="1"/>
        <v>-</v>
      </c>
      <c r="G19" s="60">
        <f>IFERROR(__xludf.DUMMYFUNCTION("iferror(AVERAGE(query(filter('Data Recording'!G:G,'Data Recording'!D:D=B19), ""Select Col1"")),""0.00"")"),0.0)</f>
        <v>0</v>
      </c>
      <c r="H19" s="58">
        <f>IFERROR(__xludf.DUMMYFUNCTION("iferror(MAX(query(filter('Data Recording'!G:G,'Data Recording'!D:D=B19), ""Select Col1"")),""-"")"),0.0)</f>
        <v>0</v>
      </c>
      <c r="I19" s="61">
        <f>IFERROR(__xludf.DUMMYFUNCTION("iferror(SUM(query(filter('Data Recording'!H:H,'Data Recording'!D:D=B19), ""Select Col1"")),""-"")"),0.0)</f>
        <v>0</v>
      </c>
      <c r="J19" s="62">
        <f>IFERROR(__xludf.DUMMYFUNCTION("iferror(SUM(query(filter('Data Recording'!I:I,'Data Recording'!D:D=B19), ""Select Col1"")),""-"")"),0.0)</f>
        <v>0</v>
      </c>
      <c r="K19" s="59" t="str">
        <f t="shared" si="2"/>
        <v>-</v>
      </c>
      <c r="L19" s="60">
        <f>IFERROR(__xludf.DUMMYFUNCTION("iferror(AVERAGE(query(filter('Data Recording'!I:I,'Data Recording'!D:D=B19), ""Select Col1"")),""0.00"")"),0.0)</f>
        <v>0</v>
      </c>
      <c r="M19" s="58">
        <f>IFERROR(__xludf.DUMMYFUNCTION("iferror(MAX(query(filter('Data Recording'!I:I,'Data Recording'!D:D=B19), ""Select Col1"")),""-"")"),0.0)</f>
        <v>0</v>
      </c>
      <c r="N19" s="63">
        <f>IFERROR(__xludf.DUMMYFUNCTION("iferror(SUM(query(filter('Data Recording'!J:J,'Data Recording'!D:D=B19), ""Select Col1"")),""-"")"),0.0)</f>
        <v>0</v>
      </c>
      <c r="O19" s="5">
        <f>IFERROR(__xludf.DUMMYFUNCTION("iferror(SUM(query(filter('Data Recording'!K:K,'Data Recording'!D:D=B19), ""Select Col1"")),""-"")"),0.0)</f>
        <v>0</v>
      </c>
      <c r="P19" s="59" t="str">
        <f t="shared" si="3"/>
        <v>-</v>
      </c>
      <c r="Q19" s="60">
        <f>IFERROR(__xludf.DUMMYFUNCTION("iferror(AVERAGE(query(filter('Data Recording'!K:K,'Data Recording'!D:D=B19), ""Select Col1"")),""0.00"")"),0.0)</f>
        <v>0</v>
      </c>
      <c r="R19" s="58">
        <f>IFERROR(__xludf.DUMMYFUNCTION("iferror(MAX(query(filter('Data Recording'!K:K,'Data Recording'!D:D=B19), ""Select Col1"")),""-"")"),0.0)</f>
        <v>0</v>
      </c>
      <c r="S19" s="63">
        <f>IFERROR(__xludf.DUMMYFUNCTION("iferror(SUM(query(filter('Data Recording'!L:L,'Data Recording'!D:D=B19), ""Select Col1"")),""-"")"),0.0)</f>
        <v>0</v>
      </c>
      <c r="T19" s="5">
        <f>IFERROR(__xludf.DUMMYFUNCTION("iferror(SUM(query(filter('Data Recording'!M:M,'Data Recording'!D:D=B19), ""Select Col1"")),""-"")"),0.0)</f>
        <v>0</v>
      </c>
      <c r="U19" s="59" t="str">
        <f t="shared" si="4"/>
        <v>-</v>
      </c>
      <c r="V19" s="60">
        <f>IFERROR(__xludf.DUMMYFUNCTION("iferror(AVERAGE(query(filter('Data Recording'!M:M,'Data Recording'!D:D=B19), ""Select Col1"")),""-"")"),0.0)</f>
        <v>0</v>
      </c>
      <c r="W19" s="57">
        <f>IFERROR(__xludf.DUMMYFUNCTION("iferror(MAX(query(filter('Data Recording'!M:M,'Data Recording'!D:D=B19), ""Select Col1"")),""-"")"),0.0)</f>
        <v>0</v>
      </c>
      <c r="X19" s="5">
        <f>IFERROR(__xludf.DUMMYFUNCTION("iferror(SUM(query(filter('Data Recording'!N:N,'Data Recording'!D:D=B19), ""Select Col1"")),""-"")"),0.0)</f>
        <v>0</v>
      </c>
      <c r="Y19" s="5">
        <f>IFERROR(__xludf.DUMMYFUNCTION("iferror(SUM(query(filter('Data Recording'!O:O,'Data Recording'!D:D=B19), ""Select Col1"")),""-"")"),0.0)</f>
        <v>0</v>
      </c>
      <c r="Z19" s="59" t="str">
        <f t="shared" si="5"/>
        <v>-</v>
      </c>
      <c r="AA19" s="60">
        <f>IFERROR(__xludf.DUMMYFUNCTION("iferror(AVERAGE(query(filter('Data Recording'!O:O,'Data Recording'!D:D=B19), ""Select Col1"")),""0.00"")"),0.0)</f>
        <v>0</v>
      </c>
      <c r="AB19" s="57">
        <f>IFERROR(__xludf.DUMMYFUNCTION("iferror(MAX(query(filter('Data Recording'!O:O,'Data Recording'!D:D=B19), ""Select Col1"")),""-"")"),0.0)</f>
        <v>0</v>
      </c>
      <c r="AC19" s="5">
        <f>IFERROR(__xludf.DUMMYFUNCTION("iferror(SUM(query(filter('Data Recording'!P:P,'Data Recording'!D:D=B19), ""Select Col1"")),""-"")"),0.0)</f>
        <v>0</v>
      </c>
      <c r="AD19" s="5">
        <f>IFERROR(__xludf.DUMMYFUNCTION("iferror(SUM(query(filter('Data Recording'!Q:Q,'Data Recording'!D:D=B19), ""Select Col1"")),""-"")"),0.0)</f>
        <v>0</v>
      </c>
      <c r="AE19" s="59" t="str">
        <f t="shared" si="6"/>
        <v>-</v>
      </c>
      <c r="AF19" s="60">
        <f>IFERROR(__xludf.DUMMYFUNCTION("iferror(AVERAGE(query(filter('Data Recording'!Q:Q,'Data Recording'!D:D=B19), ""Select Col1"")),""0.00"")"),0.0)</f>
        <v>0</v>
      </c>
      <c r="AG19" s="5">
        <f>IFERROR(__xludf.DUMMYFUNCTION("iferror(MAX(query(filter('Data Recording'!Q:Q,'Data Recording'!D:D=B19), ""Select Col1"")),""-"")"),0.0)</f>
        <v>0</v>
      </c>
      <c r="AH19" s="63" t="str">
        <f>IFERROR(__xludf.DUMMYFUNCTION("if(countif(query(filter('Data Recording'!R:R,'Data Recording'!D:D=B19), ""Select Col1""),""Yes, Engaged"")+countif(query(filter('Data Recording'!R:R,'Data Recording'!D:D=B19), ""Select Col1""),""Yes, Docked"")=0,""0"",countif(query(filter('Data Recording'"&amp;"!R:R,'Data Recording'!D:D=B19), ""Select Col1""),""Yes, Engaged""))+countif(query(filter('Data Recording'!R:R,'Data Recording'!D:D=B19), ""Select Col1""),""Yes, Docked"") &amp; ""/"" &amp; if(COUNTA(query(ifna(filter('Data Recording'!R:R,'Data Recording'!D:D=B19)"&amp;",""""), ""Select Col1""))=0,""0"",COUNTA(query(ifna(filter('Data Recording'!R:R,'Data Recording'!D:D=B19),""""), ""Select Col1"")))"),"5/14")</f>
        <v>5/14</v>
      </c>
      <c r="AI19" s="64" t="str">
        <f>IFERROR(__xludf.DUMMYFUNCTION("if(countif(query(filter('Data Recording'!R:R,'Data Recording'!D:D=B19), ""Select Col1""),""Yes, Engaged"")=0,""0"",countif(query(filter('Data Recording'!R:R,'Data Recording'!D:D=B19), ""Select Col1""),""Yes, Engaged"")) &amp; ""/"" &amp; if(COUNTA(query(ifna(filt"&amp;"er('Data Recording'!R:R,'Data Recording'!D:D=B19),""""), ""Select Col1""))=0,""0"",COUNTA(query(ifna(filter('Data Recording'!R:R,'Data Recording'!D:D=B19),""""), ""Select Col1"")))"),"4/14")</f>
        <v>4/14</v>
      </c>
      <c r="AJ19" s="5">
        <f>IFERROR(__xludf.DUMMYFUNCTION("iferror(SUM(query(filter('Data Recording'!S:S,'Data Recording'!D:D=B19), ""Select Col1"")),""-"")"),0.0)</f>
        <v>0</v>
      </c>
      <c r="AK19" s="5">
        <f>IFERROR(__xludf.DUMMYFUNCTION("iferror(SUM(query(filter('Data Recording'!T:T,'Data Recording'!D:D=B19), ""Select Col1"")),""-"")"),0.0)</f>
        <v>0</v>
      </c>
      <c r="AL19" s="59" t="str">
        <f t="shared" si="7"/>
        <v>-</v>
      </c>
      <c r="AM19" s="60" t="str">
        <f>IFERROR(__xludf.DUMMYFUNCTION("iferror(AVERAGE(query(filter('Data Recording'!T:T,'Data Recording'!D:D=B19), ""Select Col1"")),""0.00"")"),"0.00")</f>
        <v>0.00</v>
      </c>
      <c r="AN19" s="65">
        <f>IFERROR(__xludf.DUMMYFUNCTION("iferror(MAX(query(filter('Data Recording'!T:T,'Data Recording'!D:D=B19), ""Select Col1"")),""-"")"),0.0)</f>
        <v>0</v>
      </c>
      <c r="AO19" s="66">
        <f>IFERROR(__xludf.DUMMYFUNCTION("iferror(SUM(query(filter('Data Recording'!U:U,'Data Recording'!D:D=B19), ""Select Col1"")),""-"")"),1.0)</f>
        <v>1</v>
      </c>
      <c r="AP19" s="66">
        <f>IFERROR(__xludf.DUMMYFUNCTION("iferror(SUM(query(filter('Data Recording'!V:V,'Data Recording'!D:D=B19), ""Select Col1"")),""-"")"),1.0)</f>
        <v>1</v>
      </c>
      <c r="AQ19" s="67">
        <f t="shared" si="8"/>
        <v>1</v>
      </c>
      <c r="AR19" s="68">
        <f>IFERROR(__xludf.DUMMYFUNCTION("iferror(AVERAGE(query(filter('Data Recording'!V:V,'Data Recording'!D:D=B19), ""Select Col1"")),""0.00"")"),1.0)</f>
        <v>1</v>
      </c>
      <c r="AS19" s="69">
        <f>IFERROR(__xludf.DUMMYFUNCTION("iferror(MAX(query(filter('Data Recording'!V:V,'Data Recording'!D:D=B19), ""Select Col1"")),""-"")"),1.0)</f>
        <v>1</v>
      </c>
      <c r="AT19" s="66">
        <f>IFERROR(__xludf.DUMMYFUNCTION("iferror(SUM(query(filter('Data Recording'!W:W,'Data Recording'!D:D=B19), ""Select Col1"")),""-"")"),3.0)</f>
        <v>3</v>
      </c>
      <c r="AU19" s="66">
        <f>IFERROR(__xludf.DUMMYFUNCTION("iferror(SUM(query(filter('Data Recording'!X:X,'Data Recording'!D:D=B19), ""Select Col1"")),""-"")"),3.0)</f>
        <v>3</v>
      </c>
      <c r="AV19" s="67">
        <f t="shared" si="9"/>
        <v>1</v>
      </c>
      <c r="AW19" s="68">
        <f>IFERROR(__xludf.DUMMYFUNCTION("iferror(AVERAGE(query(filter('Data Recording'!X:X,'Data Recording'!D:D=B19), ""Select Col1"")),""0.00"")"),1.5)</f>
        <v>1.5</v>
      </c>
      <c r="AX19" s="69">
        <f>IFERROR(__xludf.DUMMYFUNCTION("iferror(MAX(query(filter('Data Recording'!X:X,'Data Recording'!D:D=B19), ""Select Col1"")),""-"")"),2.0)</f>
        <v>2</v>
      </c>
      <c r="AY19" s="66">
        <f>IFERROR(__xludf.DUMMYFUNCTION("iferror(SUM(query(filter('Data Recording'!Y:Y,'Data Recording'!D:D=B19), ""Select Col1"")),""-"")"),1.0)</f>
        <v>1</v>
      </c>
      <c r="AZ19" s="66">
        <f>IFERROR(__xludf.DUMMYFUNCTION("iferror(SUM(query(filter('Data Recording'!Z:Z,'Data Recording'!D:D=B19), ""Select Col1"")),""-"")"),1.0)</f>
        <v>1</v>
      </c>
      <c r="BA19" s="67">
        <f t="shared" si="10"/>
        <v>1</v>
      </c>
      <c r="BB19" s="68">
        <f>IFERROR(__xludf.DUMMYFUNCTION("iferror(AVERAGE(query(filter('Data Recording'!Z:Z,'Data Recording'!D:D=B19), ""Select Col1"")),""0.00"")"),1.0)</f>
        <v>1</v>
      </c>
      <c r="BC19" s="69">
        <f>IFERROR(__xludf.DUMMYFUNCTION("iferror(MAX(query(filter('Data Recording'!Z:Z,'Data Recording'!D:D=B19), ""Select Col1"")),""-"")"),1.0)</f>
        <v>1</v>
      </c>
      <c r="BD19" s="66">
        <f>IFERROR(__xludf.DUMMYFUNCTION("iferror(SUM(query(filter('Data Recording'!AA:AA,'Data Recording'!D:D=B19), ""Select Col1"")),""-"")"),20.0)</f>
        <v>20</v>
      </c>
      <c r="BE19" s="66">
        <f>IFERROR(__xludf.DUMMYFUNCTION("iferror(SUM(query(filter('Data Recording'!AB:AB,'Data Recording'!D:D=B19), ""Select Col1"")),""-"")"),18.0)</f>
        <v>18</v>
      </c>
      <c r="BF19" s="67">
        <f t="shared" si="11"/>
        <v>0.9</v>
      </c>
      <c r="BG19" s="68">
        <f>IFERROR(__xludf.DUMMYFUNCTION("iferror(AVERAGE(query(filter('Data Recording'!AB:AB,'Data Recording'!D:D=B19), ""Select Col1"")),""0.00"")"),2.0)</f>
        <v>2</v>
      </c>
      <c r="BH19" s="69">
        <f>IFERROR(__xludf.DUMMYFUNCTION("iferror(MAX(query(filter('Data Recording'!AB:AB,'Data Recording'!D:D=B19), ""Select Col1"")),""-"")"),3.0)</f>
        <v>3</v>
      </c>
      <c r="BI19" s="66">
        <f>IFERROR(__xludf.DUMMYFUNCTION("iferror(SUM(query(filter('Data Recording'!AC:AC,'Data Recording'!D:D=B19), ""Select Col1"")),""-"")"),28.0)</f>
        <v>28</v>
      </c>
      <c r="BJ19" s="66">
        <f>IFERROR(__xludf.DUMMYFUNCTION("iferror(SUM(query(filter('Data Recording'!AD:AD,'Data Recording'!D:D=B19), ""Select Col1"")),""-"")"),28.0)</f>
        <v>28</v>
      </c>
      <c r="BK19" s="67">
        <f t="shared" si="12"/>
        <v>1</v>
      </c>
      <c r="BL19" s="68">
        <f>IFERROR(__xludf.DUMMYFUNCTION("iferror(AVERAGE(query(filter('Data Recording'!AD:AD,'Data Recording'!D:D=B19), ""Select Col1"")),""0.00"")"),2.3333333333333335)</f>
        <v>2.333333333</v>
      </c>
      <c r="BM19" s="69">
        <f>IFERROR(__xludf.DUMMYFUNCTION("iferror(MAX(query(filter('Data Recording'!AD:AD,'Data Recording'!D:D=B19), ""Select Col1"")),""-"")"),5.0)</f>
        <v>5</v>
      </c>
      <c r="BN19" s="70" t="str">
        <f>IFERROR(__xludf.DUMMYFUNCTION("if(countif(query(filter('Data Recording'!AE:AE,'Data Recording'!D:D=B19), ""Select Col1""),""Yes, Engaged"")+countif(query(filter('Data Recording'!AE:AE,'Data Recording'!D:D=B19), ""Select Col1""),""Yes, Docked"")=0,""0"",countif(query(filter('Data Record"&amp;"ing'!AE:AE,'Data Recording'!D:D=B19), ""Select Col1""),""Yes, Engaged""))+countif(query(filter('Data Recording'!AE:AE,'Data Recording'!D:D=B19), ""Select Col1""),""Yes, Docked"") &amp; ""/"" &amp; if(COUNTA(query(ifna(filter('Data Recording'!AE:AE,'Data Recording"&amp;"'!D:D=B19),""""), ""Select Col1""))=0,""0"",COUNTA(query(ifna(filter('Data Recording'!AE:AE,'Data Recording'!D:D=B19),""""), ""Select Col1"")))"),"8/14")</f>
        <v>8/14</v>
      </c>
      <c r="BO19" s="71" t="str">
        <f>IFERROR(__xludf.DUMMYFUNCTION("if(countif(query(filter('Data Recording'!AE:AE,'Data Recording'!D:D=B19), ""Select Col1""),""Yes, Engaged"")=0,""0"",countif(query(filter('Data Recording'!AE:AE,'Data Recording'!D:D=B19), ""Select Col1""),""Yes, Engaged"")) &amp; ""/"" &amp; if(COUNTA(query(ifna("&amp;"filter('Data Recording'!AE:AE,'Data Recording'!D:D=B19),""""), ""Select Col1""))=0,""0"",COUNTA(query(ifna(filter('Data Recording'!AE:AE,'Data Recording'!D:D=B19),""""), ""Select Col1"")))"),"6/14")</f>
        <v>6/14</v>
      </c>
      <c r="BP19" s="64" t="str">
        <f>IFERROR(__xludf.DUMMYFUNCTION("if(countif(query(filter('Data Recording'!AH:AH,'Data Recording'!D:D=B19), ""Select Col1""),""Yes"")=0,""0"",countif(query(filter('Data Recording'!AH:AH,'Data Recording'!D:D=B19), ""Select Col1""),""Yes"")) &amp; ""/"" &amp; if(COUNTA(query(ifna(filter('Data Recor"&amp;"ding'!AH:AH,'Data Recording'!D:D=B19),""""), ""Select Col1""))=0,""0"",COUNTA(query(ifna(filter('Data Recording'!AH:AH,'Data Recording'!D:D=B19),""""), ""Select Col1"")))"),"1/14")</f>
        <v>1/14</v>
      </c>
      <c r="BQ19" s="79">
        <v>0.0714</v>
      </c>
      <c r="BR19" s="60">
        <f>IFERROR(__xludf.DUMMYFUNCTION("iferror(average(query(filter('Data Recording'!AF:AF,'Data Recording'!D:D=B19), ""Select Col1"")),""-"")"),0.42857142857142855)</f>
        <v>0.4285714286</v>
      </c>
      <c r="BS19" s="73">
        <f>IFERROR(__xludf.DUMMYFUNCTION("iferror(average(query(filter('Data Recording'!AG:AG,'Data Recording'!D:D=B19), ""Select Col1"")),""-"")"),1.1428571428571428)</f>
        <v>1.142857143</v>
      </c>
      <c r="BT19" s="74">
        <f t="shared" si="13"/>
        <v>30.66666667</v>
      </c>
      <c r="BU19" s="74">
        <f>IFERROR(__xludf.DUMMYFUNCTION("iferror(AVERAGE(query(filter('Data Recording'!AJ:AJ,'Data Recording'!D:D=B19), ""Select Col1"")),""-"")"),21.642857142857142)</f>
        <v>21.64285714</v>
      </c>
      <c r="BV19" s="74">
        <f>IFERROR(__xludf.DUMMYFUNCTION("iferror(AVERAGE(query(filter('Data Recording'!AK:AK,'Data Recording'!D:D=B19), ""Select Col1"")),""-"")"),8.857142857142858)</f>
        <v>8.857142857</v>
      </c>
      <c r="BW19" s="74">
        <f t="shared" si="14"/>
        <v>21.66666667</v>
      </c>
      <c r="BX19" s="75">
        <f>IFERROR(__xludf.DUMMYFUNCTION("iferror(max(query(filter('Data Recording'!AJ:AJ,'Data Recording'!D:D=B19), ""Select Col1"")),""-"")"),33.0)</f>
        <v>33</v>
      </c>
      <c r="BY19" s="76">
        <f>IFERROR(__xludf.DUMMYFUNCTION("iferror(MIN(query(filter('Data Recording'!AJ:AJ,'Data Recording'!D:D=B19), ""Select Col1"")),""-"")"),6.0)</f>
        <v>6</v>
      </c>
      <c r="BZ19" s="77" t="str">
        <f>IFERROR(__xludf.DUMMYFUNCTION("iferror(if(DIVIDE(COUNTIF(query(filter('Data Recording'!R:R,'Data Recording'!D:D=B19), ""Select Col1""),""Yes, Docked"") + countif(query(filter('Data Recording'!R:R,'Data Recording'!D:D=B19), ""Select Col1""),""Yes, Engaged""),COUNTA(query(ifna(filter('Da"&amp;"ta Recording'!R:R,'Data Recording'!D:D=B19),""""), ""Select Col1"")))&gt;=(0.5),""1"",""0""),""-"")"),"0")</f>
        <v>0</v>
      </c>
      <c r="CA19" s="5" t="str">
        <f>IFERROR(__xludf.DUMMYFUNCTION("iferror(if(countif(query(filter('Data Recording'!R:R,'Data Recording'!D:D=B19), ""Select Col1""),""Yes, Engaged"")/COUNTA(query(ifna(filter('Data Recording'!R:R,'Data Recording'!D:D=B19),""""), ""Select Col1""))&gt;=(0.5),""1"",""0""),""-"")"),"0")</f>
        <v>0</v>
      </c>
      <c r="CB19" s="78" t="str">
        <f>IFERROR(__xludf.DUMMYFUNCTION("iferror(if(DIVIDE(COUNTIF(query(filter('Data Recording'!AE:AE,'Data Recording'!D:D=B19), ""Select Col1""),""Yes, Docked"") + countif(query(filter('Data Recording'!AE:AE,'Data Recording'!D:D=B19), ""Select Col1""),""Yes, Engaged""),COUNTA(query(ifna(filter"&amp;"('Data Recording'!AE:AE,'Data Recording'!D:D=B19),""""), ""Select Col1"")))&gt;=(0.5),""1"",""0""),""-"")"),"1")</f>
        <v>1</v>
      </c>
      <c r="CC19" s="5" t="str">
        <f>IFERROR(__xludf.DUMMYFUNCTION("iferror(if(countif(query(filter('Data Recording'!AE:AE,'Data Recording'!D:D=B19), ""Select Col1""),""Yes, Engaged"")/COUNTA(query(ifna(filter('Data Recording'!AE:AE,'Data Recording'!D:D=B19),""""), ""Select Col1""))&gt;=(0.5),""1"",""0""),""-"")"),"0")</f>
        <v>0</v>
      </c>
      <c r="CD19" s="78" t="str">
        <f>IFERROR(__xludf.DUMMYFUNCTION("iferror(if(DIVIDE(countif(query(filter('Data Recording'!E:E,'Data Recording'!D:D=B19), ""Select Col1""),""Yes""),COUNTA(query(ifna(filter('Data Recording'!E:E,'Data Recording'!D:D=B19),""""), ""Select Col1"")))&gt;=(0.5),""1"",""0""),""-"")"),"1")</f>
        <v>1</v>
      </c>
    </row>
    <row r="20">
      <c r="A20" s="2" t="s">
        <v>129</v>
      </c>
      <c r="B20" s="2">
        <v>5674.0</v>
      </c>
      <c r="C20" s="57" t="str">
        <f>IFERROR(__xludf.DUMMYFUNCTION("if(countif(query(filter('Data Recording'!E:E,'Data Recording'!D:D=B20), ""Select Col1""),""Yes"")=0,""0"",countif(query(filter('Data Recording'!E:E,'Data Recording'!D:D=B20), ""Select Col1""),""Yes"")) &amp; ""/"" &amp; if(COUNTA(query(ifna(filter('Data Recording"&amp;"'!E:E,'Data Recording'!D:D=B20),""""), ""Select Col1""))=0,""0"",COUNTA(query(ifna(filter('Data Recording'!E:E,'Data Recording'!D:D=B20),""""), ""Select Col1"")))"),"13/14")</f>
        <v>13/14</v>
      </c>
      <c r="D20" s="58">
        <f>IFERROR(__xludf.DUMMYFUNCTION("iferror(SUM(query(filter('Data Recording'!F:F,'Data Recording'!D:D=B20), ""Select Col1"")),""-"")"),0.0)</f>
        <v>0</v>
      </c>
      <c r="E20" s="58">
        <f>IFERROR(__xludf.DUMMYFUNCTION("iferror(SUM(query(filter('Data Recording'!G:G,'Data Recording'!D:D=B20), ""Select Col1"")),""-"")"),0.0)</f>
        <v>0</v>
      </c>
      <c r="F20" s="59" t="str">
        <f t="shared" si="1"/>
        <v>-</v>
      </c>
      <c r="G20" s="60">
        <f>IFERROR(__xludf.DUMMYFUNCTION("iferror(AVERAGE(query(filter('Data Recording'!G:G,'Data Recording'!D:D=B20), ""Select Col1"")),""0.00"")"),0.0)</f>
        <v>0</v>
      </c>
      <c r="H20" s="58">
        <f>IFERROR(__xludf.DUMMYFUNCTION("iferror(MAX(query(filter('Data Recording'!G:G,'Data Recording'!D:D=B20), ""Select Col1"")),""-"")"),0.0)</f>
        <v>0</v>
      </c>
      <c r="I20" s="61">
        <f>IFERROR(__xludf.DUMMYFUNCTION("iferror(SUM(query(filter('Data Recording'!H:H,'Data Recording'!D:D=B20), ""Select Col1"")),""-"")"),1.0)</f>
        <v>1</v>
      </c>
      <c r="J20" s="62">
        <f>IFERROR(__xludf.DUMMYFUNCTION("iferror(SUM(query(filter('Data Recording'!I:I,'Data Recording'!D:D=B20), ""Select Col1"")),""-"")"),1.0)</f>
        <v>1</v>
      </c>
      <c r="K20" s="59">
        <f t="shared" si="2"/>
        <v>1</v>
      </c>
      <c r="L20" s="60">
        <f>IFERROR(__xludf.DUMMYFUNCTION("iferror(AVERAGE(query(filter('Data Recording'!I:I,'Data Recording'!D:D=B20), ""Select Col1"")),""0.00"")"),0.5)</f>
        <v>0.5</v>
      </c>
      <c r="M20" s="58">
        <f>IFERROR(__xludf.DUMMYFUNCTION("iferror(MAX(query(filter('Data Recording'!I:I,'Data Recording'!D:D=B20), ""Select Col1"")),""-"")"),1.0)</f>
        <v>1</v>
      </c>
      <c r="N20" s="63">
        <f>IFERROR(__xludf.DUMMYFUNCTION("iferror(SUM(query(filter('Data Recording'!J:J,'Data Recording'!D:D=B20), ""Select Col1"")),""-"")"),0.0)</f>
        <v>0</v>
      </c>
      <c r="O20" s="5">
        <f>IFERROR(__xludf.DUMMYFUNCTION("iferror(SUM(query(filter('Data Recording'!K:K,'Data Recording'!D:D=B20), ""Select Col1"")),""-"")"),0.0)</f>
        <v>0</v>
      </c>
      <c r="P20" s="59" t="str">
        <f t="shared" si="3"/>
        <v>-</v>
      </c>
      <c r="Q20" s="60">
        <f>IFERROR(__xludf.DUMMYFUNCTION("iferror(AVERAGE(query(filter('Data Recording'!K:K,'Data Recording'!D:D=B20), ""Select Col1"")),""0.00"")"),0.0)</f>
        <v>0</v>
      </c>
      <c r="R20" s="58">
        <f>IFERROR(__xludf.DUMMYFUNCTION("iferror(MAX(query(filter('Data Recording'!K:K,'Data Recording'!D:D=B20), ""Select Col1"")),""-"")"),0.0)</f>
        <v>0</v>
      </c>
      <c r="S20" s="63">
        <f>IFERROR(__xludf.DUMMYFUNCTION("iferror(SUM(query(filter('Data Recording'!L:L,'Data Recording'!D:D=B20), ""Select Col1"")),""-"")"),0.0)</f>
        <v>0</v>
      </c>
      <c r="T20" s="5">
        <f>IFERROR(__xludf.DUMMYFUNCTION("iferror(SUM(query(filter('Data Recording'!M:M,'Data Recording'!D:D=B20), ""Select Col1"")),""-"")"),0.0)</f>
        <v>0</v>
      </c>
      <c r="U20" s="59" t="str">
        <f t="shared" si="4"/>
        <v>-</v>
      </c>
      <c r="V20" s="60">
        <f>IFERROR(__xludf.DUMMYFUNCTION("iferror(AVERAGE(query(filter('Data Recording'!M:M,'Data Recording'!D:D=B20), ""Select Col1"")),""-"")"),0.0)</f>
        <v>0</v>
      </c>
      <c r="W20" s="57">
        <f>IFERROR(__xludf.DUMMYFUNCTION("iferror(MAX(query(filter('Data Recording'!M:M,'Data Recording'!D:D=B20), ""Select Col1"")),""-"")"),0.0)</f>
        <v>0</v>
      </c>
      <c r="X20" s="5">
        <f>IFERROR(__xludf.DUMMYFUNCTION("iferror(SUM(query(filter('Data Recording'!N:N,'Data Recording'!D:D=B20), ""Select Col1"")),""-"")"),8.0)</f>
        <v>8</v>
      </c>
      <c r="Y20" s="5">
        <f>IFERROR(__xludf.DUMMYFUNCTION("iferror(SUM(query(filter('Data Recording'!O:O,'Data Recording'!D:D=B20), ""Select Col1"")),""-"")"),7.0)</f>
        <v>7</v>
      </c>
      <c r="Z20" s="59">
        <f t="shared" si="5"/>
        <v>0.875</v>
      </c>
      <c r="AA20" s="60">
        <f>IFERROR(__xludf.DUMMYFUNCTION("iferror(AVERAGE(query(filter('Data Recording'!O:O,'Data Recording'!D:D=B20), ""Select Col1"")),""0.00"")"),0.875)</f>
        <v>0.875</v>
      </c>
      <c r="AB20" s="57">
        <f>IFERROR(__xludf.DUMMYFUNCTION("iferror(MAX(query(filter('Data Recording'!O:O,'Data Recording'!D:D=B20), ""Select Col1"")),""-"")"),1.0)</f>
        <v>1</v>
      </c>
      <c r="AC20" s="5">
        <f>IFERROR(__xludf.DUMMYFUNCTION("iferror(SUM(query(filter('Data Recording'!P:P,'Data Recording'!D:D=B20), ""Select Col1"")),""-"")"),5.0)</f>
        <v>5</v>
      </c>
      <c r="AD20" s="5">
        <f>IFERROR(__xludf.DUMMYFUNCTION("iferror(SUM(query(filter('Data Recording'!Q:Q,'Data Recording'!D:D=B20), ""Select Col1"")),""-"")"),3.0)</f>
        <v>3</v>
      </c>
      <c r="AE20" s="59">
        <f t="shared" si="6"/>
        <v>0.6</v>
      </c>
      <c r="AF20" s="60">
        <f>IFERROR(__xludf.DUMMYFUNCTION("iferror(AVERAGE(query(filter('Data Recording'!Q:Q,'Data Recording'!D:D=B20), ""Select Col1"")),""0.00"")"),0.5)</f>
        <v>0.5</v>
      </c>
      <c r="AG20" s="5">
        <f>IFERROR(__xludf.DUMMYFUNCTION("iferror(MAX(query(filter('Data Recording'!Q:Q,'Data Recording'!D:D=B20), ""Select Col1"")),""-"")"),1.0)</f>
        <v>1</v>
      </c>
      <c r="AH20" s="63" t="str">
        <f>IFERROR(__xludf.DUMMYFUNCTION("if(countif(query(filter('Data Recording'!R:R,'Data Recording'!D:D=B20), ""Select Col1""),""Yes, Engaged"")+countif(query(filter('Data Recording'!R:R,'Data Recording'!D:D=B20), ""Select Col1""),""Yes, Docked"")=0,""0"",countif(query(filter('Data Recording'"&amp;"!R:R,'Data Recording'!D:D=B20), ""Select Col1""),""Yes, Engaged""))+countif(query(filter('Data Recording'!R:R,'Data Recording'!D:D=B20), ""Select Col1""),""Yes, Docked"") &amp; ""/"" &amp; if(COUNTA(query(ifna(filter('Data Recording'!R:R,'Data Recording'!D:D=B20)"&amp;",""""), ""Select Col1""))=0,""0"",COUNTA(query(ifna(filter('Data Recording'!R:R,'Data Recording'!D:D=B20),""""), ""Select Col1"")))"),"3/14")</f>
        <v>3/14</v>
      </c>
      <c r="AI20" s="64" t="str">
        <f>IFERROR(__xludf.DUMMYFUNCTION("if(countif(query(filter('Data Recording'!R:R,'Data Recording'!D:D=B20), ""Select Col1""),""Yes, Engaged"")=0,""0"",countif(query(filter('Data Recording'!R:R,'Data Recording'!D:D=B20), ""Select Col1""),""Yes, Engaged"")) &amp; ""/"" &amp; if(COUNTA(query(ifna(filt"&amp;"er('Data Recording'!R:R,'Data Recording'!D:D=B20),""""), ""Select Col1""))=0,""0"",COUNTA(query(ifna(filter('Data Recording'!R:R,'Data Recording'!D:D=B20),""""), ""Select Col1"")))"),"2/14")</f>
        <v>2/14</v>
      </c>
      <c r="AJ20" s="5">
        <f>IFERROR(__xludf.DUMMYFUNCTION("iferror(SUM(query(filter('Data Recording'!S:S,'Data Recording'!D:D=B20), ""Select Col1"")),""-"")"),9.0)</f>
        <v>9</v>
      </c>
      <c r="AK20" s="5">
        <f>IFERROR(__xludf.DUMMYFUNCTION("iferror(SUM(query(filter('Data Recording'!T:T,'Data Recording'!D:D=B20), ""Select Col1"")),""-"")"),7.0)</f>
        <v>7</v>
      </c>
      <c r="AL20" s="59">
        <f t="shared" si="7"/>
        <v>0.7777777778</v>
      </c>
      <c r="AM20" s="60">
        <f>IFERROR(__xludf.DUMMYFUNCTION("iferror(AVERAGE(query(filter('Data Recording'!T:T,'Data Recording'!D:D=B20), ""Select Col1"")),""0.00"")"),1.1666666666666667)</f>
        <v>1.166666667</v>
      </c>
      <c r="AN20" s="65">
        <f>IFERROR(__xludf.DUMMYFUNCTION("iferror(MAX(query(filter('Data Recording'!T:T,'Data Recording'!D:D=B20), ""Select Col1"")),""-"")"),2.0)</f>
        <v>2</v>
      </c>
      <c r="AO20" s="66">
        <f>IFERROR(__xludf.DUMMYFUNCTION("iferror(SUM(query(filter('Data Recording'!U:U,'Data Recording'!D:D=B20), ""Select Col1"")),""-"")"),4.0)</f>
        <v>4</v>
      </c>
      <c r="AP20" s="66">
        <f>IFERROR(__xludf.DUMMYFUNCTION("iferror(SUM(query(filter('Data Recording'!V:V,'Data Recording'!D:D=B20), ""Select Col1"")),""-"")"),1.0)</f>
        <v>1</v>
      </c>
      <c r="AQ20" s="67">
        <f t="shared" si="8"/>
        <v>0.25</v>
      </c>
      <c r="AR20" s="68">
        <f>IFERROR(__xludf.DUMMYFUNCTION("iferror(AVERAGE(query(filter('Data Recording'!V:V,'Data Recording'!D:D=B20), ""Select Col1"")),""0.00"")"),0.25)</f>
        <v>0.25</v>
      </c>
      <c r="AS20" s="69">
        <f>IFERROR(__xludf.DUMMYFUNCTION("iferror(MAX(query(filter('Data Recording'!V:V,'Data Recording'!D:D=B20), ""Select Col1"")),""-"")"),1.0)</f>
        <v>1</v>
      </c>
      <c r="AT20" s="66">
        <f>IFERROR(__xludf.DUMMYFUNCTION("iferror(SUM(query(filter('Data Recording'!W:W,'Data Recording'!D:D=B20), ""Select Col1"")),""-"")"),13.0)</f>
        <v>13</v>
      </c>
      <c r="AU20" s="66">
        <f>IFERROR(__xludf.DUMMYFUNCTION("iferror(SUM(query(filter('Data Recording'!X:X,'Data Recording'!D:D=B20), ""Select Col1"")),""-"")"),12.0)</f>
        <v>12</v>
      </c>
      <c r="AV20" s="67">
        <f t="shared" si="9"/>
        <v>0.9230769231</v>
      </c>
      <c r="AW20" s="68">
        <f>IFERROR(__xludf.DUMMYFUNCTION("iferror(AVERAGE(query(filter('Data Recording'!X:X,'Data Recording'!D:D=B20), ""Select Col1"")),""0.00"")"),1.0909090909090908)</f>
        <v>1.090909091</v>
      </c>
      <c r="AX20" s="69">
        <f>IFERROR(__xludf.DUMMYFUNCTION("iferror(MAX(query(filter('Data Recording'!X:X,'Data Recording'!D:D=B20), ""Select Col1"")),""-"")"),2.0)</f>
        <v>2</v>
      </c>
      <c r="AY20" s="66">
        <f>IFERROR(__xludf.DUMMYFUNCTION("iferror(SUM(query(filter('Data Recording'!Y:Y,'Data Recording'!D:D=B20), ""Select Col1"")),""-"")"),11.0)</f>
        <v>11</v>
      </c>
      <c r="AZ20" s="66">
        <f>IFERROR(__xludf.DUMMYFUNCTION("iferror(SUM(query(filter('Data Recording'!Z:Z,'Data Recording'!D:D=B20), ""Select Col1"")),""-"")"),10.0)</f>
        <v>10</v>
      </c>
      <c r="BA20" s="67">
        <f t="shared" si="10"/>
        <v>0.9090909091</v>
      </c>
      <c r="BB20" s="68">
        <f>IFERROR(__xludf.DUMMYFUNCTION("iferror(AVERAGE(query(filter('Data Recording'!Z:Z,'Data Recording'!D:D=B20), ""Select Col1"")),""0.00"")"),1.6666666666666667)</f>
        <v>1.666666667</v>
      </c>
      <c r="BC20" s="69">
        <f>IFERROR(__xludf.DUMMYFUNCTION("iferror(MAX(query(filter('Data Recording'!Z:Z,'Data Recording'!D:D=B20), ""Select Col1"")),""-"")"),2.0)</f>
        <v>2</v>
      </c>
      <c r="BD20" s="66">
        <f>IFERROR(__xludf.DUMMYFUNCTION("iferror(SUM(query(filter('Data Recording'!AA:AA,'Data Recording'!D:D=B20), ""Select Col1"")),""-"")"),5.0)</f>
        <v>5</v>
      </c>
      <c r="BE20" s="66">
        <f>IFERROR(__xludf.DUMMYFUNCTION("iferror(SUM(query(filter('Data Recording'!AB:AB,'Data Recording'!D:D=B20), ""Select Col1"")),""-"")"),5.0)</f>
        <v>5</v>
      </c>
      <c r="BF20" s="67">
        <f t="shared" si="11"/>
        <v>1</v>
      </c>
      <c r="BG20" s="68">
        <f>IFERROR(__xludf.DUMMYFUNCTION("iferror(AVERAGE(query(filter('Data Recording'!AB:AB,'Data Recording'!D:D=B20), ""Select Col1"")),""0.00"")"),1.0)</f>
        <v>1</v>
      </c>
      <c r="BH20" s="69">
        <f>IFERROR(__xludf.DUMMYFUNCTION("iferror(MAX(query(filter('Data Recording'!AB:AB,'Data Recording'!D:D=B20), ""Select Col1"")),""-"")"),1.0)</f>
        <v>1</v>
      </c>
      <c r="BI20" s="66">
        <f>IFERROR(__xludf.DUMMYFUNCTION("iferror(SUM(query(filter('Data Recording'!AC:AC,'Data Recording'!D:D=B20), ""Select Col1"")),""-"")"),6.0)</f>
        <v>6</v>
      </c>
      <c r="BJ20" s="66">
        <f>IFERROR(__xludf.DUMMYFUNCTION("iferror(SUM(query(filter('Data Recording'!AD:AD,'Data Recording'!D:D=B20), ""Select Col1"")),""-"")"),6.0)</f>
        <v>6</v>
      </c>
      <c r="BK20" s="67">
        <f t="shared" si="12"/>
        <v>1</v>
      </c>
      <c r="BL20" s="68">
        <f>IFERROR(__xludf.DUMMYFUNCTION("iferror(AVERAGE(query(filter('Data Recording'!AD:AD,'Data Recording'!D:D=B20), ""Select Col1"")),""0.00"")"),1.5)</f>
        <v>1.5</v>
      </c>
      <c r="BM20" s="69">
        <f>IFERROR(__xludf.DUMMYFUNCTION("iferror(MAX(query(filter('Data Recording'!AD:AD,'Data Recording'!D:D=B20), ""Select Col1"")),""-"")"),2.0)</f>
        <v>2</v>
      </c>
      <c r="BN20" s="70" t="str">
        <f>IFERROR(__xludf.DUMMYFUNCTION("if(countif(query(filter('Data Recording'!AE:AE,'Data Recording'!D:D=B20), ""Select Col1""),""Yes, Engaged"")+countif(query(filter('Data Recording'!AE:AE,'Data Recording'!D:D=B20), ""Select Col1""),""Yes, Docked"")=0,""0"",countif(query(filter('Data Record"&amp;"ing'!AE:AE,'Data Recording'!D:D=B20), ""Select Col1""),""Yes, Engaged""))+countif(query(filter('Data Recording'!AE:AE,'Data Recording'!D:D=B20), ""Select Col1""),""Yes, Docked"") &amp; ""/"" &amp; if(COUNTA(query(ifna(filter('Data Recording'!AE:AE,'Data Recording"&amp;"'!D:D=B20),""""), ""Select Col1""))=0,""0"",COUNTA(query(ifna(filter('Data Recording'!AE:AE,'Data Recording'!D:D=B20),""""), ""Select Col1"")))"),"3/14")</f>
        <v>3/14</v>
      </c>
      <c r="BO20" s="71" t="str">
        <f>IFERROR(__xludf.DUMMYFUNCTION("if(countif(query(filter('Data Recording'!AE:AE,'Data Recording'!D:D=B20), ""Select Col1""),""Yes, Engaged"")=0,""0"",countif(query(filter('Data Recording'!AE:AE,'Data Recording'!D:D=B20), ""Select Col1""),""Yes, Engaged"")) &amp; ""/"" &amp; if(COUNTA(query(ifna("&amp;"filter('Data Recording'!AE:AE,'Data Recording'!D:D=B20),""""), ""Select Col1""))=0,""0"",COUNTA(query(ifna(filter('Data Recording'!AE:AE,'Data Recording'!D:D=B20),""""), ""Select Col1"")))"),"3/14")</f>
        <v>3/14</v>
      </c>
      <c r="BP20" s="64" t="str">
        <f>IFERROR(__xludf.DUMMYFUNCTION("if(countif(query(filter('Data Recording'!AH:AH,'Data Recording'!D:D=B20), ""Select Col1""),""Yes"")=0,""0"",countif(query(filter('Data Recording'!AH:AH,'Data Recording'!D:D=B20), ""Select Col1""),""Yes"")) &amp; ""/"" &amp; if(COUNTA(query(ifna(filter('Data Recor"&amp;"ding'!AH:AH,'Data Recording'!D:D=B20),""""), ""Select Col1""))=0,""0"",COUNTA(query(ifna(filter('Data Recording'!AH:AH,'Data Recording'!D:D=B20),""""), ""Select Col1"")))"),"1/14")</f>
        <v>1/14</v>
      </c>
      <c r="BQ20" s="79">
        <v>0.0714</v>
      </c>
      <c r="BR20" s="60">
        <f>IFERROR(__xludf.DUMMYFUNCTION("iferror(average(query(filter('Data Recording'!AF:AF,'Data Recording'!D:D=B20), ""Select Col1"")),""-"")"),3.5)</f>
        <v>3.5</v>
      </c>
      <c r="BS20" s="73">
        <f>IFERROR(__xludf.DUMMYFUNCTION("iferror(average(query(filter('Data Recording'!AG:AG,'Data Recording'!D:D=B20), ""Select Col1"")),""-"")"),0.0)</f>
        <v>0</v>
      </c>
      <c r="BT20" s="74">
        <f t="shared" si="13"/>
        <v>33.09848485</v>
      </c>
      <c r="BU20" s="74">
        <f>IFERROR(__xludf.DUMMYFUNCTION("iferror(AVERAGE(query(filter('Data Recording'!AJ:AJ,'Data Recording'!D:D=B20), ""Select Col1"")),""-"")"),20.285714285714285)</f>
        <v>20.28571429</v>
      </c>
      <c r="BV20" s="74">
        <f>IFERROR(__xludf.DUMMYFUNCTION("iferror(AVERAGE(query(filter('Data Recording'!AK:AK,'Data Recording'!D:D=B20), ""Select Col1"")),""-"")"),12.857142857142858)</f>
        <v>12.85714286</v>
      </c>
      <c r="BW20" s="74">
        <f t="shared" si="14"/>
        <v>30.09848485</v>
      </c>
      <c r="BX20" s="75">
        <f>IFERROR(__xludf.DUMMYFUNCTION("iferror(max(query(filter('Data Recording'!AJ:AJ,'Data Recording'!D:D=B20), ""Select Col1"")),""-"")"),36.0)</f>
        <v>36</v>
      </c>
      <c r="BY20" s="76">
        <f>IFERROR(__xludf.DUMMYFUNCTION("iferror(MIN(query(filter('Data Recording'!AJ:AJ,'Data Recording'!D:D=B20), ""Select Col1"")),""-"")"),7.0)</f>
        <v>7</v>
      </c>
      <c r="BZ20" s="77" t="str">
        <f>IFERROR(__xludf.DUMMYFUNCTION("iferror(if(DIVIDE(COUNTIF(query(filter('Data Recording'!R:R,'Data Recording'!D:D=B20), ""Select Col1""),""Yes, Docked"") + countif(query(filter('Data Recording'!R:R,'Data Recording'!D:D=B20), ""Select Col1""),""Yes, Engaged""),COUNTA(query(ifna(filter('Da"&amp;"ta Recording'!R:R,'Data Recording'!D:D=B20),""""), ""Select Col1"")))&gt;=(0.5),""1"",""0""),""-"")"),"0")</f>
        <v>0</v>
      </c>
      <c r="CA20" s="5" t="str">
        <f>IFERROR(__xludf.DUMMYFUNCTION("iferror(if(countif(query(filter('Data Recording'!R:R,'Data Recording'!D:D=B20), ""Select Col1""),""Yes, Engaged"")/COUNTA(query(ifna(filter('Data Recording'!R:R,'Data Recording'!D:D=B20),""""), ""Select Col1""))&gt;=(0.5),""1"",""0""),""-"")"),"0")</f>
        <v>0</v>
      </c>
      <c r="CB20" s="78" t="str">
        <f>IFERROR(__xludf.DUMMYFUNCTION("iferror(if(DIVIDE(COUNTIF(query(filter('Data Recording'!AE:AE,'Data Recording'!D:D=B20), ""Select Col1""),""Yes, Docked"") + countif(query(filter('Data Recording'!AE:AE,'Data Recording'!D:D=B20), ""Select Col1""),""Yes, Engaged""),COUNTA(query(ifna(filter"&amp;"('Data Recording'!AE:AE,'Data Recording'!D:D=B20),""""), ""Select Col1"")))&gt;=(0.5),""1"",""0""),""-"")"),"0")</f>
        <v>0</v>
      </c>
      <c r="CC20" s="5" t="str">
        <f>IFERROR(__xludf.DUMMYFUNCTION("iferror(if(countif(query(filter('Data Recording'!AE:AE,'Data Recording'!D:D=B20), ""Select Col1""),""Yes, Engaged"")/COUNTA(query(ifna(filter('Data Recording'!AE:AE,'Data Recording'!D:D=B20),""""), ""Select Col1""))&gt;=(0.5),""1"",""0""),""-"")"),"0")</f>
        <v>0</v>
      </c>
      <c r="CD20" s="78" t="str">
        <f>IFERROR(__xludf.DUMMYFUNCTION("iferror(if(DIVIDE(countif(query(filter('Data Recording'!E:E,'Data Recording'!D:D=B20), ""Select Col1""),""Yes""),COUNTA(query(ifna(filter('Data Recording'!E:E,'Data Recording'!D:D=B20),""""), ""Select Col1"")))&gt;=(0.5),""1"",""0""),""-"")"),"1")</f>
        <v>1</v>
      </c>
    </row>
    <row r="21">
      <c r="A21" s="2" t="s">
        <v>130</v>
      </c>
      <c r="B21" s="2">
        <v>3568.0</v>
      </c>
      <c r="C21" s="57" t="str">
        <f>IFERROR(__xludf.DUMMYFUNCTION("if(countif(query(filter('Data Recording'!E:E,'Data Recording'!D:D=B21), ""Select Col1""),""Yes"")=0,""0"",countif(query(filter('Data Recording'!E:E,'Data Recording'!D:D=B21), ""Select Col1""),""Yes"")) &amp; ""/"" &amp; if(COUNTA(query(ifna(filter('Data Recording"&amp;"'!E:E,'Data Recording'!D:D=B21),""""), ""Select Col1""))=0,""0"",COUNTA(query(ifna(filter('Data Recording'!E:E,'Data Recording'!D:D=B21),""""), ""Select Col1"")))"),"5/8")</f>
        <v>5/8</v>
      </c>
      <c r="D21" s="58">
        <f>IFERROR(__xludf.DUMMYFUNCTION("iferror(SUM(query(filter('Data Recording'!F:F,'Data Recording'!D:D=B21), ""Select Col1"")),""-"")"),0.0)</f>
        <v>0</v>
      </c>
      <c r="E21" s="58">
        <f>IFERROR(__xludf.DUMMYFUNCTION("iferror(SUM(query(filter('Data Recording'!G:G,'Data Recording'!D:D=B21), ""Select Col1"")),""-"")"),0.0)</f>
        <v>0</v>
      </c>
      <c r="F21" s="59" t="str">
        <f t="shared" si="1"/>
        <v>-</v>
      </c>
      <c r="G21" s="60">
        <f>IFERROR(__xludf.DUMMYFUNCTION("iferror(AVERAGE(query(filter('Data Recording'!G:G,'Data Recording'!D:D=B21), ""Select Col1"")),""0.00"")"),0.0)</f>
        <v>0</v>
      </c>
      <c r="H21" s="58">
        <f>IFERROR(__xludf.DUMMYFUNCTION("iferror(MAX(query(filter('Data Recording'!G:G,'Data Recording'!D:D=B21), ""Select Col1"")),""-"")"),0.0)</f>
        <v>0</v>
      </c>
      <c r="I21" s="61">
        <f>IFERROR(__xludf.DUMMYFUNCTION("iferror(SUM(query(filter('Data Recording'!H:H,'Data Recording'!D:D=B21), ""Select Col1"")),""-"")"),0.0)</f>
        <v>0</v>
      </c>
      <c r="J21" s="62">
        <f>IFERROR(__xludf.DUMMYFUNCTION("iferror(SUM(query(filter('Data Recording'!I:I,'Data Recording'!D:D=B21), ""Select Col1"")),""-"")"),0.0)</f>
        <v>0</v>
      </c>
      <c r="K21" s="59" t="str">
        <f t="shared" si="2"/>
        <v>-</v>
      </c>
      <c r="L21" s="60">
        <f>IFERROR(__xludf.DUMMYFUNCTION("iferror(AVERAGE(query(filter('Data Recording'!I:I,'Data Recording'!D:D=B21), ""Select Col1"")),""0.00"")"),0.0)</f>
        <v>0</v>
      </c>
      <c r="M21" s="58">
        <f>IFERROR(__xludf.DUMMYFUNCTION("iferror(MAX(query(filter('Data Recording'!I:I,'Data Recording'!D:D=B21), ""Select Col1"")),""-"")"),0.0)</f>
        <v>0</v>
      </c>
      <c r="N21" s="63">
        <f>IFERROR(__xludf.DUMMYFUNCTION("iferror(SUM(query(filter('Data Recording'!J:J,'Data Recording'!D:D=B21), ""Select Col1"")),""-"")"),0.0)</f>
        <v>0</v>
      </c>
      <c r="O21" s="5">
        <f>IFERROR(__xludf.DUMMYFUNCTION("iferror(SUM(query(filter('Data Recording'!K:K,'Data Recording'!D:D=B21), ""Select Col1"")),""-"")"),0.0)</f>
        <v>0</v>
      </c>
      <c r="P21" s="59" t="str">
        <f t="shared" si="3"/>
        <v>-</v>
      </c>
      <c r="Q21" s="60">
        <f>IFERROR(__xludf.DUMMYFUNCTION("iferror(AVERAGE(query(filter('Data Recording'!K:K,'Data Recording'!D:D=B21), ""Select Col1"")),""0.00"")"),0.0)</f>
        <v>0</v>
      </c>
      <c r="R21" s="58">
        <f>IFERROR(__xludf.DUMMYFUNCTION("iferror(MAX(query(filter('Data Recording'!K:K,'Data Recording'!D:D=B21), ""Select Col1"")),""-"")"),0.0)</f>
        <v>0</v>
      </c>
      <c r="S21" s="63">
        <f>IFERROR(__xludf.DUMMYFUNCTION("iferror(SUM(query(filter('Data Recording'!L:L,'Data Recording'!D:D=B21), ""Select Col1"")),""-"")"),4.0)</f>
        <v>4</v>
      </c>
      <c r="T21" s="5">
        <f>IFERROR(__xludf.DUMMYFUNCTION("iferror(SUM(query(filter('Data Recording'!M:M,'Data Recording'!D:D=B21), ""Select Col1"")),""-"")"),2.0)</f>
        <v>2</v>
      </c>
      <c r="U21" s="59">
        <f t="shared" si="4"/>
        <v>0.5</v>
      </c>
      <c r="V21" s="60">
        <f>IFERROR(__xludf.DUMMYFUNCTION("iferror(AVERAGE(query(filter('Data Recording'!M:M,'Data Recording'!D:D=B21), ""Select Col1"")),""-"")"),0.5)</f>
        <v>0.5</v>
      </c>
      <c r="W21" s="57">
        <f>IFERROR(__xludf.DUMMYFUNCTION("iferror(MAX(query(filter('Data Recording'!M:M,'Data Recording'!D:D=B21), ""Select Col1"")),""-"")"),1.0)</f>
        <v>1</v>
      </c>
      <c r="X21" s="5">
        <f>IFERROR(__xludf.DUMMYFUNCTION("iferror(SUM(query(filter('Data Recording'!N:N,'Data Recording'!D:D=B21), ""Select Col1"")),""-"")"),4.0)</f>
        <v>4</v>
      </c>
      <c r="Y21" s="5">
        <f>IFERROR(__xludf.DUMMYFUNCTION("iferror(SUM(query(filter('Data Recording'!O:O,'Data Recording'!D:D=B21), ""Select Col1"")),""-"")"),4.0)</f>
        <v>4</v>
      </c>
      <c r="Z21" s="59">
        <f t="shared" si="5"/>
        <v>1</v>
      </c>
      <c r="AA21" s="60">
        <f>IFERROR(__xludf.DUMMYFUNCTION("iferror(AVERAGE(query(filter('Data Recording'!O:O,'Data Recording'!D:D=B21), ""Select Col1"")),""0.00"")"),0.8)</f>
        <v>0.8</v>
      </c>
      <c r="AB21" s="57">
        <f>IFERROR(__xludf.DUMMYFUNCTION("iferror(MAX(query(filter('Data Recording'!O:O,'Data Recording'!D:D=B21), ""Select Col1"")),""-"")"),1.0)</f>
        <v>1</v>
      </c>
      <c r="AC21" s="5">
        <f>IFERROR(__xludf.DUMMYFUNCTION("iferror(SUM(query(filter('Data Recording'!P:P,'Data Recording'!D:D=B21), ""Select Col1"")),""-"")"),2.0)</f>
        <v>2</v>
      </c>
      <c r="AD21" s="5">
        <f>IFERROR(__xludf.DUMMYFUNCTION("iferror(SUM(query(filter('Data Recording'!Q:Q,'Data Recording'!D:D=B21), ""Select Col1"")),""-"")"),2.0)</f>
        <v>2</v>
      </c>
      <c r="AE21" s="59">
        <f t="shared" si="6"/>
        <v>1</v>
      </c>
      <c r="AF21" s="60">
        <f>IFERROR(__xludf.DUMMYFUNCTION("iferror(AVERAGE(query(filter('Data Recording'!Q:Q,'Data Recording'!D:D=B21), ""Select Col1"")),""0.00"")"),0.6666666666666666)</f>
        <v>0.6666666667</v>
      </c>
      <c r="AG21" s="5">
        <f>IFERROR(__xludf.DUMMYFUNCTION("iferror(MAX(query(filter('Data Recording'!Q:Q,'Data Recording'!D:D=B21), ""Select Col1"")),""-"")"),1.0)</f>
        <v>1</v>
      </c>
      <c r="AH21" s="63" t="str">
        <f>IFERROR(__xludf.DUMMYFUNCTION("if(countif(query(filter('Data Recording'!R:R,'Data Recording'!D:D=B21), ""Select Col1""),""Yes, Engaged"")+countif(query(filter('Data Recording'!R:R,'Data Recording'!D:D=B21), ""Select Col1""),""Yes, Docked"")=0,""0"",countif(query(filter('Data Recording'"&amp;"!R:R,'Data Recording'!D:D=B21), ""Select Col1""),""Yes, Engaged""))+countif(query(filter('Data Recording'!R:R,'Data Recording'!D:D=B21), ""Select Col1""),""Yes, Docked"") &amp; ""/"" &amp; if(COUNTA(query(ifna(filter('Data Recording'!R:R,'Data Recording'!D:D=B21)"&amp;",""""), ""Select Col1""))=0,""0"",COUNTA(query(ifna(filter('Data Recording'!R:R,'Data Recording'!D:D=B21),""""), ""Select Col1"")))"),"0/8")</f>
        <v>0/8</v>
      </c>
      <c r="AI21" s="64" t="str">
        <f>IFERROR(__xludf.DUMMYFUNCTION("if(countif(query(filter('Data Recording'!R:R,'Data Recording'!D:D=B21), ""Select Col1""),""Yes, Engaged"")=0,""0"",countif(query(filter('Data Recording'!R:R,'Data Recording'!D:D=B21), ""Select Col1""),""Yes, Engaged"")) &amp; ""/"" &amp; if(COUNTA(query(ifna(filt"&amp;"er('Data Recording'!R:R,'Data Recording'!D:D=B21),""""), ""Select Col1""))=0,""0"",COUNTA(query(ifna(filter('Data Recording'!R:R,'Data Recording'!D:D=B21),""""), ""Select Col1"")))"),"0/8")</f>
        <v>0/8</v>
      </c>
      <c r="AJ21" s="5">
        <f>IFERROR(__xludf.DUMMYFUNCTION("iferror(SUM(query(filter('Data Recording'!S:S,'Data Recording'!D:D=B21), ""Select Col1"")),""-"")"),1.0)</f>
        <v>1</v>
      </c>
      <c r="AK21" s="5">
        <f>IFERROR(__xludf.DUMMYFUNCTION("iferror(SUM(query(filter('Data Recording'!T:T,'Data Recording'!D:D=B21), ""Select Col1"")),""-"")"),1.0)</f>
        <v>1</v>
      </c>
      <c r="AL21" s="59">
        <f t="shared" si="7"/>
        <v>1</v>
      </c>
      <c r="AM21" s="60">
        <f>IFERROR(__xludf.DUMMYFUNCTION("iferror(AVERAGE(query(filter('Data Recording'!T:T,'Data Recording'!D:D=B21), ""Select Col1"")),""0.00"")"),0.5)</f>
        <v>0.5</v>
      </c>
      <c r="AN21" s="65">
        <f>IFERROR(__xludf.DUMMYFUNCTION("iferror(MAX(query(filter('Data Recording'!T:T,'Data Recording'!D:D=B21), ""Select Col1"")),""-"")"),1.0)</f>
        <v>1</v>
      </c>
      <c r="AO21" s="66">
        <f>IFERROR(__xludf.DUMMYFUNCTION("iferror(SUM(query(filter('Data Recording'!U:U,'Data Recording'!D:D=B21), ""Select Col1"")),""-"")"),0.0)</f>
        <v>0</v>
      </c>
      <c r="AP21" s="66">
        <f>IFERROR(__xludf.DUMMYFUNCTION("iferror(SUM(query(filter('Data Recording'!V:V,'Data Recording'!D:D=B21), ""Select Col1"")),""-"")"),0.0)</f>
        <v>0</v>
      </c>
      <c r="AQ21" s="67" t="str">
        <f t="shared" si="8"/>
        <v>-</v>
      </c>
      <c r="AR21" s="68">
        <f>IFERROR(__xludf.DUMMYFUNCTION("iferror(AVERAGE(query(filter('Data Recording'!V:V,'Data Recording'!D:D=B21), ""Select Col1"")),""0.00"")"),0.0)</f>
        <v>0</v>
      </c>
      <c r="AS21" s="69">
        <f>IFERROR(__xludf.DUMMYFUNCTION("iferror(MAX(query(filter('Data Recording'!V:V,'Data Recording'!D:D=B21), ""Select Col1"")),""-"")"),0.0)</f>
        <v>0</v>
      </c>
      <c r="AT21" s="66">
        <f>IFERROR(__xludf.DUMMYFUNCTION("iferror(SUM(query(filter('Data Recording'!W:W,'Data Recording'!D:D=B21), ""Select Col1"")),""-"")"),1.0)</f>
        <v>1</v>
      </c>
      <c r="AU21" s="66">
        <f>IFERROR(__xludf.DUMMYFUNCTION("iferror(SUM(query(filter('Data Recording'!X:X,'Data Recording'!D:D=B21), ""Select Col1"")),""-"")"),1.0)</f>
        <v>1</v>
      </c>
      <c r="AV21" s="67">
        <f t="shared" si="9"/>
        <v>1</v>
      </c>
      <c r="AW21" s="68">
        <f>IFERROR(__xludf.DUMMYFUNCTION("iferror(AVERAGE(query(filter('Data Recording'!X:X,'Data Recording'!D:D=B21), ""Select Col1"")),""0.00"")"),0.5)</f>
        <v>0.5</v>
      </c>
      <c r="AX21" s="69">
        <f>IFERROR(__xludf.DUMMYFUNCTION("iferror(MAX(query(filter('Data Recording'!X:X,'Data Recording'!D:D=B21), ""Select Col1"")),""-"")"),1.0)</f>
        <v>1</v>
      </c>
      <c r="AY21" s="66">
        <f>IFERROR(__xludf.DUMMYFUNCTION("iferror(SUM(query(filter('Data Recording'!Y:Y,'Data Recording'!D:D=B21), ""Select Col1"")),""-"")"),11.0)</f>
        <v>11</v>
      </c>
      <c r="AZ21" s="66">
        <f>IFERROR(__xludf.DUMMYFUNCTION("iferror(SUM(query(filter('Data Recording'!Z:Z,'Data Recording'!D:D=B21), ""Select Col1"")),""-"")"),10.0)</f>
        <v>10</v>
      </c>
      <c r="BA21" s="67">
        <f t="shared" si="10"/>
        <v>0.9090909091</v>
      </c>
      <c r="BB21" s="68">
        <f>IFERROR(__xludf.DUMMYFUNCTION("iferror(AVERAGE(query(filter('Data Recording'!Z:Z,'Data Recording'!D:D=B21), ""Select Col1"")),""0.00"")"),1.4285714285714286)</f>
        <v>1.428571429</v>
      </c>
      <c r="BC21" s="69">
        <f>IFERROR(__xludf.DUMMYFUNCTION("iferror(MAX(query(filter('Data Recording'!Z:Z,'Data Recording'!D:D=B21), ""Select Col1"")),""-"")"),3.0)</f>
        <v>3</v>
      </c>
      <c r="BD21" s="66">
        <f>IFERROR(__xludf.DUMMYFUNCTION("iferror(SUM(query(filter('Data Recording'!AA:AA,'Data Recording'!D:D=B21), ""Select Col1"")),""-"")"),5.0)</f>
        <v>5</v>
      </c>
      <c r="BE21" s="66">
        <f>IFERROR(__xludf.DUMMYFUNCTION("iferror(SUM(query(filter('Data Recording'!AB:AB,'Data Recording'!D:D=B21), ""Select Col1"")),""-"")"),5.0)</f>
        <v>5</v>
      </c>
      <c r="BF21" s="67">
        <f t="shared" si="11"/>
        <v>1</v>
      </c>
      <c r="BG21" s="68">
        <f>IFERROR(__xludf.DUMMYFUNCTION("iferror(AVERAGE(query(filter('Data Recording'!AB:AB,'Data Recording'!D:D=B21), ""Select Col1"")),""0.00"")"),1.0)</f>
        <v>1</v>
      </c>
      <c r="BH21" s="69">
        <f>IFERROR(__xludf.DUMMYFUNCTION("iferror(MAX(query(filter('Data Recording'!AB:AB,'Data Recording'!D:D=B21), ""Select Col1"")),""-"")"),2.0)</f>
        <v>2</v>
      </c>
      <c r="BI21" s="66">
        <f>IFERROR(__xludf.DUMMYFUNCTION("iferror(SUM(query(filter('Data Recording'!AC:AC,'Data Recording'!D:D=B21), ""Select Col1"")),""-"")"),2.0)</f>
        <v>2</v>
      </c>
      <c r="BJ21" s="66">
        <f>IFERROR(__xludf.DUMMYFUNCTION("iferror(SUM(query(filter('Data Recording'!AD:AD,'Data Recording'!D:D=B21), ""Select Col1"")),""-"")"),2.0)</f>
        <v>2</v>
      </c>
      <c r="BK21" s="67">
        <f t="shared" si="12"/>
        <v>1</v>
      </c>
      <c r="BL21" s="68">
        <f>IFERROR(__xludf.DUMMYFUNCTION("iferror(AVERAGE(query(filter('Data Recording'!AD:AD,'Data Recording'!D:D=B21), ""Select Col1"")),""0.00"")"),0.6666666666666666)</f>
        <v>0.6666666667</v>
      </c>
      <c r="BM21" s="69">
        <f>IFERROR(__xludf.DUMMYFUNCTION("iferror(MAX(query(filter('Data Recording'!AD:AD,'Data Recording'!D:D=B21), ""Select Col1"")),""-"")"),1.0)</f>
        <v>1</v>
      </c>
      <c r="BN21" s="70" t="str">
        <f>IFERROR(__xludf.DUMMYFUNCTION("if(countif(query(filter('Data Recording'!AE:AE,'Data Recording'!D:D=B21), ""Select Col1""),""Yes, Engaged"")+countif(query(filter('Data Recording'!AE:AE,'Data Recording'!D:D=B21), ""Select Col1""),""Yes, Docked"")=0,""0"",countif(query(filter('Data Record"&amp;"ing'!AE:AE,'Data Recording'!D:D=B21), ""Select Col1""),""Yes, Engaged""))+countif(query(filter('Data Recording'!AE:AE,'Data Recording'!D:D=B21), ""Select Col1""),""Yes, Docked"") &amp; ""/"" &amp; if(COUNTA(query(ifna(filter('Data Recording'!AE:AE,'Data Recording"&amp;"'!D:D=B21),""""), ""Select Col1""))=0,""0"",COUNTA(query(ifna(filter('Data Recording'!AE:AE,'Data Recording'!D:D=B21),""""), ""Select Col1"")))"),"2/8")</f>
        <v>2/8</v>
      </c>
      <c r="BO21" s="71" t="str">
        <f>IFERROR(__xludf.DUMMYFUNCTION("if(countif(query(filter('Data Recording'!AE:AE,'Data Recording'!D:D=B21), ""Select Col1""),""Yes, Engaged"")=0,""0"",countif(query(filter('Data Recording'!AE:AE,'Data Recording'!D:D=B21), ""Select Col1""),""Yes, Engaged"")) &amp; ""/"" &amp; if(COUNTA(query(ifna("&amp;"filter('Data Recording'!AE:AE,'Data Recording'!D:D=B21),""""), ""Select Col1""))=0,""0"",COUNTA(query(ifna(filter('Data Recording'!AE:AE,'Data Recording'!D:D=B21),""""), ""Select Col1"")))"),"2/8")</f>
        <v>2/8</v>
      </c>
      <c r="BP21" s="64" t="str">
        <f>IFERROR(__xludf.DUMMYFUNCTION("if(countif(query(filter('Data Recording'!AH:AH,'Data Recording'!D:D=B21), ""Select Col1""),""Yes"")=0,""0"",countif(query(filter('Data Recording'!AH:AH,'Data Recording'!D:D=B21), ""Select Col1""),""Yes"")) &amp; ""/"" &amp; if(COUNTA(query(ifna(filter('Data Recor"&amp;"ding'!AH:AH,'Data Recording'!D:D=B21),""""), ""Select Col1""))=0,""0"",COUNTA(query(ifna(filter('Data Recording'!AH:AH,'Data Recording'!D:D=B21),""""), ""Select Col1"")))"),"1/8")</f>
        <v>1/8</v>
      </c>
      <c r="BQ21" s="79">
        <v>0.125</v>
      </c>
      <c r="BR21" s="60">
        <f>IFERROR(__xludf.DUMMYFUNCTION("iferror(average(query(filter('Data Recording'!AF:AF,'Data Recording'!D:D=B21), ""Select Col1"")),""-"")"),2.0)</f>
        <v>2</v>
      </c>
      <c r="BS21" s="73">
        <f>IFERROR(__xludf.DUMMYFUNCTION("iferror(average(query(filter('Data Recording'!AG:AG,'Data Recording'!D:D=B21), ""Select Col1"")),""-"")"),0.0)</f>
        <v>0</v>
      </c>
      <c r="BT21" s="74">
        <f t="shared" si="13"/>
        <v>26.17619048</v>
      </c>
      <c r="BU21" s="74">
        <f>IFERROR(__xludf.DUMMYFUNCTION("iferror(AVERAGE(query(filter('Data Recording'!AJ:AJ,'Data Recording'!D:D=B21), ""Select Col1"")),""-"")"),20.0)</f>
        <v>20</v>
      </c>
      <c r="BV21" s="74">
        <f>IFERROR(__xludf.DUMMYFUNCTION("iferror(AVERAGE(query(filter('Data Recording'!AK:AK,'Data Recording'!D:D=B21), ""Select Col1"")),""-"")"),13.75)</f>
        <v>13.75</v>
      </c>
      <c r="BW21" s="74">
        <f t="shared" si="14"/>
        <v>23.17619048</v>
      </c>
      <c r="BX21" s="75">
        <f>IFERROR(__xludf.DUMMYFUNCTION("iferror(max(query(filter('Data Recording'!AJ:AJ,'Data Recording'!D:D=B21), ""Select Col1"")),""-"")"),29.0)</f>
        <v>29</v>
      </c>
      <c r="BY21" s="76">
        <f>IFERROR(__xludf.DUMMYFUNCTION("iferror(MIN(query(filter('Data Recording'!AJ:AJ,'Data Recording'!D:D=B21), ""Select Col1"")),""-"")"),9.0)</f>
        <v>9</v>
      </c>
      <c r="BZ21" s="77" t="str">
        <f>IFERROR(__xludf.DUMMYFUNCTION("iferror(if(DIVIDE(COUNTIF(query(filter('Data Recording'!R:R,'Data Recording'!D:D=B21), ""Select Col1""),""Yes, Docked"") + countif(query(filter('Data Recording'!R:R,'Data Recording'!D:D=B21), ""Select Col1""),""Yes, Engaged""),COUNTA(query(ifna(filter('Da"&amp;"ta Recording'!R:R,'Data Recording'!D:D=B21),""""), ""Select Col1"")))&gt;=(0.5),""1"",""0""),""-"")"),"0")</f>
        <v>0</v>
      </c>
      <c r="CA21" s="5" t="str">
        <f>IFERROR(__xludf.DUMMYFUNCTION("iferror(if(countif(query(filter('Data Recording'!R:R,'Data Recording'!D:D=B21), ""Select Col1""),""Yes, Engaged"")/COUNTA(query(ifna(filter('Data Recording'!R:R,'Data Recording'!D:D=B21),""""), ""Select Col1""))&gt;=(0.5),""1"",""0""),""-"")"),"0")</f>
        <v>0</v>
      </c>
      <c r="CB21" s="78" t="str">
        <f>IFERROR(__xludf.DUMMYFUNCTION("iferror(if(DIVIDE(COUNTIF(query(filter('Data Recording'!AE:AE,'Data Recording'!D:D=B21), ""Select Col1""),""Yes, Docked"") + countif(query(filter('Data Recording'!AE:AE,'Data Recording'!D:D=B21), ""Select Col1""),""Yes, Engaged""),COUNTA(query(ifna(filter"&amp;"('Data Recording'!AE:AE,'Data Recording'!D:D=B21),""""), ""Select Col1"")))&gt;=(0.5),""1"",""0""),""-"")"),"0")</f>
        <v>0</v>
      </c>
      <c r="CC21" s="5" t="str">
        <f>IFERROR(__xludf.DUMMYFUNCTION("iferror(if(countif(query(filter('Data Recording'!AE:AE,'Data Recording'!D:D=B21), ""Select Col1""),""Yes, Engaged"")/COUNTA(query(ifna(filter('Data Recording'!AE:AE,'Data Recording'!D:D=B21),""""), ""Select Col1""))&gt;=(0.5),""1"",""0""),""-"")"),"0")</f>
        <v>0</v>
      </c>
      <c r="CD21" s="78" t="str">
        <f>IFERROR(__xludf.DUMMYFUNCTION("iferror(if(DIVIDE(countif(query(filter('Data Recording'!E:E,'Data Recording'!D:D=B21), ""Select Col1""),""Yes""),COUNTA(query(ifna(filter('Data Recording'!E:E,'Data Recording'!D:D=B21),""""), ""Select Col1"")))&gt;=(0.5),""1"",""0""),""-"")"),"1")</f>
        <v>1</v>
      </c>
    </row>
    <row r="22">
      <c r="A22" s="2" t="s">
        <v>131</v>
      </c>
      <c r="B22" s="2">
        <v>8374.0</v>
      </c>
      <c r="C22" s="57" t="str">
        <f>IFERROR(__xludf.DUMMYFUNCTION("if(countif(query(filter('Data Recording'!E:E,'Data Recording'!D:D=B22), ""Select Col1""),""Yes"")=0,""0"",countif(query(filter('Data Recording'!E:E,'Data Recording'!D:D=B22), ""Select Col1""),""Yes"")) &amp; ""/"" &amp; if(COUNTA(query(ifna(filter('Data Recording"&amp;"'!E:E,'Data Recording'!D:D=B22),""""), ""Select Col1""))=0,""0"",COUNTA(query(ifna(filter('Data Recording'!E:E,'Data Recording'!D:D=B22),""""), ""Select Col1"")))"),"2/5")</f>
        <v>2/5</v>
      </c>
      <c r="D22" s="58">
        <f>IFERROR(__xludf.DUMMYFUNCTION("iferror(SUM(query(filter('Data Recording'!F:F,'Data Recording'!D:D=B22), ""Select Col1"")),""-"")"),0.0)</f>
        <v>0</v>
      </c>
      <c r="E22" s="58">
        <f>IFERROR(__xludf.DUMMYFUNCTION("iferror(SUM(query(filter('Data Recording'!G:G,'Data Recording'!D:D=B22), ""Select Col1"")),""-"")"),0.0)</f>
        <v>0</v>
      </c>
      <c r="F22" s="59" t="str">
        <f t="shared" si="1"/>
        <v>-</v>
      </c>
      <c r="G22" s="60">
        <f>IFERROR(__xludf.DUMMYFUNCTION("iferror(AVERAGE(query(filter('Data Recording'!G:G,'Data Recording'!D:D=B22), ""Select Col1"")),""0.00"")"),0.0)</f>
        <v>0</v>
      </c>
      <c r="H22" s="58">
        <f>IFERROR(__xludf.DUMMYFUNCTION("iferror(MAX(query(filter('Data Recording'!G:G,'Data Recording'!D:D=B22), ""Select Col1"")),""-"")"),0.0)</f>
        <v>0</v>
      </c>
      <c r="I22" s="61">
        <f>IFERROR(__xludf.DUMMYFUNCTION("iferror(SUM(query(filter('Data Recording'!H:H,'Data Recording'!D:D=B22), ""Select Col1"")),""-"")"),0.0)</f>
        <v>0</v>
      </c>
      <c r="J22" s="62">
        <f>IFERROR(__xludf.DUMMYFUNCTION("iferror(SUM(query(filter('Data Recording'!I:I,'Data Recording'!D:D=B22), ""Select Col1"")),""-"")"),0.0)</f>
        <v>0</v>
      </c>
      <c r="K22" s="59" t="str">
        <f t="shared" si="2"/>
        <v>-</v>
      </c>
      <c r="L22" s="60">
        <f>IFERROR(__xludf.DUMMYFUNCTION("iferror(AVERAGE(query(filter('Data Recording'!I:I,'Data Recording'!D:D=B22), ""Select Col1"")),""0.00"")"),0.0)</f>
        <v>0</v>
      </c>
      <c r="M22" s="58">
        <f>IFERROR(__xludf.DUMMYFUNCTION("iferror(MAX(query(filter('Data Recording'!I:I,'Data Recording'!D:D=B22), ""Select Col1"")),""-"")"),0.0)</f>
        <v>0</v>
      </c>
      <c r="N22" s="63">
        <f>IFERROR(__xludf.DUMMYFUNCTION("iferror(SUM(query(filter('Data Recording'!J:J,'Data Recording'!D:D=B22), ""Select Col1"")),""-"")"),0.0)</f>
        <v>0</v>
      </c>
      <c r="O22" s="5">
        <f>IFERROR(__xludf.DUMMYFUNCTION("iferror(SUM(query(filter('Data Recording'!K:K,'Data Recording'!D:D=B22), ""Select Col1"")),""-"")"),0.0)</f>
        <v>0</v>
      </c>
      <c r="P22" s="59" t="str">
        <f t="shared" si="3"/>
        <v>-</v>
      </c>
      <c r="Q22" s="60">
        <f>IFERROR(__xludf.DUMMYFUNCTION("iferror(AVERAGE(query(filter('Data Recording'!K:K,'Data Recording'!D:D=B22), ""Select Col1"")),""0.00"")"),0.0)</f>
        <v>0</v>
      </c>
      <c r="R22" s="58">
        <f>IFERROR(__xludf.DUMMYFUNCTION("iferror(MAX(query(filter('Data Recording'!K:K,'Data Recording'!D:D=B22), ""Select Col1"")),""-"")"),0.0)</f>
        <v>0</v>
      </c>
      <c r="S22" s="63">
        <f>IFERROR(__xludf.DUMMYFUNCTION("iferror(SUM(query(filter('Data Recording'!L:L,'Data Recording'!D:D=B22), ""Select Col1"")),""-"")"),0.0)</f>
        <v>0</v>
      </c>
      <c r="T22" s="5">
        <f>IFERROR(__xludf.DUMMYFUNCTION("iferror(SUM(query(filter('Data Recording'!M:M,'Data Recording'!D:D=B22), ""Select Col1"")),""-"")"),0.0)</f>
        <v>0</v>
      </c>
      <c r="U22" s="59" t="str">
        <f t="shared" si="4"/>
        <v>-</v>
      </c>
      <c r="V22" s="60">
        <f>IFERROR(__xludf.DUMMYFUNCTION("iferror(AVERAGE(query(filter('Data Recording'!M:M,'Data Recording'!D:D=B22), ""Select Col1"")),""-"")"),0.0)</f>
        <v>0</v>
      </c>
      <c r="W22" s="57">
        <f>IFERROR(__xludf.DUMMYFUNCTION("iferror(MAX(query(filter('Data Recording'!M:M,'Data Recording'!D:D=B22), ""Select Col1"")),""-"")"),0.0)</f>
        <v>0</v>
      </c>
      <c r="X22" s="5">
        <f>IFERROR(__xludf.DUMMYFUNCTION("iferror(SUM(query(filter('Data Recording'!N:N,'Data Recording'!D:D=B22), ""Select Col1"")),""-"")"),0.0)</f>
        <v>0</v>
      </c>
      <c r="Y22" s="5">
        <f>IFERROR(__xludf.DUMMYFUNCTION("iferror(SUM(query(filter('Data Recording'!O:O,'Data Recording'!D:D=B22), ""Select Col1"")),""-"")"),0.0)</f>
        <v>0</v>
      </c>
      <c r="Z22" s="59" t="str">
        <f t="shared" si="5"/>
        <v>-</v>
      </c>
      <c r="AA22" s="60">
        <f>IFERROR(__xludf.DUMMYFUNCTION("iferror(AVERAGE(query(filter('Data Recording'!O:O,'Data Recording'!D:D=B22), ""Select Col1"")),""0.00"")"),0.0)</f>
        <v>0</v>
      </c>
      <c r="AB22" s="57">
        <f>IFERROR(__xludf.DUMMYFUNCTION("iferror(MAX(query(filter('Data Recording'!O:O,'Data Recording'!D:D=B22), ""Select Col1"")),""-"")"),0.0)</f>
        <v>0</v>
      </c>
      <c r="AC22" s="5">
        <f>IFERROR(__xludf.DUMMYFUNCTION("iferror(SUM(query(filter('Data Recording'!P:P,'Data Recording'!D:D=B22), ""Select Col1"")),""-"")"),0.0)</f>
        <v>0</v>
      </c>
      <c r="AD22" s="5">
        <f>IFERROR(__xludf.DUMMYFUNCTION("iferror(SUM(query(filter('Data Recording'!Q:Q,'Data Recording'!D:D=B22), ""Select Col1"")),""-"")"),0.0)</f>
        <v>0</v>
      </c>
      <c r="AE22" s="59" t="str">
        <f t="shared" si="6"/>
        <v>-</v>
      </c>
      <c r="AF22" s="60">
        <f>IFERROR(__xludf.DUMMYFUNCTION("iferror(AVERAGE(query(filter('Data Recording'!Q:Q,'Data Recording'!D:D=B22), ""Select Col1"")),""0.00"")"),0.0)</f>
        <v>0</v>
      </c>
      <c r="AG22" s="5">
        <f>IFERROR(__xludf.DUMMYFUNCTION("iferror(MAX(query(filter('Data Recording'!Q:Q,'Data Recording'!D:D=B22), ""Select Col1"")),""-"")"),0.0)</f>
        <v>0</v>
      </c>
      <c r="AH22" s="63" t="str">
        <f>IFERROR(__xludf.DUMMYFUNCTION("if(countif(query(filter('Data Recording'!R:R,'Data Recording'!D:D=B22), ""Select Col1""),""Yes, Engaged"")+countif(query(filter('Data Recording'!R:R,'Data Recording'!D:D=B22), ""Select Col1""),""Yes, Docked"")=0,""0"",countif(query(filter('Data Recording'"&amp;"!R:R,'Data Recording'!D:D=B22), ""Select Col1""),""Yes, Engaged""))+countif(query(filter('Data Recording'!R:R,'Data Recording'!D:D=B22), ""Select Col1""),""Yes, Docked"") &amp; ""/"" &amp; if(COUNTA(query(ifna(filter('Data Recording'!R:R,'Data Recording'!D:D=B22)"&amp;",""""), ""Select Col1""))=0,""0"",COUNTA(query(ifna(filter('Data Recording'!R:R,'Data Recording'!D:D=B22),""""), ""Select Col1"")))"),"0/5")</f>
        <v>0/5</v>
      </c>
      <c r="AI22" s="64" t="str">
        <f>IFERROR(__xludf.DUMMYFUNCTION("if(countif(query(filter('Data Recording'!R:R,'Data Recording'!D:D=B22), ""Select Col1""),""Yes, Engaged"")=0,""0"",countif(query(filter('Data Recording'!R:R,'Data Recording'!D:D=B22), ""Select Col1""),""Yes, Engaged"")) &amp; ""/"" &amp; if(COUNTA(query(ifna(filt"&amp;"er('Data Recording'!R:R,'Data Recording'!D:D=B22),""""), ""Select Col1""))=0,""0"",COUNTA(query(ifna(filter('Data Recording'!R:R,'Data Recording'!D:D=B22),""""), ""Select Col1"")))"),"0/5")</f>
        <v>0/5</v>
      </c>
      <c r="AJ22" s="5">
        <f>IFERROR(__xludf.DUMMYFUNCTION("iferror(SUM(query(filter('Data Recording'!S:S,'Data Recording'!D:D=B22), ""Select Col1"")),""-"")"),0.0)</f>
        <v>0</v>
      </c>
      <c r="AK22" s="5">
        <f>IFERROR(__xludf.DUMMYFUNCTION("iferror(SUM(query(filter('Data Recording'!T:T,'Data Recording'!D:D=B22), ""Select Col1"")),""-"")"),0.0)</f>
        <v>0</v>
      </c>
      <c r="AL22" s="59" t="str">
        <f t="shared" si="7"/>
        <v>-</v>
      </c>
      <c r="AM22" s="60">
        <f>IFERROR(__xludf.DUMMYFUNCTION("iferror(AVERAGE(query(filter('Data Recording'!T:T,'Data Recording'!D:D=B22), ""Select Col1"")),""0.00"")"),0.0)</f>
        <v>0</v>
      </c>
      <c r="AN22" s="65">
        <f>IFERROR(__xludf.DUMMYFUNCTION("iferror(MAX(query(filter('Data Recording'!T:T,'Data Recording'!D:D=B22), ""Select Col1"")),""-"")"),0.0)</f>
        <v>0</v>
      </c>
      <c r="AO22" s="66">
        <f>IFERROR(__xludf.DUMMYFUNCTION("iferror(SUM(query(filter('Data Recording'!U:U,'Data Recording'!D:D=B22), ""Select Col1"")),""-"")"),0.0)</f>
        <v>0</v>
      </c>
      <c r="AP22" s="66">
        <f>IFERROR(__xludf.DUMMYFUNCTION("iferror(SUM(query(filter('Data Recording'!V:V,'Data Recording'!D:D=B22), ""Select Col1"")),""-"")"),0.0)</f>
        <v>0</v>
      </c>
      <c r="AQ22" s="67" t="str">
        <f t="shared" si="8"/>
        <v>-</v>
      </c>
      <c r="AR22" s="68">
        <f>IFERROR(__xludf.DUMMYFUNCTION("iferror(AVERAGE(query(filter('Data Recording'!V:V,'Data Recording'!D:D=B22), ""Select Col1"")),""0.00"")"),0.0)</f>
        <v>0</v>
      </c>
      <c r="AS22" s="69">
        <f>IFERROR(__xludf.DUMMYFUNCTION("iferror(MAX(query(filter('Data Recording'!V:V,'Data Recording'!D:D=B22), ""Select Col1"")),""-"")"),0.0)</f>
        <v>0</v>
      </c>
      <c r="AT22" s="66">
        <f>IFERROR(__xludf.DUMMYFUNCTION("iferror(SUM(query(filter('Data Recording'!W:W,'Data Recording'!D:D=B22), ""Select Col1"")),""-"")"),0.0)</f>
        <v>0</v>
      </c>
      <c r="AU22" s="66">
        <f>IFERROR(__xludf.DUMMYFUNCTION("iferror(SUM(query(filter('Data Recording'!X:X,'Data Recording'!D:D=B22), ""Select Col1"")),""-"")"),0.0)</f>
        <v>0</v>
      </c>
      <c r="AV22" s="67" t="str">
        <f t="shared" si="9"/>
        <v>-</v>
      </c>
      <c r="AW22" s="68">
        <f>IFERROR(__xludf.DUMMYFUNCTION("iferror(AVERAGE(query(filter('Data Recording'!X:X,'Data Recording'!D:D=B22), ""Select Col1"")),""0.00"")"),0.0)</f>
        <v>0</v>
      </c>
      <c r="AX22" s="69">
        <f>IFERROR(__xludf.DUMMYFUNCTION("iferror(MAX(query(filter('Data Recording'!X:X,'Data Recording'!D:D=B22), ""Select Col1"")),""-"")"),0.0)</f>
        <v>0</v>
      </c>
      <c r="AY22" s="66">
        <f>IFERROR(__xludf.DUMMYFUNCTION("iferror(SUM(query(filter('Data Recording'!Y:Y,'Data Recording'!D:D=B22), ""Select Col1"")),""-"")"),8.0)</f>
        <v>8</v>
      </c>
      <c r="AZ22" s="66">
        <f>IFERROR(__xludf.DUMMYFUNCTION("iferror(SUM(query(filter('Data Recording'!Z:Z,'Data Recording'!D:D=B22), ""Select Col1"")),""-"")"),8.0)</f>
        <v>8</v>
      </c>
      <c r="BA22" s="67">
        <f t="shared" si="10"/>
        <v>1</v>
      </c>
      <c r="BB22" s="68">
        <f>IFERROR(__xludf.DUMMYFUNCTION("iferror(AVERAGE(query(filter('Data Recording'!Z:Z,'Data Recording'!D:D=B22), ""Select Col1"")),""0.00"")"),1.6)</f>
        <v>1.6</v>
      </c>
      <c r="BC22" s="69">
        <f>IFERROR(__xludf.DUMMYFUNCTION("iferror(MAX(query(filter('Data Recording'!Z:Z,'Data Recording'!D:D=B22), ""Select Col1"")),""-"")"),2.0)</f>
        <v>2</v>
      </c>
      <c r="BD22" s="66">
        <f>IFERROR(__xludf.DUMMYFUNCTION("iferror(SUM(query(filter('Data Recording'!AA:AA,'Data Recording'!D:D=B22), ""Select Col1"")),""-"")"),2.0)</f>
        <v>2</v>
      </c>
      <c r="BE22" s="66">
        <f>IFERROR(__xludf.DUMMYFUNCTION("iferror(SUM(query(filter('Data Recording'!AB:AB,'Data Recording'!D:D=B22), ""Select Col1"")),""-"")"),1.0)</f>
        <v>1</v>
      </c>
      <c r="BF22" s="67">
        <f t="shared" si="11"/>
        <v>0.5</v>
      </c>
      <c r="BG22" s="68">
        <f>IFERROR(__xludf.DUMMYFUNCTION("iferror(AVERAGE(query(filter('Data Recording'!AB:AB,'Data Recording'!D:D=B22), ""Select Col1"")),""0.00"")"),0.3333333333333333)</f>
        <v>0.3333333333</v>
      </c>
      <c r="BH22" s="69">
        <f>IFERROR(__xludf.DUMMYFUNCTION("iferror(MAX(query(filter('Data Recording'!AB:AB,'Data Recording'!D:D=B22), ""Select Col1"")),""-"")"),1.0)</f>
        <v>1</v>
      </c>
      <c r="BI22" s="66">
        <f>IFERROR(__xludf.DUMMYFUNCTION("iferror(SUM(query(filter('Data Recording'!AC:AC,'Data Recording'!D:D=B22), ""Select Col1"")),""-"")"),1.0)</f>
        <v>1</v>
      </c>
      <c r="BJ22" s="66">
        <f>IFERROR(__xludf.DUMMYFUNCTION("iferror(SUM(query(filter('Data Recording'!AD:AD,'Data Recording'!D:D=B22), ""Select Col1"")),""-"")"),1.0)</f>
        <v>1</v>
      </c>
      <c r="BK22" s="67">
        <f t="shared" si="12"/>
        <v>1</v>
      </c>
      <c r="BL22" s="68">
        <f>IFERROR(__xludf.DUMMYFUNCTION("iferror(AVERAGE(query(filter('Data Recording'!AD:AD,'Data Recording'!D:D=B22), ""Select Col1"")),""0.00"")"),0.5)</f>
        <v>0.5</v>
      </c>
      <c r="BM22" s="69">
        <f>IFERROR(__xludf.DUMMYFUNCTION("iferror(MAX(query(filter('Data Recording'!AD:AD,'Data Recording'!D:D=B22), ""Select Col1"")),""-"")"),1.0)</f>
        <v>1</v>
      </c>
      <c r="BN22" s="70" t="str">
        <f>IFERROR(__xludf.DUMMYFUNCTION("if(countif(query(filter('Data Recording'!AE:AE,'Data Recording'!D:D=B22), ""Select Col1""),""Yes, Engaged"")+countif(query(filter('Data Recording'!AE:AE,'Data Recording'!D:D=B22), ""Select Col1""),""Yes, Docked"")=0,""0"",countif(query(filter('Data Record"&amp;"ing'!AE:AE,'Data Recording'!D:D=B22), ""Select Col1""),""Yes, Engaged""))+countif(query(filter('Data Recording'!AE:AE,'Data Recording'!D:D=B22), ""Select Col1""),""Yes, Docked"") &amp; ""/"" &amp; if(COUNTA(query(ifna(filter('Data Recording'!AE:AE,'Data Recording"&amp;"'!D:D=B22),""""), ""Select Col1""))=0,""0"",COUNTA(query(ifna(filter('Data Recording'!AE:AE,'Data Recording'!D:D=B22),""""), ""Select Col1"")))"),"4/5")</f>
        <v>4/5</v>
      </c>
      <c r="BO22" s="71" t="str">
        <f>IFERROR(__xludf.DUMMYFUNCTION("if(countif(query(filter('Data Recording'!AE:AE,'Data Recording'!D:D=B22), ""Select Col1""),""Yes, Engaged"")=0,""0"",countif(query(filter('Data Recording'!AE:AE,'Data Recording'!D:D=B22), ""Select Col1""),""Yes, Engaged"")) &amp; ""/"" &amp; if(COUNTA(query(ifna("&amp;"filter('Data Recording'!AE:AE,'Data Recording'!D:D=B22),""""), ""Select Col1""))=0,""0"",COUNTA(query(ifna(filter('Data Recording'!AE:AE,'Data Recording'!D:D=B22),""""), ""Select Col1"")))"),"4/5")</f>
        <v>4/5</v>
      </c>
      <c r="BP22" s="64" t="str">
        <f>IFERROR(__xludf.DUMMYFUNCTION("if(countif(query(filter('Data Recording'!AH:AH,'Data Recording'!D:D=B22), ""Select Col1""),""Yes"")=0,""0"",countif(query(filter('Data Recording'!AH:AH,'Data Recording'!D:D=B22), ""Select Col1""),""Yes"")) &amp; ""/"" &amp; if(COUNTA(query(ifna(filter('Data Recor"&amp;"ding'!AH:AH,'Data Recording'!D:D=B22),""""), ""Select Col1""))=0,""0"",COUNTA(query(ifna(filter('Data Recording'!AH:AH,'Data Recording'!D:D=B22),""""), ""Select Col1"")))"),"0/5")</f>
        <v>0/5</v>
      </c>
      <c r="BQ22" s="72">
        <v>0.0</v>
      </c>
      <c r="BR22" s="60">
        <f>IFERROR(__xludf.DUMMYFUNCTION("iferror(average(query(filter('Data Recording'!AF:AF,'Data Recording'!D:D=B22), ""Select Col1"")),""-"")"),0.8)</f>
        <v>0.8</v>
      </c>
      <c r="BS22" s="73">
        <f>IFERROR(__xludf.DUMMYFUNCTION("iferror(average(query(filter('Data Recording'!AG:AG,'Data Recording'!D:D=B22), ""Select Col1"")),""-"")"),0.0)</f>
        <v>0</v>
      </c>
      <c r="BT22" s="74">
        <f t="shared" si="13"/>
        <v>20</v>
      </c>
      <c r="BU22" s="74">
        <f>IFERROR(__xludf.DUMMYFUNCTION("iferror(AVERAGE(query(filter('Data Recording'!AJ:AJ,'Data Recording'!D:D=B22), ""Select Col1"")),""-"")"),18.8)</f>
        <v>18.8</v>
      </c>
      <c r="BV22" s="74">
        <f>IFERROR(__xludf.DUMMYFUNCTION("iferror(AVERAGE(query(filter('Data Recording'!AK:AK,'Data Recording'!D:D=B22), ""Select Col1"")),""-"")"),9.0)</f>
        <v>9</v>
      </c>
      <c r="BW22" s="74">
        <f t="shared" si="14"/>
        <v>10</v>
      </c>
      <c r="BX22" s="75">
        <f>IFERROR(__xludf.DUMMYFUNCTION("iferror(max(query(filter('Data Recording'!AJ:AJ,'Data Recording'!D:D=B22), ""Select Col1"")),""-"")"),23.0)</f>
        <v>23</v>
      </c>
      <c r="BY22" s="76">
        <f>IFERROR(__xludf.DUMMYFUNCTION("iferror(MIN(query(filter('Data Recording'!AJ:AJ,'Data Recording'!D:D=B22), ""Select Col1"")),""-"")"),13.0)</f>
        <v>13</v>
      </c>
      <c r="BZ22" s="77" t="str">
        <f>IFERROR(__xludf.DUMMYFUNCTION("iferror(if(DIVIDE(COUNTIF(query(filter('Data Recording'!R:R,'Data Recording'!D:D=B22), ""Select Col1""),""Yes, Docked"") + countif(query(filter('Data Recording'!R:R,'Data Recording'!D:D=B22), ""Select Col1""),""Yes, Engaged""),COUNTA(query(ifna(filter('Da"&amp;"ta Recording'!R:R,'Data Recording'!D:D=B22),""""), ""Select Col1"")))&gt;=(0.5),""1"",""0""),""-"")"),"0")</f>
        <v>0</v>
      </c>
      <c r="CA22" s="5" t="str">
        <f>IFERROR(__xludf.DUMMYFUNCTION("iferror(if(countif(query(filter('Data Recording'!R:R,'Data Recording'!D:D=B22), ""Select Col1""),""Yes, Engaged"")/COUNTA(query(ifna(filter('Data Recording'!R:R,'Data Recording'!D:D=B22),""""), ""Select Col1""))&gt;=(0.5),""1"",""0""),""-"")"),"0")</f>
        <v>0</v>
      </c>
      <c r="CB22" s="78" t="str">
        <f>IFERROR(__xludf.DUMMYFUNCTION("iferror(if(DIVIDE(COUNTIF(query(filter('Data Recording'!AE:AE,'Data Recording'!D:D=B22), ""Select Col1""),""Yes, Docked"") + countif(query(filter('Data Recording'!AE:AE,'Data Recording'!D:D=B22), ""Select Col1""),""Yes, Engaged""),COUNTA(query(ifna(filter"&amp;"('Data Recording'!AE:AE,'Data Recording'!D:D=B22),""""), ""Select Col1"")))&gt;=(0.5),""1"",""0""),""-"")"),"1")</f>
        <v>1</v>
      </c>
      <c r="CC22" s="5" t="str">
        <f>IFERROR(__xludf.DUMMYFUNCTION("iferror(if(countif(query(filter('Data Recording'!AE:AE,'Data Recording'!D:D=B22), ""Select Col1""),""Yes, Engaged"")/COUNTA(query(ifna(filter('Data Recording'!AE:AE,'Data Recording'!D:D=B22),""""), ""Select Col1""))&gt;=(0.5),""1"",""0""),""-"")"),"1")</f>
        <v>1</v>
      </c>
      <c r="CD22" s="78" t="str">
        <f>IFERROR(__xludf.DUMMYFUNCTION("iferror(if(DIVIDE(countif(query(filter('Data Recording'!E:E,'Data Recording'!D:D=B22), ""Select Col1""),""Yes""),COUNTA(query(ifna(filter('Data Recording'!E:E,'Data Recording'!D:D=B22),""""), ""Select Col1"")))&gt;=(0.5),""1"",""0""),""-"")"),"0")</f>
        <v>0</v>
      </c>
    </row>
    <row r="23">
      <c r="A23" s="2" t="s">
        <v>132</v>
      </c>
      <c r="B23" s="2">
        <v>6101.0</v>
      </c>
      <c r="C23" s="57" t="str">
        <f>IFERROR(__xludf.DUMMYFUNCTION("if(countif(query(filter('Data Recording'!E:E,'Data Recording'!D:D=B23), ""Select Col1""),""Yes"")=0,""0"",countif(query(filter('Data Recording'!E:E,'Data Recording'!D:D=B23), ""Select Col1""),""Yes"")) &amp; ""/"" &amp; if(COUNTA(query(ifna(filter('Data Recording"&amp;"'!E:E,'Data Recording'!D:D=B23),""""), ""Select Col1""))=0,""0"",COUNTA(query(ifna(filter('Data Recording'!E:E,'Data Recording'!D:D=B23),""""), ""Select Col1"")))"),"4/4")</f>
        <v>4/4</v>
      </c>
      <c r="D23" s="58">
        <f>IFERROR(__xludf.DUMMYFUNCTION("iferror(SUM(query(filter('Data Recording'!F:F,'Data Recording'!D:D=B23), ""Select Col1"")),""-"")"),0.0)</f>
        <v>0</v>
      </c>
      <c r="E23" s="58">
        <f>IFERROR(__xludf.DUMMYFUNCTION("iferror(SUM(query(filter('Data Recording'!G:G,'Data Recording'!D:D=B23), ""Select Col1"")),""-"")"),0.0)</f>
        <v>0</v>
      </c>
      <c r="F23" s="59" t="str">
        <f t="shared" si="1"/>
        <v>-</v>
      </c>
      <c r="G23" s="60" t="str">
        <f>IFERROR(__xludf.DUMMYFUNCTION("iferror(AVERAGE(query(filter('Data Recording'!G:G,'Data Recording'!D:D=B23), ""Select Col1"")),""0.00"")"),"0.00")</f>
        <v>0.00</v>
      </c>
      <c r="H23" s="58">
        <f>IFERROR(__xludf.DUMMYFUNCTION("iferror(MAX(query(filter('Data Recording'!G:G,'Data Recording'!D:D=B23), ""Select Col1"")),""-"")"),0.0)</f>
        <v>0</v>
      </c>
      <c r="I23" s="61">
        <f>IFERROR(__xludf.DUMMYFUNCTION("iferror(SUM(query(filter('Data Recording'!H:H,'Data Recording'!D:D=B23), ""Select Col1"")),""-"")"),0.0)</f>
        <v>0</v>
      </c>
      <c r="J23" s="62">
        <f>IFERROR(__xludf.DUMMYFUNCTION("iferror(SUM(query(filter('Data Recording'!I:I,'Data Recording'!D:D=B23), ""Select Col1"")),""-"")"),0.0)</f>
        <v>0</v>
      </c>
      <c r="K23" s="59" t="str">
        <f t="shared" si="2"/>
        <v>-</v>
      </c>
      <c r="L23" s="60" t="str">
        <f>IFERROR(__xludf.DUMMYFUNCTION("iferror(AVERAGE(query(filter('Data Recording'!I:I,'Data Recording'!D:D=B23), ""Select Col1"")),""0.00"")"),"0.00")</f>
        <v>0.00</v>
      </c>
      <c r="M23" s="58">
        <f>IFERROR(__xludf.DUMMYFUNCTION("iferror(MAX(query(filter('Data Recording'!I:I,'Data Recording'!D:D=B23), ""Select Col1"")),""-"")"),0.0)</f>
        <v>0</v>
      </c>
      <c r="N23" s="63">
        <f>IFERROR(__xludf.DUMMYFUNCTION("iferror(SUM(query(filter('Data Recording'!J:J,'Data Recording'!D:D=B23), ""Select Col1"")),""-"")"),0.0)</f>
        <v>0</v>
      </c>
      <c r="O23" s="5">
        <f>IFERROR(__xludf.DUMMYFUNCTION("iferror(SUM(query(filter('Data Recording'!K:K,'Data Recording'!D:D=B23), ""Select Col1"")),""-"")"),0.0)</f>
        <v>0</v>
      </c>
      <c r="P23" s="59" t="str">
        <f t="shared" si="3"/>
        <v>-</v>
      </c>
      <c r="Q23" s="60" t="str">
        <f>IFERROR(__xludf.DUMMYFUNCTION("iferror(AVERAGE(query(filter('Data Recording'!K:K,'Data Recording'!D:D=B23), ""Select Col1"")),""0.00"")"),"0.00")</f>
        <v>0.00</v>
      </c>
      <c r="R23" s="58">
        <f>IFERROR(__xludf.DUMMYFUNCTION("iferror(MAX(query(filter('Data Recording'!K:K,'Data Recording'!D:D=B23), ""Select Col1"")),""-"")"),0.0)</f>
        <v>0</v>
      </c>
      <c r="S23" s="63">
        <f>IFERROR(__xludf.DUMMYFUNCTION("iferror(SUM(query(filter('Data Recording'!L:L,'Data Recording'!D:D=B23), ""Select Col1"")),""-"")"),4.0)</f>
        <v>4</v>
      </c>
      <c r="T23" s="5">
        <f>IFERROR(__xludf.DUMMYFUNCTION("iferror(SUM(query(filter('Data Recording'!M:M,'Data Recording'!D:D=B23), ""Select Col1"")),""-"")"),3.0)</f>
        <v>3</v>
      </c>
      <c r="U23" s="59">
        <f t="shared" si="4"/>
        <v>0.75</v>
      </c>
      <c r="V23" s="60">
        <f>IFERROR(__xludf.DUMMYFUNCTION("iferror(AVERAGE(query(filter('Data Recording'!M:M,'Data Recording'!D:D=B23), ""Select Col1"")),""-"")"),0.75)</f>
        <v>0.75</v>
      </c>
      <c r="W23" s="57">
        <f>IFERROR(__xludf.DUMMYFUNCTION("iferror(MAX(query(filter('Data Recording'!M:M,'Data Recording'!D:D=B23), ""Select Col1"")),""-"")"),1.0)</f>
        <v>1</v>
      </c>
      <c r="X23" s="5">
        <f>IFERROR(__xludf.DUMMYFUNCTION("iferror(SUM(query(filter('Data Recording'!N:N,'Data Recording'!D:D=B23), ""Select Col1"")),""-"")"),0.0)</f>
        <v>0</v>
      </c>
      <c r="Y23" s="5">
        <f>IFERROR(__xludf.DUMMYFUNCTION("iferror(SUM(query(filter('Data Recording'!O:O,'Data Recording'!D:D=B23), ""Select Col1"")),""-"")"),1.0)</f>
        <v>1</v>
      </c>
      <c r="Z23" s="59" t="str">
        <f t="shared" si="5"/>
        <v>-</v>
      </c>
      <c r="AA23" s="60">
        <f>IFERROR(__xludf.DUMMYFUNCTION("iferror(AVERAGE(query(filter('Data Recording'!O:O,'Data Recording'!D:D=B23), ""Select Col1"")),""0.00"")"),1.0)</f>
        <v>1</v>
      </c>
      <c r="AB23" s="57">
        <f>IFERROR(__xludf.DUMMYFUNCTION("iferror(MAX(query(filter('Data Recording'!O:O,'Data Recording'!D:D=B23), ""Select Col1"")),""-"")"),1.0)</f>
        <v>1</v>
      </c>
      <c r="AC23" s="5">
        <f>IFERROR(__xludf.DUMMYFUNCTION("iferror(SUM(query(filter('Data Recording'!P:P,'Data Recording'!D:D=B23), ""Select Col1"")),""-"")"),0.0)</f>
        <v>0</v>
      </c>
      <c r="AD23" s="5">
        <f>IFERROR(__xludf.DUMMYFUNCTION("iferror(SUM(query(filter('Data Recording'!Q:Q,'Data Recording'!D:D=B23), ""Select Col1"")),""-"")"),0.0)</f>
        <v>0</v>
      </c>
      <c r="AE23" s="59" t="str">
        <f t="shared" si="6"/>
        <v>-</v>
      </c>
      <c r="AF23" s="60" t="str">
        <f>IFERROR(__xludf.DUMMYFUNCTION("iferror(AVERAGE(query(filter('Data Recording'!Q:Q,'Data Recording'!D:D=B23), ""Select Col1"")),""0.00"")"),"0.00")</f>
        <v>0.00</v>
      </c>
      <c r="AG23" s="5">
        <f>IFERROR(__xludf.DUMMYFUNCTION("iferror(MAX(query(filter('Data Recording'!Q:Q,'Data Recording'!D:D=B23), ""Select Col1"")),""-"")"),0.0)</f>
        <v>0</v>
      </c>
      <c r="AH23" s="63" t="str">
        <f>IFERROR(__xludf.DUMMYFUNCTION("if(countif(query(filter('Data Recording'!R:R,'Data Recording'!D:D=B23), ""Select Col1""),""Yes, Engaged"")+countif(query(filter('Data Recording'!R:R,'Data Recording'!D:D=B23), ""Select Col1""),""Yes, Docked"")=0,""0"",countif(query(filter('Data Recording'"&amp;"!R:R,'Data Recording'!D:D=B23), ""Select Col1""),""Yes, Engaged""))+countif(query(filter('Data Recording'!R:R,'Data Recording'!D:D=B23), ""Select Col1""),""Yes, Docked"") &amp; ""/"" &amp; if(COUNTA(query(ifna(filter('Data Recording'!R:R,'Data Recording'!D:D=B23)"&amp;",""""), ""Select Col1""))=0,""0"",COUNTA(query(ifna(filter('Data Recording'!R:R,'Data Recording'!D:D=B23),""""), ""Select Col1"")))"),"0/4")</f>
        <v>0/4</v>
      </c>
      <c r="AI23" s="64" t="str">
        <f>IFERROR(__xludf.DUMMYFUNCTION("if(countif(query(filter('Data Recording'!R:R,'Data Recording'!D:D=B23), ""Select Col1""),""Yes, Engaged"")=0,""0"",countif(query(filter('Data Recording'!R:R,'Data Recording'!D:D=B23), ""Select Col1""),""Yes, Engaged"")) &amp; ""/"" &amp; if(COUNTA(query(ifna(filt"&amp;"er('Data Recording'!R:R,'Data Recording'!D:D=B23),""""), ""Select Col1""))=0,""0"",COUNTA(query(ifna(filter('Data Recording'!R:R,'Data Recording'!D:D=B23),""""), ""Select Col1"")))"),"0/4")</f>
        <v>0/4</v>
      </c>
      <c r="AJ23" s="5">
        <f>IFERROR(__xludf.DUMMYFUNCTION("iferror(SUM(query(filter('Data Recording'!S:S,'Data Recording'!D:D=B23), ""Select Col1"")),""-"")"),0.0)</f>
        <v>0</v>
      </c>
      <c r="AK23" s="5">
        <f>IFERROR(__xludf.DUMMYFUNCTION("iferror(SUM(query(filter('Data Recording'!T:T,'Data Recording'!D:D=B23), ""Select Col1"")),""-"")"),0.0)</f>
        <v>0</v>
      </c>
      <c r="AL23" s="59" t="str">
        <f t="shared" si="7"/>
        <v>-</v>
      </c>
      <c r="AM23" s="60" t="str">
        <f>IFERROR(__xludf.DUMMYFUNCTION("iferror(AVERAGE(query(filter('Data Recording'!T:T,'Data Recording'!D:D=B23), ""Select Col1"")),""0.00"")"),"0.00")</f>
        <v>0.00</v>
      </c>
      <c r="AN23" s="65">
        <f>IFERROR(__xludf.DUMMYFUNCTION("iferror(MAX(query(filter('Data Recording'!T:T,'Data Recording'!D:D=B23), ""Select Col1"")),""-"")"),0.0)</f>
        <v>0</v>
      </c>
      <c r="AO23" s="66">
        <f>IFERROR(__xludf.DUMMYFUNCTION("iferror(SUM(query(filter('Data Recording'!U:U,'Data Recording'!D:D=B23), ""Select Col1"")),""-"")"),0.0)</f>
        <v>0</v>
      </c>
      <c r="AP23" s="66">
        <f>IFERROR(__xludf.DUMMYFUNCTION("iferror(SUM(query(filter('Data Recording'!V:V,'Data Recording'!D:D=B23), ""Select Col1"")),""-"")"),0.0)</f>
        <v>0</v>
      </c>
      <c r="AQ23" s="67" t="str">
        <f t="shared" si="8"/>
        <v>-</v>
      </c>
      <c r="AR23" s="68" t="str">
        <f>IFERROR(__xludf.DUMMYFUNCTION("iferror(AVERAGE(query(filter('Data Recording'!V:V,'Data Recording'!D:D=B23), ""Select Col1"")),""0.00"")"),"0.00")</f>
        <v>0.00</v>
      </c>
      <c r="AS23" s="69">
        <f>IFERROR(__xludf.DUMMYFUNCTION("iferror(MAX(query(filter('Data Recording'!V:V,'Data Recording'!D:D=B23), ""Select Col1"")),""-"")"),0.0)</f>
        <v>0</v>
      </c>
      <c r="AT23" s="66">
        <f>IFERROR(__xludf.DUMMYFUNCTION("iferror(SUM(query(filter('Data Recording'!W:W,'Data Recording'!D:D=B23), ""Select Col1"")),""-"")"),0.0)</f>
        <v>0</v>
      </c>
      <c r="AU23" s="66">
        <f>IFERROR(__xludf.DUMMYFUNCTION("iferror(SUM(query(filter('Data Recording'!X:X,'Data Recording'!D:D=B23), ""Select Col1"")),""-"")"),0.0)</f>
        <v>0</v>
      </c>
      <c r="AV23" s="67" t="str">
        <f t="shared" si="9"/>
        <v>-</v>
      </c>
      <c r="AW23" s="68" t="str">
        <f>IFERROR(__xludf.DUMMYFUNCTION("iferror(AVERAGE(query(filter('Data Recording'!X:X,'Data Recording'!D:D=B23), ""Select Col1"")),""0.00"")"),"0.00")</f>
        <v>0.00</v>
      </c>
      <c r="AX23" s="69">
        <f>IFERROR(__xludf.DUMMYFUNCTION("iferror(MAX(query(filter('Data Recording'!X:X,'Data Recording'!D:D=B23), ""Select Col1"")),""-"")"),0.0)</f>
        <v>0</v>
      </c>
      <c r="AY23" s="66">
        <f>IFERROR(__xludf.DUMMYFUNCTION("iferror(SUM(query(filter('Data Recording'!Y:Y,'Data Recording'!D:D=B23), ""Select Col1"")),""-"")"),3.0)</f>
        <v>3</v>
      </c>
      <c r="AZ23" s="66">
        <f>IFERROR(__xludf.DUMMYFUNCTION("iferror(SUM(query(filter('Data Recording'!Z:Z,'Data Recording'!D:D=B23), ""Select Col1"")),""-"")"),3.0)</f>
        <v>3</v>
      </c>
      <c r="BA23" s="67">
        <f t="shared" si="10"/>
        <v>1</v>
      </c>
      <c r="BB23" s="68">
        <f>IFERROR(__xludf.DUMMYFUNCTION("iferror(AVERAGE(query(filter('Data Recording'!Z:Z,'Data Recording'!D:D=B23), ""Select Col1"")),""0.00"")"),3.0)</f>
        <v>3</v>
      </c>
      <c r="BC23" s="69">
        <f>IFERROR(__xludf.DUMMYFUNCTION("iferror(MAX(query(filter('Data Recording'!Z:Z,'Data Recording'!D:D=B23), ""Select Col1"")),""-"")"),3.0)</f>
        <v>3</v>
      </c>
      <c r="BD23" s="66">
        <f>IFERROR(__xludf.DUMMYFUNCTION("iferror(SUM(query(filter('Data Recording'!AA:AA,'Data Recording'!D:D=B23), ""Select Col1"")),""-"")"),0.0)</f>
        <v>0</v>
      </c>
      <c r="BE23" s="66">
        <f>IFERROR(__xludf.DUMMYFUNCTION("iferror(SUM(query(filter('Data Recording'!AB:AB,'Data Recording'!D:D=B23), ""Select Col1"")),""-"")"),0.0)</f>
        <v>0</v>
      </c>
      <c r="BF23" s="67" t="str">
        <f t="shared" si="11"/>
        <v>-</v>
      </c>
      <c r="BG23" s="68" t="str">
        <f>IFERROR(__xludf.DUMMYFUNCTION("iferror(AVERAGE(query(filter('Data Recording'!AB:AB,'Data Recording'!D:D=B23), ""Select Col1"")),""0.00"")"),"0.00")</f>
        <v>0.00</v>
      </c>
      <c r="BH23" s="69">
        <f>IFERROR(__xludf.DUMMYFUNCTION("iferror(MAX(query(filter('Data Recording'!AB:AB,'Data Recording'!D:D=B23), ""Select Col1"")),""-"")"),0.0)</f>
        <v>0</v>
      </c>
      <c r="BI23" s="66">
        <f>IFERROR(__xludf.DUMMYFUNCTION("iferror(SUM(query(filter('Data Recording'!AC:AC,'Data Recording'!D:D=B23), ""Select Col1"")),""-"")"),3.0)</f>
        <v>3</v>
      </c>
      <c r="BJ23" s="66">
        <f>IFERROR(__xludf.DUMMYFUNCTION("iferror(SUM(query(filter('Data Recording'!AD:AD,'Data Recording'!D:D=B23), ""Select Col1"")),""-"")"),3.0)</f>
        <v>3</v>
      </c>
      <c r="BK23" s="67">
        <f t="shared" si="12"/>
        <v>1</v>
      </c>
      <c r="BL23" s="68">
        <f>IFERROR(__xludf.DUMMYFUNCTION("iferror(AVERAGE(query(filter('Data Recording'!AD:AD,'Data Recording'!D:D=B23), ""Select Col1"")),""0.00"")"),1.0)</f>
        <v>1</v>
      </c>
      <c r="BM23" s="69">
        <f>IFERROR(__xludf.DUMMYFUNCTION("iferror(MAX(query(filter('Data Recording'!AD:AD,'Data Recording'!D:D=B23), ""Select Col1"")),""-"")"),1.0)</f>
        <v>1</v>
      </c>
      <c r="BN23" s="70" t="str">
        <f>IFERROR(__xludf.DUMMYFUNCTION("if(countif(query(filter('Data Recording'!AE:AE,'Data Recording'!D:D=B23), ""Select Col1""),""Yes, Engaged"")+countif(query(filter('Data Recording'!AE:AE,'Data Recording'!D:D=B23), ""Select Col1""),""Yes, Docked"")=0,""0"",countif(query(filter('Data Record"&amp;"ing'!AE:AE,'Data Recording'!D:D=B23), ""Select Col1""),""Yes, Engaged""))+countif(query(filter('Data Recording'!AE:AE,'Data Recording'!D:D=B23), ""Select Col1""),""Yes, Docked"") &amp; ""/"" &amp; if(COUNTA(query(ifna(filter('Data Recording'!AE:AE,'Data Recording"&amp;"'!D:D=B23),""""), ""Select Col1""))=0,""0"",COUNTA(query(ifna(filter('Data Recording'!AE:AE,'Data Recording'!D:D=B23),""""), ""Select Col1"")))"),"1/4")</f>
        <v>1/4</v>
      </c>
      <c r="BO23" s="71" t="str">
        <f>IFERROR(__xludf.DUMMYFUNCTION("if(countif(query(filter('Data Recording'!AE:AE,'Data Recording'!D:D=B23), ""Select Col1""),""Yes, Engaged"")=0,""0"",countif(query(filter('Data Recording'!AE:AE,'Data Recording'!D:D=B23), ""Select Col1""),""Yes, Engaged"")) &amp; ""/"" &amp; if(COUNTA(query(ifna("&amp;"filter('Data Recording'!AE:AE,'Data Recording'!D:D=B23),""""), ""Select Col1""))=0,""0"",COUNTA(query(ifna(filter('Data Recording'!AE:AE,'Data Recording'!D:D=B23),""""), ""Select Col1"")))"),"1/4")</f>
        <v>1/4</v>
      </c>
      <c r="BP23" s="64" t="str">
        <f>IFERROR(__xludf.DUMMYFUNCTION("if(countif(query(filter('Data Recording'!AH:AH,'Data Recording'!D:D=B23), ""Select Col1""),""Yes"")=0,""0"",countif(query(filter('Data Recording'!AH:AH,'Data Recording'!D:D=B23), ""Select Col1""),""Yes"")) &amp; ""/"" &amp; if(COUNTA(query(ifna(filter('Data Recor"&amp;"ding'!AH:AH,'Data Recording'!D:D=B23),""""), ""Select Col1""))=0,""0"",COUNTA(query(ifna(filter('Data Recording'!AH:AH,'Data Recording'!D:D=B23),""""), ""Select Col1"")))"),"1/4")</f>
        <v>1/4</v>
      </c>
      <c r="BQ23" s="72">
        <v>0.25</v>
      </c>
      <c r="BR23" s="60">
        <f>IFERROR(__xludf.DUMMYFUNCTION("iferror(average(query(filter('Data Recording'!AF:AF,'Data Recording'!D:D=B23), ""Select Col1"")),""-"")"),1.75)</f>
        <v>1.75</v>
      </c>
      <c r="BS23" s="73">
        <f>IFERROR(__xludf.DUMMYFUNCTION("iferror(average(query(filter('Data Recording'!AG:AG,'Data Recording'!D:D=B23), ""Select Col1"")),""-"")"),0.25)</f>
        <v>0.25</v>
      </c>
      <c r="BT23" s="74">
        <f t="shared" si="13"/>
        <v>28.5</v>
      </c>
      <c r="BU23" s="74">
        <f>IFERROR(__xludf.DUMMYFUNCTION("iferror(AVERAGE(query(filter('Data Recording'!AJ:AJ,'Data Recording'!D:D=B23), ""Select Col1"")),""-"")"),18.5)</f>
        <v>18.5</v>
      </c>
      <c r="BV23" s="74">
        <f>IFERROR(__xludf.DUMMYFUNCTION("iferror(AVERAGE(query(filter('Data Recording'!AK:AK,'Data Recording'!D:D=B23), ""Select Col1"")),""-"")"),10.75)</f>
        <v>10.75</v>
      </c>
      <c r="BW23" s="74">
        <f t="shared" si="14"/>
        <v>25.5</v>
      </c>
      <c r="BX23" s="75">
        <f>IFERROR(__xludf.DUMMYFUNCTION("iferror(max(query(filter('Data Recording'!AJ:AJ,'Data Recording'!D:D=B23), ""Select Col1"")),""-"")"),25.0)</f>
        <v>25</v>
      </c>
      <c r="BY23" s="76">
        <f>IFERROR(__xludf.DUMMYFUNCTION("iferror(MIN(query(filter('Data Recording'!AJ:AJ,'Data Recording'!D:D=B23), ""Select Col1"")),""-"")"),14.0)</f>
        <v>14</v>
      </c>
      <c r="BZ23" s="77" t="str">
        <f>IFERROR(__xludf.DUMMYFUNCTION("iferror(if(DIVIDE(COUNTIF(query(filter('Data Recording'!R:R,'Data Recording'!D:D=B23), ""Select Col1""),""Yes, Docked"") + countif(query(filter('Data Recording'!R:R,'Data Recording'!D:D=B23), ""Select Col1""),""Yes, Engaged""),COUNTA(query(ifna(filter('Da"&amp;"ta Recording'!R:R,'Data Recording'!D:D=B23),""""), ""Select Col1"")))&gt;=(0.5),""1"",""0""),""-"")"),"0")</f>
        <v>0</v>
      </c>
      <c r="CA23" s="5" t="str">
        <f>IFERROR(__xludf.DUMMYFUNCTION("iferror(if(countif(query(filter('Data Recording'!R:R,'Data Recording'!D:D=B23), ""Select Col1""),""Yes, Engaged"")/COUNTA(query(ifna(filter('Data Recording'!R:R,'Data Recording'!D:D=B23),""""), ""Select Col1""))&gt;=(0.5),""1"",""0""),""-"")"),"0")</f>
        <v>0</v>
      </c>
      <c r="CB23" s="78" t="str">
        <f>IFERROR(__xludf.DUMMYFUNCTION("iferror(if(DIVIDE(COUNTIF(query(filter('Data Recording'!AE:AE,'Data Recording'!D:D=B23), ""Select Col1""),""Yes, Docked"") + countif(query(filter('Data Recording'!AE:AE,'Data Recording'!D:D=B23), ""Select Col1""),""Yes, Engaged""),COUNTA(query(ifna(filter"&amp;"('Data Recording'!AE:AE,'Data Recording'!D:D=B23),""""), ""Select Col1"")))&gt;=(0.5),""1"",""0""),""-"")"),"0")</f>
        <v>0</v>
      </c>
      <c r="CC23" s="5" t="str">
        <f>IFERROR(__xludf.DUMMYFUNCTION("iferror(if(countif(query(filter('Data Recording'!AE:AE,'Data Recording'!D:D=B23), ""Select Col1""),""Yes, Engaged"")/COUNTA(query(ifna(filter('Data Recording'!AE:AE,'Data Recording'!D:D=B23),""""), ""Select Col1""))&gt;=(0.5),""1"",""0""),""-"")"),"0")</f>
        <v>0</v>
      </c>
      <c r="CD23" s="78" t="str">
        <f>IFERROR(__xludf.DUMMYFUNCTION("iferror(if(DIVIDE(countif(query(filter('Data Recording'!E:E,'Data Recording'!D:D=B23), ""Select Col1""),""Yes""),COUNTA(query(ifna(filter('Data Recording'!E:E,'Data Recording'!D:D=B23),""""), ""Select Col1"")))&gt;=(0.5),""1"",""0""),""-"")"),"1")</f>
        <v>1</v>
      </c>
    </row>
    <row r="24">
      <c r="A24" s="2" t="s">
        <v>133</v>
      </c>
      <c r="B24" s="2">
        <v>5708.0</v>
      </c>
      <c r="C24" s="57" t="str">
        <f>IFERROR(__xludf.DUMMYFUNCTION("if(countif(query(filter('Data Recording'!E:E,'Data Recording'!D:D=B24), ""Select Col1""),""Yes"")=0,""0"",countif(query(filter('Data Recording'!E:E,'Data Recording'!D:D=B24), ""Select Col1""),""Yes"")) &amp; ""/"" &amp; if(COUNTA(query(ifna(filter('Data Recording"&amp;"'!E:E,'Data Recording'!D:D=B24),""""), ""Select Col1""))=0,""0"",COUNTA(query(ifna(filter('Data Recording'!E:E,'Data Recording'!D:D=B24),""""), ""Select Col1"")))"),"11/12")</f>
        <v>11/12</v>
      </c>
      <c r="D24" s="58">
        <f>IFERROR(__xludf.DUMMYFUNCTION("iferror(SUM(query(filter('Data Recording'!F:F,'Data Recording'!D:D=B24), ""Select Col1"")),""-"")"),0.0)</f>
        <v>0</v>
      </c>
      <c r="E24" s="58">
        <f>IFERROR(__xludf.DUMMYFUNCTION("iferror(SUM(query(filter('Data Recording'!G:G,'Data Recording'!D:D=B24), ""Select Col1"")),""-"")"),0.0)</f>
        <v>0</v>
      </c>
      <c r="F24" s="59" t="str">
        <f t="shared" si="1"/>
        <v>-</v>
      </c>
      <c r="G24" s="60" t="str">
        <f>IFERROR(__xludf.DUMMYFUNCTION("iferror(AVERAGE(query(filter('Data Recording'!G:G,'Data Recording'!D:D=B24), ""Select Col1"")),""0.00"")"),"0.00")</f>
        <v>0.00</v>
      </c>
      <c r="H24" s="58">
        <f>IFERROR(__xludf.DUMMYFUNCTION("iferror(MAX(query(filter('Data Recording'!G:G,'Data Recording'!D:D=B24), ""Select Col1"")),""-"")"),0.0)</f>
        <v>0</v>
      </c>
      <c r="I24" s="61">
        <f>IFERROR(__xludf.DUMMYFUNCTION("iferror(SUM(query(filter('Data Recording'!H:H,'Data Recording'!D:D=B24), ""Select Col1"")),""-"")"),0.0)</f>
        <v>0</v>
      </c>
      <c r="J24" s="62">
        <f>IFERROR(__xludf.DUMMYFUNCTION("iferror(SUM(query(filter('Data Recording'!I:I,'Data Recording'!D:D=B24), ""Select Col1"")),""-"")"),0.0)</f>
        <v>0</v>
      </c>
      <c r="K24" s="59" t="str">
        <f t="shared" si="2"/>
        <v>-</v>
      </c>
      <c r="L24" s="60" t="str">
        <f>IFERROR(__xludf.DUMMYFUNCTION("iferror(AVERAGE(query(filter('Data Recording'!I:I,'Data Recording'!D:D=B24), ""Select Col1"")),""0.00"")"),"0.00")</f>
        <v>0.00</v>
      </c>
      <c r="M24" s="58">
        <f>IFERROR(__xludf.DUMMYFUNCTION("iferror(MAX(query(filter('Data Recording'!I:I,'Data Recording'!D:D=B24), ""Select Col1"")),""-"")"),0.0)</f>
        <v>0</v>
      </c>
      <c r="N24" s="63">
        <f>IFERROR(__xludf.DUMMYFUNCTION("iferror(SUM(query(filter('Data Recording'!J:J,'Data Recording'!D:D=B24), ""Select Col1"")),""-"")"),0.0)</f>
        <v>0</v>
      </c>
      <c r="O24" s="5">
        <f>IFERROR(__xludf.DUMMYFUNCTION("iferror(SUM(query(filter('Data Recording'!K:K,'Data Recording'!D:D=B24), ""Select Col1"")),""-"")"),0.0)</f>
        <v>0</v>
      </c>
      <c r="P24" s="59" t="str">
        <f t="shared" si="3"/>
        <v>-</v>
      </c>
      <c r="Q24" s="60" t="str">
        <f>IFERROR(__xludf.DUMMYFUNCTION("iferror(AVERAGE(query(filter('Data Recording'!K:K,'Data Recording'!D:D=B24), ""Select Col1"")),""0.00"")"),"0.00")</f>
        <v>0.00</v>
      </c>
      <c r="R24" s="58">
        <f>IFERROR(__xludf.DUMMYFUNCTION("iferror(MAX(query(filter('Data Recording'!K:K,'Data Recording'!D:D=B24), ""Select Col1"")),""-"")"),0.0)</f>
        <v>0</v>
      </c>
      <c r="S24" s="63">
        <f>IFERROR(__xludf.DUMMYFUNCTION("iferror(SUM(query(filter('Data Recording'!L:L,'Data Recording'!D:D=B24), ""Select Col1"")),""-"")"),0.0)</f>
        <v>0</v>
      </c>
      <c r="T24" s="5">
        <f>IFERROR(__xludf.DUMMYFUNCTION("iferror(SUM(query(filter('Data Recording'!M:M,'Data Recording'!D:D=B24), ""Select Col1"")),""-"")"),0.0)</f>
        <v>0</v>
      </c>
      <c r="U24" s="59" t="str">
        <f t="shared" si="4"/>
        <v>-</v>
      </c>
      <c r="V24" s="60" t="str">
        <f>IFERROR(__xludf.DUMMYFUNCTION("iferror(AVERAGE(query(filter('Data Recording'!M:M,'Data Recording'!D:D=B24), ""Select Col1"")),""-"")"),"-")</f>
        <v>-</v>
      </c>
      <c r="W24" s="57">
        <f>IFERROR(__xludf.DUMMYFUNCTION("iferror(MAX(query(filter('Data Recording'!M:M,'Data Recording'!D:D=B24), ""Select Col1"")),""-"")"),0.0)</f>
        <v>0</v>
      </c>
      <c r="X24" s="5">
        <f>IFERROR(__xludf.DUMMYFUNCTION("iferror(SUM(query(filter('Data Recording'!N:N,'Data Recording'!D:D=B24), ""Select Col1"")),""-"")"),0.0)</f>
        <v>0</v>
      </c>
      <c r="Y24" s="5">
        <f>IFERROR(__xludf.DUMMYFUNCTION("iferror(SUM(query(filter('Data Recording'!O:O,'Data Recording'!D:D=B24), ""Select Col1"")),""-"")"),0.0)</f>
        <v>0</v>
      </c>
      <c r="Z24" s="59" t="str">
        <f t="shared" si="5"/>
        <v>-</v>
      </c>
      <c r="AA24" s="60" t="str">
        <f>IFERROR(__xludf.DUMMYFUNCTION("iferror(AVERAGE(query(filter('Data Recording'!O:O,'Data Recording'!D:D=B24), ""Select Col1"")),""0.00"")"),"0.00")</f>
        <v>0.00</v>
      </c>
      <c r="AB24" s="57">
        <f>IFERROR(__xludf.DUMMYFUNCTION("iferror(MAX(query(filter('Data Recording'!O:O,'Data Recording'!D:D=B24), ""Select Col1"")),""-"")"),0.0)</f>
        <v>0</v>
      </c>
      <c r="AC24" s="5">
        <f>IFERROR(__xludf.DUMMYFUNCTION("iferror(SUM(query(filter('Data Recording'!P:P,'Data Recording'!D:D=B24), ""Select Col1"")),""-"")"),0.0)</f>
        <v>0</v>
      </c>
      <c r="AD24" s="5">
        <f>IFERROR(__xludf.DUMMYFUNCTION("iferror(SUM(query(filter('Data Recording'!Q:Q,'Data Recording'!D:D=B24), ""Select Col1"")),""-"")"),0.0)</f>
        <v>0</v>
      </c>
      <c r="AE24" s="59" t="str">
        <f t="shared" si="6"/>
        <v>-</v>
      </c>
      <c r="AF24" s="60" t="str">
        <f>IFERROR(__xludf.DUMMYFUNCTION("iferror(AVERAGE(query(filter('Data Recording'!Q:Q,'Data Recording'!D:D=B24), ""Select Col1"")),""0.00"")"),"0.00")</f>
        <v>0.00</v>
      </c>
      <c r="AG24" s="5">
        <f>IFERROR(__xludf.DUMMYFUNCTION("iferror(MAX(query(filter('Data Recording'!Q:Q,'Data Recording'!D:D=B24), ""Select Col1"")),""-"")"),0.0)</f>
        <v>0</v>
      </c>
      <c r="AH24" s="63" t="str">
        <f>IFERROR(__xludf.DUMMYFUNCTION("if(countif(query(filter('Data Recording'!R:R,'Data Recording'!D:D=B24), ""Select Col1""),""Yes, Engaged"")+countif(query(filter('Data Recording'!R:R,'Data Recording'!D:D=B24), ""Select Col1""),""Yes, Docked"")=0,""0"",countif(query(filter('Data Recording'"&amp;"!R:R,'Data Recording'!D:D=B24), ""Select Col1""),""Yes, Engaged""))+countif(query(filter('Data Recording'!R:R,'Data Recording'!D:D=B24), ""Select Col1""),""Yes, Docked"") &amp; ""/"" &amp; if(COUNTA(query(ifna(filter('Data Recording'!R:R,'Data Recording'!D:D=B24)"&amp;",""""), ""Select Col1""))=0,""0"",COUNTA(query(ifna(filter('Data Recording'!R:R,'Data Recording'!D:D=B24),""""), ""Select Col1"")))"),"0/12")</f>
        <v>0/12</v>
      </c>
      <c r="AI24" s="64" t="str">
        <f>IFERROR(__xludf.DUMMYFUNCTION("if(countif(query(filter('Data Recording'!R:R,'Data Recording'!D:D=B24), ""Select Col1""),""Yes, Engaged"")=0,""0"",countif(query(filter('Data Recording'!R:R,'Data Recording'!D:D=B24), ""Select Col1""),""Yes, Engaged"")) &amp; ""/"" &amp; if(COUNTA(query(ifna(filt"&amp;"er('Data Recording'!R:R,'Data Recording'!D:D=B24),""""), ""Select Col1""))=0,""0"",COUNTA(query(ifna(filter('Data Recording'!R:R,'Data Recording'!D:D=B24),""""), ""Select Col1"")))"),"0/12")</f>
        <v>0/12</v>
      </c>
      <c r="AJ24" s="5">
        <f>IFERROR(__xludf.DUMMYFUNCTION("iferror(SUM(query(filter('Data Recording'!S:S,'Data Recording'!D:D=B24), ""Select Col1"")),""-"")"),1.0)</f>
        <v>1</v>
      </c>
      <c r="AK24" s="5">
        <f>IFERROR(__xludf.DUMMYFUNCTION("iferror(SUM(query(filter('Data Recording'!T:T,'Data Recording'!D:D=B24), ""Select Col1"")),""-"")"),0.0)</f>
        <v>0</v>
      </c>
      <c r="AL24" s="59">
        <f t="shared" si="7"/>
        <v>0</v>
      </c>
      <c r="AM24" s="60">
        <f>IFERROR(__xludf.DUMMYFUNCTION("iferror(AVERAGE(query(filter('Data Recording'!T:T,'Data Recording'!D:D=B24), ""Select Col1"")),""0.00"")"),0.0)</f>
        <v>0</v>
      </c>
      <c r="AN24" s="65">
        <f>IFERROR(__xludf.DUMMYFUNCTION("iferror(MAX(query(filter('Data Recording'!T:T,'Data Recording'!D:D=B24), ""Select Col1"")),""-"")"),0.0)</f>
        <v>0</v>
      </c>
      <c r="AO24" s="66">
        <f>IFERROR(__xludf.DUMMYFUNCTION("iferror(SUM(query(filter('Data Recording'!U:U,'Data Recording'!D:D=B24), ""Select Col1"")),""-"")"),1.0)</f>
        <v>1</v>
      </c>
      <c r="AP24" s="66">
        <f>IFERROR(__xludf.DUMMYFUNCTION("iferror(SUM(query(filter('Data Recording'!V:V,'Data Recording'!D:D=B24), ""Select Col1"")),""-"")"),1.0)</f>
        <v>1</v>
      </c>
      <c r="AQ24" s="67">
        <f t="shared" si="8"/>
        <v>1</v>
      </c>
      <c r="AR24" s="68">
        <f>IFERROR(__xludf.DUMMYFUNCTION("iferror(AVERAGE(query(filter('Data Recording'!V:V,'Data Recording'!D:D=B24), ""Select Col1"")),""0.00"")"),1.0)</f>
        <v>1</v>
      </c>
      <c r="AS24" s="69">
        <f>IFERROR(__xludf.DUMMYFUNCTION("iferror(MAX(query(filter('Data Recording'!V:V,'Data Recording'!D:D=B24), ""Select Col1"")),""-"")"),1.0)</f>
        <v>1</v>
      </c>
      <c r="AT24" s="66">
        <f>IFERROR(__xludf.DUMMYFUNCTION("iferror(SUM(query(filter('Data Recording'!W:W,'Data Recording'!D:D=B24), ""Select Col1"")),""-"")"),1.0)</f>
        <v>1</v>
      </c>
      <c r="AU24" s="66">
        <f>IFERROR(__xludf.DUMMYFUNCTION("iferror(SUM(query(filter('Data Recording'!X:X,'Data Recording'!D:D=B24), ""Select Col1"")),""-"")"),1.0)</f>
        <v>1</v>
      </c>
      <c r="AV24" s="67">
        <f t="shared" si="9"/>
        <v>1</v>
      </c>
      <c r="AW24" s="68">
        <f>IFERROR(__xludf.DUMMYFUNCTION("iferror(AVERAGE(query(filter('Data Recording'!X:X,'Data Recording'!D:D=B24), ""Select Col1"")),""0.00"")"),1.0)</f>
        <v>1</v>
      </c>
      <c r="AX24" s="69">
        <f>IFERROR(__xludf.DUMMYFUNCTION("iferror(MAX(query(filter('Data Recording'!X:X,'Data Recording'!D:D=B24), ""Select Col1"")),""-"")"),1.0)</f>
        <v>1</v>
      </c>
      <c r="AY24" s="66">
        <f>IFERROR(__xludf.DUMMYFUNCTION("iferror(SUM(query(filter('Data Recording'!Y:Y,'Data Recording'!D:D=B24), ""Select Col1"")),""-"")"),17.0)</f>
        <v>17</v>
      </c>
      <c r="AZ24" s="66">
        <f>IFERROR(__xludf.DUMMYFUNCTION("iferror(SUM(query(filter('Data Recording'!Z:Z,'Data Recording'!D:D=B24), ""Select Col1"")),""-"")"),16.0)</f>
        <v>16</v>
      </c>
      <c r="BA24" s="67">
        <f t="shared" si="10"/>
        <v>0.9411764706</v>
      </c>
      <c r="BB24" s="68">
        <f>IFERROR(__xludf.DUMMYFUNCTION("iferror(AVERAGE(query(filter('Data Recording'!Z:Z,'Data Recording'!D:D=B24), ""Select Col1"")),""0.00"")"),1.7777777777777777)</f>
        <v>1.777777778</v>
      </c>
      <c r="BC24" s="69">
        <f>IFERROR(__xludf.DUMMYFUNCTION("iferror(MAX(query(filter('Data Recording'!Z:Z,'Data Recording'!D:D=B24), ""Select Col1"")),""-"")"),2.0)</f>
        <v>2</v>
      </c>
      <c r="BD24" s="66">
        <f>IFERROR(__xludf.DUMMYFUNCTION("iferror(SUM(query(filter('Data Recording'!AA:AA,'Data Recording'!D:D=B24), ""Select Col1"")),""-"")"),7.0)</f>
        <v>7</v>
      </c>
      <c r="BE24" s="66">
        <f>IFERROR(__xludf.DUMMYFUNCTION("iferror(SUM(query(filter('Data Recording'!AB:AB,'Data Recording'!D:D=B24), ""Select Col1"")),""-"")"),7.0)</f>
        <v>7</v>
      </c>
      <c r="BF24" s="67">
        <f t="shared" si="11"/>
        <v>1</v>
      </c>
      <c r="BG24" s="68">
        <f>IFERROR(__xludf.DUMMYFUNCTION("iferror(AVERAGE(query(filter('Data Recording'!AB:AB,'Data Recording'!D:D=B24), ""Select Col1"")),""0.00"")"),1.4)</f>
        <v>1.4</v>
      </c>
      <c r="BH24" s="69">
        <f>IFERROR(__xludf.DUMMYFUNCTION("iferror(MAX(query(filter('Data Recording'!AB:AB,'Data Recording'!D:D=B24), ""Select Col1"")),""-"")"),2.0)</f>
        <v>2</v>
      </c>
      <c r="BI24" s="66">
        <f>IFERROR(__xludf.DUMMYFUNCTION("iferror(SUM(query(filter('Data Recording'!AC:AC,'Data Recording'!D:D=B24), ""Select Col1"")),""-"")"),7.0)</f>
        <v>7</v>
      </c>
      <c r="BJ24" s="66">
        <f>IFERROR(__xludf.DUMMYFUNCTION("iferror(SUM(query(filter('Data Recording'!AD:AD,'Data Recording'!D:D=B24), ""Select Col1"")),""-"")"),6.0)</f>
        <v>6</v>
      </c>
      <c r="BK24" s="67">
        <f t="shared" si="12"/>
        <v>0.8571428571</v>
      </c>
      <c r="BL24" s="68">
        <f>IFERROR(__xludf.DUMMYFUNCTION("iferror(AVERAGE(query(filter('Data Recording'!AD:AD,'Data Recording'!D:D=B24), ""Select Col1"")),""0.00"")"),2.0)</f>
        <v>2</v>
      </c>
      <c r="BM24" s="69">
        <f>IFERROR(__xludf.DUMMYFUNCTION("iferror(MAX(query(filter('Data Recording'!AD:AD,'Data Recording'!D:D=B24), ""Select Col1"")),""-"")"),4.0)</f>
        <v>4</v>
      </c>
      <c r="BN24" s="70" t="str">
        <f>IFERROR(__xludf.DUMMYFUNCTION("if(countif(query(filter('Data Recording'!AE:AE,'Data Recording'!D:D=B24), ""Select Col1""),""Yes, Engaged"")+countif(query(filter('Data Recording'!AE:AE,'Data Recording'!D:D=B24), ""Select Col1""),""Yes, Docked"")=0,""0"",countif(query(filter('Data Record"&amp;"ing'!AE:AE,'Data Recording'!D:D=B24), ""Select Col1""),""Yes, Engaged""))+countif(query(filter('Data Recording'!AE:AE,'Data Recording'!D:D=B24), ""Select Col1""),""Yes, Docked"") &amp; ""/"" &amp; if(COUNTA(query(ifna(filter('Data Recording'!AE:AE,'Data Recording"&amp;"'!D:D=B24),""""), ""Select Col1""))=0,""0"",COUNTA(query(ifna(filter('Data Recording'!AE:AE,'Data Recording'!D:D=B24),""""), ""Select Col1"")))"),"5/12")</f>
        <v>5/12</v>
      </c>
      <c r="BO24" s="71" t="str">
        <f>IFERROR(__xludf.DUMMYFUNCTION("if(countif(query(filter('Data Recording'!AE:AE,'Data Recording'!D:D=B24), ""Select Col1""),""Yes, Engaged"")=0,""0"",countif(query(filter('Data Recording'!AE:AE,'Data Recording'!D:D=B24), ""Select Col1""),""Yes, Engaged"")) &amp; ""/"" &amp; if(COUNTA(query(ifna("&amp;"filter('Data Recording'!AE:AE,'Data Recording'!D:D=B24),""""), ""Select Col1""))=0,""0"",COUNTA(query(ifna(filter('Data Recording'!AE:AE,'Data Recording'!D:D=B24),""""), ""Select Col1"")))"),"4/12")</f>
        <v>4/12</v>
      </c>
      <c r="BP24" s="64" t="str">
        <f>IFERROR(__xludf.DUMMYFUNCTION("if(countif(query(filter('Data Recording'!AH:AH,'Data Recording'!D:D=B24), ""Select Col1""),""Yes"")=0,""0"",countif(query(filter('Data Recording'!AH:AH,'Data Recording'!D:D=B24), ""Select Col1""),""Yes"")) &amp; ""/"" &amp; if(COUNTA(query(ifna(filter('Data Recor"&amp;"ding'!AH:AH,'Data Recording'!D:D=B24),""""), ""Select Col1""))=0,""0"",COUNTA(query(ifna(filter('Data Recording'!AH:AH,'Data Recording'!D:D=B24),""""), ""Select Col1"")))"),"4/12")</f>
        <v>4/12</v>
      </c>
      <c r="BQ24" s="79">
        <v>0.3333</v>
      </c>
      <c r="BR24" s="60">
        <f>IFERROR(__xludf.DUMMYFUNCTION("iferror(average(query(filter('Data Recording'!AF:AF,'Data Recording'!D:D=B24), ""Select Col1"")),""-"")"),1.0833333333333333)</f>
        <v>1.083333333</v>
      </c>
      <c r="BS24" s="73">
        <f>IFERROR(__xludf.DUMMYFUNCTION("iferror(average(query(filter('Data Recording'!AG:AG,'Data Recording'!D:D=B24), ""Select Col1"")),""-"")"),1.0833333333333333)</f>
        <v>1.083333333</v>
      </c>
      <c r="BT24" s="74">
        <f t="shared" si="13"/>
        <v>25.08888889</v>
      </c>
      <c r="BU24" s="74">
        <f>IFERROR(__xludf.DUMMYFUNCTION("iferror(AVERAGE(query(filter('Data Recording'!AJ:AJ,'Data Recording'!D:D=B24), ""Select Col1"")),""-"")"),17.166666666666668)</f>
        <v>17.16666667</v>
      </c>
      <c r="BV24" s="74">
        <f>IFERROR(__xludf.DUMMYFUNCTION("iferror(AVERAGE(query(filter('Data Recording'!AK:AK,'Data Recording'!D:D=B24), ""Select Col1"")),""-"")"),9.833333333333334)</f>
        <v>9.833333333</v>
      </c>
      <c r="BW24" s="74">
        <f t="shared" si="14"/>
        <v>22.08888889</v>
      </c>
      <c r="BX24" s="75">
        <f>IFERROR(__xludf.DUMMYFUNCTION("iferror(max(query(filter('Data Recording'!AJ:AJ,'Data Recording'!D:D=B24), ""Select Col1"")),""-"")"),28.0)</f>
        <v>28</v>
      </c>
      <c r="BY24" s="76">
        <f>IFERROR(__xludf.DUMMYFUNCTION("iferror(MIN(query(filter('Data Recording'!AJ:AJ,'Data Recording'!D:D=B24), ""Select Col1"")),""-"")"),5.0)</f>
        <v>5</v>
      </c>
      <c r="BZ24" s="77" t="str">
        <f>IFERROR(__xludf.DUMMYFUNCTION("iferror(if(DIVIDE(COUNTIF(query(filter('Data Recording'!R:R,'Data Recording'!D:D=B24), ""Select Col1""),""Yes, Docked"") + countif(query(filter('Data Recording'!R:R,'Data Recording'!D:D=B24), ""Select Col1""),""Yes, Engaged""),COUNTA(query(ifna(filter('Da"&amp;"ta Recording'!R:R,'Data Recording'!D:D=B24),""""), ""Select Col1"")))&gt;=(0.5),""1"",""0""),""-"")"),"0")</f>
        <v>0</v>
      </c>
      <c r="CA24" s="5" t="str">
        <f>IFERROR(__xludf.DUMMYFUNCTION("iferror(if(countif(query(filter('Data Recording'!R:R,'Data Recording'!D:D=B24), ""Select Col1""),""Yes, Engaged"")/COUNTA(query(ifna(filter('Data Recording'!R:R,'Data Recording'!D:D=B24),""""), ""Select Col1""))&gt;=(0.5),""1"",""0""),""-"")"),"0")</f>
        <v>0</v>
      </c>
      <c r="CB24" s="78" t="str">
        <f>IFERROR(__xludf.DUMMYFUNCTION("iferror(if(DIVIDE(COUNTIF(query(filter('Data Recording'!AE:AE,'Data Recording'!D:D=B24), ""Select Col1""),""Yes, Docked"") + countif(query(filter('Data Recording'!AE:AE,'Data Recording'!D:D=B24), ""Select Col1""),""Yes, Engaged""),COUNTA(query(ifna(filter"&amp;"('Data Recording'!AE:AE,'Data Recording'!D:D=B24),""""), ""Select Col1"")))&gt;=(0.5),""1"",""0""),""-"")"),"0")</f>
        <v>0</v>
      </c>
      <c r="CC24" s="5" t="str">
        <f>IFERROR(__xludf.DUMMYFUNCTION("iferror(if(countif(query(filter('Data Recording'!AE:AE,'Data Recording'!D:D=B24), ""Select Col1""),""Yes, Engaged"")/COUNTA(query(ifna(filter('Data Recording'!AE:AE,'Data Recording'!D:D=B24),""""), ""Select Col1""))&gt;=(0.5),""1"",""0""),""-"")"),"0")</f>
        <v>0</v>
      </c>
      <c r="CD24" s="78" t="str">
        <f>IFERROR(__xludf.DUMMYFUNCTION("iferror(if(DIVIDE(countif(query(filter('Data Recording'!E:E,'Data Recording'!D:D=B24), ""Select Col1""),""Yes""),COUNTA(query(ifna(filter('Data Recording'!E:E,'Data Recording'!D:D=B24),""""), ""Select Col1"")))&gt;=(0.5),""1"",""0""),""-"")"),"1")</f>
        <v>1</v>
      </c>
    </row>
    <row r="25">
      <c r="A25" s="2" t="s">
        <v>134</v>
      </c>
      <c r="B25" s="2">
        <v>8424.0</v>
      </c>
      <c r="C25" s="57" t="str">
        <f>IFERROR(__xludf.DUMMYFUNCTION("if(countif(query(filter('Data Recording'!E:E,'Data Recording'!D:D=B25), ""Select Col1""),""Yes"")=0,""0"",countif(query(filter('Data Recording'!E:E,'Data Recording'!D:D=B25), ""Select Col1""),""Yes"")) &amp; ""/"" &amp; if(COUNTA(query(ifna(filter('Data Recording"&amp;"'!E:E,'Data Recording'!D:D=B25),""""), ""Select Col1""))=0,""0"",COUNTA(query(ifna(filter('Data Recording'!E:E,'Data Recording'!D:D=B25),""""), ""Select Col1"")))"),"2/9")</f>
        <v>2/9</v>
      </c>
      <c r="D25" s="58">
        <f>IFERROR(__xludf.DUMMYFUNCTION("iferror(SUM(query(filter('Data Recording'!F:F,'Data Recording'!D:D=B25), ""Select Col1"")),""-"")"),4.0)</f>
        <v>4</v>
      </c>
      <c r="E25" s="58">
        <f>IFERROR(__xludf.DUMMYFUNCTION("iferror(SUM(query(filter('Data Recording'!G:G,'Data Recording'!D:D=B25), ""Select Col1"")),""-"")"),0.0)</f>
        <v>0</v>
      </c>
      <c r="F25" s="59">
        <f t="shared" si="1"/>
        <v>0</v>
      </c>
      <c r="G25" s="60">
        <f>IFERROR(__xludf.DUMMYFUNCTION("iferror(AVERAGE(query(filter('Data Recording'!G:G,'Data Recording'!D:D=B25), ""Select Col1"")),""0.00"")"),0.0)</f>
        <v>0</v>
      </c>
      <c r="H25" s="58">
        <f>IFERROR(__xludf.DUMMYFUNCTION("iferror(MAX(query(filter('Data Recording'!G:G,'Data Recording'!D:D=B25), ""Select Col1"")),""-"")"),0.0)</f>
        <v>0</v>
      </c>
      <c r="I25" s="61">
        <f>IFERROR(__xludf.DUMMYFUNCTION("iferror(SUM(query(filter('Data Recording'!H:H,'Data Recording'!D:D=B25), ""Select Col1"")),""-"")"),0.0)</f>
        <v>0</v>
      </c>
      <c r="J25" s="62">
        <f>IFERROR(__xludf.DUMMYFUNCTION("iferror(SUM(query(filter('Data Recording'!I:I,'Data Recording'!D:D=B25), ""Select Col1"")),""-"")"),0.0)</f>
        <v>0</v>
      </c>
      <c r="K25" s="59" t="str">
        <f t="shared" si="2"/>
        <v>-</v>
      </c>
      <c r="L25" s="60">
        <f>IFERROR(__xludf.DUMMYFUNCTION("iferror(AVERAGE(query(filter('Data Recording'!I:I,'Data Recording'!D:D=B25), ""Select Col1"")),""0.00"")"),0.0)</f>
        <v>0</v>
      </c>
      <c r="M25" s="58">
        <f>IFERROR(__xludf.DUMMYFUNCTION("iferror(MAX(query(filter('Data Recording'!I:I,'Data Recording'!D:D=B25), ""Select Col1"")),""-"")"),0.0)</f>
        <v>0</v>
      </c>
      <c r="N25" s="63">
        <f>IFERROR(__xludf.DUMMYFUNCTION("iferror(SUM(query(filter('Data Recording'!J:J,'Data Recording'!D:D=B25), ""Select Col1"")),""-"")"),5.0)</f>
        <v>5</v>
      </c>
      <c r="O25" s="5">
        <f>IFERROR(__xludf.DUMMYFUNCTION("iferror(SUM(query(filter('Data Recording'!K:K,'Data Recording'!D:D=B25), ""Select Col1"")),""-"")"),5.0)</f>
        <v>5</v>
      </c>
      <c r="P25" s="59">
        <f t="shared" si="3"/>
        <v>1</v>
      </c>
      <c r="Q25" s="60">
        <f>IFERROR(__xludf.DUMMYFUNCTION("iferror(AVERAGE(query(filter('Data Recording'!K:K,'Data Recording'!D:D=B25), ""Select Col1"")),""0.00"")"),0.8333333333333334)</f>
        <v>0.8333333333</v>
      </c>
      <c r="R25" s="58">
        <f>IFERROR(__xludf.DUMMYFUNCTION("iferror(MAX(query(filter('Data Recording'!K:K,'Data Recording'!D:D=B25), ""Select Col1"")),""-"")"),1.0)</f>
        <v>1</v>
      </c>
      <c r="S25" s="63">
        <f>IFERROR(__xludf.DUMMYFUNCTION("iferror(SUM(query(filter('Data Recording'!L:L,'Data Recording'!D:D=B25), ""Select Col1"")),""-"")"),2.0)</f>
        <v>2</v>
      </c>
      <c r="T25" s="5">
        <f>IFERROR(__xludf.DUMMYFUNCTION("iferror(SUM(query(filter('Data Recording'!M:M,'Data Recording'!D:D=B25), ""Select Col1"")),""-"")"),1.0)</f>
        <v>1</v>
      </c>
      <c r="U25" s="59">
        <f t="shared" si="4"/>
        <v>0.5</v>
      </c>
      <c r="V25" s="60">
        <f>IFERROR(__xludf.DUMMYFUNCTION("iferror(AVERAGE(query(filter('Data Recording'!M:M,'Data Recording'!D:D=B25), ""Select Col1"")),""-"")"),0.5)</f>
        <v>0.5</v>
      </c>
      <c r="W25" s="57">
        <f>IFERROR(__xludf.DUMMYFUNCTION("iferror(MAX(query(filter('Data Recording'!M:M,'Data Recording'!D:D=B25), ""Select Col1"")),""-"")"),1.0)</f>
        <v>1</v>
      </c>
      <c r="X25" s="5">
        <f>IFERROR(__xludf.DUMMYFUNCTION("iferror(SUM(query(filter('Data Recording'!N:N,'Data Recording'!D:D=B25), ""Select Col1"")),""-"")"),0.0)</f>
        <v>0</v>
      </c>
      <c r="Y25" s="5">
        <f>IFERROR(__xludf.DUMMYFUNCTION("iferror(SUM(query(filter('Data Recording'!O:O,'Data Recording'!D:D=B25), ""Select Col1"")),""-"")"),0.0)</f>
        <v>0</v>
      </c>
      <c r="Z25" s="59" t="str">
        <f t="shared" si="5"/>
        <v>-</v>
      </c>
      <c r="AA25" s="60">
        <f>IFERROR(__xludf.DUMMYFUNCTION("iferror(AVERAGE(query(filter('Data Recording'!O:O,'Data Recording'!D:D=B25), ""Select Col1"")),""0.00"")"),0.0)</f>
        <v>0</v>
      </c>
      <c r="AB25" s="57">
        <f>IFERROR(__xludf.DUMMYFUNCTION("iferror(MAX(query(filter('Data Recording'!O:O,'Data Recording'!D:D=B25), ""Select Col1"")),""-"")"),0.0)</f>
        <v>0</v>
      </c>
      <c r="AC25" s="5">
        <f>IFERROR(__xludf.DUMMYFUNCTION("iferror(SUM(query(filter('Data Recording'!P:P,'Data Recording'!D:D=B25), ""Select Col1"")),""-"")"),0.0)</f>
        <v>0</v>
      </c>
      <c r="AD25" s="5">
        <f>IFERROR(__xludf.DUMMYFUNCTION("iferror(SUM(query(filter('Data Recording'!Q:Q,'Data Recording'!D:D=B25), ""Select Col1"")),""-"")"),0.0)</f>
        <v>0</v>
      </c>
      <c r="AE25" s="59" t="str">
        <f t="shared" si="6"/>
        <v>-</v>
      </c>
      <c r="AF25" s="60">
        <f>IFERROR(__xludf.DUMMYFUNCTION("iferror(AVERAGE(query(filter('Data Recording'!Q:Q,'Data Recording'!D:D=B25), ""Select Col1"")),""0.00"")"),0.0)</f>
        <v>0</v>
      </c>
      <c r="AG25" s="5">
        <f>IFERROR(__xludf.DUMMYFUNCTION("iferror(MAX(query(filter('Data Recording'!Q:Q,'Data Recording'!D:D=B25), ""Select Col1"")),""-"")"),0.0)</f>
        <v>0</v>
      </c>
      <c r="AH25" s="63" t="str">
        <f>IFERROR(__xludf.DUMMYFUNCTION("if(countif(query(filter('Data Recording'!R:R,'Data Recording'!D:D=B25), ""Select Col1""),""Yes, Engaged"")+countif(query(filter('Data Recording'!R:R,'Data Recording'!D:D=B25), ""Select Col1""),""Yes, Docked"")=0,""0"",countif(query(filter('Data Recording'"&amp;"!R:R,'Data Recording'!D:D=B25), ""Select Col1""),""Yes, Engaged""))+countif(query(filter('Data Recording'!R:R,'Data Recording'!D:D=B25), ""Select Col1""),""Yes, Docked"") &amp; ""/"" &amp; if(COUNTA(query(ifna(filter('Data Recording'!R:R,'Data Recording'!D:D=B25)"&amp;",""""), ""Select Col1""))=0,""0"",COUNTA(query(ifna(filter('Data Recording'!R:R,'Data Recording'!D:D=B25),""""), ""Select Col1"")))"),"5/9")</f>
        <v>5/9</v>
      </c>
      <c r="AI25" s="64" t="str">
        <f>IFERROR(__xludf.DUMMYFUNCTION("if(countif(query(filter('Data Recording'!R:R,'Data Recording'!D:D=B25), ""Select Col1""),""Yes, Engaged"")=0,""0"",countif(query(filter('Data Recording'!R:R,'Data Recording'!D:D=B25), ""Select Col1""),""Yes, Engaged"")) &amp; ""/"" &amp; if(COUNTA(query(ifna(filt"&amp;"er('Data Recording'!R:R,'Data Recording'!D:D=B25),""""), ""Select Col1""))=0,""0"",COUNTA(query(ifna(filter('Data Recording'!R:R,'Data Recording'!D:D=B25),""""), ""Select Col1"")))"),"4/9")</f>
        <v>4/9</v>
      </c>
      <c r="AJ25" s="5">
        <f>IFERROR(__xludf.DUMMYFUNCTION("iferror(SUM(query(filter('Data Recording'!S:S,'Data Recording'!D:D=B25), ""Select Col1"")),""-"")"),0.0)</f>
        <v>0</v>
      </c>
      <c r="AK25" s="5">
        <f>IFERROR(__xludf.DUMMYFUNCTION("iferror(SUM(query(filter('Data Recording'!T:T,'Data Recording'!D:D=B25), ""Select Col1"")),""-"")"),0.0)</f>
        <v>0</v>
      </c>
      <c r="AL25" s="59" t="str">
        <f t="shared" si="7"/>
        <v>-</v>
      </c>
      <c r="AM25" s="60">
        <f>IFERROR(__xludf.DUMMYFUNCTION("iferror(AVERAGE(query(filter('Data Recording'!T:T,'Data Recording'!D:D=B25), ""Select Col1"")),""0.00"")"),0.0)</f>
        <v>0</v>
      </c>
      <c r="AN25" s="65">
        <f>IFERROR(__xludf.DUMMYFUNCTION("iferror(MAX(query(filter('Data Recording'!T:T,'Data Recording'!D:D=B25), ""Select Col1"")),""-"")"),0.0)</f>
        <v>0</v>
      </c>
      <c r="AO25" s="66">
        <f>IFERROR(__xludf.DUMMYFUNCTION("iferror(SUM(query(filter('Data Recording'!U:U,'Data Recording'!D:D=B25), ""Select Col1"")),""-"")"),0.0)</f>
        <v>0</v>
      </c>
      <c r="AP25" s="66">
        <f>IFERROR(__xludf.DUMMYFUNCTION("iferror(SUM(query(filter('Data Recording'!V:V,'Data Recording'!D:D=B25), ""Select Col1"")),""-"")"),0.0)</f>
        <v>0</v>
      </c>
      <c r="AQ25" s="67" t="str">
        <f t="shared" si="8"/>
        <v>-</v>
      </c>
      <c r="AR25" s="68">
        <f>IFERROR(__xludf.DUMMYFUNCTION("iferror(AVERAGE(query(filter('Data Recording'!V:V,'Data Recording'!D:D=B25), ""Select Col1"")),""0.00"")"),0.0)</f>
        <v>0</v>
      </c>
      <c r="AS25" s="69">
        <f>IFERROR(__xludf.DUMMYFUNCTION("iferror(MAX(query(filter('Data Recording'!V:V,'Data Recording'!D:D=B25), ""Select Col1"")),""-"")"),0.0)</f>
        <v>0</v>
      </c>
      <c r="AT25" s="66">
        <f>IFERROR(__xludf.DUMMYFUNCTION("iferror(SUM(query(filter('Data Recording'!W:W,'Data Recording'!D:D=B25), ""Select Col1"")),""-"")"),1.0)</f>
        <v>1</v>
      </c>
      <c r="AU25" s="66">
        <f>IFERROR(__xludf.DUMMYFUNCTION("iferror(SUM(query(filter('Data Recording'!X:X,'Data Recording'!D:D=B25), ""Select Col1"")),""-"")"),1.0)</f>
        <v>1</v>
      </c>
      <c r="AV25" s="67">
        <f t="shared" si="9"/>
        <v>1</v>
      </c>
      <c r="AW25" s="68">
        <f>IFERROR(__xludf.DUMMYFUNCTION("iferror(AVERAGE(query(filter('Data Recording'!X:X,'Data Recording'!D:D=B25), ""Select Col1"")),""0.00"")"),1.0)</f>
        <v>1</v>
      </c>
      <c r="AX25" s="69">
        <f>IFERROR(__xludf.DUMMYFUNCTION("iferror(MAX(query(filter('Data Recording'!X:X,'Data Recording'!D:D=B25), ""Select Col1"")),""-"")"),1.0)</f>
        <v>1</v>
      </c>
      <c r="AY25" s="66">
        <f>IFERROR(__xludf.DUMMYFUNCTION("iferror(SUM(query(filter('Data Recording'!Y:Y,'Data Recording'!D:D=B25), ""Select Col1"")),""-"")"),0.0)</f>
        <v>0</v>
      </c>
      <c r="AZ25" s="66">
        <f>IFERROR(__xludf.DUMMYFUNCTION("iferror(SUM(query(filter('Data Recording'!Z:Z,'Data Recording'!D:D=B25), ""Select Col1"")),""-"")"),0.0)</f>
        <v>0</v>
      </c>
      <c r="BA25" s="67" t="str">
        <f t="shared" si="10"/>
        <v>-</v>
      </c>
      <c r="BB25" s="68" t="str">
        <f>IFERROR(__xludf.DUMMYFUNCTION("iferror(AVERAGE(query(filter('Data Recording'!Z:Z,'Data Recording'!D:D=B25), ""Select Col1"")),""0.00"")"),"0.00")</f>
        <v>0.00</v>
      </c>
      <c r="BC25" s="69">
        <f>IFERROR(__xludf.DUMMYFUNCTION("iferror(MAX(query(filter('Data Recording'!Z:Z,'Data Recording'!D:D=B25), ""Select Col1"")),""-"")"),0.0)</f>
        <v>0</v>
      </c>
      <c r="BD25" s="66">
        <f>IFERROR(__xludf.DUMMYFUNCTION("iferror(SUM(query(filter('Data Recording'!AA:AA,'Data Recording'!D:D=B25), ""Select Col1"")),""-"")"),1.0)</f>
        <v>1</v>
      </c>
      <c r="BE25" s="66">
        <f>IFERROR(__xludf.DUMMYFUNCTION("iferror(SUM(query(filter('Data Recording'!AB:AB,'Data Recording'!D:D=B25), ""Select Col1"")),""-"")"),1.0)</f>
        <v>1</v>
      </c>
      <c r="BF25" s="67">
        <f t="shared" si="11"/>
        <v>1</v>
      </c>
      <c r="BG25" s="68">
        <f>IFERROR(__xludf.DUMMYFUNCTION("iferror(AVERAGE(query(filter('Data Recording'!AB:AB,'Data Recording'!D:D=B25), ""Select Col1"")),""0.00"")"),1.0)</f>
        <v>1</v>
      </c>
      <c r="BH25" s="69">
        <f>IFERROR(__xludf.DUMMYFUNCTION("iferror(MAX(query(filter('Data Recording'!AB:AB,'Data Recording'!D:D=B25), ""Select Col1"")),""-"")"),1.0)</f>
        <v>1</v>
      </c>
      <c r="BI25" s="66">
        <f>IFERROR(__xludf.DUMMYFUNCTION("iferror(SUM(query(filter('Data Recording'!AC:AC,'Data Recording'!D:D=B25), ""Select Col1"")),""-"")"),2.0)</f>
        <v>2</v>
      </c>
      <c r="BJ25" s="66">
        <f>IFERROR(__xludf.DUMMYFUNCTION("iferror(SUM(query(filter('Data Recording'!AD:AD,'Data Recording'!D:D=B25), ""Select Col1"")),""-"")"),2.0)</f>
        <v>2</v>
      </c>
      <c r="BK25" s="67">
        <f t="shared" si="12"/>
        <v>1</v>
      </c>
      <c r="BL25" s="68">
        <f>IFERROR(__xludf.DUMMYFUNCTION("iferror(AVERAGE(query(filter('Data Recording'!AD:AD,'Data Recording'!D:D=B25), ""Select Col1"")),""0.00"")"),1.0)</f>
        <v>1</v>
      </c>
      <c r="BM25" s="69">
        <f>IFERROR(__xludf.DUMMYFUNCTION("iferror(MAX(query(filter('Data Recording'!AD:AD,'Data Recording'!D:D=B25), ""Select Col1"")),""-"")"),1.0)</f>
        <v>1</v>
      </c>
      <c r="BN25" s="70" t="str">
        <f>IFERROR(__xludf.DUMMYFUNCTION("if(countif(query(filter('Data Recording'!AE:AE,'Data Recording'!D:D=B25), ""Select Col1""),""Yes, Engaged"")+countif(query(filter('Data Recording'!AE:AE,'Data Recording'!D:D=B25), ""Select Col1""),""Yes, Docked"")=0,""0"",countif(query(filter('Data Record"&amp;"ing'!AE:AE,'Data Recording'!D:D=B25), ""Select Col1""),""Yes, Engaged""))+countif(query(filter('Data Recording'!AE:AE,'Data Recording'!D:D=B25), ""Select Col1""),""Yes, Docked"") &amp; ""/"" &amp; if(COUNTA(query(ifna(filter('Data Recording'!AE:AE,'Data Recording"&amp;"'!D:D=B25),""""), ""Select Col1""))=0,""0"",COUNTA(query(ifna(filter('Data Recording'!AE:AE,'Data Recording'!D:D=B25),""""), ""Select Col1"")))"),"6/9")</f>
        <v>6/9</v>
      </c>
      <c r="BO25" s="71" t="str">
        <f>IFERROR(__xludf.DUMMYFUNCTION("if(countif(query(filter('Data Recording'!AE:AE,'Data Recording'!D:D=B25), ""Select Col1""),""Yes, Engaged"")=0,""0"",countif(query(filter('Data Recording'!AE:AE,'Data Recording'!D:D=B25), ""Select Col1""),""Yes, Engaged"")) &amp; ""/"" &amp; if(COUNTA(query(ifna("&amp;"filter('Data Recording'!AE:AE,'Data Recording'!D:D=B25),""""), ""Select Col1""))=0,""0"",COUNTA(query(ifna(filter('Data Recording'!AE:AE,'Data Recording'!D:D=B25),""""), ""Select Col1"")))"),"5/9")</f>
        <v>5/9</v>
      </c>
      <c r="BP25" s="64" t="str">
        <f>IFERROR(__xludf.DUMMYFUNCTION("if(countif(query(filter('Data Recording'!AH:AH,'Data Recording'!D:D=B25), ""Select Col1""),""Yes"")=0,""0"",countif(query(filter('Data Recording'!AH:AH,'Data Recording'!D:D=B25), ""Select Col1""),""Yes"")) &amp; ""/"" &amp; if(COUNTA(query(ifna(filter('Data Recor"&amp;"ding'!AH:AH,'Data Recording'!D:D=B25),""""), ""Select Col1""))=0,""0"",COUNTA(query(ifna(filter('Data Recording'!AH:AH,'Data Recording'!D:D=B25),""""), ""Select Col1"")))"),"1/9")</f>
        <v>1/9</v>
      </c>
      <c r="BQ25" s="79">
        <v>0.1111</v>
      </c>
      <c r="BR25" s="60">
        <f>IFERROR(__xludf.DUMMYFUNCTION("iferror(average(query(filter('Data Recording'!AF:AF,'Data Recording'!D:D=B25), ""Select Col1"")),""-"")"),0.4444444444444444)</f>
        <v>0.4444444444</v>
      </c>
      <c r="BS25" s="73">
        <f>IFERROR(__xludf.DUMMYFUNCTION("iferror(average(query(filter('Data Recording'!AG:AG,'Data Recording'!D:D=B25), ""Select Col1"")),""-"")"),1.3333333333333333)</f>
        <v>1.333333333</v>
      </c>
      <c r="BT25" s="74">
        <f t="shared" si="13"/>
        <v>30.5</v>
      </c>
      <c r="BU25" s="74">
        <f>IFERROR(__xludf.DUMMYFUNCTION("iferror(AVERAGE(query(filter('Data Recording'!AJ:AJ,'Data Recording'!D:D=B25), ""Select Col1"")),""-"")"),16.77777777777778)</f>
        <v>16.77777778</v>
      </c>
      <c r="BV25" s="74">
        <f>IFERROR(__xludf.DUMMYFUNCTION("iferror(AVERAGE(query(filter('Data Recording'!AK:AK,'Data Recording'!D:D=B25), ""Select Col1"")),""-"")"),3.3333333333333335)</f>
        <v>3.333333333</v>
      </c>
      <c r="BW25" s="74">
        <f t="shared" si="14"/>
        <v>12.5</v>
      </c>
      <c r="BX25" s="75">
        <f>IFERROR(__xludf.DUMMYFUNCTION("iferror(max(query(filter('Data Recording'!AJ:AJ,'Data Recording'!D:D=B25), ""Select Col1"")),""-"")"),25.0)</f>
        <v>25</v>
      </c>
      <c r="BY25" s="76">
        <f>IFERROR(__xludf.DUMMYFUNCTION("iferror(MIN(query(filter('Data Recording'!AJ:AJ,'Data Recording'!D:D=B25), ""Select Col1"")),""-"")"),6.0)</f>
        <v>6</v>
      </c>
      <c r="BZ25" s="77" t="str">
        <f>IFERROR(__xludf.DUMMYFUNCTION("iferror(if(DIVIDE(COUNTIF(query(filter('Data Recording'!R:R,'Data Recording'!D:D=B25), ""Select Col1""),""Yes, Docked"") + countif(query(filter('Data Recording'!R:R,'Data Recording'!D:D=B25), ""Select Col1""),""Yes, Engaged""),COUNTA(query(ifna(filter('Da"&amp;"ta Recording'!R:R,'Data Recording'!D:D=B25),""""), ""Select Col1"")))&gt;=(0.5),""1"",""0""),""-"")"),"1")</f>
        <v>1</v>
      </c>
      <c r="CA25" s="5" t="str">
        <f>IFERROR(__xludf.DUMMYFUNCTION("iferror(if(countif(query(filter('Data Recording'!R:R,'Data Recording'!D:D=B25), ""Select Col1""),""Yes, Engaged"")/COUNTA(query(ifna(filter('Data Recording'!R:R,'Data Recording'!D:D=B25),""""), ""Select Col1""))&gt;=(0.5),""1"",""0""),""-"")"),"0")</f>
        <v>0</v>
      </c>
      <c r="CB25" s="78" t="str">
        <f>IFERROR(__xludf.DUMMYFUNCTION("iferror(if(DIVIDE(COUNTIF(query(filter('Data Recording'!AE:AE,'Data Recording'!D:D=B25), ""Select Col1""),""Yes, Docked"") + countif(query(filter('Data Recording'!AE:AE,'Data Recording'!D:D=B25), ""Select Col1""),""Yes, Engaged""),COUNTA(query(ifna(filter"&amp;"('Data Recording'!AE:AE,'Data Recording'!D:D=B25),""""), ""Select Col1"")))&gt;=(0.5),""1"",""0""),""-"")"),"1")</f>
        <v>1</v>
      </c>
      <c r="CC25" s="5" t="str">
        <f>IFERROR(__xludf.DUMMYFUNCTION("iferror(if(countif(query(filter('Data Recording'!AE:AE,'Data Recording'!D:D=B25), ""Select Col1""),""Yes, Engaged"")/COUNTA(query(ifna(filter('Data Recording'!AE:AE,'Data Recording'!D:D=B25),""""), ""Select Col1""))&gt;=(0.5),""1"",""0""),""-"")"),"1")</f>
        <v>1</v>
      </c>
      <c r="CD25" s="78" t="str">
        <f>IFERROR(__xludf.DUMMYFUNCTION("iferror(if(DIVIDE(countif(query(filter('Data Recording'!E:E,'Data Recording'!D:D=B25), ""Select Col1""),""Yes""),COUNTA(query(ifna(filter('Data Recording'!E:E,'Data Recording'!D:D=B25),""""), ""Select Col1"")))&gt;=(0.5),""1"",""0""),""-"")"),"0")</f>
        <v>0</v>
      </c>
    </row>
    <row r="26">
      <c r="A26" s="2" t="s">
        <v>135</v>
      </c>
      <c r="B26" s="2">
        <v>9241.0</v>
      </c>
      <c r="C26" s="57" t="str">
        <f>IFERROR(__xludf.DUMMYFUNCTION("if(countif(query(filter('Data Recording'!E:E,'Data Recording'!D:D=B26), ""Select Col1""),""Yes"")=0,""0"",countif(query(filter('Data Recording'!E:E,'Data Recording'!D:D=B26), ""Select Col1""),""Yes"")) &amp; ""/"" &amp; if(COUNTA(query(ifna(filter('Data Recording"&amp;"'!E:E,'Data Recording'!D:D=B26),""""), ""Select Col1""))=0,""0"",COUNTA(query(ifna(filter('Data Recording'!E:E,'Data Recording'!D:D=B26),""""), ""Select Col1"")))"),"3/3")</f>
        <v>3/3</v>
      </c>
      <c r="D26" s="58">
        <f>IFERROR(__xludf.DUMMYFUNCTION("iferror(SUM(query(filter('Data Recording'!F:F,'Data Recording'!D:D=B26), ""Select Col1"")),""-"")"),0.0)</f>
        <v>0</v>
      </c>
      <c r="E26" s="58">
        <f>IFERROR(__xludf.DUMMYFUNCTION("iferror(SUM(query(filter('Data Recording'!G:G,'Data Recording'!D:D=B26), ""Select Col1"")),""-"")"),0.0)</f>
        <v>0</v>
      </c>
      <c r="F26" s="59" t="str">
        <f t="shared" si="1"/>
        <v>-</v>
      </c>
      <c r="G26" s="60" t="str">
        <f>IFERROR(__xludf.DUMMYFUNCTION("iferror(AVERAGE(query(filter('Data Recording'!G:G,'Data Recording'!D:D=B26), ""Select Col1"")),""0.00"")"),"0.00")</f>
        <v>0.00</v>
      </c>
      <c r="H26" s="58">
        <f>IFERROR(__xludf.DUMMYFUNCTION("iferror(MAX(query(filter('Data Recording'!G:G,'Data Recording'!D:D=B26), ""Select Col1"")),""-"")"),0.0)</f>
        <v>0</v>
      </c>
      <c r="I26" s="61">
        <f>IFERROR(__xludf.DUMMYFUNCTION("iferror(SUM(query(filter('Data Recording'!H:H,'Data Recording'!D:D=B26), ""Select Col1"")),""-"")"),0.0)</f>
        <v>0</v>
      </c>
      <c r="J26" s="62">
        <f>IFERROR(__xludf.DUMMYFUNCTION("iferror(SUM(query(filter('Data Recording'!I:I,'Data Recording'!D:D=B26), ""Select Col1"")),""-"")"),0.0)</f>
        <v>0</v>
      </c>
      <c r="K26" s="59" t="str">
        <f t="shared" si="2"/>
        <v>-</v>
      </c>
      <c r="L26" s="60" t="str">
        <f>IFERROR(__xludf.DUMMYFUNCTION("iferror(AVERAGE(query(filter('Data Recording'!I:I,'Data Recording'!D:D=B26), ""Select Col1"")),""0.00"")"),"0.00")</f>
        <v>0.00</v>
      </c>
      <c r="M26" s="58">
        <f>IFERROR(__xludf.DUMMYFUNCTION("iferror(MAX(query(filter('Data Recording'!I:I,'Data Recording'!D:D=B26), ""Select Col1"")),""-"")"),0.0)</f>
        <v>0</v>
      </c>
      <c r="N26" s="63">
        <f>IFERROR(__xludf.DUMMYFUNCTION("iferror(SUM(query(filter('Data Recording'!J:J,'Data Recording'!D:D=B26), ""Select Col1"")),""-"")"),0.0)</f>
        <v>0</v>
      </c>
      <c r="O26" s="5">
        <f>IFERROR(__xludf.DUMMYFUNCTION("iferror(SUM(query(filter('Data Recording'!K:K,'Data Recording'!D:D=B26), ""Select Col1"")),""-"")"),0.0)</f>
        <v>0</v>
      </c>
      <c r="P26" s="59" t="str">
        <f t="shared" si="3"/>
        <v>-</v>
      </c>
      <c r="Q26" s="60" t="str">
        <f>IFERROR(__xludf.DUMMYFUNCTION("iferror(AVERAGE(query(filter('Data Recording'!K:K,'Data Recording'!D:D=B26), ""Select Col1"")),""0.00"")"),"0.00")</f>
        <v>0.00</v>
      </c>
      <c r="R26" s="58">
        <f>IFERROR(__xludf.DUMMYFUNCTION("iferror(MAX(query(filter('Data Recording'!K:K,'Data Recording'!D:D=B26), ""Select Col1"")),""-"")"),0.0)</f>
        <v>0</v>
      </c>
      <c r="S26" s="63">
        <f>IFERROR(__xludf.DUMMYFUNCTION("iferror(SUM(query(filter('Data Recording'!L:L,'Data Recording'!D:D=B26), ""Select Col1"")),""-"")"),0.0)</f>
        <v>0</v>
      </c>
      <c r="T26" s="5">
        <f>IFERROR(__xludf.DUMMYFUNCTION("iferror(SUM(query(filter('Data Recording'!M:M,'Data Recording'!D:D=B26), ""Select Col1"")),""-"")"),0.0)</f>
        <v>0</v>
      </c>
      <c r="U26" s="59" t="str">
        <f t="shared" si="4"/>
        <v>-</v>
      </c>
      <c r="V26" s="60" t="str">
        <f>IFERROR(__xludf.DUMMYFUNCTION("iferror(AVERAGE(query(filter('Data Recording'!M:M,'Data Recording'!D:D=B26), ""Select Col1"")),""-"")"),"-")</f>
        <v>-</v>
      </c>
      <c r="W26" s="57">
        <f>IFERROR(__xludf.DUMMYFUNCTION("iferror(MAX(query(filter('Data Recording'!M:M,'Data Recording'!D:D=B26), ""Select Col1"")),""-"")"),0.0)</f>
        <v>0</v>
      </c>
      <c r="X26" s="5">
        <f>IFERROR(__xludf.DUMMYFUNCTION("iferror(SUM(query(filter('Data Recording'!N:N,'Data Recording'!D:D=B26), ""Select Col1"")),""-"")"),0.0)</f>
        <v>0</v>
      </c>
      <c r="Y26" s="5">
        <f>IFERROR(__xludf.DUMMYFUNCTION("iferror(SUM(query(filter('Data Recording'!O:O,'Data Recording'!D:D=B26), ""Select Col1"")),""-"")"),0.0)</f>
        <v>0</v>
      </c>
      <c r="Z26" s="59" t="str">
        <f t="shared" si="5"/>
        <v>-</v>
      </c>
      <c r="AA26" s="60" t="str">
        <f>IFERROR(__xludf.DUMMYFUNCTION("iferror(AVERAGE(query(filter('Data Recording'!O:O,'Data Recording'!D:D=B26), ""Select Col1"")),""0.00"")"),"0.00")</f>
        <v>0.00</v>
      </c>
      <c r="AB26" s="57">
        <f>IFERROR(__xludf.DUMMYFUNCTION("iferror(MAX(query(filter('Data Recording'!O:O,'Data Recording'!D:D=B26), ""Select Col1"")),""-"")"),0.0)</f>
        <v>0</v>
      </c>
      <c r="AC26" s="5">
        <f>IFERROR(__xludf.DUMMYFUNCTION("iferror(SUM(query(filter('Data Recording'!P:P,'Data Recording'!D:D=B26), ""Select Col1"")),""-"")"),0.0)</f>
        <v>0</v>
      </c>
      <c r="AD26" s="5">
        <f>IFERROR(__xludf.DUMMYFUNCTION("iferror(SUM(query(filter('Data Recording'!Q:Q,'Data Recording'!D:D=B26), ""Select Col1"")),""-"")"),0.0)</f>
        <v>0</v>
      </c>
      <c r="AE26" s="59" t="str">
        <f t="shared" si="6"/>
        <v>-</v>
      </c>
      <c r="AF26" s="60" t="str">
        <f>IFERROR(__xludf.DUMMYFUNCTION("iferror(AVERAGE(query(filter('Data Recording'!Q:Q,'Data Recording'!D:D=B26), ""Select Col1"")),""0.00"")"),"0.00")</f>
        <v>0.00</v>
      </c>
      <c r="AG26" s="5">
        <f>IFERROR(__xludf.DUMMYFUNCTION("iferror(MAX(query(filter('Data Recording'!Q:Q,'Data Recording'!D:D=B26), ""Select Col1"")),""-"")"),0.0)</f>
        <v>0</v>
      </c>
      <c r="AH26" s="63" t="str">
        <f>IFERROR(__xludf.DUMMYFUNCTION("if(countif(query(filter('Data Recording'!R:R,'Data Recording'!D:D=B26), ""Select Col1""),""Yes, Engaged"")+countif(query(filter('Data Recording'!R:R,'Data Recording'!D:D=B26), ""Select Col1""),""Yes, Docked"")=0,""0"",countif(query(filter('Data Recording'"&amp;"!R:R,'Data Recording'!D:D=B26), ""Select Col1""),""Yes, Engaged""))+countif(query(filter('Data Recording'!R:R,'Data Recording'!D:D=B26), ""Select Col1""),""Yes, Docked"") &amp; ""/"" &amp; if(COUNTA(query(ifna(filter('Data Recording'!R:R,'Data Recording'!D:D=B26)"&amp;",""""), ""Select Col1""))=0,""0"",COUNTA(query(ifna(filter('Data Recording'!R:R,'Data Recording'!D:D=B26),""""), ""Select Col1"")))"),"0/3")</f>
        <v>0/3</v>
      </c>
      <c r="AI26" s="64" t="str">
        <f>IFERROR(__xludf.DUMMYFUNCTION("if(countif(query(filter('Data Recording'!R:R,'Data Recording'!D:D=B26), ""Select Col1""),""Yes, Engaged"")=0,""0"",countif(query(filter('Data Recording'!R:R,'Data Recording'!D:D=B26), ""Select Col1""),""Yes, Engaged"")) &amp; ""/"" &amp; if(COUNTA(query(ifna(filt"&amp;"er('Data Recording'!R:R,'Data Recording'!D:D=B26),""""), ""Select Col1""))=0,""0"",COUNTA(query(ifna(filter('Data Recording'!R:R,'Data Recording'!D:D=B26),""""), ""Select Col1"")))"),"0/3")</f>
        <v>0/3</v>
      </c>
      <c r="AJ26" s="5">
        <f>IFERROR(__xludf.DUMMYFUNCTION("iferror(SUM(query(filter('Data Recording'!S:S,'Data Recording'!D:D=B26), ""Select Col1"")),""-"")"),0.0)</f>
        <v>0</v>
      </c>
      <c r="AK26" s="5">
        <f>IFERROR(__xludf.DUMMYFUNCTION("iferror(SUM(query(filter('Data Recording'!T:T,'Data Recording'!D:D=B26), ""Select Col1"")),""-"")"),0.0)</f>
        <v>0</v>
      </c>
      <c r="AL26" s="59" t="str">
        <f t="shared" si="7"/>
        <v>-</v>
      </c>
      <c r="AM26" s="60" t="str">
        <f>IFERROR(__xludf.DUMMYFUNCTION("iferror(AVERAGE(query(filter('Data Recording'!T:T,'Data Recording'!D:D=B26), ""Select Col1"")),""0.00"")"),"0.00")</f>
        <v>0.00</v>
      </c>
      <c r="AN26" s="65">
        <f>IFERROR(__xludf.DUMMYFUNCTION("iferror(MAX(query(filter('Data Recording'!T:T,'Data Recording'!D:D=B26), ""Select Col1"")),""-"")"),0.0)</f>
        <v>0</v>
      </c>
      <c r="AO26" s="66">
        <f>IFERROR(__xludf.DUMMYFUNCTION("iferror(SUM(query(filter('Data Recording'!U:U,'Data Recording'!D:D=B26), ""Select Col1"")),""-"")"),0.0)</f>
        <v>0</v>
      </c>
      <c r="AP26" s="66">
        <f>IFERROR(__xludf.DUMMYFUNCTION("iferror(SUM(query(filter('Data Recording'!V:V,'Data Recording'!D:D=B26), ""Select Col1"")),""-"")"),0.0)</f>
        <v>0</v>
      </c>
      <c r="AQ26" s="67" t="str">
        <f t="shared" si="8"/>
        <v>-</v>
      </c>
      <c r="AR26" s="68" t="str">
        <f>IFERROR(__xludf.DUMMYFUNCTION("iferror(AVERAGE(query(filter('Data Recording'!V:V,'Data Recording'!D:D=B26), ""Select Col1"")),""0.00"")"),"0.00")</f>
        <v>0.00</v>
      </c>
      <c r="AS26" s="69">
        <f>IFERROR(__xludf.DUMMYFUNCTION("iferror(MAX(query(filter('Data Recording'!V:V,'Data Recording'!D:D=B26), ""Select Col1"")),""-"")"),0.0)</f>
        <v>0</v>
      </c>
      <c r="AT26" s="66">
        <f>IFERROR(__xludf.DUMMYFUNCTION("iferror(SUM(query(filter('Data Recording'!W:W,'Data Recording'!D:D=B26), ""Select Col1"")),""-"")"),4.0)</f>
        <v>4</v>
      </c>
      <c r="AU26" s="66">
        <f>IFERROR(__xludf.DUMMYFUNCTION("iferror(SUM(query(filter('Data Recording'!X:X,'Data Recording'!D:D=B26), ""Select Col1"")),""-"")"),4.0)</f>
        <v>4</v>
      </c>
      <c r="AV26" s="67">
        <f t="shared" si="9"/>
        <v>1</v>
      </c>
      <c r="AW26" s="68">
        <f>IFERROR(__xludf.DUMMYFUNCTION("iferror(AVERAGE(query(filter('Data Recording'!X:X,'Data Recording'!D:D=B26), ""Select Col1"")),""0.00"")"),1.3333333333333333)</f>
        <v>1.333333333</v>
      </c>
      <c r="AX26" s="69">
        <f>IFERROR(__xludf.DUMMYFUNCTION("iferror(MAX(query(filter('Data Recording'!X:X,'Data Recording'!D:D=B26), ""Select Col1"")),""-"")"),2.0)</f>
        <v>2</v>
      </c>
      <c r="AY26" s="66">
        <f>IFERROR(__xludf.DUMMYFUNCTION("iferror(SUM(query(filter('Data Recording'!Y:Y,'Data Recording'!D:D=B26), ""Select Col1"")),""-"")"),0.0)</f>
        <v>0</v>
      </c>
      <c r="AZ26" s="66">
        <f>IFERROR(__xludf.DUMMYFUNCTION("iferror(SUM(query(filter('Data Recording'!Z:Z,'Data Recording'!D:D=B26), ""Select Col1"")),""-"")"),0.0)</f>
        <v>0</v>
      </c>
      <c r="BA26" s="67" t="str">
        <f t="shared" si="10"/>
        <v>-</v>
      </c>
      <c r="BB26" s="68" t="str">
        <f>IFERROR(__xludf.DUMMYFUNCTION("iferror(AVERAGE(query(filter('Data Recording'!Z:Z,'Data Recording'!D:D=B26), ""Select Col1"")),""0.00"")"),"0.00")</f>
        <v>0.00</v>
      </c>
      <c r="BC26" s="69">
        <f>IFERROR(__xludf.DUMMYFUNCTION("iferror(MAX(query(filter('Data Recording'!Z:Z,'Data Recording'!D:D=B26), ""Select Col1"")),""-"")"),0.0)</f>
        <v>0</v>
      </c>
      <c r="BD26" s="66">
        <f>IFERROR(__xludf.DUMMYFUNCTION("iferror(SUM(query(filter('Data Recording'!AA:AA,'Data Recording'!D:D=B26), ""Select Col1"")),""-"")"),0.0)</f>
        <v>0</v>
      </c>
      <c r="BE26" s="66">
        <f>IFERROR(__xludf.DUMMYFUNCTION("iferror(SUM(query(filter('Data Recording'!AB:AB,'Data Recording'!D:D=B26), ""Select Col1"")),""-"")"),0.0)</f>
        <v>0</v>
      </c>
      <c r="BF26" s="67" t="str">
        <f t="shared" si="11"/>
        <v>-</v>
      </c>
      <c r="BG26" s="68" t="str">
        <f>IFERROR(__xludf.DUMMYFUNCTION("iferror(AVERAGE(query(filter('Data Recording'!AB:AB,'Data Recording'!D:D=B26), ""Select Col1"")),""0.00"")"),"0.00")</f>
        <v>0.00</v>
      </c>
      <c r="BH26" s="69">
        <f>IFERROR(__xludf.DUMMYFUNCTION("iferror(MAX(query(filter('Data Recording'!AB:AB,'Data Recording'!D:D=B26), ""Select Col1"")),""-"")"),0.0)</f>
        <v>0</v>
      </c>
      <c r="BI26" s="66">
        <f>IFERROR(__xludf.DUMMYFUNCTION("iferror(SUM(query(filter('Data Recording'!AC:AC,'Data Recording'!D:D=B26), ""Select Col1"")),""-"")"),3.0)</f>
        <v>3</v>
      </c>
      <c r="BJ26" s="66">
        <f>IFERROR(__xludf.DUMMYFUNCTION("iferror(SUM(query(filter('Data Recording'!AD:AD,'Data Recording'!D:D=B26), ""Select Col1"")),""-"")"),3.0)</f>
        <v>3</v>
      </c>
      <c r="BK26" s="67">
        <f t="shared" si="12"/>
        <v>1</v>
      </c>
      <c r="BL26" s="68">
        <f>IFERROR(__xludf.DUMMYFUNCTION("iferror(AVERAGE(query(filter('Data Recording'!AD:AD,'Data Recording'!D:D=B26), ""Select Col1"")),""0.00"")"),1.5)</f>
        <v>1.5</v>
      </c>
      <c r="BM26" s="69">
        <f>IFERROR(__xludf.DUMMYFUNCTION("iferror(MAX(query(filter('Data Recording'!AD:AD,'Data Recording'!D:D=B26), ""Select Col1"")),""-"")"),2.0)</f>
        <v>2</v>
      </c>
      <c r="BN26" s="70" t="str">
        <f>IFERROR(__xludf.DUMMYFUNCTION("if(countif(query(filter('Data Recording'!AE:AE,'Data Recording'!D:D=B26), ""Select Col1""),""Yes, Engaged"")+countif(query(filter('Data Recording'!AE:AE,'Data Recording'!D:D=B26), ""Select Col1""),""Yes, Docked"")=0,""0"",countif(query(filter('Data Record"&amp;"ing'!AE:AE,'Data Recording'!D:D=B26), ""Select Col1""),""Yes, Engaged""))+countif(query(filter('Data Recording'!AE:AE,'Data Recording'!D:D=B26), ""Select Col1""),""Yes, Docked"") &amp; ""/"" &amp; if(COUNTA(query(ifna(filter('Data Recording'!AE:AE,'Data Recording"&amp;"'!D:D=B26),""""), ""Select Col1""))=0,""0"",COUNTA(query(ifna(filter('Data Recording'!AE:AE,'Data Recording'!D:D=B26),""""), ""Select Col1"")))"),"2/3")</f>
        <v>2/3</v>
      </c>
      <c r="BO26" s="71" t="str">
        <f>IFERROR(__xludf.DUMMYFUNCTION("if(countif(query(filter('Data Recording'!AE:AE,'Data Recording'!D:D=B26), ""Select Col1""),""Yes, Engaged"")=0,""0"",countif(query(filter('Data Recording'!AE:AE,'Data Recording'!D:D=B26), ""Select Col1""),""Yes, Engaged"")) &amp; ""/"" &amp; if(COUNTA(query(ifna("&amp;"filter('Data Recording'!AE:AE,'Data Recording'!D:D=B26),""""), ""Select Col1""))=0,""0"",COUNTA(query(ifna(filter('Data Recording'!AE:AE,'Data Recording'!D:D=B26),""""), ""Select Col1"")))"),"2/3")</f>
        <v>2/3</v>
      </c>
      <c r="BP26" s="64" t="str">
        <f>IFERROR(__xludf.DUMMYFUNCTION("if(countif(query(filter('Data Recording'!AH:AH,'Data Recording'!D:D=B26), ""Select Col1""),""Yes"")=0,""0"",countif(query(filter('Data Recording'!AH:AH,'Data Recording'!D:D=B26), ""Select Col1""),""Yes"")) &amp; ""/"" &amp; if(COUNTA(query(ifna(filter('Data Recor"&amp;"ding'!AH:AH,'Data Recording'!D:D=B26),""""), ""Select Col1""))=0,""0"",COUNTA(query(ifna(filter('Data Recording'!AH:AH,'Data Recording'!D:D=B26),""""), ""Select Col1"")))"),"1/3")</f>
        <v>1/3</v>
      </c>
      <c r="BQ26" s="79">
        <v>0.3333</v>
      </c>
      <c r="BR26" s="60">
        <f>IFERROR(__xludf.DUMMYFUNCTION("iferror(average(query(filter('Data Recording'!AF:AF,'Data Recording'!D:D=B26), ""Select Col1"")),""-"")"),0.6666666666666666)</f>
        <v>0.6666666667</v>
      </c>
      <c r="BS26" s="73">
        <f>IFERROR(__xludf.DUMMYFUNCTION("iferror(average(query(filter('Data Recording'!AG:AG,'Data Recording'!D:D=B26), ""Select Col1"")),""-"")"),0.3333333333333333)</f>
        <v>0.3333333333</v>
      </c>
      <c r="BT26" s="74">
        <f t="shared" si="13"/>
        <v>18.66666667</v>
      </c>
      <c r="BU26" s="74">
        <f>IFERROR(__xludf.DUMMYFUNCTION("iferror(AVERAGE(query(filter('Data Recording'!AJ:AJ,'Data Recording'!D:D=B26), ""Select Col1"")),""-"")"),15.333333333333334)</f>
        <v>15.33333333</v>
      </c>
      <c r="BV26" s="74">
        <f>IFERROR(__xludf.DUMMYFUNCTION("iferror(AVERAGE(query(filter('Data Recording'!AK:AK,'Data Recording'!D:D=B26), ""Select Col1"")),""-"")"),4.666666666666667)</f>
        <v>4.666666667</v>
      </c>
      <c r="BW26" s="74">
        <f t="shared" si="14"/>
        <v>5.666666667</v>
      </c>
      <c r="BX26" s="75">
        <f>IFERROR(__xludf.DUMMYFUNCTION("iferror(max(query(filter('Data Recording'!AJ:AJ,'Data Recording'!D:D=B26), ""Select Col1"")),""-"")"),19.0)</f>
        <v>19</v>
      </c>
      <c r="BY26" s="76">
        <f>IFERROR(__xludf.DUMMYFUNCTION("iferror(MIN(query(filter('Data Recording'!AJ:AJ,'Data Recording'!D:D=B26), ""Select Col1"")),""-"")"),8.0)</f>
        <v>8</v>
      </c>
      <c r="BZ26" s="77" t="str">
        <f>IFERROR(__xludf.DUMMYFUNCTION("iferror(if(DIVIDE(COUNTIF(query(filter('Data Recording'!R:R,'Data Recording'!D:D=B26), ""Select Col1""),""Yes, Docked"") + countif(query(filter('Data Recording'!R:R,'Data Recording'!D:D=B26), ""Select Col1""),""Yes, Engaged""),COUNTA(query(ifna(filter('Da"&amp;"ta Recording'!R:R,'Data Recording'!D:D=B26),""""), ""Select Col1"")))&gt;=(0.5),""1"",""0""),""-"")"),"0")</f>
        <v>0</v>
      </c>
      <c r="CA26" s="5" t="str">
        <f>IFERROR(__xludf.DUMMYFUNCTION("iferror(if(countif(query(filter('Data Recording'!R:R,'Data Recording'!D:D=B26), ""Select Col1""),""Yes, Engaged"")/COUNTA(query(ifna(filter('Data Recording'!R:R,'Data Recording'!D:D=B26),""""), ""Select Col1""))&gt;=(0.5),""1"",""0""),""-"")"),"0")</f>
        <v>0</v>
      </c>
      <c r="CB26" s="78" t="str">
        <f>IFERROR(__xludf.DUMMYFUNCTION("iferror(if(DIVIDE(COUNTIF(query(filter('Data Recording'!AE:AE,'Data Recording'!D:D=B26), ""Select Col1""),""Yes, Docked"") + countif(query(filter('Data Recording'!AE:AE,'Data Recording'!D:D=B26), ""Select Col1""),""Yes, Engaged""),COUNTA(query(ifna(filter"&amp;"('Data Recording'!AE:AE,'Data Recording'!D:D=B26),""""), ""Select Col1"")))&gt;=(0.5),""1"",""0""),""-"")"),"1")</f>
        <v>1</v>
      </c>
      <c r="CC26" s="5" t="str">
        <f>IFERROR(__xludf.DUMMYFUNCTION("iferror(if(countif(query(filter('Data Recording'!AE:AE,'Data Recording'!D:D=B26), ""Select Col1""),""Yes, Engaged"")/COUNTA(query(ifna(filter('Data Recording'!AE:AE,'Data Recording'!D:D=B26),""""), ""Select Col1""))&gt;=(0.5),""1"",""0""),""-"")"),"1")</f>
        <v>1</v>
      </c>
      <c r="CD26" s="78" t="str">
        <f>IFERROR(__xludf.DUMMYFUNCTION("iferror(if(DIVIDE(countif(query(filter('Data Recording'!E:E,'Data Recording'!D:D=B26), ""Select Col1""),""Yes""),COUNTA(query(ifna(filter('Data Recording'!E:E,'Data Recording'!D:D=B26),""""), ""Select Col1"")))&gt;=(0.5),""1"",""0""),""-"")"),"1")</f>
        <v>1</v>
      </c>
    </row>
    <row r="27">
      <c r="A27" s="2" t="s">
        <v>136</v>
      </c>
      <c r="B27" s="2">
        <v>9210.0</v>
      </c>
      <c r="C27" s="57" t="str">
        <f>IFERROR(__xludf.DUMMYFUNCTION("if(countif(query(filter('Data Recording'!E:E,'Data Recording'!D:D=B27), ""Select Col1""),""Yes"")=0,""0"",countif(query(filter('Data Recording'!E:E,'Data Recording'!D:D=B27), ""Select Col1""),""Yes"")) &amp; ""/"" &amp; if(COUNTA(query(ifna(filter('Data Recording"&amp;"'!E:E,'Data Recording'!D:D=B27),""""), ""Select Col1""))=0,""0"",COUNTA(query(ifna(filter('Data Recording'!E:E,'Data Recording'!D:D=B27),""""), ""Select Col1"")))"),"4/4")</f>
        <v>4/4</v>
      </c>
      <c r="D27" s="58">
        <f>IFERROR(__xludf.DUMMYFUNCTION("iferror(SUM(query(filter('Data Recording'!F:F,'Data Recording'!D:D=B27), ""Select Col1"")),""-"")"),0.0)</f>
        <v>0</v>
      </c>
      <c r="E27" s="58">
        <f>IFERROR(__xludf.DUMMYFUNCTION("iferror(SUM(query(filter('Data Recording'!G:G,'Data Recording'!D:D=B27), ""Select Col1"")),""-"")"),0.0)</f>
        <v>0</v>
      </c>
      <c r="F27" s="59" t="str">
        <f t="shared" si="1"/>
        <v>-</v>
      </c>
      <c r="G27" s="60" t="str">
        <f>IFERROR(__xludf.DUMMYFUNCTION("iferror(AVERAGE(query(filter('Data Recording'!G:G,'Data Recording'!D:D=B27), ""Select Col1"")),""0.00"")"),"0.00")</f>
        <v>0.00</v>
      </c>
      <c r="H27" s="58">
        <f>IFERROR(__xludf.DUMMYFUNCTION("iferror(MAX(query(filter('Data Recording'!G:G,'Data Recording'!D:D=B27), ""Select Col1"")),""-"")"),0.0)</f>
        <v>0</v>
      </c>
      <c r="I27" s="61">
        <f>IFERROR(__xludf.DUMMYFUNCTION("iferror(SUM(query(filter('Data Recording'!H:H,'Data Recording'!D:D=B27), ""Select Col1"")),""-"")"),0.0)</f>
        <v>0</v>
      </c>
      <c r="J27" s="62">
        <f>IFERROR(__xludf.DUMMYFUNCTION("iferror(SUM(query(filter('Data Recording'!I:I,'Data Recording'!D:D=B27), ""Select Col1"")),""-"")"),0.0)</f>
        <v>0</v>
      </c>
      <c r="K27" s="59" t="str">
        <f t="shared" si="2"/>
        <v>-</v>
      </c>
      <c r="L27" s="60" t="str">
        <f>IFERROR(__xludf.DUMMYFUNCTION("iferror(AVERAGE(query(filter('Data Recording'!I:I,'Data Recording'!D:D=B27), ""Select Col1"")),""0.00"")"),"0.00")</f>
        <v>0.00</v>
      </c>
      <c r="M27" s="58">
        <f>IFERROR(__xludf.DUMMYFUNCTION("iferror(MAX(query(filter('Data Recording'!I:I,'Data Recording'!D:D=B27), ""Select Col1"")),""-"")"),0.0)</f>
        <v>0</v>
      </c>
      <c r="N27" s="63">
        <f>IFERROR(__xludf.DUMMYFUNCTION("iferror(SUM(query(filter('Data Recording'!J:J,'Data Recording'!D:D=B27), ""Select Col1"")),""-"")"),0.0)</f>
        <v>0</v>
      </c>
      <c r="O27" s="5">
        <f>IFERROR(__xludf.DUMMYFUNCTION("iferror(SUM(query(filter('Data Recording'!K:K,'Data Recording'!D:D=B27), ""Select Col1"")),""-"")"),0.0)</f>
        <v>0</v>
      </c>
      <c r="P27" s="59" t="str">
        <f t="shared" si="3"/>
        <v>-</v>
      </c>
      <c r="Q27" s="60" t="str">
        <f>IFERROR(__xludf.DUMMYFUNCTION("iferror(AVERAGE(query(filter('Data Recording'!K:K,'Data Recording'!D:D=B27), ""Select Col1"")),""0.00"")"),"0.00")</f>
        <v>0.00</v>
      </c>
      <c r="R27" s="58">
        <f>IFERROR(__xludf.DUMMYFUNCTION("iferror(MAX(query(filter('Data Recording'!K:K,'Data Recording'!D:D=B27), ""Select Col1"")),""-"")"),0.0)</f>
        <v>0</v>
      </c>
      <c r="S27" s="63">
        <f>IFERROR(__xludf.DUMMYFUNCTION("iferror(SUM(query(filter('Data Recording'!L:L,'Data Recording'!D:D=B27), ""Select Col1"")),""-"")"),0.0)</f>
        <v>0</v>
      </c>
      <c r="T27" s="5">
        <f>IFERROR(__xludf.DUMMYFUNCTION("iferror(SUM(query(filter('Data Recording'!M:M,'Data Recording'!D:D=B27), ""Select Col1"")),""-"")"),0.0)</f>
        <v>0</v>
      </c>
      <c r="U27" s="59" t="str">
        <f t="shared" si="4"/>
        <v>-</v>
      </c>
      <c r="V27" s="60" t="str">
        <f>IFERROR(__xludf.DUMMYFUNCTION("iferror(AVERAGE(query(filter('Data Recording'!M:M,'Data Recording'!D:D=B27), ""Select Col1"")),""-"")"),"-")</f>
        <v>-</v>
      </c>
      <c r="W27" s="57">
        <f>IFERROR(__xludf.DUMMYFUNCTION("iferror(MAX(query(filter('Data Recording'!M:M,'Data Recording'!D:D=B27), ""Select Col1"")),""-"")"),0.0)</f>
        <v>0</v>
      </c>
      <c r="X27" s="5">
        <f>IFERROR(__xludf.DUMMYFUNCTION("iferror(SUM(query(filter('Data Recording'!N:N,'Data Recording'!D:D=B27), ""Select Col1"")),""-"")"),0.0)</f>
        <v>0</v>
      </c>
      <c r="Y27" s="5">
        <f>IFERROR(__xludf.DUMMYFUNCTION("iferror(SUM(query(filter('Data Recording'!O:O,'Data Recording'!D:D=B27), ""Select Col1"")),""-"")"),0.0)</f>
        <v>0</v>
      </c>
      <c r="Z27" s="59" t="str">
        <f t="shared" si="5"/>
        <v>-</v>
      </c>
      <c r="AA27" s="60" t="str">
        <f>IFERROR(__xludf.DUMMYFUNCTION("iferror(AVERAGE(query(filter('Data Recording'!O:O,'Data Recording'!D:D=B27), ""Select Col1"")),""0.00"")"),"0.00")</f>
        <v>0.00</v>
      </c>
      <c r="AB27" s="57">
        <f>IFERROR(__xludf.DUMMYFUNCTION("iferror(MAX(query(filter('Data Recording'!O:O,'Data Recording'!D:D=B27), ""Select Col1"")),""-"")"),0.0)</f>
        <v>0</v>
      </c>
      <c r="AC27" s="5">
        <f>IFERROR(__xludf.DUMMYFUNCTION("iferror(SUM(query(filter('Data Recording'!P:P,'Data Recording'!D:D=B27), ""Select Col1"")),""-"")"),0.0)</f>
        <v>0</v>
      </c>
      <c r="AD27" s="5">
        <f>IFERROR(__xludf.DUMMYFUNCTION("iferror(SUM(query(filter('Data Recording'!Q:Q,'Data Recording'!D:D=B27), ""Select Col1"")),""-"")"),0.0)</f>
        <v>0</v>
      </c>
      <c r="AE27" s="59" t="str">
        <f t="shared" si="6"/>
        <v>-</v>
      </c>
      <c r="AF27" s="60" t="str">
        <f>IFERROR(__xludf.DUMMYFUNCTION("iferror(AVERAGE(query(filter('Data Recording'!Q:Q,'Data Recording'!D:D=B27), ""Select Col1"")),""0.00"")"),"0.00")</f>
        <v>0.00</v>
      </c>
      <c r="AG27" s="5">
        <f>IFERROR(__xludf.DUMMYFUNCTION("iferror(MAX(query(filter('Data Recording'!Q:Q,'Data Recording'!D:D=B27), ""Select Col1"")),""-"")"),0.0)</f>
        <v>0</v>
      </c>
      <c r="AH27" s="63" t="str">
        <f>IFERROR(__xludf.DUMMYFUNCTION("if(countif(query(filter('Data Recording'!R:R,'Data Recording'!D:D=B27), ""Select Col1""),""Yes, Engaged"")+countif(query(filter('Data Recording'!R:R,'Data Recording'!D:D=B27), ""Select Col1""),""Yes, Docked"")=0,""0"",countif(query(filter('Data Recording'"&amp;"!R:R,'Data Recording'!D:D=B27), ""Select Col1""),""Yes, Engaged""))+countif(query(filter('Data Recording'!R:R,'Data Recording'!D:D=B27), ""Select Col1""),""Yes, Docked"") &amp; ""/"" &amp; if(COUNTA(query(ifna(filter('Data Recording'!R:R,'Data Recording'!D:D=B27)"&amp;",""""), ""Select Col1""))=0,""0"",COUNTA(query(ifna(filter('Data Recording'!R:R,'Data Recording'!D:D=B27),""""), ""Select Col1"")))"),"0/4")</f>
        <v>0/4</v>
      </c>
      <c r="AI27" s="64" t="str">
        <f>IFERROR(__xludf.DUMMYFUNCTION("if(countif(query(filter('Data Recording'!R:R,'Data Recording'!D:D=B27), ""Select Col1""),""Yes, Engaged"")=0,""0"",countif(query(filter('Data Recording'!R:R,'Data Recording'!D:D=B27), ""Select Col1""),""Yes, Engaged"")) &amp; ""/"" &amp; if(COUNTA(query(ifna(filt"&amp;"er('Data Recording'!R:R,'Data Recording'!D:D=B27),""""), ""Select Col1""))=0,""0"",COUNTA(query(ifna(filter('Data Recording'!R:R,'Data Recording'!D:D=B27),""""), ""Select Col1"")))"),"0/4")</f>
        <v>0/4</v>
      </c>
      <c r="AJ27" s="5">
        <f>IFERROR(__xludf.DUMMYFUNCTION("iferror(SUM(query(filter('Data Recording'!S:S,'Data Recording'!D:D=B27), ""Select Col1"")),""-"")"),0.0)</f>
        <v>0</v>
      </c>
      <c r="AK27" s="5">
        <f>IFERROR(__xludf.DUMMYFUNCTION("iferror(SUM(query(filter('Data Recording'!T:T,'Data Recording'!D:D=B27), ""Select Col1"")),""-"")"),0.0)</f>
        <v>0</v>
      </c>
      <c r="AL27" s="59" t="str">
        <f t="shared" si="7"/>
        <v>-</v>
      </c>
      <c r="AM27" s="60" t="str">
        <f>IFERROR(__xludf.DUMMYFUNCTION("iferror(AVERAGE(query(filter('Data Recording'!T:T,'Data Recording'!D:D=B27), ""Select Col1"")),""0.00"")"),"0.00")</f>
        <v>0.00</v>
      </c>
      <c r="AN27" s="65">
        <f>IFERROR(__xludf.DUMMYFUNCTION("iferror(MAX(query(filter('Data Recording'!T:T,'Data Recording'!D:D=B27), ""Select Col1"")),""-"")"),0.0)</f>
        <v>0</v>
      </c>
      <c r="AO27" s="66">
        <f>IFERROR(__xludf.DUMMYFUNCTION("iferror(SUM(query(filter('Data Recording'!U:U,'Data Recording'!D:D=B27), ""Select Col1"")),""-"")"),0.0)</f>
        <v>0</v>
      </c>
      <c r="AP27" s="66">
        <f>IFERROR(__xludf.DUMMYFUNCTION("iferror(SUM(query(filter('Data Recording'!V:V,'Data Recording'!D:D=B27), ""Select Col1"")),""-"")"),0.0)</f>
        <v>0</v>
      </c>
      <c r="AQ27" s="67" t="str">
        <f t="shared" si="8"/>
        <v>-</v>
      </c>
      <c r="AR27" s="68" t="str">
        <f>IFERROR(__xludf.DUMMYFUNCTION("iferror(AVERAGE(query(filter('Data Recording'!V:V,'Data Recording'!D:D=B27), ""Select Col1"")),""0.00"")"),"0.00")</f>
        <v>0.00</v>
      </c>
      <c r="AS27" s="69">
        <f>IFERROR(__xludf.DUMMYFUNCTION("iferror(MAX(query(filter('Data Recording'!V:V,'Data Recording'!D:D=B27), ""Select Col1"")),""-"")"),0.0)</f>
        <v>0</v>
      </c>
      <c r="AT27" s="66">
        <f>IFERROR(__xludf.DUMMYFUNCTION("iferror(SUM(query(filter('Data Recording'!W:W,'Data Recording'!D:D=B27), ""Select Col1"")),""-"")"),0.0)</f>
        <v>0</v>
      </c>
      <c r="AU27" s="66">
        <f>IFERROR(__xludf.DUMMYFUNCTION("iferror(SUM(query(filter('Data Recording'!X:X,'Data Recording'!D:D=B27), ""Select Col1"")),""-"")"),0.0)</f>
        <v>0</v>
      </c>
      <c r="AV27" s="67" t="str">
        <f t="shared" si="9"/>
        <v>-</v>
      </c>
      <c r="AW27" s="68" t="str">
        <f>IFERROR(__xludf.DUMMYFUNCTION("iferror(AVERAGE(query(filter('Data Recording'!X:X,'Data Recording'!D:D=B27), ""Select Col1"")),""0.00"")"),"0.00")</f>
        <v>0.00</v>
      </c>
      <c r="AX27" s="69">
        <f>IFERROR(__xludf.DUMMYFUNCTION("iferror(MAX(query(filter('Data Recording'!X:X,'Data Recording'!D:D=B27), ""Select Col1"")),""-"")"),0.0)</f>
        <v>0</v>
      </c>
      <c r="AY27" s="66">
        <f>IFERROR(__xludf.DUMMYFUNCTION("iferror(SUM(query(filter('Data Recording'!Y:Y,'Data Recording'!D:D=B27), ""Select Col1"")),""-"")"),0.0)</f>
        <v>0</v>
      </c>
      <c r="AZ27" s="66">
        <f>IFERROR(__xludf.DUMMYFUNCTION("iferror(SUM(query(filter('Data Recording'!Z:Z,'Data Recording'!D:D=B27), ""Select Col1"")),""-"")"),0.0)</f>
        <v>0</v>
      </c>
      <c r="BA27" s="67" t="str">
        <f t="shared" si="10"/>
        <v>-</v>
      </c>
      <c r="BB27" s="68" t="str">
        <f>IFERROR(__xludf.DUMMYFUNCTION("iferror(AVERAGE(query(filter('Data Recording'!Z:Z,'Data Recording'!D:D=B27), ""Select Col1"")),""0.00"")"),"0.00")</f>
        <v>0.00</v>
      </c>
      <c r="BC27" s="69">
        <f>IFERROR(__xludf.DUMMYFUNCTION("iferror(MAX(query(filter('Data Recording'!Z:Z,'Data Recording'!D:D=B27), ""Select Col1"")),""-"")"),0.0)</f>
        <v>0</v>
      </c>
      <c r="BD27" s="66">
        <f>IFERROR(__xludf.DUMMYFUNCTION("iferror(SUM(query(filter('Data Recording'!AA:AA,'Data Recording'!D:D=B27), ""Select Col1"")),""-"")"),0.0)</f>
        <v>0</v>
      </c>
      <c r="BE27" s="66">
        <f>IFERROR(__xludf.DUMMYFUNCTION("iferror(SUM(query(filter('Data Recording'!AB:AB,'Data Recording'!D:D=B27), ""Select Col1"")),""-"")"),0.0)</f>
        <v>0</v>
      </c>
      <c r="BF27" s="67" t="str">
        <f t="shared" si="11"/>
        <v>-</v>
      </c>
      <c r="BG27" s="68" t="str">
        <f>IFERROR(__xludf.DUMMYFUNCTION("iferror(AVERAGE(query(filter('Data Recording'!AB:AB,'Data Recording'!D:D=B27), ""Select Col1"")),""0.00"")"),"0.00")</f>
        <v>0.00</v>
      </c>
      <c r="BH27" s="69">
        <f>IFERROR(__xludf.DUMMYFUNCTION("iferror(MAX(query(filter('Data Recording'!AB:AB,'Data Recording'!D:D=B27), ""Select Col1"")),""-"")"),0.0)</f>
        <v>0</v>
      </c>
      <c r="BI27" s="66">
        <f>IFERROR(__xludf.DUMMYFUNCTION("iferror(SUM(query(filter('Data Recording'!AC:AC,'Data Recording'!D:D=B27), ""Select Col1"")),""-"")"),5.0)</f>
        <v>5</v>
      </c>
      <c r="BJ27" s="80">
        <v>5.0</v>
      </c>
      <c r="BK27" s="67">
        <f t="shared" si="12"/>
        <v>1</v>
      </c>
      <c r="BL27" s="68">
        <f>IFERROR(__xludf.DUMMYFUNCTION("iferror(AVERAGE(query(filter('Data Recording'!AD:AD,'Data Recording'!D:D=B27), ""Select Col1"")),""0.00"")"),1.0)</f>
        <v>1</v>
      </c>
      <c r="BM27" s="69">
        <f>IFERROR(__xludf.DUMMYFUNCTION("iferror(MAX(query(filter('Data Recording'!AD:AD,'Data Recording'!D:D=B27), ""Select Col1"")),""-"")"),2.0)</f>
        <v>2</v>
      </c>
      <c r="BN27" s="70" t="str">
        <f>IFERROR(__xludf.DUMMYFUNCTION("if(countif(query(filter('Data Recording'!AE:AE,'Data Recording'!D:D=B27), ""Select Col1""),""Yes, Engaged"")+countif(query(filter('Data Recording'!AE:AE,'Data Recording'!D:D=B27), ""Select Col1""),""Yes, Docked"")=0,""0"",countif(query(filter('Data Record"&amp;"ing'!AE:AE,'Data Recording'!D:D=B27), ""Select Col1""),""Yes, Engaged""))+countif(query(filter('Data Recording'!AE:AE,'Data Recording'!D:D=B27), ""Select Col1""),""Yes, Docked"") &amp; ""/"" &amp; if(COUNTA(query(ifna(filter('Data Recording'!AE:AE,'Data Recording"&amp;"'!D:D=B27),""""), ""Select Col1""))=0,""0"",COUNTA(query(ifna(filter('Data Recording'!AE:AE,'Data Recording'!D:D=B27),""""), ""Select Col1"")))"),"4/4")</f>
        <v>4/4</v>
      </c>
      <c r="BO27" s="71" t="str">
        <f>IFERROR(__xludf.DUMMYFUNCTION("if(countif(query(filter('Data Recording'!AE:AE,'Data Recording'!D:D=B27), ""Select Col1""),""Yes, Engaged"")=0,""0"",countif(query(filter('Data Recording'!AE:AE,'Data Recording'!D:D=B27), ""Select Col1""),""Yes, Engaged"")) &amp; ""/"" &amp; if(COUNTA(query(ifna("&amp;"filter('Data Recording'!AE:AE,'Data Recording'!D:D=B27),""""), ""Select Col1""))=0,""0"",COUNTA(query(ifna(filter('Data Recording'!AE:AE,'Data Recording'!D:D=B27),""""), ""Select Col1"")))"),"4/4")</f>
        <v>4/4</v>
      </c>
      <c r="BP27" s="64" t="str">
        <f>IFERROR(__xludf.DUMMYFUNCTION("if(countif(query(filter('Data Recording'!AH:AH,'Data Recording'!D:D=B27), ""Select Col1""),""Yes"")=0,""0"",countif(query(filter('Data Recording'!AH:AH,'Data Recording'!D:D=B27), ""Select Col1""),""Yes"")) &amp; ""/"" &amp; if(COUNTA(query(ifna(filter('Data Recor"&amp;"ding'!AH:AH,'Data Recording'!D:D=B27),""""), ""Select Col1""))=0,""0"",COUNTA(query(ifna(filter('Data Recording'!AH:AH,'Data Recording'!D:D=B27),""""), ""Select Col1"")))"),"0/4")</f>
        <v>0/4</v>
      </c>
      <c r="BQ27" s="72">
        <v>0.0</v>
      </c>
      <c r="BR27" s="60">
        <f>IFERROR(__xludf.DUMMYFUNCTION("iferror(average(query(filter('Data Recording'!AF:AF,'Data Recording'!D:D=B27), ""Select Col1"")),""-"")"),1.75)</f>
        <v>1.75</v>
      </c>
      <c r="BS27" s="73">
        <f>IFERROR(__xludf.DUMMYFUNCTION("iferror(average(query(filter('Data Recording'!AG:AG,'Data Recording'!D:D=B27), ""Select Col1"")),""-"")"),0.75)</f>
        <v>0.75</v>
      </c>
      <c r="BT27" s="74">
        <f t="shared" si="13"/>
        <v>15</v>
      </c>
      <c r="BU27" s="74">
        <f>IFERROR(__xludf.DUMMYFUNCTION("iferror(AVERAGE(query(filter('Data Recording'!AJ:AJ,'Data Recording'!D:D=B27), ""Select Col1"")),""-"")"),15.0)</f>
        <v>15</v>
      </c>
      <c r="BV27" s="74">
        <f>IFERROR(__xludf.DUMMYFUNCTION("iferror(AVERAGE(query(filter('Data Recording'!AK:AK,'Data Recording'!D:D=B27), ""Select Col1"")),""-"")"),2.0)</f>
        <v>2</v>
      </c>
      <c r="BW27" s="74">
        <f t="shared" si="14"/>
        <v>2</v>
      </c>
      <c r="BX27" s="75">
        <f>IFERROR(__xludf.DUMMYFUNCTION("iferror(max(query(filter('Data Recording'!AJ:AJ,'Data Recording'!D:D=B27), ""Select Col1"")),""-"")"),17.0)</f>
        <v>17</v>
      </c>
      <c r="BY27" s="76">
        <f>IFERROR(__xludf.DUMMYFUNCTION("iferror(MIN(query(filter('Data Recording'!AJ:AJ,'Data Recording'!D:D=B27), ""Select Col1"")),""-"")"),13.0)</f>
        <v>13</v>
      </c>
      <c r="BZ27" s="77" t="str">
        <f>IFERROR(__xludf.DUMMYFUNCTION("iferror(if(DIVIDE(COUNTIF(query(filter('Data Recording'!R:R,'Data Recording'!D:D=B27), ""Select Col1""),""Yes, Docked"") + countif(query(filter('Data Recording'!R:R,'Data Recording'!D:D=B27), ""Select Col1""),""Yes, Engaged""),COUNTA(query(ifna(filter('Da"&amp;"ta Recording'!R:R,'Data Recording'!D:D=B27),""""), ""Select Col1"")))&gt;=(0.5),""1"",""0""),""-"")"),"0")</f>
        <v>0</v>
      </c>
      <c r="CA27" s="5" t="str">
        <f>IFERROR(__xludf.DUMMYFUNCTION("iferror(if(countif(query(filter('Data Recording'!R:R,'Data Recording'!D:D=B27), ""Select Col1""),""Yes, Engaged"")/COUNTA(query(ifna(filter('Data Recording'!R:R,'Data Recording'!D:D=B27),""""), ""Select Col1""))&gt;=(0.5),""1"",""0""),""-"")"),"0")</f>
        <v>0</v>
      </c>
      <c r="CB27" s="78" t="str">
        <f>IFERROR(__xludf.DUMMYFUNCTION("iferror(if(DIVIDE(COUNTIF(query(filter('Data Recording'!AE:AE,'Data Recording'!D:D=B27), ""Select Col1""),""Yes, Docked"") + countif(query(filter('Data Recording'!AE:AE,'Data Recording'!D:D=B27), ""Select Col1""),""Yes, Engaged""),COUNTA(query(ifna(filter"&amp;"('Data Recording'!AE:AE,'Data Recording'!D:D=B27),""""), ""Select Col1"")))&gt;=(0.5),""1"",""0""),""-"")"),"1")</f>
        <v>1</v>
      </c>
      <c r="CC27" s="5" t="str">
        <f>IFERROR(__xludf.DUMMYFUNCTION("iferror(if(countif(query(filter('Data Recording'!AE:AE,'Data Recording'!D:D=B27), ""Select Col1""),""Yes, Engaged"")/COUNTA(query(ifna(filter('Data Recording'!AE:AE,'Data Recording'!D:D=B27),""""), ""Select Col1""))&gt;=(0.5),""1"",""0""),""-"")"),"1")</f>
        <v>1</v>
      </c>
      <c r="CD27" s="78" t="str">
        <f>IFERROR(__xludf.DUMMYFUNCTION("iferror(if(DIVIDE(countif(query(filter('Data Recording'!E:E,'Data Recording'!D:D=B27), ""Select Col1""),""Yes""),COUNTA(query(ifna(filter('Data Recording'!E:E,'Data Recording'!D:D=B27),""""), ""Select Col1"")))&gt;=(0.5),""1"",""0""),""-"")"),"1")</f>
        <v>1</v>
      </c>
    </row>
    <row r="28">
      <c r="A28" s="2" t="s">
        <v>137</v>
      </c>
      <c r="B28" s="2">
        <v>7598.0</v>
      </c>
      <c r="C28" s="57" t="str">
        <f>IFERROR(__xludf.DUMMYFUNCTION("if(countif(query(filter('Data Recording'!E:E,'Data Recording'!D:D=B28), ""Select Col1""),""Yes"")=0,""0"",countif(query(filter('Data Recording'!E:E,'Data Recording'!D:D=B28), ""Select Col1""),""Yes"")) &amp; ""/"" &amp; if(COUNTA(query(ifna(filter('Data Recording"&amp;"'!E:E,'Data Recording'!D:D=B28),""""), ""Select Col1""))=0,""0"",COUNTA(query(ifna(filter('Data Recording'!E:E,'Data Recording'!D:D=B28),""""), ""Select Col1"")))"),"9/9")</f>
        <v>9/9</v>
      </c>
      <c r="D28" s="58">
        <f>IFERROR(__xludf.DUMMYFUNCTION("iferror(SUM(query(filter('Data Recording'!F:F,'Data Recording'!D:D=B28), ""Select Col1"")),""-"")"),0.0)</f>
        <v>0</v>
      </c>
      <c r="E28" s="58">
        <f>IFERROR(__xludf.DUMMYFUNCTION("iferror(SUM(query(filter('Data Recording'!G:G,'Data Recording'!D:D=B28), ""Select Col1"")),""-"")"),0.0)</f>
        <v>0</v>
      </c>
      <c r="F28" s="59" t="str">
        <f t="shared" si="1"/>
        <v>-</v>
      </c>
      <c r="G28" s="60">
        <f>IFERROR(__xludf.DUMMYFUNCTION("iferror(AVERAGE(query(filter('Data Recording'!G:G,'Data Recording'!D:D=B28), ""Select Col1"")),""0.00"")"),0.0)</f>
        <v>0</v>
      </c>
      <c r="H28" s="58">
        <f>IFERROR(__xludf.DUMMYFUNCTION("iferror(MAX(query(filter('Data Recording'!G:G,'Data Recording'!D:D=B28), ""Select Col1"")),""-"")"),0.0)</f>
        <v>0</v>
      </c>
      <c r="I28" s="61">
        <f>IFERROR(__xludf.DUMMYFUNCTION("iferror(SUM(query(filter('Data Recording'!H:H,'Data Recording'!D:D=B28), ""Select Col1"")),""-"")"),0.0)</f>
        <v>0</v>
      </c>
      <c r="J28" s="62">
        <f>IFERROR(__xludf.DUMMYFUNCTION("iferror(SUM(query(filter('Data Recording'!I:I,'Data Recording'!D:D=B28), ""Select Col1"")),""-"")"),0.0)</f>
        <v>0</v>
      </c>
      <c r="K28" s="59" t="str">
        <f t="shared" si="2"/>
        <v>-</v>
      </c>
      <c r="L28" s="60" t="str">
        <f>IFERROR(__xludf.DUMMYFUNCTION("iferror(AVERAGE(query(filter('Data Recording'!I:I,'Data Recording'!D:D=B28), ""Select Col1"")),""0.00"")"),"0.00")</f>
        <v>0.00</v>
      </c>
      <c r="M28" s="58">
        <f>IFERROR(__xludf.DUMMYFUNCTION("iferror(MAX(query(filter('Data Recording'!I:I,'Data Recording'!D:D=B28), ""Select Col1"")),""-"")"),0.0)</f>
        <v>0</v>
      </c>
      <c r="N28" s="63">
        <f>IFERROR(__xludf.DUMMYFUNCTION("iferror(SUM(query(filter('Data Recording'!J:J,'Data Recording'!D:D=B28), ""Select Col1"")),""-"")"),0.0)</f>
        <v>0</v>
      </c>
      <c r="O28" s="5">
        <f>IFERROR(__xludf.DUMMYFUNCTION("iferror(SUM(query(filter('Data Recording'!K:K,'Data Recording'!D:D=B28), ""Select Col1"")),""-"")"),0.0)</f>
        <v>0</v>
      </c>
      <c r="P28" s="59" t="str">
        <f t="shared" si="3"/>
        <v>-</v>
      </c>
      <c r="Q28" s="60" t="str">
        <f>IFERROR(__xludf.DUMMYFUNCTION("iferror(AVERAGE(query(filter('Data Recording'!K:K,'Data Recording'!D:D=B28), ""Select Col1"")),""0.00"")"),"0.00")</f>
        <v>0.00</v>
      </c>
      <c r="R28" s="58">
        <f>IFERROR(__xludf.DUMMYFUNCTION("iferror(MAX(query(filter('Data Recording'!K:K,'Data Recording'!D:D=B28), ""Select Col1"")),""-"")"),0.0)</f>
        <v>0</v>
      </c>
      <c r="S28" s="63">
        <f>IFERROR(__xludf.DUMMYFUNCTION("iferror(SUM(query(filter('Data Recording'!L:L,'Data Recording'!D:D=B28), ""Select Col1"")),""-"")"),0.0)</f>
        <v>0</v>
      </c>
      <c r="T28" s="5">
        <f>IFERROR(__xludf.DUMMYFUNCTION("iferror(SUM(query(filter('Data Recording'!M:M,'Data Recording'!D:D=B28), ""Select Col1"")),""-"")"),0.0)</f>
        <v>0</v>
      </c>
      <c r="U28" s="59" t="str">
        <f t="shared" si="4"/>
        <v>-</v>
      </c>
      <c r="V28" s="60" t="str">
        <f>IFERROR(__xludf.DUMMYFUNCTION("iferror(AVERAGE(query(filter('Data Recording'!M:M,'Data Recording'!D:D=B28), ""Select Col1"")),""-"")"),"-")</f>
        <v>-</v>
      </c>
      <c r="W28" s="57">
        <f>IFERROR(__xludf.DUMMYFUNCTION("iferror(MAX(query(filter('Data Recording'!M:M,'Data Recording'!D:D=B28), ""Select Col1"")),""-"")"),0.0)</f>
        <v>0</v>
      </c>
      <c r="X28" s="5">
        <f>IFERROR(__xludf.DUMMYFUNCTION("iferror(SUM(query(filter('Data Recording'!N:N,'Data Recording'!D:D=B28), ""Select Col1"")),""-"")"),0.0)</f>
        <v>0</v>
      </c>
      <c r="Y28" s="5">
        <f>IFERROR(__xludf.DUMMYFUNCTION("iferror(SUM(query(filter('Data Recording'!O:O,'Data Recording'!D:D=B28), ""Select Col1"")),""-"")"),0.0)</f>
        <v>0</v>
      </c>
      <c r="Z28" s="59" t="str">
        <f t="shared" si="5"/>
        <v>-</v>
      </c>
      <c r="AA28" s="60" t="str">
        <f>IFERROR(__xludf.DUMMYFUNCTION("iferror(AVERAGE(query(filter('Data Recording'!O:O,'Data Recording'!D:D=B28), ""Select Col1"")),""0.00"")"),"0.00")</f>
        <v>0.00</v>
      </c>
      <c r="AB28" s="57">
        <f>IFERROR(__xludf.DUMMYFUNCTION("iferror(MAX(query(filter('Data Recording'!O:O,'Data Recording'!D:D=B28), ""Select Col1"")),""-"")"),0.0)</f>
        <v>0</v>
      </c>
      <c r="AC28" s="5">
        <f>IFERROR(__xludf.DUMMYFUNCTION("iferror(SUM(query(filter('Data Recording'!P:P,'Data Recording'!D:D=B28), ""Select Col1"")),""-"")"),0.0)</f>
        <v>0</v>
      </c>
      <c r="AD28" s="5">
        <f>IFERROR(__xludf.DUMMYFUNCTION("iferror(SUM(query(filter('Data Recording'!Q:Q,'Data Recording'!D:D=B28), ""Select Col1"")),""-"")"),0.0)</f>
        <v>0</v>
      </c>
      <c r="AE28" s="59" t="str">
        <f t="shared" si="6"/>
        <v>-</v>
      </c>
      <c r="AF28" s="60" t="str">
        <f>IFERROR(__xludf.DUMMYFUNCTION("iferror(AVERAGE(query(filter('Data Recording'!Q:Q,'Data Recording'!D:D=B28), ""Select Col1"")),""0.00"")"),"0.00")</f>
        <v>0.00</v>
      </c>
      <c r="AG28" s="5">
        <f>IFERROR(__xludf.DUMMYFUNCTION("iferror(MAX(query(filter('Data Recording'!Q:Q,'Data Recording'!D:D=B28), ""Select Col1"")),""-"")"),0.0)</f>
        <v>0</v>
      </c>
      <c r="AH28" s="63" t="str">
        <f>IFERROR(__xludf.DUMMYFUNCTION("if(countif(query(filter('Data Recording'!R:R,'Data Recording'!D:D=B28), ""Select Col1""),""Yes, Engaged"")+countif(query(filter('Data Recording'!R:R,'Data Recording'!D:D=B28), ""Select Col1""),""Yes, Docked"")=0,""0"",countif(query(filter('Data Recording'"&amp;"!R:R,'Data Recording'!D:D=B28), ""Select Col1""),""Yes, Engaged""))+countif(query(filter('Data Recording'!R:R,'Data Recording'!D:D=B28), ""Select Col1""),""Yes, Docked"") &amp; ""/"" &amp; if(COUNTA(query(ifna(filter('Data Recording'!R:R,'Data Recording'!D:D=B28)"&amp;",""""), ""Select Col1""))=0,""0"",COUNTA(query(ifna(filter('Data Recording'!R:R,'Data Recording'!D:D=B28),""""), ""Select Col1"")))"),"0/9")</f>
        <v>0/9</v>
      </c>
      <c r="AI28" s="64" t="str">
        <f>IFERROR(__xludf.DUMMYFUNCTION("if(countif(query(filter('Data Recording'!R:R,'Data Recording'!D:D=B28), ""Select Col1""),""Yes, Engaged"")=0,""0"",countif(query(filter('Data Recording'!R:R,'Data Recording'!D:D=B28), ""Select Col1""),""Yes, Engaged"")) &amp; ""/"" &amp; if(COUNTA(query(ifna(filt"&amp;"er('Data Recording'!R:R,'Data Recording'!D:D=B28),""""), ""Select Col1""))=0,""0"",COUNTA(query(ifna(filter('Data Recording'!R:R,'Data Recording'!D:D=B28),""""), ""Select Col1"")))"),"0/9")</f>
        <v>0/9</v>
      </c>
      <c r="AJ28" s="5">
        <f>IFERROR(__xludf.DUMMYFUNCTION("iferror(SUM(query(filter('Data Recording'!S:S,'Data Recording'!D:D=B28), ""Select Col1"")),""-"")"),0.0)</f>
        <v>0</v>
      </c>
      <c r="AK28" s="5">
        <f>IFERROR(__xludf.DUMMYFUNCTION("iferror(SUM(query(filter('Data Recording'!T:T,'Data Recording'!D:D=B28), ""Select Col1"")),""-"")"),0.0)</f>
        <v>0</v>
      </c>
      <c r="AL28" s="59" t="str">
        <f t="shared" si="7"/>
        <v>-</v>
      </c>
      <c r="AM28" s="60">
        <f>IFERROR(__xludf.DUMMYFUNCTION("iferror(AVERAGE(query(filter('Data Recording'!T:T,'Data Recording'!D:D=B28), ""Select Col1"")),""0.00"")"),0.0)</f>
        <v>0</v>
      </c>
      <c r="AN28" s="65">
        <f>IFERROR(__xludf.DUMMYFUNCTION("iferror(MAX(query(filter('Data Recording'!T:T,'Data Recording'!D:D=B28), ""Select Col1"")),""-"")"),0.0)</f>
        <v>0</v>
      </c>
      <c r="AO28" s="66">
        <f>IFERROR(__xludf.DUMMYFUNCTION("iferror(SUM(query(filter('Data Recording'!U:U,'Data Recording'!D:D=B28), ""Select Col1"")),""-"")"),0.0)</f>
        <v>0</v>
      </c>
      <c r="AP28" s="66">
        <f>IFERROR(__xludf.DUMMYFUNCTION("iferror(SUM(query(filter('Data Recording'!V:V,'Data Recording'!D:D=B28), ""Select Col1"")),""-"")"),0.0)</f>
        <v>0</v>
      </c>
      <c r="AQ28" s="67" t="str">
        <f t="shared" si="8"/>
        <v>-</v>
      </c>
      <c r="AR28" s="68">
        <f>IFERROR(__xludf.DUMMYFUNCTION("iferror(AVERAGE(query(filter('Data Recording'!V:V,'Data Recording'!D:D=B28), ""Select Col1"")),""0.00"")"),0.0)</f>
        <v>0</v>
      </c>
      <c r="AS28" s="69">
        <f>IFERROR(__xludf.DUMMYFUNCTION("iferror(MAX(query(filter('Data Recording'!V:V,'Data Recording'!D:D=B28), ""Select Col1"")),""-"")"),0.0)</f>
        <v>0</v>
      </c>
      <c r="AT28" s="66">
        <f>IFERROR(__xludf.DUMMYFUNCTION("iferror(SUM(query(filter('Data Recording'!W:W,'Data Recording'!D:D=B28), ""Select Col1"")),""-"")"),1.0)</f>
        <v>1</v>
      </c>
      <c r="AU28" s="66">
        <f>IFERROR(__xludf.DUMMYFUNCTION("iferror(SUM(query(filter('Data Recording'!X:X,'Data Recording'!D:D=B28), ""Select Col1"")),""-"")"),0.0)</f>
        <v>0</v>
      </c>
      <c r="AV28" s="67">
        <f t="shared" si="9"/>
        <v>0</v>
      </c>
      <c r="AW28" s="68">
        <f>IFERROR(__xludf.DUMMYFUNCTION("iferror(AVERAGE(query(filter('Data Recording'!X:X,'Data Recording'!D:D=B28), ""Select Col1"")),""0.00"")"),0.0)</f>
        <v>0</v>
      </c>
      <c r="AX28" s="69">
        <f>IFERROR(__xludf.DUMMYFUNCTION("iferror(MAX(query(filter('Data Recording'!X:X,'Data Recording'!D:D=B28), ""Select Col1"")),""-"")"),0.0)</f>
        <v>0</v>
      </c>
      <c r="AY28" s="66">
        <f>IFERROR(__xludf.DUMMYFUNCTION("iferror(SUM(query(filter('Data Recording'!Y:Y,'Data Recording'!D:D=B28), ""Select Col1"")),""-"")"),0.0)</f>
        <v>0</v>
      </c>
      <c r="AZ28" s="66">
        <f>IFERROR(__xludf.DUMMYFUNCTION("iferror(SUM(query(filter('Data Recording'!Z:Z,'Data Recording'!D:D=B28), ""Select Col1"")),""-"")"),0.0)</f>
        <v>0</v>
      </c>
      <c r="BA28" s="67" t="str">
        <f t="shared" si="10"/>
        <v>-</v>
      </c>
      <c r="BB28" s="68">
        <f>IFERROR(__xludf.DUMMYFUNCTION("iferror(AVERAGE(query(filter('Data Recording'!Z:Z,'Data Recording'!D:D=B28), ""Select Col1"")),""0.00"")"),0.0)</f>
        <v>0</v>
      </c>
      <c r="BC28" s="69">
        <f>IFERROR(__xludf.DUMMYFUNCTION("iferror(MAX(query(filter('Data Recording'!Z:Z,'Data Recording'!D:D=B28), ""Select Col1"")),""-"")"),0.0)</f>
        <v>0</v>
      </c>
      <c r="BD28" s="66">
        <f>IFERROR(__xludf.DUMMYFUNCTION("iferror(SUM(query(filter('Data Recording'!AA:AA,'Data Recording'!D:D=B28), ""Select Col1"")),""-"")"),0.0)</f>
        <v>0</v>
      </c>
      <c r="BE28" s="66">
        <f>IFERROR(__xludf.DUMMYFUNCTION("iferror(SUM(query(filter('Data Recording'!AB:AB,'Data Recording'!D:D=B28), ""Select Col1"")),""-"")"),0.0)</f>
        <v>0</v>
      </c>
      <c r="BF28" s="67" t="str">
        <f t="shared" si="11"/>
        <v>-</v>
      </c>
      <c r="BG28" s="68">
        <f>IFERROR(__xludf.DUMMYFUNCTION("iferror(AVERAGE(query(filter('Data Recording'!AB:AB,'Data Recording'!D:D=B28), ""Select Col1"")),""0.00"")"),0.0)</f>
        <v>0</v>
      </c>
      <c r="BH28" s="69">
        <f>IFERROR(__xludf.DUMMYFUNCTION("iferror(MAX(query(filter('Data Recording'!AB:AB,'Data Recording'!D:D=B28), ""Select Col1"")),""-"")"),0.0)</f>
        <v>0</v>
      </c>
      <c r="BI28" s="66">
        <f>IFERROR(__xludf.DUMMYFUNCTION("iferror(SUM(query(filter('Data Recording'!AC:AC,'Data Recording'!D:D=B28), ""Select Col1"")),""-"")"),5.0)</f>
        <v>5</v>
      </c>
      <c r="BJ28" s="66">
        <f>IFERROR(__xludf.DUMMYFUNCTION("iferror(SUM(query(filter('Data Recording'!AD:AD,'Data Recording'!D:D=B28), ""Select Col1"")),""-"")"),4.0)</f>
        <v>4</v>
      </c>
      <c r="BK28" s="67">
        <f t="shared" si="12"/>
        <v>0.8</v>
      </c>
      <c r="BL28" s="68">
        <f>IFERROR(__xludf.DUMMYFUNCTION("iferror(AVERAGE(query(filter('Data Recording'!AD:AD,'Data Recording'!D:D=B28), ""Select Col1"")),""0.00"")"),1.0)</f>
        <v>1</v>
      </c>
      <c r="BM28" s="69">
        <f>IFERROR(__xludf.DUMMYFUNCTION("iferror(MAX(query(filter('Data Recording'!AD:AD,'Data Recording'!D:D=B28), ""Select Col1"")),""-"")"),3.0)</f>
        <v>3</v>
      </c>
      <c r="BN28" s="70" t="str">
        <f>IFERROR(__xludf.DUMMYFUNCTION("if(countif(query(filter('Data Recording'!AE:AE,'Data Recording'!D:D=B28), ""Select Col1""),""Yes, Engaged"")+countif(query(filter('Data Recording'!AE:AE,'Data Recording'!D:D=B28), ""Select Col1""),""Yes, Docked"")=0,""0"",countif(query(filter('Data Record"&amp;"ing'!AE:AE,'Data Recording'!D:D=B28), ""Select Col1""),""Yes, Engaged""))+countif(query(filter('Data Recording'!AE:AE,'Data Recording'!D:D=B28), ""Select Col1""),""Yes, Docked"") &amp; ""/"" &amp; if(COUNTA(query(ifna(filter('Data Recording'!AE:AE,'Data Recording"&amp;"'!D:D=B28),""""), ""Select Col1""))=0,""0"",COUNTA(query(ifna(filter('Data Recording'!AE:AE,'Data Recording'!D:D=B28),""""), ""Select Col1"")))"),"9/9")</f>
        <v>9/9</v>
      </c>
      <c r="BO28" s="71" t="str">
        <f>IFERROR(__xludf.DUMMYFUNCTION("if(countif(query(filter('Data Recording'!AE:AE,'Data Recording'!D:D=B28), ""Select Col1""),""Yes, Engaged"")=0,""0"",countif(query(filter('Data Recording'!AE:AE,'Data Recording'!D:D=B28), ""Select Col1""),""Yes, Engaged"")) &amp; ""/"" &amp; if(COUNTA(query(ifna("&amp;"filter('Data Recording'!AE:AE,'Data Recording'!D:D=B28),""""), ""Select Col1""))=0,""0"",COUNTA(query(ifna(filter('Data Recording'!AE:AE,'Data Recording'!D:D=B28),""""), ""Select Col1"")))"),"9/9")</f>
        <v>9/9</v>
      </c>
      <c r="BP28" s="64" t="str">
        <f>IFERROR(__xludf.DUMMYFUNCTION("if(countif(query(filter('Data Recording'!AH:AH,'Data Recording'!D:D=B28), ""Select Col1""),""Yes"")=0,""0"",countif(query(filter('Data Recording'!AH:AH,'Data Recording'!D:D=B28), ""Select Col1""),""Yes"")) &amp; ""/"" &amp; if(COUNTA(query(ifna(filter('Data Recor"&amp;"ding'!AH:AH,'Data Recording'!D:D=B28),""""), ""Select Col1""))=0,""0"",COUNTA(query(ifna(filter('Data Recording'!AH:AH,'Data Recording'!D:D=B28),""""), ""Select Col1"")))"),"0/9")</f>
        <v>0/9</v>
      </c>
      <c r="BQ28" s="72">
        <v>0.0</v>
      </c>
      <c r="BR28" s="60">
        <f>IFERROR(__xludf.DUMMYFUNCTION("iferror(average(query(filter('Data Recording'!AF:AF,'Data Recording'!D:D=B28), ""Select Col1"")),""-"")"),0.4444444444444444)</f>
        <v>0.4444444444</v>
      </c>
      <c r="BS28" s="73">
        <f>IFERROR(__xludf.DUMMYFUNCTION("iferror(average(query(filter('Data Recording'!AG:AG,'Data Recording'!D:D=B28), ""Select Col1"")),""-"")"),0.6666666666666666)</f>
        <v>0.6666666667</v>
      </c>
      <c r="BT28" s="74">
        <f t="shared" si="13"/>
        <v>15</v>
      </c>
      <c r="BU28" s="74">
        <f>IFERROR(__xludf.DUMMYFUNCTION("iferror(AVERAGE(query(filter('Data Recording'!AJ:AJ,'Data Recording'!D:D=B28), ""Select Col1"")),""-"")"),13.88888888888889)</f>
        <v>13.88888889</v>
      </c>
      <c r="BV28" s="74">
        <f>IFERROR(__xludf.DUMMYFUNCTION("iferror(AVERAGE(query(filter('Data Recording'!AK:AK,'Data Recording'!D:D=B28), ""Select Col1"")),""-"")"),0.8888888888888888)</f>
        <v>0.8888888889</v>
      </c>
      <c r="BW28" s="74">
        <f t="shared" si="14"/>
        <v>2</v>
      </c>
      <c r="BX28" s="75">
        <f>IFERROR(__xludf.DUMMYFUNCTION("iferror(max(query(filter('Data Recording'!AJ:AJ,'Data Recording'!D:D=B28), ""Select Col1"")),""-"")"),19.0)</f>
        <v>19</v>
      </c>
      <c r="BY28" s="76">
        <f>IFERROR(__xludf.DUMMYFUNCTION("iferror(MIN(query(filter('Data Recording'!AJ:AJ,'Data Recording'!D:D=B28), ""Select Col1"")),""-"")"),13.0)</f>
        <v>13</v>
      </c>
      <c r="BZ28" s="77" t="str">
        <f>IFERROR(__xludf.DUMMYFUNCTION("iferror(if(DIVIDE(COUNTIF(query(filter('Data Recording'!R:R,'Data Recording'!D:D=B28), ""Select Col1""),""Yes, Docked"") + countif(query(filter('Data Recording'!R:R,'Data Recording'!D:D=B28), ""Select Col1""),""Yes, Engaged""),COUNTA(query(ifna(filter('Da"&amp;"ta Recording'!R:R,'Data Recording'!D:D=B28),""""), ""Select Col1"")))&gt;=(0.5),""1"",""0""),""-"")"),"0")</f>
        <v>0</v>
      </c>
      <c r="CA28" s="5" t="str">
        <f>IFERROR(__xludf.DUMMYFUNCTION("iferror(if(countif(query(filter('Data Recording'!R:R,'Data Recording'!D:D=B28), ""Select Col1""),""Yes, Engaged"")/COUNTA(query(ifna(filter('Data Recording'!R:R,'Data Recording'!D:D=B28),""""), ""Select Col1""))&gt;=(0.5),""1"",""0""),""-"")"),"0")</f>
        <v>0</v>
      </c>
      <c r="CB28" s="78" t="str">
        <f>IFERROR(__xludf.DUMMYFUNCTION("iferror(if(DIVIDE(COUNTIF(query(filter('Data Recording'!AE:AE,'Data Recording'!D:D=B28), ""Select Col1""),""Yes, Docked"") + countif(query(filter('Data Recording'!AE:AE,'Data Recording'!D:D=B28), ""Select Col1""),""Yes, Engaged""),COUNTA(query(ifna(filter"&amp;"('Data Recording'!AE:AE,'Data Recording'!D:D=B28),""""), ""Select Col1"")))&gt;=(0.5),""1"",""0""),""-"")"),"1")</f>
        <v>1</v>
      </c>
      <c r="CC28" s="5" t="str">
        <f>IFERROR(__xludf.DUMMYFUNCTION("iferror(if(countif(query(filter('Data Recording'!AE:AE,'Data Recording'!D:D=B28), ""Select Col1""),""Yes, Engaged"")/COUNTA(query(ifna(filter('Data Recording'!AE:AE,'Data Recording'!D:D=B28),""""), ""Select Col1""))&gt;=(0.5),""1"",""0""),""-"")"),"1")</f>
        <v>1</v>
      </c>
      <c r="CD28" s="78" t="str">
        <f>IFERROR(__xludf.DUMMYFUNCTION("iferror(if(DIVIDE(countif(query(filter('Data Recording'!E:E,'Data Recording'!D:D=B28), ""Select Col1""),""Yes""),COUNTA(query(ifna(filter('Data Recording'!E:E,'Data Recording'!D:D=B28),""""), ""Select Col1"")))&gt;=(0.5),""1"",""0""),""-"")"),"1")</f>
        <v>1</v>
      </c>
    </row>
    <row r="29">
      <c r="A29" s="2" t="s">
        <v>138</v>
      </c>
      <c r="B29" s="2">
        <v>904.0</v>
      </c>
      <c r="C29" s="57" t="str">
        <f>IFERROR(__xludf.DUMMYFUNCTION("if(countif(query(filter('Data Recording'!E:E,'Data Recording'!D:D=B29), ""Select Col1""),""Yes"")=0,""0"",countif(query(filter('Data Recording'!E:E,'Data Recording'!D:D=B29), ""Select Col1""),""Yes"")) &amp; ""/"" &amp; if(COUNTA(query(ifna(filter('Data Recording"&amp;"'!E:E,'Data Recording'!D:D=B29),""""), ""Select Col1""))=0,""0"",COUNTA(query(ifna(filter('Data Recording'!E:E,'Data Recording'!D:D=B29),""""), ""Select Col1"")))"),"8/8")</f>
        <v>8/8</v>
      </c>
      <c r="D29" s="58">
        <f>IFERROR(__xludf.DUMMYFUNCTION("iferror(SUM(query(filter('Data Recording'!F:F,'Data Recording'!D:D=B29), ""Select Col1"")),""-"")"),0.0)</f>
        <v>0</v>
      </c>
      <c r="E29" s="58">
        <f>IFERROR(__xludf.DUMMYFUNCTION("iferror(SUM(query(filter('Data Recording'!G:G,'Data Recording'!D:D=B29), ""Select Col1"")),""-"")"),0.0)</f>
        <v>0</v>
      </c>
      <c r="F29" s="59" t="str">
        <f t="shared" si="1"/>
        <v>-</v>
      </c>
      <c r="G29" s="60" t="str">
        <f>IFERROR(__xludf.DUMMYFUNCTION("iferror(AVERAGE(query(filter('Data Recording'!G:G,'Data Recording'!D:D=B29), ""Select Col1"")),""0.00"")"),"0.00")</f>
        <v>0.00</v>
      </c>
      <c r="H29" s="58">
        <f>IFERROR(__xludf.DUMMYFUNCTION("iferror(MAX(query(filter('Data Recording'!G:G,'Data Recording'!D:D=B29), ""Select Col1"")),""-"")"),0.0)</f>
        <v>0</v>
      </c>
      <c r="I29" s="61">
        <f>IFERROR(__xludf.DUMMYFUNCTION("iferror(SUM(query(filter('Data Recording'!H:H,'Data Recording'!D:D=B29), ""Select Col1"")),""-"")"),0.0)</f>
        <v>0</v>
      </c>
      <c r="J29" s="62">
        <f>IFERROR(__xludf.DUMMYFUNCTION("iferror(SUM(query(filter('Data Recording'!I:I,'Data Recording'!D:D=B29), ""Select Col1"")),""-"")"),0.0)</f>
        <v>0</v>
      </c>
      <c r="K29" s="59" t="str">
        <f t="shared" si="2"/>
        <v>-</v>
      </c>
      <c r="L29" s="60" t="str">
        <f>IFERROR(__xludf.DUMMYFUNCTION("iferror(AVERAGE(query(filter('Data Recording'!I:I,'Data Recording'!D:D=B29), ""Select Col1"")),""0.00"")"),"0.00")</f>
        <v>0.00</v>
      </c>
      <c r="M29" s="58">
        <f>IFERROR(__xludf.DUMMYFUNCTION("iferror(MAX(query(filter('Data Recording'!I:I,'Data Recording'!D:D=B29), ""Select Col1"")),""-"")"),0.0)</f>
        <v>0</v>
      </c>
      <c r="N29" s="63">
        <f>IFERROR(__xludf.DUMMYFUNCTION("iferror(SUM(query(filter('Data Recording'!J:J,'Data Recording'!D:D=B29), ""Select Col1"")),""-"")"),5.0)</f>
        <v>5</v>
      </c>
      <c r="O29" s="5">
        <f>IFERROR(__xludf.DUMMYFUNCTION("iferror(SUM(query(filter('Data Recording'!K:K,'Data Recording'!D:D=B29), ""Select Col1"")),""-"")"),5.0)</f>
        <v>5</v>
      </c>
      <c r="P29" s="59">
        <f t="shared" si="3"/>
        <v>1</v>
      </c>
      <c r="Q29" s="60">
        <f>IFERROR(__xludf.DUMMYFUNCTION("iferror(AVERAGE(query(filter('Data Recording'!K:K,'Data Recording'!D:D=B29), ""Select Col1"")),""0.00"")"),1.0)</f>
        <v>1</v>
      </c>
      <c r="R29" s="58">
        <f>IFERROR(__xludf.DUMMYFUNCTION("iferror(MAX(query(filter('Data Recording'!K:K,'Data Recording'!D:D=B29), ""Select Col1"")),""-"")"),1.0)</f>
        <v>1</v>
      </c>
      <c r="S29" s="63">
        <f>IFERROR(__xludf.DUMMYFUNCTION("iferror(SUM(query(filter('Data Recording'!L:L,'Data Recording'!D:D=B29), ""Select Col1"")),""-"")"),0.0)</f>
        <v>0</v>
      </c>
      <c r="T29" s="5">
        <f>IFERROR(__xludf.DUMMYFUNCTION("iferror(SUM(query(filter('Data Recording'!M:M,'Data Recording'!D:D=B29), ""Select Col1"")),""-"")"),0.0)</f>
        <v>0</v>
      </c>
      <c r="U29" s="59" t="str">
        <f t="shared" si="4"/>
        <v>-</v>
      </c>
      <c r="V29" s="60" t="str">
        <f>IFERROR(__xludf.DUMMYFUNCTION("iferror(AVERAGE(query(filter('Data Recording'!M:M,'Data Recording'!D:D=B29), ""Select Col1"")),""-"")"),"-")</f>
        <v>-</v>
      </c>
      <c r="W29" s="57">
        <f>IFERROR(__xludf.DUMMYFUNCTION("iferror(MAX(query(filter('Data Recording'!M:M,'Data Recording'!D:D=B29), ""Select Col1"")),""-"")"),0.0)</f>
        <v>0</v>
      </c>
      <c r="X29" s="5">
        <f>IFERROR(__xludf.DUMMYFUNCTION("iferror(SUM(query(filter('Data Recording'!N:N,'Data Recording'!D:D=B29), ""Select Col1"")),""-"")"),0.0)</f>
        <v>0</v>
      </c>
      <c r="Y29" s="5">
        <f>IFERROR(__xludf.DUMMYFUNCTION("iferror(SUM(query(filter('Data Recording'!O:O,'Data Recording'!D:D=B29), ""Select Col1"")),""-"")"),0.0)</f>
        <v>0</v>
      </c>
      <c r="Z29" s="59" t="str">
        <f t="shared" si="5"/>
        <v>-</v>
      </c>
      <c r="AA29" s="60" t="str">
        <f>IFERROR(__xludf.DUMMYFUNCTION("iferror(AVERAGE(query(filter('Data Recording'!O:O,'Data Recording'!D:D=B29), ""Select Col1"")),""0.00"")"),"0.00")</f>
        <v>0.00</v>
      </c>
      <c r="AB29" s="57">
        <f>IFERROR(__xludf.DUMMYFUNCTION("iferror(MAX(query(filter('Data Recording'!O:O,'Data Recording'!D:D=B29), ""Select Col1"")),""-"")"),0.0)</f>
        <v>0</v>
      </c>
      <c r="AC29" s="5">
        <f>IFERROR(__xludf.DUMMYFUNCTION("iferror(SUM(query(filter('Data Recording'!P:P,'Data Recording'!D:D=B29), ""Select Col1"")),""-"")"),0.0)</f>
        <v>0</v>
      </c>
      <c r="AD29" s="5">
        <f>IFERROR(__xludf.DUMMYFUNCTION("iferror(SUM(query(filter('Data Recording'!Q:Q,'Data Recording'!D:D=B29), ""Select Col1"")),""-"")"),0.0)</f>
        <v>0</v>
      </c>
      <c r="AE29" s="59" t="str">
        <f t="shared" si="6"/>
        <v>-</v>
      </c>
      <c r="AF29" s="60" t="str">
        <f>IFERROR(__xludf.DUMMYFUNCTION("iferror(AVERAGE(query(filter('Data Recording'!Q:Q,'Data Recording'!D:D=B29), ""Select Col1"")),""0.00"")"),"0.00")</f>
        <v>0.00</v>
      </c>
      <c r="AG29" s="5">
        <f>IFERROR(__xludf.DUMMYFUNCTION("iferror(MAX(query(filter('Data Recording'!Q:Q,'Data Recording'!D:D=B29), ""Select Col1"")),""-"")"),0.0)</f>
        <v>0</v>
      </c>
      <c r="AH29" s="63" t="str">
        <f>IFERROR(__xludf.DUMMYFUNCTION("if(countif(query(filter('Data Recording'!R:R,'Data Recording'!D:D=B29), ""Select Col1""),""Yes, Engaged"")+countif(query(filter('Data Recording'!R:R,'Data Recording'!D:D=B29), ""Select Col1""),""Yes, Docked"")=0,""0"",countif(query(filter('Data Recording'"&amp;"!R:R,'Data Recording'!D:D=B29), ""Select Col1""),""Yes, Engaged""))+countif(query(filter('Data Recording'!R:R,'Data Recording'!D:D=B29), ""Select Col1""),""Yes, Docked"") &amp; ""/"" &amp; if(COUNTA(query(ifna(filter('Data Recording'!R:R,'Data Recording'!D:D=B29)"&amp;",""""), ""Select Col1""))=0,""0"",COUNTA(query(ifna(filter('Data Recording'!R:R,'Data Recording'!D:D=B29),""""), ""Select Col1"")))"),"0/8")</f>
        <v>0/8</v>
      </c>
      <c r="AI29" s="64" t="str">
        <f>IFERROR(__xludf.DUMMYFUNCTION("if(countif(query(filter('Data Recording'!R:R,'Data Recording'!D:D=B29), ""Select Col1""),""Yes, Engaged"")=0,""0"",countif(query(filter('Data Recording'!R:R,'Data Recording'!D:D=B29), ""Select Col1""),""Yes, Engaged"")) &amp; ""/"" &amp; if(COUNTA(query(ifna(filt"&amp;"er('Data Recording'!R:R,'Data Recording'!D:D=B29),""""), ""Select Col1""))=0,""0"",COUNTA(query(ifna(filter('Data Recording'!R:R,'Data Recording'!D:D=B29),""""), ""Select Col1"")))"),"0/8")</f>
        <v>0/8</v>
      </c>
      <c r="AJ29" s="5">
        <f>IFERROR(__xludf.DUMMYFUNCTION("iferror(SUM(query(filter('Data Recording'!S:S,'Data Recording'!D:D=B29), ""Select Col1"")),""-"")"),0.0)</f>
        <v>0</v>
      </c>
      <c r="AK29" s="5">
        <f>IFERROR(__xludf.DUMMYFUNCTION("iferror(SUM(query(filter('Data Recording'!T:T,'Data Recording'!D:D=B29), ""Select Col1"")),""-"")"),0.0)</f>
        <v>0</v>
      </c>
      <c r="AL29" s="59" t="str">
        <f t="shared" si="7"/>
        <v>-</v>
      </c>
      <c r="AM29" s="60" t="str">
        <f>IFERROR(__xludf.DUMMYFUNCTION("iferror(AVERAGE(query(filter('Data Recording'!T:T,'Data Recording'!D:D=B29), ""Select Col1"")),""0.00"")"),"0.00")</f>
        <v>0.00</v>
      </c>
      <c r="AN29" s="65">
        <f>IFERROR(__xludf.DUMMYFUNCTION("iferror(MAX(query(filter('Data Recording'!T:T,'Data Recording'!D:D=B29), ""Select Col1"")),""-"")"),0.0)</f>
        <v>0</v>
      </c>
      <c r="AO29" s="66">
        <f>IFERROR(__xludf.DUMMYFUNCTION("iferror(SUM(query(filter('Data Recording'!U:U,'Data Recording'!D:D=B29), ""Select Col1"")),""-"")"),1.0)</f>
        <v>1</v>
      </c>
      <c r="AP29" s="66">
        <f>IFERROR(__xludf.DUMMYFUNCTION("iferror(SUM(query(filter('Data Recording'!V:V,'Data Recording'!D:D=B29), ""Select Col1"")),""-"")"),0.0)</f>
        <v>0</v>
      </c>
      <c r="AQ29" s="67">
        <f t="shared" si="8"/>
        <v>0</v>
      </c>
      <c r="AR29" s="68">
        <f>IFERROR(__xludf.DUMMYFUNCTION("iferror(AVERAGE(query(filter('Data Recording'!V:V,'Data Recording'!D:D=B29), ""Select Col1"")),""0.00"")"),0.0)</f>
        <v>0</v>
      </c>
      <c r="AS29" s="69">
        <f>IFERROR(__xludf.DUMMYFUNCTION("iferror(MAX(query(filter('Data Recording'!V:V,'Data Recording'!D:D=B29), ""Select Col1"")),""-"")"),0.0)</f>
        <v>0</v>
      </c>
      <c r="AT29" s="66">
        <f>IFERROR(__xludf.DUMMYFUNCTION("iferror(SUM(query(filter('Data Recording'!W:W,'Data Recording'!D:D=B29), ""Select Col1"")),""-"")"),8.0)</f>
        <v>8</v>
      </c>
      <c r="AU29" s="66">
        <f>IFERROR(__xludf.DUMMYFUNCTION("iferror(SUM(query(filter('Data Recording'!X:X,'Data Recording'!D:D=B29), ""Select Col1"")),""-"")"),7.0)</f>
        <v>7</v>
      </c>
      <c r="AV29" s="67">
        <f t="shared" si="9"/>
        <v>0.875</v>
      </c>
      <c r="AW29" s="68">
        <f>IFERROR(__xludf.DUMMYFUNCTION("iferror(AVERAGE(query(filter('Data Recording'!X:X,'Data Recording'!D:D=B29), ""Select Col1"")),""0.00"")"),1.0)</f>
        <v>1</v>
      </c>
      <c r="AX29" s="69">
        <f>IFERROR(__xludf.DUMMYFUNCTION("iferror(MAX(query(filter('Data Recording'!X:X,'Data Recording'!D:D=B29), ""Select Col1"")),""-"")"),2.0)</f>
        <v>2</v>
      </c>
      <c r="AY29" s="66">
        <f>IFERROR(__xludf.DUMMYFUNCTION("iferror(SUM(query(filter('Data Recording'!Y:Y,'Data Recording'!D:D=B29), ""Select Col1"")),""-"")"),1.0)</f>
        <v>1</v>
      </c>
      <c r="AZ29" s="66">
        <f>IFERROR(__xludf.DUMMYFUNCTION("iferror(SUM(query(filter('Data Recording'!Z:Z,'Data Recording'!D:D=B29), ""Select Col1"")),""-"")"),1.0)</f>
        <v>1</v>
      </c>
      <c r="BA29" s="67">
        <f t="shared" si="10"/>
        <v>1</v>
      </c>
      <c r="BB29" s="68">
        <f>IFERROR(__xludf.DUMMYFUNCTION("iferror(AVERAGE(query(filter('Data Recording'!Z:Z,'Data Recording'!D:D=B29), ""Select Col1"")),""0.00"")"),1.0)</f>
        <v>1</v>
      </c>
      <c r="BC29" s="69">
        <f>IFERROR(__xludf.DUMMYFUNCTION("iferror(MAX(query(filter('Data Recording'!Z:Z,'Data Recording'!D:D=B29), ""Select Col1"")),""-"")"),1.0)</f>
        <v>1</v>
      </c>
      <c r="BD29" s="66">
        <f>IFERROR(__xludf.DUMMYFUNCTION("iferror(SUM(query(filter('Data Recording'!AA:AA,'Data Recording'!D:D=B29), ""Select Col1"")),""-"")"),1.0)</f>
        <v>1</v>
      </c>
      <c r="BE29" s="66">
        <f>IFERROR(__xludf.DUMMYFUNCTION("iferror(SUM(query(filter('Data Recording'!AB:AB,'Data Recording'!D:D=B29), ""Select Col1"")),""-"")"),1.0)</f>
        <v>1</v>
      </c>
      <c r="BF29" s="67">
        <f t="shared" si="11"/>
        <v>1</v>
      </c>
      <c r="BG29" s="68">
        <f>IFERROR(__xludf.DUMMYFUNCTION("iferror(AVERAGE(query(filter('Data Recording'!AB:AB,'Data Recording'!D:D=B29), ""Select Col1"")),""0.00"")"),1.0)</f>
        <v>1</v>
      </c>
      <c r="BH29" s="69">
        <f>IFERROR(__xludf.DUMMYFUNCTION("iferror(MAX(query(filter('Data Recording'!AB:AB,'Data Recording'!D:D=B29), ""Select Col1"")),""-"")"),1.0)</f>
        <v>1</v>
      </c>
      <c r="BI29" s="66">
        <f>IFERROR(__xludf.DUMMYFUNCTION("iferror(SUM(query(filter('Data Recording'!AC:AC,'Data Recording'!D:D=B29), ""Select Col1"")),""-"")"),9.0)</f>
        <v>9</v>
      </c>
      <c r="BJ29" s="66">
        <f>IFERROR(__xludf.DUMMYFUNCTION("iferror(SUM(query(filter('Data Recording'!AD:AD,'Data Recording'!D:D=B29), ""Select Col1"")),""-"")"),7.0)</f>
        <v>7</v>
      </c>
      <c r="BK29" s="67">
        <f t="shared" si="12"/>
        <v>0.7777777778</v>
      </c>
      <c r="BL29" s="68">
        <f>IFERROR(__xludf.DUMMYFUNCTION("iferror(AVERAGE(query(filter('Data Recording'!AD:AD,'Data Recording'!D:D=B29), ""Select Col1"")),""0.00"")"),1.4)</f>
        <v>1.4</v>
      </c>
      <c r="BM29" s="69">
        <f>IFERROR(__xludf.DUMMYFUNCTION("iferror(MAX(query(filter('Data Recording'!AD:AD,'Data Recording'!D:D=B29), ""Select Col1"")),""-"")"),2.0)</f>
        <v>2</v>
      </c>
      <c r="BN29" s="70" t="str">
        <f>IFERROR(__xludf.DUMMYFUNCTION("if(countif(query(filter('Data Recording'!AE:AE,'Data Recording'!D:D=B29), ""Select Col1""),""Yes, Engaged"")+countif(query(filter('Data Recording'!AE:AE,'Data Recording'!D:D=B29), ""Select Col1""),""Yes, Docked"")=0,""0"",countif(query(filter('Data Record"&amp;"ing'!AE:AE,'Data Recording'!D:D=B29), ""Select Col1""),""Yes, Engaged""))+countif(query(filter('Data Recording'!AE:AE,'Data Recording'!D:D=B29), ""Select Col1""),""Yes, Docked"") &amp; ""/"" &amp; if(COUNTA(query(ifna(filter('Data Recording'!AE:AE,'Data Recording"&amp;"'!D:D=B29),""""), ""Select Col1""))=0,""0"",COUNTA(query(ifna(filter('Data Recording'!AE:AE,'Data Recording'!D:D=B29),""""), ""Select Col1"")))"),"2/8")</f>
        <v>2/8</v>
      </c>
      <c r="BO29" s="71" t="str">
        <f>IFERROR(__xludf.DUMMYFUNCTION("if(countif(query(filter('Data Recording'!AE:AE,'Data Recording'!D:D=B29), ""Select Col1""),""Yes, Engaged"")=0,""0"",countif(query(filter('Data Recording'!AE:AE,'Data Recording'!D:D=B29), ""Select Col1""),""Yes, Engaged"")) &amp; ""/"" &amp; if(COUNTA(query(ifna("&amp;"filter('Data Recording'!AE:AE,'Data Recording'!D:D=B29),""""), ""Select Col1""))=0,""0"",COUNTA(query(ifna(filter('Data Recording'!AE:AE,'Data Recording'!D:D=B29),""""), ""Select Col1"")))"),"2/8")</f>
        <v>2/8</v>
      </c>
      <c r="BP29" s="64" t="str">
        <f>IFERROR(__xludf.DUMMYFUNCTION("if(countif(query(filter('Data Recording'!AH:AH,'Data Recording'!D:D=B29), ""Select Col1""),""Yes"")=0,""0"",countif(query(filter('Data Recording'!AH:AH,'Data Recording'!D:D=B29), ""Select Col1""),""Yes"")) &amp; ""/"" &amp; if(COUNTA(query(ifna(filter('Data Recor"&amp;"ding'!AH:AH,'Data Recording'!D:D=B29),""""), ""Select Col1""))=0,""0"",COUNTA(query(ifna(filter('Data Recording'!AH:AH,'Data Recording'!D:D=B29),""""), ""Select Col1"")))"),"0/8")</f>
        <v>0/8</v>
      </c>
      <c r="BQ29" s="72">
        <v>0.0</v>
      </c>
      <c r="BR29" s="60">
        <f>IFERROR(__xludf.DUMMYFUNCTION("iferror(average(query(filter('Data Recording'!AF:AF,'Data Recording'!D:D=B29), ""Select Col1"")),""-"")"),1.375)</f>
        <v>1.375</v>
      </c>
      <c r="BS29" s="73">
        <f>IFERROR(__xludf.DUMMYFUNCTION("iferror(average(query(filter('Data Recording'!AG:AG,'Data Recording'!D:D=B29), ""Select Col1"")),""-"")"),0.125)</f>
        <v>0.125</v>
      </c>
      <c r="BT29" s="74">
        <f t="shared" si="13"/>
        <v>18.8</v>
      </c>
      <c r="BU29" s="74">
        <f>IFERROR(__xludf.DUMMYFUNCTION("iferror(AVERAGE(query(filter('Data Recording'!AJ:AJ,'Data Recording'!D:D=B29), ""Select Col1"")),""-"")"),13.75)</f>
        <v>13.75</v>
      </c>
      <c r="BV29" s="74">
        <f>IFERROR(__xludf.DUMMYFUNCTION("iferror(AVERAGE(query(filter('Data Recording'!AK:AK,'Data Recording'!D:D=B29), ""Select Col1"")),""-"")"),6.375)</f>
        <v>6.375</v>
      </c>
      <c r="BW29" s="74">
        <f t="shared" si="14"/>
        <v>15.8</v>
      </c>
      <c r="BX29" s="75">
        <f>IFERROR(__xludf.DUMMYFUNCTION("iferror(max(query(filter('Data Recording'!AJ:AJ,'Data Recording'!D:D=B29), ""Select Col1"")),""-"")"),18.0)</f>
        <v>18</v>
      </c>
      <c r="BY29" s="76">
        <f>IFERROR(__xludf.DUMMYFUNCTION("iferror(MIN(query(filter('Data Recording'!AJ:AJ,'Data Recording'!D:D=B29), ""Select Col1"")),""-"")"),11.0)</f>
        <v>11</v>
      </c>
      <c r="BZ29" s="77" t="str">
        <f>IFERROR(__xludf.DUMMYFUNCTION("iferror(if(DIVIDE(COUNTIF(query(filter('Data Recording'!R:R,'Data Recording'!D:D=B29), ""Select Col1""),""Yes, Docked"") + countif(query(filter('Data Recording'!R:R,'Data Recording'!D:D=B29), ""Select Col1""),""Yes, Engaged""),COUNTA(query(ifna(filter('Da"&amp;"ta Recording'!R:R,'Data Recording'!D:D=B29),""""), ""Select Col1"")))&gt;=(0.5),""1"",""0""),""-"")"),"0")</f>
        <v>0</v>
      </c>
      <c r="CA29" s="5" t="str">
        <f>IFERROR(__xludf.DUMMYFUNCTION("iferror(if(countif(query(filter('Data Recording'!R:R,'Data Recording'!D:D=B29), ""Select Col1""),""Yes, Engaged"")/COUNTA(query(ifna(filter('Data Recording'!R:R,'Data Recording'!D:D=B29),""""), ""Select Col1""))&gt;=(0.5),""1"",""0""),""-"")"),"0")</f>
        <v>0</v>
      </c>
      <c r="CB29" s="78" t="str">
        <f>IFERROR(__xludf.DUMMYFUNCTION("iferror(if(DIVIDE(COUNTIF(query(filter('Data Recording'!AE:AE,'Data Recording'!D:D=B29), ""Select Col1""),""Yes, Docked"") + countif(query(filter('Data Recording'!AE:AE,'Data Recording'!D:D=B29), ""Select Col1""),""Yes, Engaged""),COUNTA(query(ifna(filter"&amp;"('Data Recording'!AE:AE,'Data Recording'!D:D=B29),""""), ""Select Col1"")))&gt;=(0.5),""1"",""0""),""-"")"),"0")</f>
        <v>0</v>
      </c>
      <c r="CC29" s="5" t="str">
        <f>IFERROR(__xludf.DUMMYFUNCTION("iferror(if(countif(query(filter('Data Recording'!AE:AE,'Data Recording'!D:D=B29), ""Select Col1""),""Yes, Engaged"")/COUNTA(query(ifna(filter('Data Recording'!AE:AE,'Data Recording'!D:D=B29),""""), ""Select Col1""))&gt;=(0.5),""1"",""0""),""-"")"),"0")</f>
        <v>0</v>
      </c>
      <c r="CD29" s="78" t="str">
        <f>IFERROR(__xludf.DUMMYFUNCTION("iferror(if(DIVIDE(countif(query(filter('Data Recording'!E:E,'Data Recording'!D:D=B29), ""Select Col1""),""Yes""),COUNTA(query(ifna(filter('Data Recording'!E:E,'Data Recording'!D:D=B29),""""), ""Select Col1"")))&gt;=(0.5),""1"",""0""),""-"")"),"1")</f>
        <v>1</v>
      </c>
    </row>
    <row r="30">
      <c r="A30" s="2" t="s">
        <v>139</v>
      </c>
      <c r="B30" s="2">
        <v>6615.0</v>
      </c>
      <c r="C30" s="57" t="str">
        <f>IFERROR(__xludf.DUMMYFUNCTION("if(countif(query(filter('Data Recording'!E:E,'Data Recording'!D:D=B30), ""Select Col1""),""Yes"")=0,""0"",countif(query(filter('Data Recording'!E:E,'Data Recording'!D:D=B30), ""Select Col1""),""Yes"")) &amp; ""/"" &amp; if(COUNTA(query(ifna(filter('Data Recording"&amp;"'!E:E,'Data Recording'!D:D=B30),""""), ""Select Col1""))=0,""0"",COUNTA(query(ifna(filter('Data Recording'!E:E,'Data Recording'!D:D=B30),""""), ""Select Col1"")))"),"2/3")</f>
        <v>2/3</v>
      </c>
      <c r="D30" s="58">
        <f>IFERROR(__xludf.DUMMYFUNCTION("iferror(SUM(query(filter('Data Recording'!F:F,'Data Recording'!D:D=B30), ""Select Col1"")),""-"")"),0.0)</f>
        <v>0</v>
      </c>
      <c r="E30" s="58">
        <f>IFERROR(__xludf.DUMMYFUNCTION("iferror(SUM(query(filter('Data Recording'!G:G,'Data Recording'!D:D=B30), ""Select Col1"")),""-"")"),0.0)</f>
        <v>0</v>
      </c>
      <c r="F30" s="59" t="str">
        <f t="shared" si="1"/>
        <v>-</v>
      </c>
      <c r="G30" s="60" t="str">
        <f>IFERROR(__xludf.DUMMYFUNCTION("iferror(AVERAGE(query(filter('Data Recording'!G:G,'Data Recording'!D:D=B30), ""Select Col1"")),""0.00"")"),"0.00")</f>
        <v>0.00</v>
      </c>
      <c r="H30" s="58">
        <f>IFERROR(__xludf.DUMMYFUNCTION("iferror(MAX(query(filter('Data Recording'!G:G,'Data Recording'!D:D=B30), ""Select Col1"")),""-"")"),0.0)</f>
        <v>0</v>
      </c>
      <c r="I30" s="61">
        <f>IFERROR(__xludf.DUMMYFUNCTION("iferror(SUM(query(filter('Data Recording'!H:H,'Data Recording'!D:D=B30), ""Select Col1"")),""-"")"),0.0)</f>
        <v>0</v>
      </c>
      <c r="J30" s="62">
        <f>IFERROR(__xludf.DUMMYFUNCTION("iferror(SUM(query(filter('Data Recording'!I:I,'Data Recording'!D:D=B30), ""Select Col1"")),""-"")"),0.0)</f>
        <v>0</v>
      </c>
      <c r="K30" s="59" t="str">
        <f t="shared" si="2"/>
        <v>-</v>
      </c>
      <c r="L30" s="60" t="str">
        <f>IFERROR(__xludf.DUMMYFUNCTION("iferror(AVERAGE(query(filter('Data Recording'!I:I,'Data Recording'!D:D=B30), ""Select Col1"")),""0.00"")"),"0.00")</f>
        <v>0.00</v>
      </c>
      <c r="M30" s="58">
        <f>IFERROR(__xludf.DUMMYFUNCTION("iferror(MAX(query(filter('Data Recording'!I:I,'Data Recording'!D:D=B30), ""Select Col1"")),""-"")"),0.0)</f>
        <v>0</v>
      </c>
      <c r="N30" s="63">
        <f>IFERROR(__xludf.DUMMYFUNCTION("iferror(SUM(query(filter('Data Recording'!J:J,'Data Recording'!D:D=B30), ""Select Col1"")),""-"")"),0.0)</f>
        <v>0</v>
      </c>
      <c r="O30" s="5">
        <f>IFERROR(__xludf.DUMMYFUNCTION("iferror(SUM(query(filter('Data Recording'!K:K,'Data Recording'!D:D=B30), ""Select Col1"")),""-"")"),0.0)</f>
        <v>0</v>
      </c>
      <c r="P30" s="59" t="str">
        <f t="shared" si="3"/>
        <v>-</v>
      </c>
      <c r="Q30" s="60" t="str">
        <f>IFERROR(__xludf.DUMMYFUNCTION("iferror(AVERAGE(query(filter('Data Recording'!K:K,'Data Recording'!D:D=B30), ""Select Col1"")),""0.00"")"),"0.00")</f>
        <v>0.00</v>
      </c>
      <c r="R30" s="58">
        <f>IFERROR(__xludf.DUMMYFUNCTION("iferror(MAX(query(filter('Data Recording'!K:K,'Data Recording'!D:D=B30), ""Select Col1"")),""-"")"),0.0)</f>
        <v>0</v>
      </c>
      <c r="S30" s="63">
        <f>IFERROR(__xludf.DUMMYFUNCTION("iferror(SUM(query(filter('Data Recording'!L:L,'Data Recording'!D:D=B30), ""Select Col1"")),""-"")"),2.0)</f>
        <v>2</v>
      </c>
      <c r="T30" s="5">
        <f>IFERROR(__xludf.DUMMYFUNCTION("iferror(SUM(query(filter('Data Recording'!M:M,'Data Recording'!D:D=B30), ""Select Col1"")),""-"")"),2.0)</f>
        <v>2</v>
      </c>
      <c r="U30" s="59">
        <f t="shared" si="4"/>
        <v>1</v>
      </c>
      <c r="V30" s="60">
        <f>IFERROR(__xludf.DUMMYFUNCTION("iferror(AVERAGE(query(filter('Data Recording'!M:M,'Data Recording'!D:D=B30), ""Select Col1"")),""-"")"),1.0)</f>
        <v>1</v>
      </c>
      <c r="W30" s="57">
        <f>IFERROR(__xludf.DUMMYFUNCTION("iferror(MAX(query(filter('Data Recording'!M:M,'Data Recording'!D:D=B30), ""Select Col1"")),""-"")"),1.0)</f>
        <v>1</v>
      </c>
      <c r="X30" s="5">
        <f>IFERROR(__xludf.DUMMYFUNCTION("iferror(SUM(query(filter('Data Recording'!N:N,'Data Recording'!D:D=B30), ""Select Col1"")),""-"")"),0.0)</f>
        <v>0</v>
      </c>
      <c r="Y30" s="5">
        <f>IFERROR(__xludf.DUMMYFUNCTION("iferror(SUM(query(filter('Data Recording'!O:O,'Data Recording'!D:D=B30), ""Select Col1"")),""-"")"),0.0)</f>
        <v>0</v>
      </c>
      <c r="Z30" s="59" t="str">
        <f t="shared" si="5"/>
        <v>-</v>
      </c>
      <c r="AA30" s="60">
        <f>IFERROR(__xludf.DUMMYFUNCTION("iferror(AVERAGE(query(filter('Data Recording'!O:O,'Data Recording'!D:D=B30), ""Select Col1"")),""0.00"")"),0.0)</f>
        <v>0</v>
      </c>
      <c r="AB30" s="57">
        <f>IFERROR(__xludf.DUMMYFUNCTION("iferror(MAX(query(filter('Data Recording'!O:O,'Data Recording'!D:D=B30), ""Select Col1"")),""-"")"),0.0)</f>
        <v>0</v>
      </c>
      <c r="AC30" s="5">
        <f>IFERROR(__xludf.DUMMYFUNCTION("iferror(SUM(query(filter('Data Recording'!P:P,'Data Recording'!D:D=B30), ""Select Col1"")),""-"")"),0.0)</f>
        <v>0</v>
      </c>
      <c r="AD30" s="5">
        <f>IFERROR(__xludf.DUMMYFUNCTION("iferror(SUM(query(filter('Data Recording'!Q:Q,'Data Recording'!D:D=B30), ""Select Col1"")),""-"")"),0.0)</f>
        <v>0</v>
      </c>
      <c r="AE30" s="59" t="str">
        <f t="shared" si="6"/>
        <v>-</v>
      </c>
      <c r="AF30" s="60" t="str">
        <f>IFERROR(__xludf.DUMMYFUNCTION("iferror(AVERAGE(query(filter('Data Recording'!Q:Q,'Data Recording'!D:D=B30), ""Select Col1"")),""0.00"")"),"0.00")</f>
        <v>0.00</v>
      </c>
      <c r="AG30" s="5">
        <f>IFERROR(__xludf.DUMMYFUNCTION("iferror(MAX(query(filter('Data Recording'!Q:Q,'Data Recording'!D:D=B30), ""Select Col1"")),""-"")"),0.0)</f>
        <v>0</v>
      </c>
      <c r="AH30" s="63" t="str">
        <f>IFERROR(__xludf.DUMMYFUNCTION("if(countif(query(filter('Data Recording'!R:R,'Data Recording'!D:D=B30), ""Select Col1""),""Yes, Engaged"")+countif(query(filter('Data Recording'!R:R,'Data Recording'!D:D=B30), ""Select Col1""),""Yes, Docked"")=0,""0"",countif(query(filter('Data Recording'"&amp;"!R:R,'Data Recording'!D:D=B30), ""Select Col1""),""Yes, Engaged""))+countif(query(filter('Data Recording'!R:R,'Data Recording'!D:D=B30), ""Select Col1""),""Yes, Docked"") &amp; ""/"" &amp; if(COUNTA(query(ifna(filter('Data Recording'!R:R,'Data Recording'!D:D=B30)"&amp;",""""), ""Select Col1""))=0,""0"",COUNTA(query(ifna(filter('Data Recording'!R:R,'Data Recording'!D:D=B30),""""), ""Select Col1"")))"),"0/3")</f>
        <v>0/3</v>
      </c>
      <c r="AI30" s="64" t="str">
        <f>IFERROR(__xludf.DUMMYFUNCTION("if(countif(query(filter('Data Recording'!R:R,'Data Recording'!D:D=B30), ""Select Col1""),""Yes, Engaged"")=0,""0"",countif(query(filter('Data Recording'!R:R,'Data Recording'!D:D=B30), ""Select Col1""),""Yes, Engaged"")) &amp; ""/"" &amp; if(COUNTA(query(ifna(filt"&amp;"er('Data Recording'!R:R,'Data Recording'!D:D=B30),""""), ""Select Col1""))=0,""0"",COUNTA(query(ifna(filter('Data Recording'!R:R,'Data Recording'!D:D=B30),""""), ""Select Col1"")))"),"0/3")</f>
        <v>0/3</v>
      </c>
      <c r="AJ30" s="5">
        <f>IFERROR(__xludf.DUMMYFUNCTION("iferror(SUM(query(filter('Data Recording'!S:S,'Data Recording'!D:D=B30), ""Select Col1"")),""-"")"),0.0)</f>
        <v>0</v>
      </c>
      <c r="AK30" s="5">
        <f>IFERROR(__xludf.DUMMYFUNCTION("iferror(SUM(query(filter('Data Recording'!T:T,'Data Recording'!D:D=B30), ""Select Col1"")),""-"")"),0.0)</f>
        <v>0</v>
      </c>
      <c r="AL30" s="59" t="str">
        <f t="shared" si="7"/>
        <v>-</v>
      </c>
      <c r="AM30" s="60" t="str">
        <f>IFERROR(__xludf.DUMMYFUNCTION("iferror(AVERAGE(query(filter('Data Recording'!T:T,'Data Recording'!D:D=B30), ""Select Col1"")),""0.00"")"),"0.00")</f>
        <v>0.00</v>
      </c>
      <c r="AN30" s="65">
        <f>IFERROR(__xludf.DUMMYFUNCTION("iferror(MAX(query(filter('Data Recording'!T:T,'Data Recording'!D:D=B30), ""Select Col1"")),""-"")"),0.0)</f>
        <v>0</v>
      </c>
      <c r="AO30" s="66">
        <f>IFERROR(__xludf.DUMMYFUNCTION("iferror(SUM(query(filter('Data Recording'!U:U,'Data Recording'!D:D=B30), ""Select Col1"")),""-"")"),0.0)</f>
        <v>0</v>
      </c>
      <c r="AP30" s="66">
        <f>IFERROR(__xludf.DUMMYFUNCTION("iferror(SUM(query(filter('Data Recording'!V:V,'Data Recording'!D:D=B30), ""Select Col1"")),""-"")"),0.0)</f>
        <v>0</v>
      </c>
      <c r="AQ30" s="67" t="str">
        <f t="shared" si="8"/>
        <v>-</v>
      </c>
      <c r="AR30" s="68" t="str">
        <f>IFERROR(__xludf.DUMMYFUNCTION("iferror(AVERAGE(query(filter('Data Recording'!V:V,'Data Recording'!D:D=B30), ""Select Col1"")),""0.00"")"),"0.00")</f>
        <v>0.00</v>
      </c>
      <c r="AS30" s="69">
        <f>IFERROR(__xludf.DUMMYFUNCTION("iferror(MAX(query(filter('Data Recording'!V:V,'Data Recording'!D:D=B30), ""Select Col1"")),""-"")"),0.0)</f>
        <v>0</v>
      </c>
      <c r="AT30" s="66">
        <f>IFERROR(__xludf.DUMMYFUNCTION("iferror(SUM(query(filter('Data Recording'!W:W,'Data Recording'!D:D=B30), ""Select Col1"")),""-"")"),0.0)</f>
        <v>0</v>
      </c>
      <c r="AU30" s="66">
        <f>IFERROR(__xludf.DUMMYFUNCTION("iferror(SUM(query(filter('Data Recording'!X:X,'Data Recording'!D:D=B30), ""Select Col1"")),""-"")"),0.0)</f>
        <v>0</v>
      </c>
      <c r="AV30" s="67" t="str">
        <f t="shared" si="9"/>
        <v>-</v>
      </c>
      <c r="AW30" s="68" t="str">
        <f>IFERROR(__xludf.DUMMYFUNCTION("iferror(AVERAGE(query(filter('Data Recording'!X:X,'Data Recording'!D:D=B30), ""Select Col1"")),""0.00"")"),"0.00")</f>
        <v>0.00</v>
      </c>
      <c r="AX30" s="69">
        <f>IFERROR(__xludf.DUMMYFUNCTION("iferror(MAX(query(filter('Data Recording'!X:X,'Data Recording'!D:D=B30), ""Select Col1"")),""-"")"),0.0)</f>
        <v>0</v>
      </c>
      <c r="AY30" s="66">
        <f>IFERROR(__xludf.DUMMYFUNCTION("iferror(SUM(query(filter('Data Recording'!Y:Y,'Data Recording'!D:D=B30), ""Select Col1"")),""-"")"),2.0)</f>
        <v>2</v>
      </c>
      <c r="AZ30" s="66">
        <f>IFERROR(__xludf.DUMMYFUNCTION("iferror(SUM(query(filter('Data Recording'!Z:Z,'Data Recording'!D:D=B30), ""Select Col1"")),""-"")"),2.0)</f>
        <v>2</v>
      </c>
      <c r="BA30" s="67">
        <f t="shared" si="10"/>
        <v>1</v>
      </c>
      <c r="BB30" s="68">
        <f>IFERROR(__xludf.DUMMYFUNCTION("iferror(AVERAGE(query(filter('Data Recording'!Z:Z,'Data Recording'!D:D=B30), ""Select Col1"")),""0.00"")"),1.0)</f>
        <v>1</v>
      </c>
      <c r="BC30" s="69">
        <f>IFERROR(__xludf.DUMMYFUNCTION("iferror(MAX(query(filter('Data Recording'!Z:Z,'Data Recording'!D:D=B30), ""Select Col1"")),""-"")"),1.0)</f>
        <v>1</v>
      </c>
      <c r="BD30" s="66">
        <f>IFERROR(__xludf.DUMMYFUNCTION("iferror(SUM(query(filter('Data Recording'!AA:AA,'Data Recording'!D:D=B30), ""Select Col1"")),""-"")"),0.0)</f>
        <v>0</v>
      </c>
      <c r="BE30" s="66">
        <f>IFERROR(__xludf.DUMMYFUNCTION("iferror(SUM(query(filter('Data Recording'!AB:AB,'Data Recording'!D:D=B30), ""Select Col1"")),""-"")"),0.0)</f>
        <v>0</v>
      </c>
      <c r="BF30" s="67" t="str">
        <f t="shared" si="11"/>
        <v>-</v>
      </c>
      <c r="BG30" s="68" t="str">
        <f>IFERROR(__xludf.DUMMYFUNCTION("iferror(AVERAGE(query(filter('Data Recording'!AB:AB,'Data Recording'!D:D=B30), ""Select Col1"")),""0.00"")"),"0.00")</f>
        <v>0.00</v>
      </c>
      <c r="BH30" s="69">
        <f>IFERROR(__xludf.DUMMYFUNCTION("iferror(MAX(query(filter('Data Recording'!AB:AB,'Data Recording'!D:D=B30), ""Select Col1"")),""-"")"),0.0)</f>
        <v>0</v>
      </c>
      <c r="BI30" s="66">
        <f>IFERROR(__xludf.DUMMYFUNCTION("iferror(SUM(query(filter('Data Recording'!AC:AC,'Data Recording'!D:D=B30), ""Select Col1"")),""-"")"),0.0)</f>
        <v>0</v>
      </c>
      <c r="BJ30" s="66">
        <f>IFERROR(__xludf.DUMMYFUNCTION("iferror(SUM(query(filter('Data Recording'!AD:AD,'Data Recording'!D:D=B30), ""Select Col1"")),""-"")"),0.0)</f>
        <v>0</v>
      </c>
      <c r="BK30" s="67" t="str">
        <f t="shared" si="12"/>
        <v>-</v>
      </c>
      <c r="BL30" s="68" t="str">
        <f>IFERROR(__xludf.DUMMYFUNCTION("iferror(AVERAGE(query(filter('Data Recording'!AD:AD,'Data Recording'!D:D=B30), ""Select Col1"")),""0.00"")"),"0.00")</f>
        <v>0.00</v>
      </c>
      <c r="BM30" s="69">
        <f>IFERROR(__xludf.DUMMYFUNCTION("iferror(MAX(query(filter('Data Recording'!AD:AD,'Data Recording'!D:D=B30), ""Select Col1"")),""-"")"),0.0)</f>
        <v>0</v>
      </c>
      <c r="BN30" s="70" t="str">
        <f>IFERROR(__xludf.DUMMYFUNCTION("if(countif(query(filter('Data Recording'!AE:AE,'Data Recording'!D:D=B30), ""Select Col1""),""Yes, Engaged"")+countif(query(filter('Data Recording'!AE:AE,'Data Recording'!D:D=B30), ""Select Col1""),""Yes, Docked"")=0,""0"",countif(query(filter('Data Record"&amp;"ing'!AE:AE,'Data Recording'!D:D=B30), ""Select Col1""),""Yes, Engaged""))+countif(query(filter('Data Recording'!AE:AE,'Data Recording'!D:D=B30), ""Select Col1""),""Yes, Docked"") &amp; ""/"" &amp; if(COUNTA(query(ifna(filter('Data Recording'!AE:AE,'Data Recording"&amp;"'!D:D=B30),""""), ""Select Col1""))=0,""0"",COUNTA(query(ifna(filter('Data Recording'!AE:AE,'Data Recording'!D:D=B30),""""), ""Select Col1"")))"),"1/3")</f>
        <v>1/3</v>
      </c>
      <c r="BO30" s="71" t="str">
        <f>IFERROR(__xludf.DUMMYFUNCTION("if(countif(query(filter('Data Recording'!AE:AE,'Data Recording'!D:D=B30), ""Select Col1""),""Yes, Engaged"")=0,""0"",countif(query(filter('Data Recording'!AE:AE,'Data Recording'!D:D=B30), ""Select Col1""),""Yes, Engaged"")) &amp; ""/"" &amp; if(COUNTA(query(ifna("&amp;"filter('Data Recording'!AE:AE,'Data Recording'!D:D=B30),""""), ""Select Col1""))=0,""0"",COUNTA(query(ifna(filter('Data Recording'!AE:AE,'Data Recording'!D:D=B30),""""), ""Select Col1"")))"),"1/3")</f>
        <v>1/3</v>
      </c>
      <c r="BP30" s="64" t="str">
        <f>IFERROR(__xludf.DUMMYFUNCTION("if(countif(query(filter('Data Recording'!AH:AH,'Data Recording'!D:D=B30), ""Select Col1""),""Yes"")=0,""0"",countif(query(filter('Data Recording'!AH:AH,'Data Recording'!D:D=B30), ""Select Col1""),""Yes"")) &amp; ""/"" &amp; if(COUNTA(query(ifna(filter('Data Recor"&amp;"ding'!AH:AH,'Data Recording'!D:D=B30),""""), ""Select Col1""))=0,""0"",COUNTA(query(ifna(filter('Data Recording'!AH:AH,'Data Recording'!D:D=B30),""""), ""Select Col1"")))"),"2/3")</f>
        <v>2/3</v>
      </c>
      <c r="BQ30" s="79">
        <v>0.6666</v>
      </c>
      <c r="BR30" s="60">
        <f>IFERROR(__xludf.DUMMYFUNCTION("iferror(average(query(filter('Data Recording'!AF:AF,'Data Recording'!D:D=B30), ""Select Col1"")),""-"")"),1.3333333333333333)</f>
        <v>1.333333333</v>
      </c>
      <c r="BS30" s="73">
        <f>IFERROR(__xludf.DUMMYFUNCTION("iferror(average(query(filter('Data Recording'!AG:AG,'Data Recording'!D:D=B30), ""Select Col1"")),""-"")"),0.0)</f>
        <v>0</v>
      </c>
      <c r="BT30" s="74">
        <f t="shared" si="13"/>
        <v>14</v>
      </c>
      <c r="BU30" s="74">
        <f>IFERROR(__xludf.DUMMYFUNCTION("iferror(AVERAGE(query(filter('Data Recording'!AJ:AJ,'Data Recording'!D:D=B30), ""Select Col1"")),""-"")"),13.666666666666666)</f>
        <v>13.66666667</v>
      </c>
      <c r="BV30" s="74">
        <f>IFERROR(__xludf.DUMMYFUNCTION("iferror(AVERAGE(query(filter('Data Recording'!AK:AK,'Data Recording'!D:D=B30), ""Select Col1"")),""-"")"),7.333333333333333)</f>
        <v>7.333333333</v>
      </c>
      <c r="BW30" s="74">
        <f t="shared" si="14"/>
        <v>11</v>
      </c>
      <c r="BX30" s="75">
        <f>IFERROR(__xludf.DUMMYFUNCTION("iferror(max(query(filter('Data Recording'!AJ:AJ,'Data Recording'!D:D=B30), ""Select Col1"")),""-"")"),24.0)</f>
        <v>24</v>
      </c>
      <c r="BY30" s="76">
        <f>IFERROR(__xludf.DUMMYFUNCTION("iferror(MIN(query(filter('Data Recording'!AJ:AJ,'Data Recording'!D:D=B30), ""Select Col1"")),""-"")"),5.0)</f>
        <v>5</v>
      </c>
      <c r="BZ30" s="77" t="str">
        <f>IFERROR(__xludf.DUMMYFUNCTION("iferror(if(DIVIDE(COUNTIF(query(filter('Data Recording'!R:R,'Data Recording'!D:D=B30), ""Select Col1""),""Yes, Docked"") + countif(query(filter('Data Recording'!R:R,'Data Recording'!D:D=B30), ""Select Col1""),""Yes, Engaged""),COUNTA(query(ifna(filter('Da"&amp;"ta Recording'!R:R,'Data Recording'!D:D=B30),""""), ""Select Col1"")))&gt;=(0.5),""1"",""0""),""-"")"),"0")</f>
        <v>0</v>
      </c>
      <c r="CA30" s="5" t="str">
        <f>IFERROR(__xludf.DUMMYFUNCTION("iferror(if(countif(query(filter('Data Recording'!R:R,'Data Recording'!D:D=B30), ""Select Col1""),""Yes, Engaged"")/COUNTA(query(ifna(filter('Data Recording'!R:R,'Data Recording'!D:D=B30),""""), ""Select Col1""))&gt;=(0.5),""1"",""0""),""-"")"),"0")</f>
        <v>0</v>
      </c>
      <c r="CB30" s="78" t="str">
        <f>IFERROR(__xludf.DUMMYFUNCTION("iferror(if(DIVIDE(COUNTIF(query(filter('Data Recording'!AE:AE,'Data Recording'!D:D=B30), ""Select Col1""),""Yes, Docked"") + countif(query(filter('Data Recording'!AE:AE,'Data Recording'!D:D=B30), ""Select Col1""),""Yes, Engaged""),COUNTA(query(ifna(filter"&amp;"('Data Recording'!AE:AE,'Data Recording'!D:D=B30),""""), ""Select Col1"")))&gt;=(0.5),""1"",""0""),""-"")"),"0")</f>
        <v>0</v>
      </c>
      <c r="CC30" s="5" t="str">
        <f>IFERROR(__xludf.DUMMYFUNCTION("iferror(if(countif(query(filter('Data Recording'!AE:AE,'Data Recording'!D:D=B30), ""Select Col1""),""Yes, Engaged"")/COUNTA(query(ifna(filter('Data Recording'!AE:AE,'Data Recording'!D:D=B30),""""), ""Select Col1""))&gt;=(0.5),""1"",""0""),""-"")"),"0")</f>
        <v>0</v>
      </c>
      <c r="CD30" s="78" t="str">
        <f>IFERROR(__xludf.DUMMYFUNCTION("iferror(if(DIVIDE(countif(query(filter('Data Recording'!E:E,'Data Recording'!D:D=B30), ""Select Col1""),""Yes""),COUNTA(query(ifna(filter('Data Recording'!E:E,'Data Recording'!D:D=B30),""""), ""Select Col1"")))&gt;=(0.5),""1"",""0""),""-"")"),"1")</f>
        <v>1</v>
      </c>
    </row>
    <row r="31">
      <c r="A31" s="2" t="s">
        <v>140</v>
      </c>
      <c r="B31" s="2">
        <v>1076.0</v>
      </c>
      <c r="C31" s="57" t="str">
        <f>IFERROR(__xludf.DUMMYFUNCTION("if(countif(query(filter('Data Recording'!E:E,'Data Recording'!D:D=B31), ""Select Col1""),""Yes"")=0,""0"",countif(query(filter('Data Recording'!E:E,'Data Recording'!D:D=B31), ""Select Col1""),""Yes"")) &amp; ""/"" &amp; if(COUNTA(query(ifna(filter('Data Recording"&amp;"'!E:E,'Data Recording'!D:D=B31),""""), ""Select Col1""))=0,""0"",COUNTA(query(ifna(filter('Data Recording'!E:E,'Data Recording'!D:D=B31),""""), ""Select Col1"")))"),"5/12")</f>
        <v>5/12</v>
      </c>
      <c r="D31" s="58">
        <f>IFERROR(__xludf.DUMMYFUNCTION("iferror(SUM(query(filter('Data Recording'!F:F,'Data Recording'!D:D=B31), ""Select Col1"")),""-"")"),0.0)</f>
        <v>0</v>
      </c>
      <c r="E31" s="58">
        <f>IFERROR(__xludf.DUMMYFUNCTION("iferror(SUM(query(filter('Data Recording'!G:G,'Data Recording'!D:D=B31), ""Select Col1"")),""-"")"),0.0)</f>
        <v>0</v>
      </c>
      <c r="F31" s="59" t="str">
        <f t="shared" si="1"/>
        <v>-</v>
      </c>
      <c r="G31" s="60" t="str">
        <f>IFERROR(__xludf.DUMMYFUNCTION("iferror(AVERAGE(query(filter('Data Recording'!G:G,'Data Recording'!D:D=B31), ""Select Col1"")),""0.00"")"),"0.00")</f>
        <v>0.00</v>
      </c>
      <c r="H31" s="58">
        <f>IFERROR(__xludf.DUMMYFUNCTION("iferror(MAX(query(filter('Data Recording'!G:G,'Data Recording'!D:D=B31), ""Select Col1"")),""-"")"),0.0)</f>
        <v>0</v>
      </c>
      <c r="I31" s="61">
        <f>IFERROR(__xludf.DUMMYFUNCTION("iferror(SUM(query(filter('Data Recording'!H:H,'Data Recording'!D:D=B31), ""Select Col1"")),""-"")"),4.0)</f>
        <v>4</v>
      </c>
      <c r="J31" s="62">
        <f>IFERROR(__xludf.DUMMYFUNCTION("iferror(SUM(query(filter('Data Recording'!I:I,'Data Recording'!D:D=B31), ""Select Col1"")),""-"")"),3.0)</f>
        <v>3</v>
      </c>
      <c r="K31" s="59">
        <f t="shared" si="2"/>
        <v>0.75</v>
      </c>
      <c r="L31" s="60">
        <f>IFERROR(__xludf.DUMMYFUNCTION("iferror(AVERAGE(query(filter('Data Recording'!I:I,'Data Recording'!D:D=B31), ""Select Col1"")),""0.00"")"),1.0)</f>
        <v>1</v>
      </c>
      <c r="M31" s="58">
        <f>IFERROR(__xludf.DUMMYFUNCTION("iferror(MAX(query(filter('Data Recording'!I:I,'Data Recording'!D:D=B31), ""Select Col1"")),""-"")"),1.0)</f>
        <v>1</v>
      </c>
      <c r="N31" s="63">
        <f>IFERROR(__xludf.DUMMYFUNCTION("iferror(SUM(query(filter('Data Recording'!J:J,'Data Recording'!D:D=B31), ""Select Col1"")),""-"")"),0.0)</f>
        <v>0</v>
      </c>
      <c r="O31" s="5">
        <f>IFERROR(__xludf.DUMMYFUNCTION("iferror(SUM(query(filter('Data Recording'!K:K,'Data Recording'!D:D=B31), ""Select Col1"")),""-"")"),0.0)</f>
        <v>0</v>
      </c>
      <c r="P31" s="59" t="str">
        <f t="shared" si="3"/>
        <v>-</v>
      </c>
      <c r="Q31" s="60" t="str">
        <f>IFERROR(__xludf.DUMMYFUNCTION("iferror(AVERAGE(query(filter('Data Recording'!K:K,'Data Recording'!D:D=B31), ""Select Col1"")),""0.00"")"),"0.00")</f>
        <v>0.00</v>
      </c>
      <c r="R31" s="58">
        <f>IFERROR(__xludf.DUMMYFUNCTION("iferror(MAX(query(filter('Data Recording'!K:K,'Data Recording'!D:D=B31), ""Select Col1"")),""-"")"),0.0)</f>
        <v>0</v>
      </c>
      <c r="S31" s="63">
        <f>IFERROR(__xludf.DUMMYFUNCTION("iferror(SUM(query(filter('Data Recording'!L:L,'Data Recording'!D:D=B31), ""Select Col1"")),""-"")"),0.0)</f>
        <v>0</v>
      </c>
      <c r="T31" s="5">
        <f>IFERROR(__xludf.DUMMYFUNCTION("iferror(SUM(query(filter('Data Recording'!M:M,'Data Recording'!D:D=B31), ""Select Col1"")),""-"")"),0.0)</f>
        <v>0</v>
      </c>
      <c r="U31" s="59" t="str">
        <f t="shared" si="4"/>
        <v>-</v>
      </c>
      <c r="V31" s="60" t="str">
        <f>IFERROR(__xludf.DUMMYFUNCTION("iferror(AVERAGE(query(filter('Data Recording'!M:M,'Data Recording'!D:D=B31), ""Select Col1"")),""-"")"),"-")</f>
        <v>-</v>
      </c>
      <c r="W31" s="57">
        <f>IFERROR(__xludf.DUMMYFUNCTION("iferror(MAX(query(filter('Data Recording'!M:M,'Data Recording'!D:D=B31), ""Select Col1"")),""-"")"),0.0)</f>
        <v>0</v>
      </c>
      <c r="X31" s="5">
        <f>IFERROR(__xludf.DUMMYFUNCTION("iferror(SUM(query(filter('Data Recording'!N:N,'Data Recording'!D:D=B31), ""Select Col1"")),""-"")"),0.0)</f>
        <v>0</v>
      </c>
      <c r="Y31" s="5">
        <f>IFERROR(__xludf.DUMMYFUNCTION("iferror(SUM(query(filter('Data Recording'!O:O,'Data Recording'!D:D=B31), ""Select Col1"")),""-"")"),0.0)</f>
        <v>0</v>
      </c>
      <c r="Z31" s="59" t="str">
        <f t="shared" si="5"/>
        <v>-</v>
      </c>
      <c r="AA31" s="60" t="str">
        <f>IFERROR(__xludf.DUMMYFUNCTION("iferror(AVERAGE(query(filter('Data Recording'!O:O,'Data Recording'!D:D=B31), ""Select Col1"")),""0.00"")"),"0.00")</f>
        <v>0.00</v>
      </c>
      <c r="AB31" s="57">
        <f>IFERROR(__xludf.DUMMYFUNCTION("iferror(MAX(query(filter('Data Recording'!O:O,'Data Recording'!D:D=B31), ""Select Col1"")),""-"")"),0.0)</f>
        <v>0</v>
      </c>
      <c r="AC31" s="5">
        <f>IFERROR(__xludf.DUMMYFUNCTION("iferror(SUM(query(filter('Data Recording'!P:P,'Data Recording'!D:D=B31), ""Select Col1"")),""-"")"),0.0)</f>
        <v>0</v>
      </c>
      <c r="AD31" s="5">
        <f>IFERROR(__xludf.DUMMYFUNCTION("iferror(SUM(query(filter('Data Recording'!Q:Q,'Data Recording'!D:D=B31), ""Select Col1"")),""-"")"),0.0)</f>
        <v>0</v>
      </c>
      <c r="AE31" s="59" t="str">
        <f t="shared" si="6"/>
        <v>-</v>
      </c>
      <c r="AF31" s="60" t="str">
        <f>IFERROR(__xludf.DUMMYFUNCTION("iferror(AVERAGE(query(filter('Data Recording'!Q:Q,'Data Recording'!D:D=B31), ""Select Col1"")),""0.00"")"),"0.00")</f>
        <v>0.00</v>
      </c>
      <c r="AG31" s="5">
        <f>IFERROR(__xludf.DUMMYFUNCTION("iferror(MAX(query(filter('Data Recording'!Q:Q,'Data Recording'!D:D=B31), ""Select Col1"")),""-"")"),0.0)</f>
        <v>0</v>
      </c>
      <c r="AH31" s="63" t="str">
        <f>IFERROR(__xludf.DUMMYFUNCTION("if(countif(query(filter('Data Recording'!R:R,'Data Recording'!D:D=B31), ""Select Col1""),""Yes, Engaged"")+countif(query(filter('Data Recording'!R:R,'Data Recording'!D:D=B31), ""Select Col1""),""Yes, Docked"")=0,""0"",countif(query(filter('Data Recording'"&amp;"!R:R,'Data Recording'!D:D=B31), ""Select Col1""),""Yes, Engaged""))+countif(query(filter('Data Recording'!R:R,'Data Recording'!D:D=B31), ""Select Col1""),""Yes, Docked"") &amp; ""/"" &amp; if(COUNTA(query(ifna(filter('Data Recording'!R:R,'Data Recording'!D:D=B31)"&amp;",""""), ""Select Col1""))=0,""0"",COUNTA(query(ifna(filter('Data Recording'!R:R,'Data Recording'!D:D=B31),""""), ""Select Col1"")))"),"0/12")</f>
        <v>0/12</v>
      </c>
      <c r="AI31" s="64" t="str">
        <f>IFERROR(__xludf.DUMMYFUNCTION("if(countif(query(filter('Data Recording'!R:R,'Data Recording'!D:D=B31), ""Select Col1""),""Yes, Engaged"")=0,""0"",countif(query(filter('Data Recording'!R:R,'Data Recording'!D:D=B31), ""Select Col1""),""Yes, Engaged"")) &amp; ""/"" &amp; if(COUNTA(query(ifna(filt"&amp;"er('Data Recording'!R:R,'Data Recording'!D:D=B31),""""), ""Select Col1""))=0,""0"",COUNTA(query(ifna(filter('Data Recording'!R:R,'Data Recording'!D:D=B31),""""), ""Select Col1"")))"),"0/12")</f>
        <v>0/12</v>
      </c>
      <c r="AJ31" s="5">
        <f>IFERROR(__xludf.DUMMYFUNCTION("iferror(SUM(query(filter('Data Recording'!S:S,'Data Recording'!D:D=B31), ""Select Col1"")),""-"")"),2.0)</f>
        <v>2</v>
      </c>
      <c r="AK31" s="5">
        <f>IFERROR(__xludf.DUMMYFUNCTION("iferror(SUM(query(filter('Data Recording'!T:T,'Data Recording'!D:D=B31), ""Select Col1"")),""-"")"),0.0)</f>
        <v>0</v>
      </c>
      <c r="AL31" s="59">
        <f t="shared" si="7"/>
        <v>0</v>
      </c>
      <c r="AM31" s="60" t="str">
        <f>IFERROR(__xludf.DUMMYFUNCTION("iferror(AVERAGE(query(filter('Data Recording'!T:T,'Data Recording'!D:D=B31), ""Select Col1"")),""0.00"")"),"0.00")</f>
        <v>0.00</v>
      </c>
      <c r="AN31" s="65">
        <f>IFERROR(__xludf.DUMMYFUNCTION("iferror(MAX(query(filter('Data Recording'!T:T,'Data Recording'!D:D=B31), ""Select Col1"")),""-"")"),0.0)</f>
        <v>0</v>
      </c>
      <c r="AO31" s="66">
        <f>IFERROR(__xludf.DUMMYFUNCTION("iferror(SUM(query(filter('Data Recording'!U:U,'Data Recording'!D:D=B31), ""Select Col1"")),""-"")"),4.0)</f>
        <v>4</v>
      </c>
      <c r="AP31" s="66">
        <f>IFERROR(__xludf.DUMMYFUNCTION("iferror(SUM(query(filter('Data Recording'!V:V,'Data Recording'!D:D=B31), ""Select Col1"")),""-"")"),0.0)</f>
        <v>0</v>
      </c>
      <c r="AQ31" s="67">
        <f t="shared" si="8"/>
        <v>0</v>
      </c>
      <c r="AR31" s="68">
        <f>IFERROR(__xludf.DUMMYFUNCTION("iferror(AVERAGE(query(filter('Data Recording'!V:V,'Data Recording'!D:D=B31), ""Select Col1"")),""0.00"")"),0.0)</f>
        <v>0</v>
      </c>
      <c r="AS31" s="69">
        <f>IFERROR(__xludf.DUMMYFUNCTION("iferror(MAX(query(filter('Data Recording'!V:V,'Data Recording'!D:D=B31), ""Select Col1"")),""-"")"),0.0)</f>
        <v>0</v>
      </c>
      <c r="AT31" s="66">
        <f>IFERROR(__xludf.DUMMYFUNCTION("iferror(SUM(query(filter('Data Recording'!W:W,'Data Recording'!D:D=B31), ""Select Col1"")),""-"")"),4.0)</f>
        <v>4</v>
      </c>
      <c r="AU31" s="66">
        <f>IFERROR(__xludf.DUMMYFUNCTION("iferror(SUM(query(filter('Data Recording'!X:X,'Data Recording'!D:D=B31), ""Select Col1"")),""-"")"),2.0)</f>
        <v>2</v>
      </c>
      <c r="AV31" s="67">
        <f t="shared" si="9"/>
        <v>0.5</v>
      </c>
      <c r="AW31" s="68">
        <f>IFERROR(__xludf.DUMMYFUNCTION("iferror(AVERAGE(query(filter('Data Recording'!X:X,'Data Recording'!D:D=B31), ""Select Col1"")),""0.00"")"),0.6666666666666666)</f>
        <v>0.6666666667</v>
      </c>
      <c r="AX31" s="69">
        <f>IFERROR(__xludf.DUMMYFUNCTION("iferror(MAX(query(filter('Data Recording'!X:X,'Data Recording'!D:D=B31), ""Select Col1"")),""-"")"),1.0)</f>
        <v>1</v>
      </c>
      <c r="AY31" s="66">
        <f>IFERROR(__xludf.DUMMYFUNCTION("iferror(SUM(query(filter('Data Recording'!Y:Y,'Data Recording'!D:D=B31), ""Select Col1"")),""-"")"),0.0)</f>
        <v>0</v>
      </c>
      <c r="AZ31" s="66">
        <f>IFERROR(__xludf.DUMMYFUNCTION("iferror(SUM(query(filter('Data Recording'!Z:Z,'Data Recording'!D:D=B31), ""Select Col1"")),""-"")"),0.0)</f>
        <v>0</v>
      </c>
      <c r="BA31" s="67" t="str">
        <f t="shared" si="10"/>
        <v>-</v>
      </c>
      <c r="BB31" s="68" t="str">
        <f>IFERROR(__xludf.DUMMYFUNCTION("iferror(AVERAGE(query(filter('Data Recording'!Z:Z,'Data Recording'!D:D=B31), ""Select Col1"")),""0.00"")"),"0.00")</f>
        <v>0.00</v>
      </c>
      <c r="BC31" s="69">
        <f>IFERROR(__xludf.DUMMYFUNCTION("iferror(MAX(query(filter('Data Recording'!Z:Z,'Data Recording'!D:D=B31), ""Select Col1"")),""-"")"),0.0)</f>
        <v>0</v>
      </c>
      <c r="BD31" s="66">
        <f>IFERROR(__xludf.DUMMYFUNCTION("iferror(SUM(query(filter('Data Recording'!AA:AA,'Data Recording'!D:D=B31), ""Select Col1"")),""-"")"),0.0)</f>
        <v>0</v>
      </c>
      <c r="BE31" s="66">
        <f>IFERROR(__xludf.DUMMYFUNCTION("iferror(SUM(query(filter('Data Recording'!AB:AB,'Data Recording'!D:D=B31), ""Select Col1"")),""-"")"),0.0)</f>
        <v>0</v>
      </c>
      <c r="BF31" s="67" t="str">
        <f t="shared" si="11"/>
        <v>-</v>
      </c>
      <c r="BG31" s="68" t="str">
        <f>IFERROR(__xludf.DUMMYFUNCTION("iferror(AVERAGE(query(filter('Data Recording'!AB:AB,'Data Recording'!D:D=B31), ""Select Col1"")),""0.00"")"),"0.00")</f>
        <v>0.00</v>
      </c>
      <c r="BH31" s="69">
        <f>IFERROR(__xludf.DUMMYFUNCTION("iferror(MAX(query(filter('Data Recording'!AB:AB,'Data Recording'!D:D=B31), ""Select Col1"")),""-"")"),0.0)</f>
        <v>0</v>
      </c>
      <c r="BI31" s="66">
        <f>IFERROR(__xludf.DUMMYFUNCTION("iferror(SUM(query(filter('Data Recording'!AC:AC,'Data Recording'!D:D=B31), ""Select Col1"")),""-"")"),1.0)</f>
        <v>1</v>
      </c>
      <c r="BJ31" s="66">
        <f>IFERROR(__xludf.DUMMYFUNCTION("iferror(SUM(query(filter('Data Recording'!AD:AD,'Data Recording'!D:D=B31), ""Select Col1"")),""-"")"),1.0)</f>
        <v>1</v>
      </c>
      <c r="BK31" s="67">
        <f t="shared" si="12"/>
        <v>1</v>
      </c>
      <c r="BL31" s="68">
        <f>IFERROR(__xludf.DUMMYFUNCTION("iferror(AVERAGE(query(filter('Data Recording'!AD:AD,'Data Recording'!D:D=B31), ""Select Col1"")),""0.00"")"),1.0)</f>
        <v>1</v>
      </c>
      <c r="BM31" s="69">
        <f>IFERROR(__xludf.DUMMYFUNCTION("iferror(MAX(query(filter('Data Recording'!AD:AD,'Data Recording'!D:D=B31), ""Select Col1"")),""-"")"),1.0)</f>
        <v>1</v>
      </c>
      <c r="BN31" s="70" t="str">
        <f>IFERROR(__xludf.DUMMYFUNCTION("if(countif(query(filter('Data Recording'!AE:AE,'Data Recording'!D:D=B31), ""Select Col1""),""Yes, Engaged"")+countif(query(filter('Data Recording'!AE:AE,'Data Recording'!D:D=B31), ""Select Col1""),""Yes, Docked"")=0,""0"",countif(query(filter('Data Record"&amp;"ing'!AE:AE,'Data Recording'!D:D=B31), ""Select Col1""),""Yes, Engaged""))+countif(query(filter('Data Recording'!AE:AE,'Data Recording'!D:D=B31), ""Select Col1""),""Yes, Docked"") &amp; ""/"" &amp; if(COUNTA(query(ifna(filter('Data Recording'!AE:AE,'Data Recording"&amp;"'!D:D=B31),""""), ""Select Col1""))=0,""0"",COUNTA(query(ifna(filter('Data Recording'!AE:AE,'Data Recording'!D:D=B31),""""), ""Select Col1"")))"),"12/12")</f>
        <v>12/12</v>
      </c>
      <c r="BO31" s="71" t="str">
        <f>IFERROR(__xludf.DUMMYFUNCTION("if(countif(query(filter('Data Recording'!AE:AE,'Data Recording'!D:D=B31), ""Select Col1""),""Yes, Engaged"")=0,""0"",countif(query(filter('Data Recording'!AE:AE,'Data Recording'!D:D=B31), ""Select Col1""),""Yes, Engaged"")) &amp; ""/"" &amp; if(COUNTA(query(ifna("&amp;"filter('Data Recording'!AE:AE,'Data Recording'!D:D=B31),""""), ""Select Col1""))=0,""0"",COUNTA(query(ifna(filter('Data Recording'!AE:AE,'Data Recording'!D:D=B31),""""), ""Select Col1"")))"),"10/12")</f>
        <v>10/12</v>
      </c>
      <c r="BP31" s="64" t="str">
        <f>IFERROR(__xludf.DUMMYFUNCTION("if(countif(query(filter('Data Recording'!AH:AH,'Data Recording'!D:D=B31), ""Select Col1""),""Yes"")=0,""0"",countif(query(filter('Data Recording'!AH:AH,'Data Recording'!D:D=B31), ""Select Col1""),""Yes"")) &amp; ""/"" &amp; if(COUNTA(query(ifna(filter('Data Recor"&amp;"ding'!AH:AH,'Data Recording'!D:D=B31),""""), ""Select Col1""))=0,""0"",COUNTA(query(ifna(filter('Data Recording'!AH:AH,'Data Recording'!D:D=B31),""""), ""Select Col1"")))"),"1/12")</f>
        <v>1/12</v>
      </c>
      <c r="BQ31" s="79">
        <v>0.0833</v>
      </c>
      <c r="BR31" s="60">
        <f>IFERROR(__xludf.DUMMYFUNCTION("iferror(average(query(filter('Data Recording'!AF:AF,'Data Recording'!D:D=B31), ""Select Col1"")),""-"")"),0.8333333333333334)</f>
        <v>0.8333333333</v>
      </c>
      <c r="BS31" s="73">
        <f>IFERROR(__xludf.DUMMYFUNCTION("iferror(average(query(filter('Data Recording'!AG:AG,'Data Recording'!D:D=B31), ""Select Col1"")),""-"")"),0.0)</f>
        <v>0</v>
      </c>
      <c r="BT31" s="74">
        <f t="shared" si="13"/>
        <v>17.33333333</v>
      </c>
      <c r="BU31" s="74">
        <f>IFERROR(__xludf.DUMMYFUNCTION("iferror(AVERAGE(query(filter('Data Recording'!AJ:AJ,'Data Recording'!D:D=B31), ""Select Col1"")),""-"")"),12.083333333333334)</f>
        <v>12.08333333</v>
      </c>
      <c r="BV31" s="74">
        <f>IFERROR(__xludf.DUMMYFUNCTION("iferror(AVERAGE(query(filter('Data Recording'!AK:AK,'Data Recording'!D:D=B31), ""Select Col1"")),""-"")"),1.5)</f>
        <v>1.5</v>
      </c>
      <c r="BW31" s="74">
        <f t="shared" si="14"/>
        <v>7.333333333</v>
      </c>
      <c r="BX31" s="75">
        <f>IFERROR(__xludf.DUMMYFUNCTION("iferror(max(query(filter('Data Recording'!AJ:AJ,'Data Recording'!D:D=B31), ""Select Col1"")),""-"")"),17.0)</f>
        <v>17</v>
      </c>
      <c r="BY31" s="76">
        <f>IFERROR(__xludf.DUMMYFUNCTION("iferror(MIN(query(filter('Data Recording'!AJ:AJ,'Data Recording'!D:D=B31), ""Select Col1"")),""-"")"),9.0)</f>
        <v>9</v>
      </c>
      <c r="BZ31" s="77" t="str">
        <f>IFERROR(__xludf.DUMMYFUNCTION("iferror(if(DIVIDE(COUNTIF(query(filter('Data Recording'!R:R,'Data Recording'!D:D=B31), ""Select Col1""),""Yes, Docked"") + countif(query(filter('Data Recording'!R:R,'Data Recording'!D:D=B31), ""Select Col1""),""Yes, Engaged""),COUNTA(query(ifna(filter('Da"&amp;"ta Recording'!R:R,'Data Recording'!D:D=B31),""""), ""Select Col1"")))&gt;=(0.5),""1"",""0""),""-"")"),"0")</f>
        <v>0</v>
      </c>
      <c r="CA31" s="5" t="str">
        <f>IFERROR(__xludf.DUMMYFUNCTION("iferror(if(countif(query(filter('Data Recording'!R:R,'Data Recording'!D:D=B31), ""Select Col1""),""Yes, Engaged"")/COUNTA(query(ifna(filter('Data Recording'!R:R,'Data Recording'!D:D=B31),""""), ""Select Col1""))&gt;=(0.5),""1"",""0""),""-"")"),"0")</f>
        <v>0</v>
      </c>
      <c r="CB31" s="78" t="str">
        <f>IFERROR(__xludf.DUMMYFUNCTION("iferror(if(DIVIDE(COUNTIF(query(filter('Data Recording'!AE:AE,'Data Recording'!D:D=B31), ""Select Col1""),""Yes, Docked"") + countif(query(filter('Data Recording'!AE:AE,'Data Recording'!D:D=B31), ""Select Col1""),""Yes, Engaged""),COUNTA(query(ifna(filter"&amp;"('Data Recording'!AE:AE,'Data Recording'!D:D=B31),""""), ""Select Col1"")))&gt;=(0.5),""1"",""0""),""-"")"),"1")</f>
        <v>1</v>
      </c>
      <c r="CC31" s="5" t="str">
        <f>IFERROR(__xludf.DUMMYFUNCTION("iferror(if(countif(query(filter('Data Recording'!AE:AE,'Data Recording'!D:D=B31), ""Select Col1""),""Yes, Engaged"")/COUNTA(query(ifna(filter('Data Recording'!AE:AE,'Data Recording'!D:D=B31),""""), ""Select Col1""))&gt;=(0.5),""1"",""0""),""-"")"),"1")</f>
        <v>1</v>
      </c>
      <c r="CD31" s="78" t="str">
        <f>IFERROR(__xludf.DUMMYFUNCTION("iferror(if(DIVIDE(countif(query(filter('Data Recording'!E:E,'Data Recording'!D:D=B31), ""Select Col1""),""Yes""),COUNTA(query(ifna(filter('Data Recording'!E:E,'Data Recording'!D:D=B31),""""), ""Select Col1"")))&gt;=(0.5),""1"",""0""),""-"")"),"0")</f>
        <v>0</v>
      </c>
    </row>
    <row r="32">
      <c r="A32" s="2" t="s">
        <v>141</v>
      </c>
      <c r="B32" s="2">
        <v>1502.0</v>
      </c>
      <c r="C32" s="57" t="str">
        <f>IFERROR(__xludf.DUMMYFUNCTION("if(countif(query(filter('Data Recording'!E:E,'Data Recording'!D:D=B32), ""Select Col1""),""Yes"")=0,""0"",countif(query(filter('Data Recording'!E:E,'Data Recording'!D:D=B32), ""Select Col1""),""Yes"")) &amp; ""/"" &amp; if(COUNTA(query(ifna(filter('Data Recording"&amp;"'!E:E,'Data Recording'!D:D=B32),""""), ""Select Col1""))=0,""0"",COUNTA(query(ifna(filter('Data Recording'!E:E,'Data Recording'!D:D=B32),""""), ""Select Col1"")))"),"9/12")</f>
        <v>9/12</v>
      </c>
      <c r="D32" s="58">
        <f>IFERROR(__xludf.DUMMYFUNCTION("iferror(SUM(query(filter('Data Recording'!F:F,'Data Recording'!D:D=B32), ""Select Col1"")),""-"")"),1.0)</f>
        <v>1</v>
      </c>
      <c r="E32" s="58">
        <f>IFERROR(__xludf.DUMMYFUNCTION("iferror(SUM(query(filter('Data Recording'!G:G,'Data Recording'!D:D=B32), ""Select Col1"")),""-"")"),1.0)</f>
        <v>1</v>
      </c>
      <c r="F32" s="59">
        <f t="shared" si="1"/>
        <v>1</v>
      </c>
      <c r="G32" s="60">
        <f>IFERROR(__xludf.DUMMYFUNCTION("iferror(AVERAGE(query(filter('Data Recording'!G:G,'Data Recording'!D:D=B32), ""Select Col1"")),""0.00"")"),1.0)</f>
        <v>1</v>
      </c>
      <c r="H32" s="58">
        <f>IFERROR(__xludf.DUMMYFUNCTION("iferror(MAX(query(filter('Data Recording'!G:G,'Data Recording'!D:D=B32), ""Select Col1"")),""-"")"),1.0)</f>
        <v>1</v>
      </c>
      <c r="I32" s="61">
        <f>IFERROR(__xludf.DUMMYFUNCTION("iferror(SUM(query(filter('Data Recording'!H:H,'Data Recording'!D:D=B32), ""Select Col1"")),""-"")"),0.0)</f>
        <v>0</v>
      </c>
      <c r="J32" s="62">
        <f>IFERROR(__xludf.DUMMYFUNCTION("iferror(SUM(query(filter('Data Recording'!I:I,'Data Recording'!D:D=B32), ""Select Col1"")),""-"")"),0.0)</f>
        <v>0</v>
      </c>
      <c r="K32" s="59" t="str">
        <f t="shared" si="2"/>
        <v>-</v>
      </c>
      <c r="L32" s="60" t="str">
        <f>IFERROR(__xludf.DUMMYFUNCTION("iferror(AVERAGE(query(filter('Data Recording'!I:I,'Data Recording'!D:D=B32), ""Select Col1"")),""0.00"")"),"0.00")</f>
        <v>0.00</v>
      </c>
      <c r="M32" s="58">
        <f>IFERROR(__xludf.DUMMYFUNCTION("iferror(MAX(query(filter('Data Recording'!I:I,'Data Recording'!D:D=B32), ""Select Col1"")),""-"")"),0.0)</f>
        <v>0</v>
      </c>
      <c r="N32" s="63">
        <f>IFERROR(__xludf.DUMMYFUNCTION("iferror(SUM(query(filter('Data Recording'!J:J,'Data Recording'!D:D=B32), ""Select Col1"")),""-"")"),0.0)</f>
        <v>0</v>
      </c>
      <c r="O32" s="5">
        <f>IFERROR(__xludf.DUMMYFUNCTION("iferror(SUM(query(filter('Data Recording'!K:K,'Data Recording'!D:D=B32), ""Select Col1"")),""-"")"),0.0)</f>
        <v>0</v>
      </c>
      <c r="P32" s="59" t="str">
        <f t="shared" si="3"/>
        <v>-</v>
      </c>
      <c r="Q32" s="60" t="str">
        <f>IFERROR(__xludf.DUMMYFUNCTION("iferror(AVERAGE(query(filter('Data Recording'!K:K,'Data Recording'!D:D=B32), ""Select Col1"")),""0.00"")"),"0.00")</f>
        <v>0.00</v>
      </c>
      <c r="R32" s="58">
        <f>IFERROR(__xludf.DUMMYFUNCTION("iferror(MAX(query(filter('Data Recording'!K:K,'Data Recording'!D:D=B32), ""Select Col1"")),""-"")"),0.0)</f>
        <v>0</v>
      </c>
      <c r="S32" s="63">
        <f>IFERROR(__xludf.DUMMYFUNCTION("iferror(SUM(query(filter('Data Recording'!L:L,'Data Recording'!D:D=B32), ""Select Col1"")),""-"")"),0.0)</f>
        <v>0</v>
      </c>
      <c r="T32" s="5">
        <f>IFERROR(__xludf.DUMMYFUNCTION("iferror(SUM(query(filter('Data Recording'!M:M,'Data Recording'!D:D=B32), ""Select Col1"")),""-"")"),0.0)</f>
        <v>0</v>
      </c>
      <c r="U32" s="59" t="str">
        <f t="shared" si="4"/>
        <v>-</v>
      </c>
      <c r="V32" s="60" t="str">
        <f>IFERROR(__xludf.DUMMYFUNCTION("iferror(AVERAGE(query(filter('Data Recording'!M:M,'Data Recording'!D:D=B32), ""Select Col1"")),""-"")"),"-")</f>
        <v>-</v>
      </c>
      <c r="W32" s="57">
        <f>IFERROR(__xludf.DUMMYFUNCTION("iferror(MAX(query(filter('Data Recording'!M:M,'Data Recording'!D:D=B32), ""Select Col1"")),""-"")"),0.0)</f>
        <v>0</v>
      </c>
      <c r="X32" s="5">
        <f>IFERROR(__xludf.DUMMYFUNCTION("iferror(SUM(query(filter('Data Recording'!N:N,'Data Recording'!D:D=B32), ""Select Col1"")),""-"")"),0.0)</f>
        <v>0</v>
      </c>
      <c r="Y32" s="5">
        <f>IFERROR(__xludf.DUMMYFUNCTION("iferror(SUM(query(filter('Data Recording'!O:O,'Data Recording'!D:D=B32), ""Select Col1"")),""-"")"),0.0)</f>
        <v>0</v>
      </c>
      <c r="Z32" s="59" t="str">
        <f t="shared" si="5"/>
        <v>-</v>
      </c>
      <c r="AA32" s="60" t="str">
        <f>IFERROR(__xludf.DUMMYFUNCTION("iferror(AVERAGE(query(filter('Data Recording'!O:O,'Data Recording'!D:D=B32), ""Select Col1"")),""0.00"")"),"0.00")</f>
        <v>0.00</v>
      </c>
      <c r="AB32" s="57">
        <f>IFERROR(__xludf.DUMMYFUNCTION("iferror(MAX(query(filter('Data Recording'!O:O,'Data Recording'!D:D=B32), ""Select Col1"")),""-"")"),0.0)</f>
        <v>0</v>
      </c>
      <c r="AC32" s="5">
        <f>IFERROR(__xludf.DUMMYFUNCTION("iferror(SUM(query(filter('Data Recording'!P:P,'Data Recording'!D:D=B32), ""Select Col1"")),""-"")"),10.0)</f>
        <v>10</v>
      </c>
      <c r="AD32" s="5">
        <f>IFERROR(__xludf.DUMMYFUNCTION("iferror(SUM(query(filter('Data Recording'!Q:Q,'Data Recording'!D:D=B32), ""Select Col1"")),""-"")"),2.0)</f>
        <v>2</v>
      </c>
      <c r="AE32" s="59">
        <f t="shared" si="6"/>
        <v>0.2</v>
      </c>
      <c r="AF32" s="60">
        <f>IFERROR(__xludf.DUMMYFUNCTION("iferror(AVERAGE(query(filter('Data Recording'!Q:Q,'Data Recording'!D:D=B32), ""Select Col1"")),""0.00"")"),0.2)</f>
        <v>0.2</v>
      </c>
      <c r="AG32" s="5">
        <f>IFERROR(__xludf.DUMMYFUNCTION("iferror(MAX(query(filter('Data Recording'!Q:Q,'Data Recording'!D:D=B32), ""Select Col1"")),""-"")"),1.0)</f>
        <v>1</v>
      </c>
      <c r="AH32" s="63" t="str">
        <f>IFERROR(__xludf.DUMMYFUNCTION("if(countif(query(filter('Data Recording'!R:R,'Data Recording'!D:D=B32), ""Select Col1""),""Yes, Engaged"")+countif(query(filter('Data Recording'!R:R,'Data Recording'!D:D=B32), ""Select Col1""),""Yes, Docked"")=0,""0"",countif(query(filter('Data Recording'"&amp;"!R:R,'Data Recording'!D:D=B32), ""Select Col1""),""Yes, Engaged""))+countif(query(filter('Data Recording'!R:R,'Data Recording'!D:D=B32), ""Select Col1""),""Yes, Docked"") &amp; ""/"" &amp; if(COUNTA(query(ifna(filter('Data Recording'!R:R,'Data Recording'!D:D=B32)"&amp;",""""), ""Select Col1""))=0,""0"",COUNTA(query(ifna(filter('Data Recording'!R:R,'Data Recording'!D:D=B32),""""), ""Select Col1"")))"),"0/12")</f>
        <v>0/12</v>
      </c>
      <c r="AI32" s="64" t="str">
        <f>IFERROR(__xludf.DUMMYFUNCTION("if(countif(query(filter('Data Recording'!R:R,'Data Recording'!D:D=B32), ""Select Col1""),""Yes, Engaged"")=0,""0"",countif(query(filter('Data Recording'!R:R,'Data Recording'!D:D=B32), ""Select Col1""),""Yes, Engaged"")) &amp; ""/"" &amp; if(COUNTA(query(ifna(filt"&amp;"er('Data Recording'!R:R,'Data Recording'!D:D=B32),""""), ""Select Col1""))=0,""0"",COUNTA(query(ifna(filter('Data Recording'!R:R,'Data Recording'!D:D=B32),""""), ""Select Col1"")))"),"0/12")</f>
        <v>0/12</v>
      </c>
      <c r="AJ32" s="5">
        <f>IFERROR(__xludf.DUMMYFUNCTION("iferror(SUM(query(filter('Data Recording'!S:S,'Data Recording'!D:D=B32), ""Select Col1"")),""-"")"),0.0)</f>
        <v>0</v>
      </c>
      <c r="AK32" s="5">
        <f>IFERROR(__xludf.DUMMYFUNCTION("iferror(SUM(query(filter('Data Recording'!T:T,'Data Recording'!D:D=B32), ""Select Col1"")),""-"")"),0.0)</f>
        <v>0</v>
      </c>
      <c r="AL32" s="59" t="str">
        <f t="shared" si="7"/>
        <v>-</v>
      </c>
      <c r="AM32" s="60" t="str">
        <f>IFERROR(__xludf.DUMMYFUNCTION("iferror(AVERAGE(query(filter('Data Recording'!T:T,'Data Recording'!D:D=B32), ""Select Col1"")),""0.00"")"),"0.00")</f>
        <v>0.00</v>
      </c>
      <c r="AN32" s="65">
        <f>IFERROR(__xludf.DUMMYFUNCTION("iferror(MAX(query(filter('Data Recording'!T:T,'Data Recording'!D:D=B32), ""Select Col1"")),""-"")"),0.0)</f>
        <v>0</v>
      </c>
      <c r="AO32" s="66">
        <f>IFERROR(__xludf.DUMMYFUNCTION("iferror(SUM(query(filter('Data Recording'!U:U,'Data Recording'!D:D=B32), ""Select Col1"")),""-"")"),0.0)</f>
        <v>0</v>
      </c>
      <c r="AP32" s="66">
        <f>IFERROR(__xludf.DUMMYFUNCTION("iferror(SUM(query(filter('Data Recording'!V:V,'Data Recording'!D:D=B32), ""Select Col1"")),""-"")"),0.0)</f>
        <v>0</v>
      </c>
      <c r="AQ32" s="67" t="str">
        <f t="shared" si="8"/>
        <v>-</v>
      </c>
      <c r="AR32" s="68" t="str">
        <f>IFERROR(__xludf.DUMMYFUNCTION("iferror(AVERAGE(query(filter('Data Recording'!V:V,'Data Recording'!D:D=B32), ""Select Col1"")),""0.00"")"),"0.00")</f>
        <v>0.00</v>
      </c>
      <c r="AS32" s="69">
        <f>IFERROR(__xludf.DUMMYFUNCTION("iferror(MAX(query(filter('Data Recording'!V:V,'Data Recording'!D:D=B32), ""Select Col1"")),""-"")"),0.0)</f>
        <v>0</v>
      </c>
      <c r="AT32" s="66">
        <f>IFERROR(__xludf.DUMMYFUNCTION("iferror(SUM(query(filter('Data Recording'!W:W,'Data Recording'!D:D=B32), ""Select Col1"")),""-"")"),1.0)</f>
        <v>1</v>
      </c>
      <c r="AU32" s="66">
        <f>IFERROR(__xludf.DUMMYFUNCTION("iferror(SUM(query(filter('Data Recording'!X:X,'Data Recording'!D:D=B32), ""Select Col1"")),""-"")"),1.0)</f>
        <v>1</v>
      </c>
      <c r="AV32" s="67">
        <f t="shared" si="9"/>
        <v>1</v>
      </c>
      <c r="AW32" s="68">
        <f>IFERROR(__xludf.DUMMYFUNCTION("iferror(AVERAGE(query(filter('Data Recording'!X:X,'Data Recording'!D:D=B32), ""Select Col1"")),""0.00"")"),1.0)</f>
        <v>1</v>
      </c>
      <c r="AX32" s="69">
        <f>IFERROR(__xludf.DUMMYFUNCTION("iferror(MAX(query(filter('Data Recording'!X:X,'Data Recording'!D:D=B32), ""Select Col1"")),""-"")"),1.0)</f>
        <v>1</v>
      </c>
      <c r="AY32" s="66">
        <f>IFERROR(__xludf.DUMMYFUNCTION("iferror(SUM(query(filter('Data Recording'!Y:Y,'Data Recording'!D:D=B32), ""Select Col1"")),""-"")"),0.0)</f>
        <v>0</v>
      </c>
      <c r="AZ32" s="66">
        <f>IFERROR(__xludf.DUMMYFUNCTION("iferror(SUM(query(filter('Data Recording'!Z:Z,'Data Recording'!D:D=B32), ""Select Col1"")),""-"")"),0.0)</f>
        <v>0</v>
      </c>
      <c r="BA32" s="67" t="str">
        <f t="shared" si="10"/>
        <v>-</v>
      </c>
      <c r="BB32" s="68" t="str">
        <f>IFERROR(__xludf.DUMMYFUNCTION("iferror(AVERAGE(query(filter('Data Recording'!Z:Z,'Data Recording'!D:D=B32), ""Select Col1"")),""0.00"")"),"0.00")</f>
        <v>0.00</v>
      </c>
      <c r="BC32" s="69">
        <f>IFERROR(__xludf.DUMMYFUNCTION("iferror(MAX(query(filter('Data Recording'!Z:Z,'Data Recording'!D:D=B32), ""Select Col1"")),""-"")"),0.0)</f>
        <v>0</v>
      </c>
      <c r="BD32" s="66">
        <f>IFERROR(__xludf.DUMMYFUNCTION("iferror(SUM(query(filter('Data Recording'!AA:AA,'Data Recording'!D:D=B32), ""Select Col1"")),""-"")"),0.0)</f>
        <v>0</v>
      </c>
      <c r="BE32" s="66">
        <f>IFERROR(__xludf.DUMMYFUNCTION("iferror(SUM(query(filter('Data Recording'!AB:AB,'Data Recording'!D:D=B32), ""Select Col1"")),""-"")"),0.0)</f>
        <v>0</v>
      </c>
      <c r="BF32" s="67" t="str">
        <f t="shared" si="11"/>
        <v>-</v>
      </c>
      <c r="BG32" s="68" t="str">
        <f>IFERROR(__xludf.DUMMYFUNCTION("iferror(AVERAGE(query(filter('Data Recording'!AB:AB,'Data Recording'!D:D=B32), ""Select Col1"")),""0.00"")"),"0.00")</f>
        <v>0.00</v>
      </c>
      <c r="BH32" s="69">
        <f>IFERROR(__xludf.DUMMYFUNCTION("iferror(MAX(query(filter('Data Recording'!AB:AB,'Data Recording'!D:D=B32), ""Select Col1"")),""-"")"),0.0)</f>
        <v>0</v>
      </c>
      <c r="BI32" s="66">
        <f>IFERROR(__xludf.DUMMYFUNCTION("iferror(SUM(query(filter('Data Recording'!AC:AC,'Data Recording'!D:D=B32), ""Select Col1"")),""-"")"),6.0)</f>
        <v>6</v>
      </c>
      <c r="BJ32" s="66">
        <f>IFERROR(__xludf.DUMMYFUNCTION("iferror(SUM(query(filter('Data Recording'!AD:AD,'Data Recording'!D:D=B32), ""Select Col1"")),""-"")"),6.0)</f>
        <v>6</v>
      </c>
      <c r="BK32" s="67">
        <f t="shared" si="12"/>
        <v>1</v>
      </c>
      <c r="BL32" s="68">
        <f>IFERROR(__xludf.DUMMYFUNCTION("iferror(AVERAGE(query(filter('Data Recording'!AD:AD,'Data Recording'!D:D=B32), ""Select Col1"")),""0.00"")"),0.8571428571428571)</f>
        <v>0.8571428571</v>
      </c>
      <c r="BM32" s="69">
        <f>IFERROR(__xludf.DUMMYFUNCTION("iferror(MAX(query(filter('Data Recording'!AD:AD,'Data Recording'!D:D=B32), ""Select Col1"")),""-"")"),1.0)</f>
        <v>1</v>
      </c>
      <c r="BN32" s="70" t="str">
        <f>IFERROR(__xludf.DUMMYFUNCTION("if(countif(query(filter('Data Recording'!AE:AE,'Data Recording'!D:D=B32), ""Select Col1""),""Yes, Engaged"")+countif(query(filter('Data Recording'!AE:AE,'Data Recording'!D:D=B32), ""Select Col1""),""Yes, Docked"")=0,""0"",countif(query(filter('Data Record"&amp;"ing'!AE:AE,'Data Recording'!D:D=B32), ""Select Col1""),""Yes, Engaged""))+countif(query(filter('Data Recording'!AE:AE,'Data Recording'!D:D=B32), ""Select Col1""),""Yes, Docked"") &amp; ""/"" &amp; if(COUNTA(query(ifna(filter('Data Recording'!AE:AE,'Data Recording"&amp;"'!D:D=B32),""""), ""Select Col1""))=0,""0"",COUNTA(query(ifna(filter('Data Recording'!AE:AE,'Data Recording'!D:D=B32),""""), ""Select Col1"")))"),"8/12")</f>
        <v>8/12</v>
      </c>
      <c r="BO32" s="71" t="str">
        <f>IFERROR(__xludf.DUMMYFUNCTION("if(countif(query(filter('Data Recording'!AE:AE,'Data Recording'!D:D=B32), ""Select Col1""),""Yes, Engaged"")=0,""0"",countif(query(filter('Data Recording'!AE:AE,'Data Recording'!D:D=B32), ""Select Col1""),""Yes, Engaged"")) &amp; ""/"" &amp; if(COUNTA(query(ifna("&amp;"filter('Data Recording'!AE:AE,'Data Recording'!D:D=B32),""""), ""Select Col1""))=0,""0"",COUNTA(query(ifna(filter('Data Recording'!AE:AE,'Data Recording'!D:D=B32),""""), ""Select Col1"")))"),"6/12")</f>
        <v>6/12</v>
      </c>
      <c r="BP32" s="64" t="str">
        <f>IFERROR(__xludf.DUMMYFUNCTION("if(countif(query(filter('Data Recording'!AH:AH,'Data Recording'!D:D=B32), ""Select Col1""),""Yes"")=0,""0"",countif(query(filter('Data Recording'!AH:AH,'Data Recording'!D:D=B32), ""Select Col1""),""Yes"")) &amp; ""/"" &amp; if(COUNTA(query(ifna(filter('Data Recor"&amp;"ding'!AH:AH,'Data Recording'!D:D=B32),""""), ""Select Col1""))=0,""0"",COUNTA(query(ifna(filter('Data Recording'!AH:AH,'Data Recording'!D:D=B32),""""), ""Select Col1"")))"),"3/12")</f>
        <v>3/12</v>
      </c>
      <c r="BQ32" s="72">
        <v>0.25</v>
      </c>
      <c r="BR32" s="60">
        <f>IFERROR(__xludf.DUMMYFUNCTION("iferror(average(query(filter('Data Recording'!AF:AF,'Data Recording'!D:D=B32), ""Select Col1"")),""-"")"),2.3333333333333335)</f>
        <v>2.333333333</v>
      </c>
      <c r="BS32" s="73">
        <f>IFERROR(__xludf.DUMMYFUNCTION("iferror(average(query(filter('Data Recording'!AG:AG,'Data Recording'!D:D=B32), ""Select Col1"")),""-"")"),2.5833333333333335)</f>
        <v>2.583333333</v>
      </c>
      <c r="BT32" s="74">
        <f t="shared" si="13"/>
        <v>23.31428571</v>
      </c>
      <c r="BU32" s="74">
        <f>IFERROR(__xludf.DUMMYFUNCTION("iferror(AVERAGE(query(filter('Data Recording'!AJ:AJ,'Data Recording'!D:D=B32), ""Select Col1"")),""-"")"),10.416666666666666)</f>
        <v>10.41666667</v>
      </c>
      <c r="BV32" s="74">
        <f>IFERROR(__xludf.DUMMYFUNCTION("iferror(AVERAGE(query(filter('Data Recording'!AK:AK,'Data Recording'!D:D=B32), ""Select Col1"")),""-"")"),2.1666666666666665)</f>
        <v>2.166666667</v>
      </c>
      <c r="BW32" s="74">
        <f t="shared" si="14"/>
        <v>10.31428571</v>
      </c>
      <c r="BX32" s="75">
        <f>IFERROR(__xludf.DUMMYFUNCTION("iferror(max(query(filter('Data Recording'!AJ:AJ,'Data Recording'!D:D=B32), ""Select Col1"")),""-"")"),19.0)</f>
        <v>19</v>
      </c>
      <c r="BY32" s="76">
        <f>IFERROR(__xludf.DUMMYFUNCTION("iferror(MIN(query(filter('Data Recording'!AJ:AJ,'Data Recording'!D:D=B32), ""Select Col1"")),""-"")"),2.0)</f>
        <v>2</v>
      </c>
      <c r="BZ32" s="77" t="str">
        <f>IFERROR(__xludf.DUMMYFUNCTION("iferror(if(DIVIDE(COUNTIF(query(filter('Data Recording'!R:R,'Data Recording'!D:D=B32), ""Select Col1""),""Yes, Docked"") + countif(query(filter('Data Recording'!R:R,'Data Recording'!D:D=B32), ""Select Col1""),""Yes, Engaged""),COUNTA(query(ifna(filter('Da"&amp;"ta Recording'!R:R,'Data Recording'!D:D=B32),""""), ""Select Col1"")))&gt;=(0.5),""1"",""0""),""-"")"),"0")</f>
        <v>0</v>
      </c>
      <c r="CA32" s="5" t="str">
        <f>IFERROR(__xludf.DUMMYFUNCTION("iferror(if(countif(query(filter('Data Recording'!R:R,'Data Recording'!D:D=B32), ""Select Col1""),""Yes, Engaged"")/COUNTA(query(ifna(filter('Data Recording'!R:R,'Data Recording'!D:D=B32),""""), ""Select Col1""))&gt;=(0.5),""1"",""0""),""-"")"),"0")</f>
        <v>0</v>
      </c>
      <c r="CB32" s="78" t="str">
        <f>IFERROR(__xludf.DUMMYFUNCTION("iferror(if(DIVIDE(COUNTIF(query(filter('Data Recording'!AE:AE,'Data Recording'!D:D=B32), ""Select Col1""),""Yes, Docked"") + countif(query(filter('Data Recording'!AE:AE,'Data Recording'!D:D=B32), ""Select Col1""),""Yes, Engaged""),COUNTA(query(ifna(filter"&amp;"('Data Recording'!AE:AE,'Data Recording'!D:D=B32),""""), ""Select Col1"")))&gt;=(0.5),""1"",""0""),""-"")"),"1")</f>
        <v>1</v>
      </c>
      <c r="CC32" s="5" t="str">
        <f>IFERROR(__xludf.DUMMYFUNCTION("iferror(if(countif(query(filter('Data Recording'!AE:AE,'Data Recording'!D:D=B32), ""Select Col1""),""Yes, Engaged"")/COUNTA(query(ifna(filter('Data Recording'!AE:AE,'Data Recording'!D:D=B32),""""), ""Select Col1""))&gt;=(0.5),""1"",""0""),""-"")"),"1")</f>
        <v>1</v>
      </c>
      <c r="CD32" s="78" t="str">
        <f>IFERROR(__xludf.DUMMYFUNCTION("iferror(if(DIVIDE(countif(query(filter('Data Recording'!E:E,'Data Recording'!D:D=B32), ""Select Col1""),""Yes""),COUNTA(query(ifna(filter('Data Recording'!E:E,'Data Recording'!D:D=B32),""""), ""Select Col1"")))&gt;=(0.5),""1"",""0""),""-"")"),"1")</f>
        <v>1</v>
      </c>
    </row>
    <row r="33">
      <c r="A33" s="2" t="s">
        <v>142</v>
      </c>
      <c r="B33" s="2">
        <v>5509.0</v>
      </c>
      <c r="C33" s="57" t="str">
        <f>IFERROR(__xludf.DUMMYFUNCTION("if(countif(query(filter('Data Recording'!E:E,'Data Recording'!D:D=B33), ""Select Col1""),""Yes"")=0,""0"",countif(query(filter('Data Recording'!E:E,'Data Recording'!D:D=B33), ""Select Col1""),""Yes"")) &amp; ""/"" &amp; if(COUNTA(query(ifna(filter('Data Recording"&amp;"'!E:E,'Data Recording'!D:D=B33),""""), ""Select Col1""))=0,""0"",COUNTA(query(ifna(filter('Data Recording'!E:E,'Data Recording'!D:D=B33),""""), ""Select Col1"")))"),"2/6")</f>
        <v>2/6</v>
      </c>
      <c r="D33" s="58">
        <f>IFERROR(__xludf.DUMMYFUNCTION("iferror(SUM(query(filter('Data Recording'!F:F,'Data Recording'!D:D=B33), ""Select Col1"")),""-"")"),0.0)</f>
        <v>0</v>
      </c>
      <c r="E33" s="58">
        <f>IFERROR(__xludf.DUMMYFUNCTION("iferror(SUM(query(filter('Data Recording'!G:G,'Data Recording'!D:D=B33), ""Select Col1"")),""-"")"),0.0)</f>
        <v>0</v>
      </c>
      <c r="F33" s="59" t="str">
        <f t="shared" si="1"/>
        <v>-</v>
      </c>
      <c r="G33" s="60" t="str">
        <f>IFERROR(__xludf.DUMMYFUNCTION("iferror(AVERAGE(query(filter('Data Recording'!G:G,'Data Recording'!D:D=B33), ""Select Col1"")),""0.00"")"),"0.00")</f>
        <v>0.00</v>
      </c>
      <c r="H33" s="58">
        <f>IFERROR(__xludf.DUMMYFUNCTION("iferror(MAX(query(filter('Data Recording'!G:G,'Data Recording'!D:D=B33), ""Select Col1"")),""-"")"),0.0)</f>
        <v>0</v>
      </c>
      <c r="I33" s="61">
        <f>IFERROR(__xludf.DUMMYFUNCTION("iferror(SUM(query(filter('Data Recording'!H:H,'Data Recording'!D:D=B33), ""Select Col1"")),""-"")"),0.0)</f>
        <v>0</v>
      </c>
      <c r="J33" s="62">
        <f>IFERROR(__xludf.DUMMYFUNCTION("iferror(SUM(query(filter('Data Recording'!I:I,'Data Recording'!D:D=B33), ""Select Col1"")),""-"")"),0.0)</f>
        <v>0</v>
      </c>
      <c r="K33" s="59" t="str">
        <f t="shared" si="2"/>
        <v>-</v>
      </c>
      <c r="L33" s="60" t="str">
        <f>IFERROR(__xludf.DUMMYFUNCTION("iferror(AVERAGE(query(filter('Data Recording'!I:I,'Data Recording'!D:D=B33), ""Select Col1"")),""0.00"")"),"0.00")</f>
        <v>0.00</v>
      </c>
      <c r="M33" s="58">
        <f>IFERROR(__xludf.DUMMYFUNCTION("iferror(MAX(query(filter('Data Recording'!I:I,'Data Recording'!D:D=B33), ""Select Col1"")),""-"")"),0.0)</f>
        <v>0</v>
      </c>
      <c r="N33" s="63">
        <f>IFERROR(__xludf.DUMMYFUNCTION("iferror(SUM(query(filter('Data Recording'!J:J,'Data Recording'!D:D=B33), ""Select Col1"")),""-"")"),0.0)</f>
        <v>0</v>
      </c>
      <c r="O33" s="5">
        <f>IFERROR(__xludf.DUMMYFUNCTION("iferror(SUM(query(filter('Data Recording'!K:K,'Data Recording'!D:D=B33), ""Select Col1"")),""-"")"),0.0)</f>
        <v>0</v>
      </c>
      <c r="P33" s="59" t="str">
        <f t="shared" si="3"/>
        <v>-</v>
      </c>
      <c r="Q33" s="60" t="str">
        <f>IFERROR(__xludf.DUMMYFUNCTION("iferror(AVERAGE(query(filter('Data Recording'!K:K,'Data Recording'!D:D=B33), ""Select Col1"")),""0.00"")"),"0.00")</f>
        <v>0.00</v>
      </c>
      <c r="R33" s="58">
        <f>IFERROR(__xludf.DUMMYFUNCTION("iferror(MAX(query(filter('Data Recording'!K:K,'Data Recording'!D:D=B33), ""Select Col1"")),""-"")"),0.0)</f>
        <v>0</v>
      </c>
      <c r="S33" s="63">
        <f>IFERROR(__xludf.DUMMYFUNCTION("iferror(SUM(query(filter('Data Recording'!L:L,'Data Recording'!D:D=B33), ""Select Col1"")),""-"")"),0.0)</f>
        <v>0</v>
      </c>
      <c r="T33" s="5">
        <f>IFERROR(__xludf.DUMMYFUNCTION("iferror(SUM(query(filter('Data Recording'!M:M,'Data Recording'!D:D=B33), ""Select Col1"")),""-"")"),0.0)</f>
        <v>0</v>
      </c>
      <c r="U33" s="59" t="str">
        <f t="shared" si="4"/>
        <v>-</v>
      </c>
      <c r="V33" s="60">
        <f>IFERROR(__xludf.DUMMYFUNCTION("iferror(AVERAGE(query(filter('Data Recording'!M:M,'Data Recording'!D:D=B33), ""Select Col1"")),""-"")"),0.0)</f>
        <v>0</v>
      </c>
      <c r="W33" s="57">
        <f>IFERROR(__xludf.DUMMYFUNCTION("iferror(MAX(query(filter('Data Recording'!M:M,'Data Recording'!D:D=B33), ""Select Col1"")),""-"")"),0.0)</f>
        <v>0</v>
      </c>
      <c r="X33" s="5">
        <f>IFERROR(__xludf.DUMMYFUNCTION("iferror(SUM(query(filter('Data Recording'!N:N,'Data Recording'!D:D=B33), ""Select Col1"")),""-"")"),0.0)</f>
        <v>0</v>
      </c>
      <c r="Y33" s="5">
        <f>IFERROR(__xludf.DUMMYFUNCTION("iferror(SUM(query(filter('Data Recording'!O:O,'Data Recording'!D:D=B33), ""Select Col1"")),""-"")"),0.0)</f>
        <v>0</v>
      </c>
      <c r="Z33" s="59" t="str">
        <f t="shared" si="5"/>
        <v>-</v>
      </c>
      <c r="AA33" s="60" t="str">
        <f>IFERROR(__xludf.DUMMYFUNCTION("iferror(AVERAGE(query(filter('Data Recording'!O:O,'Data Recording'!D:D=B33), ""Select Col1"")),""0.00"")"),"0.00")</f>
        <v>0.00</v>
      </c>
      <c r="AB33" s="57">
        <f>IFERROR(__xludf.DUMMYFUNCTION("iferror(MAX(query(filter('Data Recording'!O:O,'Data Recording'!D:D=B33), ""Select Col1"")),""-"")"),0.0)</f>
        <v>0</v>
      </c>
      <c r="AC33" s="5">
        <f>IFERROR(__xludf.DUMMYFUNCTION("iferror(SUM(query(filter('Data Recording'!P:P,'Data Recording'!D:D=B33), ""Select Col1"")),""-"")"),0.0)</f>
        <v>0</v>
      </c>
      <c r="AD33" s="5">
        <f>IFERROR(__xludf.DUMMYFUNCTION("iferror(SUM(query(filter('Data Recording'!Q:Q,'Data Recording'!D:D=B33), ""Select Col1"")),""-"")"),0.0)</f>
        <v>0</v>
      </c>
      <c r="AE33" s="59" t="str">
        <f t="shared" si="6"/>
        <v>-</v>
      </c>
      <c r="AF33" s="60" t="str">
        <f>IFERROR(__xludf.DUMMYFUNCTION("iferror(AVERAGE(query(filter('Data Recording'!Q:Q,'Data Recording'!D:D=B33), ""Select Col1"")),""0.00"")"),"0.00")</f>
        <v>0.00</v>
      </c>
      <c r="AG33" s="5">
        <f>IFERROR(__xludf.DUMMYFUNCTION("iferror(MAX(query(filter('Data Recording'!Q:Q,'Data Recording'!D:D=B33), ""Select Col1"")),""-"")"),0.0)</f>
        <v>0</v>
      </c>
      <c r="AH33" s="63" t="str">
        <f>IFERROR(__xludf.DUMMYFUNCTION("if(countif(query(filter('Data Recording'!R:R,'Data Recording'!D:D=B33), ""Select Col1""),""Yes, Engaged"")+countif(query(filter('Data Recording'!R:R,'Data Recording'!D:D=B33), ""Select Col1""),""Yes, Docked"")=0,""0"",countif(query(filter('Data Recording'"&amp;"!R:R,'Data Recording'!D:D=B33), ""Select Col1""),""Yes, Engaged""))+countif(query(filter('Data Recording'!R:R,'Data Recording'!D:D=B33), ""Select Col1""),""Yes, Docked"") &amp; ""/"" &amp; if(COUNTA(query(ifna(filter('Data Recording'!R:R,'Data Recording'!D:D=B33)"&amp;",""""), ""Select Col1""))=0,""0"",COUNTA(query(ifna(filter('Data Recording'!R:R,'Data Recording'!D:D=B33),""""), ""Select Col1"")))"),"0/6")</f>
        <v>0/6</v>
      </c>
      <c r="AI33" s="64" t="str">
        <f>IFERROR(__xludf.DUMMYFUNCTION("if(countif(query(filter('Data Recording'!R:R,'Data Recording'!D:D=B33), ""Select Col1""),""Yes, Engaged"")=0,""0"",countif(query(filter('Data Recording'!R:R,'Data Recording'!D:D=B33), ""Select Col1""),""Yes, Engaged"")) &amp; ""/"" &amp; if(COUNTA(query(ifna(filt"&amp;"er('Data Recording'!R:R,'Data Recording'!D:D=B33),""""), ""Select Col1""))=0,""0"",COUNTA(query(ifna(filter('Data Recording'!R:R,'Data Recording'!D:D=B33),""""), ""Select Col1"")))"),"0/6")</f>
        <v>0/6</v>
      </c>
      <c r="AJ33" s="5">
        <f>IFERROR(__xludf.DUMMYFUNCTION("iferror(SUM(query(filter('Data Recording'!S:S,'Data Recording'!D:D=B33), ""Select Col1"")),""-"")"),3.0)</f>
        <v>3</v>
      </c>
      <c r="AK33" s="5">
        <f>IFERROR(__xludf.DUMMYFUNCTION("iferror(SUM(query(filter('Data Recording'!T:T,'Data Recording'!D:D=B33), ""Select Col1"")),""-"")"),0.0)</f>
        <v>0</v>
      </c>
      <c r="AL33" s="59">
        <f t="shared" si="7"/>
        <v>0</v>
      </c>
      <c r="AM33" s="60">
        <f>IFERROR(__xludf.DUMMYFUNCTION("iferror(AVERAGE(query(filter('Data Recording'!T:T,'Data Recording'!D:D=B33), ""Select Col1"")),""0.00"")"),0.0)</f>
        <v>0</v>
      </c>
      <c r="AN33" s="65">
        <f>IFERROR(__xludf.DUMMYFUNCTION("iferror(MAX(query(filter('Data Recording'!T:T,'Data Recording'!D:D=B33), ""Select Col1"")),""-"")"),0.0)</f>
        <v>0</v>
      </c>
      <c r="AO33" s="66">
        <f>IFERROR(__xludf.DUMMYFUNCTION("iferror(SUM(query(filter('Data Recording'!U:U,'Data Recording'!D:D=B33), ""Select Col1"")),""-"")"),0.0)</f>
        <v>0</v>
      </c>
      <c r="AP33" s="66">
        <f>IFERROR(__xludf.DUMMYFUNCTION("iferror(SUM(query(filter('Data Recording'!V:V,'Data Recording'!D:D=B33), ""Select Col1"")),""-"")"),0.0)</f>
        <v>0</v>
      </c>
      <c r="AQ33" s="67" t="str">
        <f t="shared" si="8"/>
        <v>-</v>
      </c>
      <c r="AR33" s="68" t="str">
        <f>IFERROR(__xludf.DUMMYFUNCTION("iferror(AVERAGE(query(filter('Data Recording'!V:V,'Data Recording'!D:D=B33), ""Select Col1"")),""0.00"")"),"0.00")</f>
        <v>0.00</v>
      </c>
      <c r="AS33" s="69">
        <f>IFERROR(__xludf.DUMMYFUNCTION("iferror(MAX(query(filter('Data Recording'!V:V,'Data Recording'!D:D=B33), ""Select Col1"")),""-"")"),0.0)</f>
        <v>0</v>
      </c>
      <c r="AT33" s="66">
        <f>IFERROR(__xludf.DUMMYFUNCTION("iferror(SUM(query(filter('Data Recording'!W:W,'Data Recording'!D:D=B33), ""Select Col1"")),""-"")"),0.0)</f>
        <v>0</v>
      </c>
      <c r="AU33" s="66">
        <f>IFERROR(__xludf.DUMMYFUNCTION("iferror(SUM(query(filter('Data Recording'!X:X,'Data Recording'!D:D=B33), ""Select Col1"")),""-"")"),2.0)</f>
        <v>2</v>
      </c>
      <c r="AV33" s="67" t="str">
        <f t="shared" si="9"/>
        <v>-</v>
      </c>
      <c r="AW33" s="68">
        <f>IFERROR(__xludf.DUMMYFUNCTION("iferror(AVERAGE(query(filter('Data Recording'!X:X,'Data Recording'!D:D=B33), ""Select Col1"")),""0.00"")"),1.0)</f>
        <v>1</v>
      </c>
      <c r="AX33" s="69">
        <f>IFERROR(__xludf.DUMMYFUNCTION("iferror(MAX(query(filter('Data Recording'!X:X,'Data Recording'!D:D=B33), ""Select Col1"")),""-"")"),1.0)</f>
        <v>1</v>
      </c>
      <c r="AY33" s="66">
        <f>IFERROR(__xludf.DUMMYFUNCTION("iferror(SUM(query(filter('Data Recording'!Y:Y,'Data Recording'!D:D=B33), ""Select Col1"")),""-"")"),5.0)</f>
        <v>5</v>
      </c>
      <c r="AZ33" s="66">
        <f>IFERROR(__xludf.DUMMYFUNCTION("iferror(SUM(query(filter('Data Recording'!Z:Z,'Data Recording'!D:D=B33), ""Select Col1"")),""-"")"),4.0)</f>
        <v>4</v>
      </c>
      <c r="BA33" s="67">
        <f t="shared" si="10"/>
        <v>0.8</v>
      </c>
      <c r="BB33" s="68">
        <f>IFERROR(__xludf.DUMMYFUNCTION("iferror(AVERAGE(query(filter('Data Recording'!Z:Z,'Data Recording'!D:D=B33), ""Select Col1"")),""0.00"")"),1.0)</f>
        <v>1</v>
      </c>
      <c r="BC33" s="69">
        <f>IFERROR(__xludf.DUMMYFUNCTION("iferror(MAX(query(filter('Data Recording'!Z:Z,'Data Recording'!D:D=B33), ""Select Col1"")),""-"")"),2.0)</f>
        <v>2</v>
      </c>
      <c r="BD33" s="66">
        <f>IFERROR(__xludf.DUMMYFUNCTION("iferror(SUM(query(filter('Data Recording'!AA:AA,'Data Recording'!D:D=B33), ""Select Col1"")),""-"")"),1.0)</f>
        <v>1</v>
      </c>
      <c r="BE33" s="66">
        <f>IFERROR(__xludf.DUMMYFUNCTION("iferror(SUM(query(filter('Data Recording'!AB:AB,'Data Recording'!D:D=B33), ""Select Col1"")),""-"")"),1.0)</f>
        <v>1</v>
      </c>
      <c r="BF33" s="67">
        <f t="shared" si="11"/>
        <v>1</v>
      </c>
      <c r="BG33" s="68">
        <f>IFERROR(__xludf.DUMMYFUNCTION("iferror(AVERAGE(query(filter('Data Recording'!AB:AB,'Data Recording'!D:D=B33), ""Select Col1"")),""0.00"")"),1.0)</f>
        <v>1</v>
      </c>
      <c r="BH33" s="69">
        <f>IFERROR(__xludf.DUMMYFUNCTION("iferror(MAX(query(filter('Data Recording'!AB:AB,'Data Recording'!D:D=B33), ""Select Col1"")),""-"")"),1.0)</f>
        <v>1</v>
      </c>
      <c r="BI33" s="66">
        <f>IFERROR(__xludf.DUMMYFUNCTION("iferror(SUM(query(filter('Data Recording'!AC:AC,'Data Recording'!D:D=B33), ""Select Col1"")),""-"")"),2.0)</f>
        <v>2</v>
      </c>
      <c r="BJ33" s="66">
        <f>IFERROR(__xludf.DUMMYFUNCTION("iferror(SUM(query(filter('Data Recording'!AD:AD,'Data Recording'!D:D=B33), ""Select Col1"")),""-"")"),2.0)</f>
        <v>2</v>
      </c>
      <c r="BK33" s="67">
        <f t="shared" si="12"/>
        <v>1</v>
      </c>
      <c r="BL33" s="68">
        <f>IFERROR(__xludf.DUMMYFUNCTION("iferror(AVERAGE(query(filter('Data Recording'!AD:AD,'Data Recording'!D:D=B33), ""Select Col1"")),""0.00"")"),2.0)</f>
        <v>2</v>
      </c>
      <c r="BM33" s="69">
        <f>IFERROR(__xludf.DUMMYFUNCTION("iferror(MAX(query(filter('Data Recording'!AD:AD,'Data Recording'!D:D=B33), ""Select Col1"")),""-"")"),2.0)</f>
        <v>2</v>
      </c>
      <c r="BN33" s="70" t="str">
        <f>IFERROR(__xludf.DUMMYFUNCTION("if(countif(query(filter('Data Recording'!AE:AE,'Data Recording'!D:D=B33), ""Select Col1""),""Yes, Engaged"")+countif(query(filter('Data Recording'!AE:AE,'Data Recording'!D:D=B33), ""Select Col1""),""Yes, Docked"")=0,""0"",countif(query(filter('Data Record"&amp;"ing'!AE:AE,'Data Recording'!D:D=B33), ""Select Col1""),""Yes, Engaged""))+countif(query(filter('Data Recording'!AE:AE,'Data Recording'!D:D=B33), ""Select Col1""),""Yes, Docked"") &amp; ""/"" &amp; if(COUNTA(query(ifna(filter('Data Recording'!AE:AE,'Data Recording"&amp;"'!D:D=B33),""""), ""Select Col1""))=0,""0"",COUNTA(query(ifna(filter('Data Recording'!AE:AE,'Data Recording'!D:D=B33),""""), ""Select Col1"")))"),"2/6")</f>
        <v>2/6</v>
      </c>
      <c r="BO33" s="71" t="str">
        <f>IFERROR(__xludf.DUMMYFUNCTION("if(countif(query(filter('Data Recording'!AE:AE,'Data Recording'!D:D=B33), ""Select Col1""),""Yes, Engaged"")=0,""0"",countif(query(filter('Data Recording'!AE:AE,'Data Recording'!D:D=B33), ""Select Col1""),""Yes, Engaged"")) &amp; ""/"" &amp; if(COUNTA(query(ifna("&amp;"filter('Data Recording'!AE:AE,'Data Recording'!D:D=B33),""""), ""Select Col1""))=0,""0"",COUNTA(query(ifna(filter('Data Recording'!AE:AE,'Data Recording'!D:D=B33),""""), ""Select Col1"")))"),"1/6")</f>
        <v>1/6</v>
      </c>
      <c r="BP33" s="64" t="str">
        <f>IFERROR(__xludf.DUMMYFUNCTION("if(countif(query(filter('Data Recording'!AH:AH,'Data Recording'!D:D=B33), ""Select Col1""),""Yes"")=0,""0"",countif(query(filter('Data Recording'!AH:AH,'Data Recording'!D:D=B33), ""Select Col1""),""Yes"")) &amp; ""/"" &amp; if(COUNTA(query(ifna(filter('Data Recor"&amp;"ding'!AH:AH,'Data Recording'!D:D=B33),""""), ""Select Col1""))=0,""0"",COUNTA(query(ifna(filter('Data Recording'!AH:AH,'Data Recording'!D:D=B33),""""), ""Select Col1"")))"),"0/6")</f>
        <v>0/6</v>
      </c>
      <c r="BQ33" s="72">
        <v>0.0</v>
      </c>
      <c r="BR33" s="60">
        <f>IFERROR(__xludf.DUMMYFUNCTION("iferror(average(query(filter('Data Recording'!AF:AF,'Data Recording'!D:D=B33), ""Select Col1"")),""-"")"),1.6666666666666667)</f>
        <v>1.666666667</v>
      </c>
      <c r="BS33" s="73">
        <f>IFERROR(__xludf.DUMMYFUNCTION("iferror(average(query(filter('Data Recording'!AG:AG,'Data Recording'!D:D=B33), ""Select Col1"")),""-"")"),1.0)</f>
        <v>1</v>
      </c>
      <c r="BT33" s="74">
        <f t="shared" si="13"/>
        <v>14</v>
      </c>
      <c r="BU33" s="74">
        <f>IFERROR(__xludf.DUMMYFUNCTION("iferror(AVERAGE(query(filter('Data Recording'!AJ:AJ,'Data Recording'!D:D=B33), ""Select Col1"")),""-"")"),9.833333333333334)</f>
        <v>9.833333333</v>
      </c>
      <c r="BV33" s="74">
        <f>IFERROR(__xludf.DUMMYFUNCTION("iferror(AVERAGE(query(filter('Data Recording'!AK:AK,'Data Recording'!D:D=B33), ""Select Col1"")),""-"")"),5.166666666666667)</f>
        <v>5.166666667</v>
      </c>
      <c r="BW33" s="74">
        <f t="shared" si="14"/>
        <v>14</v>
      </c>
      <c r="BX33" s="75">
        <f>IFERROR(__xludf.DUMMYFUNCTION("iferror(max(query(filter('Data Recording'!AJ:AJ,'Data Recording'!D:D=B33), ""Select Col1"")),""-"")"),22.0)</f>
        <v>22</v>
      </c>
      <c r="BY33" s="76">
        <f>IFERROR(__xludf.DUMMYFUNCTION("iferror(MIN(query(filter('Data Recording'!AJ:AJ,'Data Recording'!D:D=B33), ""Select Col1"")),""-"")"),0.0)</f>
        <v>0</v>
      </c>
      <c r="BZ33" s="77" t="str">
        <f>IFERROR(__xludf.DUMMYFUNCTION("iferror(if(DIVIDE(COUNTIF(query(filter('Data Recording'!R:R,'Data Recording'!D:D=B33), ""Select Col1""),""Yes, Docked"") + countif(query(filter('Data Recording'!R:R,'Data Recording'!D:D=B33), ""Select Col1""),""Yes, Engaged""),COUNTA(query(ifna(filter('Da"&amp;"ta Recording'!R:R,'Data Recording'!D:D=B33),""""), ""Select Col1"")))&gt;=(0.5),""1"",""0""),""-"")"),"0")</f>
        <v>0</v>
      </c>
      <c r="CA33" s="5" t="str">
        <f>IFERROR(__xludf.DUMMYFUNCTION("iferror(if(countif(query(filter('Data Recording'!R:R,'Data Recording'!D:D=B33), ""Select Col1""),""Yes, Engaged"")/COUNTA(query(ifna(filter('Data Recording'!R:R,'Data Recording'!D:D=B33),""""), ""Select Col1""))&gt;=(0.5),""1"",""0""),""-"")"),"0")</f>
        <v>0</v>
      </c>
      <c r="CB33" s="78" t="str">
        <f>IFERROR(__xludf.DUMMYFUNCTION("iferror(if(DIVIDE(COUNTIF(query(filter('Data Recording'!AE:AE,'Data Recording'!D:D=B33), ""Select Col1""),""Yes, Docked"") + countif(query(filter('Data Recording'!AE:AE,'Data Recording'!D:D=B33), ""Select Col1""),""Yes, Engaged""),COUNTA(query(ifna(filter"&amp;"('Data Recording'!AE:AE,'Data Recording'!D:D=B33),""""), ""Select Col1"")))&gt;=(0.5),""1"",""0""),""-"")"),"0")</f>
        <v>0</v>
      </c>
      <c r="CC33" s="5" t="str">
        <f>IFERROR(__xludf.DUMMYFUNCTION("iferror(if(countif(query(filter('Data Recording'!AE:AE,'Data Recording'!D:D=B33), ""Select Col1""),""Yes, Engaged"")/COUNTA(query(ifna(filter('Data Recording'!AE:AE,'Data Recording'!D:D=B33),""""), ""Select Col1""))&gt;=(0.5),""1"",""0""),""-"")"),"0")</f>
        <v>0</v>
      </c>
      <c r="CD33" s="78" t="str">
        <f>IFERROR(__xludf.DUMMYFUNCTION("iferror(if(DIVIDE(countif(query(filter('Data Recording'!E:E,'Data Recording'!D:D=B33), ""Select Col1""),""Yes""),COUNTA(query(ifna(filter('Data Recording'!E:E,'Data Recording'!D:D=B33),""""), ""Select Col1"")))&gt;=(0.5),""1"",""0""),""-"")"),"0")</f>
        <v>0</v>
      </c>
    </row>
    <row r="34">
      <c r="A34" s="2" t="s">
        <v>143</v>
      </c>
      <c r="B34" s="2">
        <v>9209.0</v>
      </c>
      <c r="C34" s="57" t="str">
        <f>IFERROR(__xludf.DUMMYFUNCTION("if(countif(query(filter('Data Recording'!E:E,'Data Recording'!D:D=B34), ""Select Col1""),""Yes"")=0,""0"",countif(query(filter('Data Recording'!E:E,'Data Recording'!D:D=B34), ""Select Col1""),""Yes"")) &amp; ""/"" &amp; if(COUNTA(query(ifna(filter('Data Recording"&amp;"'!E:E,'Data Recording'!D:D=B34),""""), ""Select Col1""))=0,""0"",COUNTA(query(ifna(filter('Data Recording'!E:E,'Data Recording'!D:D=B34),""""), ""Select Col1"")))"),"3/4")</f>
        <v>3/4</v>
      </c>
      <c r="D34" s="58">
        <f>IFERROR(__xludf.DUMMYFUNCTION("iferror(SUM(query(filter('Data Recording'!F:F,'Data Recording'!D:D=B34), ""Select Col1"")),""-"")"),0.0)</f>
        <v>0</v>
      </c>
      <c r="E34" s="58">
        <f>IFERROR(__xludf.DUMMYFUNCTION("iferror(SUM(query(filter('Data Recording'!G:G,'Data Recording'!D:D=B34), ""Select Col1"")),""-"")"),0.0)</f>
        <v>0</v>
      </c>
      <c r="F34" s="59" t="str">
        <f t="shared" si="1"/>
        <v>-</v>
      </c>
      <c r="G34" s="60" t="str">
        <f>IFERROR(__xludf.DUMMYFUNCTION("iferror(AVERAGE(query(filter('Data Recording'!G:G,'Data Recording'!D:D=B34), ""Select Col1"")),""0.00"")"),"0.00")</f>
        <v>0.00</v>
      </c>
      <c r="H34" s="58">
        <f>IFERROR(__xludf.DUMMYFUNCTION("iferror(MAX(query(filter('Data Recording'!G:G,'Data Recording'!D:D=B34), ""Select Col1"")),""-"")"),0.0)</f>
        <v>0</v>
      </c>
      <c r="I34" s="61">
        <f>IFERROR(__xludf.DUMMYFUNCTION("iferror(SUM(query(filter('Data Recording'!H:H,'Data Recording'!D:D=B34), ""Select Col1"")),""-"")"),0.0)</f>
        <v>0</v>
      </c>
      <c r="J34" s="62">
        <f>IFERROR(__xludf.DUMMYFUNCTION("iferror(SUM(query(filter('Data Recording'!I:I,'Data Recording'!D:D=B34), ""Select Col1"")),""-"")"),0.0)</f>
        <v>0</v>
      </c>
      <c r="K34" s="59" t="str">
        <f t="shared" si="2"/>
        <v>-</v>
      </c>
      <c r="L34" s="60" t="str">
        <f>IFERROR(__xludf.DUMMYFUNCTION("iferror(AVERAGE(query(filter('Data Recording'!I:I,'Data Recording'!D:D=B34), ""Select Col1"")),""0.00"")"),"0.00")</f>
        <v>0.00</v>
      </c>
      <c r="M34" s="58">
        <f>IFERROR(__xludf.DUMMYFUNCTION("iferror(MAX(query(filter('Data Recording'!I:I,'Data Recording'!D:D=B34), ""Select Col1"")),""-"")"),0.0)</f>
        <v>0</v>
      </c>
      <c r="N34" s="63">
        <f>IFERROR(__xludf.DUMMYFUNCTION("iferror(SUM(query(filter('Data Recording'!J:J,'Data Recording'!D:D=B34), ""Select Col1"")),""-"")"),1.0)</f>
        <v>1</v>
      </c>
      <c r="O34" s="5">
        <f>IFERROR(__xludf.DUMMYFUNCTION("iferror(SUM(query(filter('Data Recording'!K:K,'Data Recording'!D:D=B34), ""Select Col1"")),""-"")"),1.0)</f>
        <v>1</v>
      </c>
      <c r="P34" s="59">
        <f t="shared" si="3"/>
        <v>1</v>
      </c>
      <c r="Q34" s="60">
        <f>IFERROR(__xludf.DUMMYFUNCTION("iferror(AVERAGE(query(filter('Data Recording'!K:K,'Data Recording'!D:D=B34), ""Select Col1"")),""0.00"")"),1.0)</f>
        <v>1</v>
      </c>
      <c r="R34" s="58">
        <f>IFERROR(__xludf.DUMMYFUNCTION("iferror(MAX(query(filter('Data Recording'!K:K,'Data Recording'!D:D=B34), ""Select Col1"")),""-"")"),1.0)</f>
        <v>1</v>
      </c>
      <c r="S34" s="63">
        <f>IFERROR(__xludf.DUMMYFUNCTION("iferror(SUM(query(filter('Data Recording'!L:L,'Data Recording'!D:D=B34), ""Select Col1"")),""-"")"),0.0)</f>
        <v>0</v>
      </c>
      <c r="T34" s="5">
        <f>IFERROR(__xludf.DUMMYFUNCTION("iferror(SUM(query(filter('Data Recording'!M:M,'Data Recording'!D:D=B34), ""Select Col1"")),""-"")"),0.0)</f>
        <v>0</v>
      </c>
      <c r="U34" s="59" t="str">
        <f t="shared" si="4"/>
        <v>-</v>
      </c>
      <c r="V34" s="60" t="str">
        <f>IFERROR(__xludf.DUMMYFUNCTION("iferror(AVERAGE(query(filter('Data Recording'!M:M,'Data Recording'!D:D=B34), ""Select Col1"")),""-"")"),"-")</f>
        <v>-</v>
      </c>
      <c r="W34" s="57">
        <f>IFERROR(__xludf.DUMMYFUNCTION("iferror(MAX(query(filter('Data Recording'!M:M,'Data Recording'!D:D=B34), ""Select Col1"")),""-"")"),0.0)</f>
        <v>0</v>
      </c>
      <c r="X34" s="5">
        <f>IFERROR(__xludf.DUMMYFUNCTION("iferror(SUM(query(filter('Data Recording'!N:N,'Data Recording'!D:D=B34), ""Select Col1"")),""-"")"),0.0)</f>
        <v>0</v>
      </c>
      <c r="Y34" s="5">
        <f>IFERROR(__xludf.DUMMYFUNCTION("iferror(SUM(query(filter('Data Recording'!O:O,'Data Recording'!D:D=B34), ""Select Col1"")),""-"")"),0.0)</f>
        <v>0</v>
      </c>
      <c r="Z34" s="59" t="str">
        <f t="shared" si="5"/>
        <v>-</v>
      </c>
      <c r="AA34" s="60" t="str">
        <f>IFERROR(__xludf.DUMMYFUNCTION("iferror(AVERAGE(query(filter('Data Recording'!O:O,'Data Recording'!D:D=B34), ""Select Col1"")),""0.00"")"),"0.00")</f>
        <v>0.00</v>
      </c>
      <c r="AB34" s="57">
        <f>IFERROR(__xludf.DUMMYFUNCTION("iferror(MAX(query(filter('Data Recording'!O:O,'Data Recording'!D:D=B34), ""Select Col1"")),""-"")"),0.0)</f>
        <v>0</v>
      </c>
      <c r="AC34" s="5">
        <f>IFERROR(__xludf.DUMMYFUNCTION("iferror(SUM(query(filter('Data Recording'!P:P,'Data Recording'!D:D=B34), ""Select Col1"")),""-"")"),0.0)</f>
        <v>0</v>
      </c>
      <c r="AD34" s="5">
        <f>IFERROR(__xludf.DUMMYFUNCTION("iferror(SUM(query(filter('Data Recording'!Q:Q,'Data Recording'!D:D=B34), ""Select Col1"")),""-"")"),0.0)</f>
        <v>0</v>
      </c>
      <c r="AE34" s="59" t="str">
        <f t="shared" si="6"/>
        <v>-</v>
      </c>
      <c r="AF34" s="60" t="str">
        <f>IFERROR(__xludf.DUMMYFUNCTION("iferror(AVERAGE(query(filter('Data Recording'!Q:Q,'Data Recording'!D:D=B34), ""Select Col1"")),""0.00"")"),"0.00")</f>
        <v>0.00</v>
      </c>
      <c r="AG34" s="5">
        <f>IFERROR(__xludf.DUMMYFUNCTION("iferror(MAX(query(filter('Data Recording'!Q:Q,'Data Recording'!D:D=B34), ""Select Col1"")),""-"")"),0.0)</f>
        <v>0</v>
      </c>
      <c r="AH34" s="63" t="str">
        <f>IFERROR(__xludf.DUMMYFUNCTION("if(countif(query(filter('Data Recording'!R:R,'Data Recording'!D:D=B34), ""Select Col1""),""Yes, Engaged"")+countif(query(filter('Data Recording'!R:R,'Data Recording'!D:D=B34), ""Select Col1""),""Yes, Docked"")=0,""0"",countif(query(filter('Data Recording'"&amp;"!R:R,'Data Recording'!D:D=B34), ""Select Col1""),""Yes, Engaged""))+countif(query(filter('Data Recording'!R:R,'Data Recording'!D:D=B34), ""Select Col1""),""Yes, Docked"") &amp; ""/"" &amp; if(COUNTA(query(ifna(filter('Data Recording'!R:R,'Data Recording'!D:D=B34)"&amp;",""""), ""Select Col1""))=0,""0"",COUNTA(query(ifna(filter('Data Recording'!R:R,'Data Recording'!D:D=B34),""""), ""Select Col1"")))"),"0/4")</f>
        <v>0/4</v>
      </c>
      <c r="AI34" s="64" t="str">
        <f>IFERROR(__xludf.DUMMYFUNCTION("if(countif(query(filter('Data Recording'!R:R,'Data Recording'!D:D=B34), ""Select Col1""),""Yes, Engaged"")=0,""0"",countif(query(filter('Data Recording'!R:R,'Data Recording'!D:D=B34), ""Select Col1""),""Yes, Engaged"")) &amp; ""/"" &amp; if(COUNTA(query(ifna(filt"&amp;"er('Data Recording'!R:R,'Data Recording'!D:D=B34),""""), ""Select Col1""))=0,""0"",COUNTA(query(ifna(filter('Data Recording'!R:R,'Data Recording'!D:D=B34),""""), ""Select Col1"")))"),"0/4")</f>
        <v>0/4</v>
      </c>
      <c r="AJ34" s="5">
        <f>IFERROR(__xludf.DUMMYFUNCTION("iferror(SUM(query(filter('Data Recording'!S:S,'Data Recording'!D:D=B34), ""Select Col1"")),""-"")"),0.0)</f>
        <v>0</v>
      </c>
      <c r="AK34" s="5">
        <f>IFERROR(__xludf.DUMMYFUNCTION("iferror(SUM(query(filter('Data Recording'!T:T,'Data Recording'!D:D=B34), ""Select Col1"")),""-"")"),0.0)</f>
        <v>0</v>
      </c>
      <c r="AL34" s="59" t="str">
        <f t="shared" si="7"/>
        <v>-</v>
      </c>
      <c r="AM34" s="60" t="str">
        <f>IFERROR(__xludf.DUMMYFUNCTION("iferror(AVERAGE(query(filter('Data Recording'!T:T,'Data Recording'!D:D=B34), ""Select Col1"")),""0.00"")"),"0.00")</f>
        <v>0.00</v>
      </c>
      <c r="AN34" s="65">
        <f>IFERROR(__xludf.DUMMYFUNCTION("iferror(MAX(query(filter('Data Recording'!T:T,'Data Recording'!D:D=B34), ""Select Col1"")),""-"")"),0.0)</f>
        <v>0</v>
      </c>
      <c r="AO34" s="66">
        <f>IFERROR(__xludf.DUMMYFUNCTION("iferror(SUM(query(filter('Data Recording'!U:U,'Data Recording'!D:D=B34), ""Select Col1"")),""-"")"),0.0)</f>
        <v>0</v>
      </c>
      <c r="AP34" s="66">
        <f>IFERROR(__xludf.DUMMYFUNCTION("iferror(SUM(query(filter('Data Recording'!V:V,'Data Recording'!D:D=B34), ""Select Col1"")),""-"")"),0.0)</f>
        <v>0</v>
      </c>
      <c r="AQ34" s="67" t="str">
        <f t="shared" si="8"/>
        <v>-</v>
      </c>
      <c r="AR34" s="68" t="str">
        <f>IFERROR(__xludf.DUMMYFUNCTION("iferror(AVERAGE(query(filter('Data Recording'!V:V,'Data Recording'!D:D=B34), ""Select Col1"")),""0.00"")"),"0.00")</f>
        <v>0.00</v>
      </c>
      <c r="AS34" s="69">
        <f>IFERROR(__xludf.DUMMYFUNCTION("iferror(MAX(query(filter('Data Recording'!V:V,'Data Recording'!D:D=B34), ""Select Col1"")),""-"")"),0.0)</f>
        <v>0</v>
      </c>
      <c r="AT34" s="66">
        <f>IFERROR(__xludf.DUMMYFUNCTION("iferror(SUM(query(filter('Data Recording'!W:W,'Data Recording'!D:D=B34), ""Select Col1"")),""-"")"),1.0)</f>
        <v>1</v>
      </c>
      <c r="AU34" s="66">
        <f>IFERROR(__xludf.DUMMYFUNCTION("iferror(SUM(query(filter('Data Recording'!X:X,'Data Recording'!D:D=B34), ""Select Col1"")),""-"")"),1.0)</f>
        <v>1</v>
      </c>
      <c r="AV34" s="67">
        <f t="shared" si="9"/>
        <v>1</v>
      </c>
      <c r="AW34" s="68">
        <f>IFERROR(__xludf.DUMMYFUNCTION("iferror(AVERAGE(query(filter('Data Recording'!X:X,'Data Recording'!D:D=B34), ""Select Col1"")),""0.00"")"),1.0)</f>
        <v>1</v>
      </c>
      <c r="AX34" s="69">
        <f>IFERROR(__xludf.DUMMYFUNCTION("iferror(MAX(query(filter('Data Recording'!X:X,'Data Recording'!D:D=B34), ""Select Col1"")),""-"")"),1.0)</f>
        <v>1</v>
      </c>
      <c r="AY34" s="66">
        <f>IFERROR(__xludf.DUMMYFUNCTION("iferror(SUM(query(filter('Data Recording'!Y:Y,'Data Recording'!D:D=B34), ""Select Col1"")),""-"")"),0.0)</f>
        <v>0</v>
      </c>
      <c r="AZ34" s="66">
        <f>IFERROR(__xludf.DUMMYFUNCTION("iferror(SUM(query(filter('Data Recording'!Z:Z,'Data Recording'!D:D=B34), ""Select Col1"")),""-"")"),0.0)</f>
        <v>0</v>
      </c>
      <c r="BA34" s="67" t="str">
        <f t="shared" si="10"/>
        <v>-</v>
      </c>
      <c r="BB34" s="68" t="str">
        <f>IFERROR(__xludf.DUMMYFUNCTION("iferror(AVERAGE(query(filter('Data Recording'!Z:Z,'Data Recording'!D:D=B34), ""Select Col1"")),""0.00"")"),"0.00")</f>
        <v>0.00</v>
      </c>
      <c r="BC34" s="69">
        <f>IFERROR(__xludf.DUMMYFUNCTION("iferror(MAX(query(filter('Data Recording'!Z:Z,'Data Recording'!D:D=B34), ""Select Col1"")),""-"")"),0.0)</f>
        <v>0</v>
      </c>
      <c r="BD34" s="66">
        <f>IFERROR(__xludf.DUMMYFUNCTION("iferror(SUM(query(filter('Data Recording'!AA:AA,'Data Recording'!D:D=B34), ""Select Col1"")),""-"")"),0.0)</f>
        <v>0</v>
      </c>
      <c r="BE34" s="66">
        <f>IFERROR(__xludf.DUMMYFUNCTION("iferror(SUM(query(filter('Data Recording'!AB:AB,'Data Recording'!D:D=B34), ""Select Col1"")),""-"")"),0.0)</f>
        <v>0</v>
      </c>
      <c r="BF34" s="67" t="str">
        <f t="shared" si="11"/>
        <v>-</v>
      </c>
      <c r="BG34" s="68" t="str">
        <f>IFERROR(__xludf.DUMMYFUNCTION("iferror(AVERAGE(query(filter('Data Recording'!AB:AB,'Data Recording'!D:D=B34), ""Select Col1"")),""0.00"")"),"0.00")</f>
        <v>0.00</v>
      </c>
      <c r="BH34" s="69">
        <f>IFERROR(__xludf.DUMMYFUNCTION("iferror(MAX(query(filter('Data Recording'!AB:AB,'Data Recording'!D:D=B34), ""Select Col1"")),""-"")"),0.0)</f>
        <v>0</v>
      </c>
      <c r="BI34" s="66">
        <f>IFERROR(__xludf.DUMMYFUNCTION("iferror(SUM(query(filter('Data Recording'!AC:AC,'Data Recording'!D:D=B34), ""Select Col1"")),""-"")"),0.0)</f>
        <v>0</v>
      </c>
      <c r="BJ34" s="66">
        <f>IFERROR(__xludf.DUMMYFUNCTION("iferror(SUM(query(filter('Data Recording'!AD:AD,'Data Recording'!D:D=B34), ""Select Col1"")),""-"")"),0.0)</f>
        <v>0</v>
      </c>
      <c r="BK34" s="67" t="str">
        <f t="shared" si="12"/>
        <v>-</v>
      </c>
      <c r="BL34" s="68" t="str">
        <f>IFERROR(__xludf.DUMMYFUNCTION("iferror(AVERAGE(query(filter('Data Recording'!AD:AD,'Data Recording'!D:D=B34), ""Select Col1"")),""0.00"")"),"0.00")</f>
        <v>0.00</v>
      </c>
      <c r="BM34" s="69">
        <f>IFERROR(__xludf.DUMMYFUNCTION("iferror(MAX(query(filter('Data Recording'!AD:AD,'Data Recording'!D:D=B34), ""Select Col1"")),""-"")"),0.0)</f>
        <v>0</v>
      </c>
      <c r="BN34" s="70" t="str">
        <f>IFERROR(__xludf.DUMMYFUNCTION("if(countif(query(filter('Data Recording'!AE:AE,'Data Recording'!D:D=B34), ""Select Col1""),""Yes, Engaged"")+countif(query(filter('Data Recording'!AE:AE,'Data Recording'!D:D=B34), ""Select Col1""),""Yes, Docked"")=0,""0"",countif(query(filter('Data Record"&amp;"ing'!AE:AE,'Data Recording'!D:D=B34), ""Select Col1""),""Yes, Engaged""))+countif(query(filter('Data Recording'!AE:AE,'Data Recording'!D:D=B34), ""Select Col1""),""Yes, Docked"") &amp; ""/"" &amp; if(COUNTA(query(ifna(filter('Data Recording'!AE:AE,'Data Recording"&amp;"'!D:D=B34),""""), ""Select Col1""))=0,""0"",COUNTA(query(ifna(filter('Data Recording'!AE:AE,'Data Recording'!D:D=B34),""""), ""Select Col1"")))"),"2/4")</f>
        <v>2/4</v>
      </c>
      <c r="BO34" s="71" t="str">
        <f>IFERROR(__xludf.DUMMYFUNCTION("if(countif(query(filter('Data Recording'!AE:AE,'Data Recording'!D:D=B34), ""Select Col1""),""Yes, Engaged"")=0,""0"",countif(query(filter('Data Recording'!AE:AE,'Data Recording'!D:D=B34), ""Select Col1""),""Yes, Engaged"")) &amp; ""/"" &amp; if(COUNTA(query(ifna("&amp;"filter('Data Recording'!AE:AE,'Data Recording'!D:D=B34),""""), ""Select Col1""))=0,""0"",COUNTA(query(ifna(filter('Data Recording'!AE:AE,'Data Recording'!D:D=B34),""""), ""Select Col1"")))"),"2/4")</f>
        <v>2/4</v>
      </c>
      <c r="BP34" s="64" t="str">
        <f>IFERROR(__xludf.DUMMYFUNCTION("if(countif(query(filter('Data Recording'!AH:AH,'Data Recording'!D:D=B34), ""Select Col1""),""Yes"")=0,""0"",countif(query(filter('Data Recording'!AH:AH,'Data Recording'!D:D=B34), ""Select Col1""),""Yes"")) &amp; ""/"" &amp; if(COUNTA(query(ifna(filter('Data Recor"&amp;"ding'!AH:AH,'Data Recording'!D:D=B34),""""), ""Select Col1""))=0,""0"",COUNTA(query(ifna(filter('Data Recording'!AH:AH,'Data Recording'!D:D=B34),""""), ""Select Col1"")))"),"1/4")</f>
        <v>1/4</v>
      </c>
      <c r="BQ34" s="72">
        <v>0.25</v>
      </c>
      <c r="BR34" s="60">
        <f>IFERROR(__xludf.DUMMYFUNCTION("iferror(average(query(filter('Data Recording'!AF:AF,'Data Recording'!D:D=B34), ""Select Col1"")),""-"")"),0.25)</f>
        <v>0.25</v>
      </c>
      <c r="BS34" s="73">
        <f>IFERROR(__xludf.DUMMYFUNCTION("iferror(average(query(filter('Data Recording'!AG:AG,'Data Recording'!D:D=B34), ""Select Col1"")),""-"")"),0.0)</f>
        <v>0</v>
      </c>
      <c r="BT34" s="74">
        <f t="shared" si="13"/>
        <v>18</v>
      </c>
      <c r="BU34" s="74">
        <f>IFERROR(__xludf.DUMMYFUNCTION("iferror(AVERAGE(query(filter('Data Recording'!AJ:AJ,'Data Recording'!D:D=B34), ""Select Col1"")),""-"")"),9.25)</f>
        <v>9.25</v>
      </c>
      <c r="BV34" s="74">
        <f>IFERROR(__xludf.DUMMYFUNCTION("iferror(AVERAGE(query(filter('Data Recording'!AK:AK,'Data Recording'!D:D=B34), ""Select Col1"")),""-"")"),1.25)</f>
        <v>1.25</v>
      </c>
      <c r="BW34" s="74">
        <f t="shared" si="14"/>
        <v>5</v>
      </c>
      <c r="BX34" s="75">
        <f>IFERROR(__xludf.DUMMYFUNCTION("iferror(max(query(filter('Data Recording'!AJ:AJ,'Data Recording'!D:D=B34), ""Select Col1"")),""-"")"),13.0)</f>
        <v>13</v>
      </c>
      <c r="BY34" s="76">
        <f>IFERROR(__xludf.DUMMYFUNCTION("iferror(MIN(query(filter('Data Recording'!AJ:AJ,'Data Recording'!D:D=B34), ""Select Col1"")),""-"")"),3.0)</f>
        <v>3</v>
      </c>
      <c r="BZ34" s="77" t="str">
        <f>IFERROR(__xludf.DUMMYFUNCTION("iferror(if(DIVIDE(COUNTIF(query(filter('Data Recording'!R:R,'Data Recording'!D:D=B34), ""Select Col1""),""Yes, Docked"") + countif(query(filter('Data Recording'!R:R,'Data Recording'!D:D=B34), ""Select Col1""),""Yes, Engaged""),COUNTA(query(ifna(filter('Da"&amp;"ta Recording'!R:R,'Data Recording'!D:D=B34),""""), ""Select Col1"")))&gt;=(0.5),""1"",""0""),""-"")"),"0")</f>
        <v>0</v>
      </c>
      <c r="CA34" s="5" t="str">
        <f>IFERROR(__xludf.DUMMYFUNCTION("iferror(if(countif(query(filter('Data Recording'!R:R,'Data Recording'!D:D=B34), ""Select Col1""),""Yes, Engaged"")/COUNTA(query(ifna(filter('Data Recording'!R:R,'Data Recording'!D:D=B34),""""), ""Select Col1""))&gt;=(0.5),""1"",""0""),""-"")"),"0")</f>
        <v>0</v>
      </c>
      <c r="CB34" s="78" t="str">
        <f>IFERROR(__xludf.DUMMYFUNCTION("iferror(if(DIVIDE(COUNTIF(query(filter('Data Recording'!AE:AE,'Data Recording'!D:D=B34), ""Select Col1""),""Yes, Docked"") + countif(query(filter('Data Recording'!AE:AE,'Data Recording'!D:D=B34), ""Select Col1""),""Yes, Engaged""),COUNTA(query(ifna(filter"&amp;"('Data Recording'!AE:AE,'Data Recording'!D:D=B34),""""), ""Select Col1"")))&gt;=(0.5),""1"",""0""),""-"")"),"1")</f>
        <v>1</v>
      </c>
      <c r="CC34" s="5" t="str">
        <f>IFERROR(__xludf.DUMMYFUNCTION("iferror(if(countif(query(filter('Data Recording'!AE:AE,'Data Recording'!D:D=B34), ""Select Col1""),""Yes, Engaged"")/COUNTA(query(ifna(filter('Data Recording'!AE:AE,'Data Recording'!D:D=B34),""""), ""Select Col1""))&gt;=(0.5),""1"",""0""),""-"")"),"1")</f>
        <v>1</v>
      </c>
      <c r="CD34" s="78" t="str">
        <f>IFERROR(__xludf.DUMMYFUNCTION("iferror(if(DIVIDE(countif(query(filter('Data Recording'!E:E,'Data Recording'!D:D=B34), ""Select Col1""),""Yes""),COUNTA(query(ifna(filter('Data Recording'!E:E,'Data Recording'!D:D=B34),""""), ""Select Col1"")))&gt;=(0.5),""1"",""0""),""-"")"),"1")</f>
        <v>1</v>
      </c>
    </row>
    <row r="35">
      <c r="A35" s="2" t="s">
        <v>144</v>
      </c>
      <c r="B35" s="2">
        <v>8832.0</v>
      </c>
      <c r="C35" s="57" t="str">
        <f>IFERROR(__xludf.DUMMYFUNCTION("if(countif(query(filter('Data Recording'!E:E,'Data Recording'!D:D=B35), ""Select Col1""),""Yes"")=0,""0"",countif(query(filter('Data Recording'!E:E,'Data Recording'!D:D=B35), ""Select Col1""),""Yes"")) &amp; ""/"" &amp; if(COUNTA(query(ifna(filter('Data Recording"&amp;"'!E:E,'Data Recording'!D:D=B35),""""), ""Select Col1""))=0,""0"",COUNTA(query(ifna(filter('Data Recording'!E:E,'Data Recording'!D:D=B35),""""), ""Select Col1"")))"),"3/4")</f>
        <v>3/4</v>
      </c>
      <c r="D35" s="58">
        <f>IFERROR(__xludf.DUMMYFUNCTION("iferror(SUM(query(filter('Data Recording'!F:F,'Data Recording'!D:D=B35), ""Select Col1"")),""-"")"),0.0)</f>
        <v>0</v>
      </c>
      <c r="E35" s="58">
        <f>IFERROR(__xludf.DUMMYFUNCTION("iferror(SUM(query(filter('Data Recording'!G:G,'Data Recording'!D:D=B35), ""Select Col1"")),""-"")"),0.0)</f>
        <v>0</v>
      </c>
      <c r="F35" s="59" t="str">
        <f t="shared" si="1"/>
        <v>-</v>
      </c>
      <c r="G35" s="60" t="str">
        <f>IFERROR(__xludf.DUMMYFUNCTION("iferror(AVERAGE(query(filter('Data Recording'!G:G,'Data Recording'!D:D=B35), ""Select Col1"")),""0.00"")"),"0.00")</f>
        <v>0.00</v>
      </c>
      <c r="H35" s="58">
        <f>IFERROR(__xludf.DUMMYFUNCTION("iferror(MAX(query(filter('Data Recording'!G:G,'Data Recording'!D:D=B35), ""Select Col1"")),""-"")"),0.0)</f>
        <v>0</v>
      </c>
      <c r="I35" s="61">
        <f>IFERROR(__xludf.DUMMYFUNCTION("iferror(SUM(query(filter('Data Recording'!H:H,'Data Recording'!D:D=B35), ""Select Col1"")),""-"")"),0.0)</f>
        <v>0</v>
      </c>
      <c r="J35" s="62">
        <f>IFERROR(__xludf.DUMMYFUNCTION("iferror(SUM(query(filter('Data Recording'!I:I,'Data Recording'!D:D=B35), ""Select Col1"")),""-"")"),0.0)</f>
        <v>0</v>
      </c>
      <c r="K35" s="59" t="str">
        <f t="shared" si="2"/>
        <v>-</v>
      </c>
      <c r="L35" s="60" t="str">
        <f>IFERROR(__xludf.DUMMYFUNCTION("iferror(AVERAGE(query(filter('Data Recording'!I:I,'Data Recording'!D:D=B35), ""Select Col1"")),""0.00"")"),"0.00")</f>
        <v>0.00</v>
      </c>
      <c r="M35" s="58">
        <f>IFERROR(__xludf.DUMMYFUNCTION("iferror(MAX(query(filter('Data Recording'!I:I,'Data Recording'!D:D=B35), ""Select Col1"")),""-"")"),0.0)</f>
        <v>0</v>
      </c>
      <c r="N35" s="63">
        <f>IFERROR(__xludf.DUMMYFUNCTION("iferror(SUM(query(filter('Data Recording'!J:J,'Data Recording'!D:D=B35), ""Select Col1"")),""-"")"),0.0)</f>
        <v>0</v>
      </c>
      <c r="O35" s="5">
        <f>IFERROR(__xludf.DUMMYFUNCTION("iferror(SUM(query(filter('Data Recording'!K:K,'Data Recording'!D:D=B35), ""Select Col1"")),""-"")"),0.0)</f>
        <v>0</v>
      </c>
      <c r="P35" s="59" t="str">
        <f t="shared" si="3"/>
        <v>-</v>
      </c>
      <c r="Q35" s="60" t="str">
        <f>IFERROR(__xludf.DUMMYFUNCTION("iferror(AVERAGE(query(filter('Data Recording'!K:K,'Data Recording'!D:D=B35), ""Select Col1"")),""0.00"")"),"0.00")</f>
        <v>0.00</v>
      </c>
      <c r="R35" s="58">
        <f>IFERROR(__xludf.DUMMYFUNCTION("iferror(MAX(query(filter('Data Recording'!K:K,'Data Recording'!D:D=B35), ""Select Col1"")),""-"")"),0.0)</f>
        <v>0</v>
      </c>
      <c r="S35" s="63">
        <f>IFERROR(__xludf.DUMMYFUNCTION("iferror(SUM(query(filter('Data Recording'!L:L,'Data Recording'!D:D=B35), ""Select Col1"")),""-"")"),0.0)</f>
        <v>0</v>
      </c>
      <c r="T35" s="5">
        <f>IFERROR(__xludf.DUMMYFUNCTION("iferror(SUM(query(filter('Data Recording'!M:M,'Data Recording'!D:D=B35), ""Select Col1"")),""-"")"),0.0)</f>
        <v>0</v>
      </c>
      <c r="U35" s="59" t="str">
        <f t="shared" si="4"/>
        <v>-</v>
      </c>
      <c r="V35" s="60" t="str">
        <f>IFERROR(__xludf.DUMMYFUNCTION("iferror(AVERAGE(query(filter('Data Recording'!M:M,'Data Recording'!D:D=B35), ""Select Col1"")),""-"")"),"-")</f>
        <v>-</v>
      </c>
      <c r="W35" s="57">
        <f>IFERROR(__xludf.DUMMYFUNCTION("iferror(MAX(query(filter('Data Recording'!M:M,'Data Recording'!D:D=B35), ""Select Col1"")),""-"")"),0.0)</f>
        <v>0</v>
      </c>
      <c r="X35" s="5">
        <f>IFERROR(__xludf.DUMMYFUNCTION("iferror(SUM(query(filter('Data Recording'!N:N,'Data Recording'!D:D=B35), ""Select Col1"")),""-"")"),0.0)</f>
        <v>0</v>
      </c>
      <c r="Y35" s="5">
        <f>IFERROR(__xludf.DUMMYFUNCTION("iferror(SUM(query(filter('Data Recording'!O:O,'Data Recording'!D:D=B35), ""Select Col1"")),""-"")"),0.0)</f>
        <v>0</v>
      </c>
      <c r="Z35" s="59" t="str">
        <f t="shared" si="5"/>
        <v>-</v>
      </c>
      <c r="AA35" s="60" t="str">
        <f>IFERROR(__xludf.DUMMYFUNCTION("iferror(AVERAGE(query(filter('Data Recording'!O:O,'Data Recording'!D:D=B35), ""Select Col1"")),""0.00"")"),"0.00")</f>
        <v>0.00</v>
      </c>
      <c r="AB35" s="57">
        <f>IFERROR(__xludf.DUMMYFUNCTION("iferror(MAX(query(filter('Data Recording'!O:O,'Data Recording'!D:D=B35), ""Select Col1"")),""-"")"),0.0)</f>
        <v>0</v>
      </c>
      <c r="AC35" s="5">
        <f>IFERROR(__xludf.DUMMYFUNCTION("iferror(SUM(query(filter('Data Recording'!P:P,'Data Recording'!D:D=B35), ""Select Col1"")),""-"")"),0.0)</f>
        <v>0</v>
      </c>
      <c r="AD35" s="5">
        <f>IFERROR(__xludf.DUMMYFUNCTION("iferror(SUM(query(filter('Data Recording'!Q:Q,'Data Recording'!D:D=B35), ""Select Col1"")),""-"")"),0.0)</f>
        <v>0</v>
      </c>
      <c r="AE35" s="59" t="str">
        <f t="shared" si="6"/>
        <v>-</v>
      </c>
      <c r="AF35" s="60" t="str">
        <f>IFERROR(__xludf.DUMMYFUNCTION("iferror(AVERAGE(query(filter('Data Recording'!Q:Q,'Data Recording'!D:D=B35), ""Select Col1"")),""0.00"")"),"0.00")</f>
        <v>0.00</v>
      </c>
      <c r="AG35" s="5">
        <f>IFERROR(__xludf.DUMMYFUNCTION("iferror(MAX(query(filter('Data Recording'!Q:Q,'Data Recording'!D:D=B35), ""Select Col1"")),""-"")"),0.0)</f>
        <v>0</v>
      </c>
      <c r="AH35" s="63" t="str">
        <f>IFERROR(__xludf.DUMMYFUNCTION("if(countif(query(filter('Data Recording'!R:R,'Data Recording'!D:D=B35), ""Select Col1""),""Yes, Engaged"")+countif(query(filter('Data Recording'!R:R,'Data Recording'!D:D=B35), ""Select Col1""),""Yes, Docked"")=0,""0"",countif(query(filter('Data Recording'"&amp;"!R:R,'Data Recording'!D:D=B35), ""Select Col1""),""Yes, Engaged""))+countif(query(filter('Data Recording'!R:R,'Data Recording'!D:D=B35), ""Select Col1""),""Yes, Docked"") &amp; ""/"" &amp; if(COUNTA(query(ifna(filter('Data Recording'!R:R,'Data Recording'!D:D=B35)"&amp;",""""), ""Select Col1""))=0,""0"",COUNTA(query(ifna(filter('Data Recording'!R:R,'Data Recording'!D:D=B35),""""), ""Select Col1"")))"),"0/4")</f>
        <v>0/4</v>
      </c>
      <c r="AI35" s="64" t="str">
        <f>IFERROR(__xludf.DUMMYFUNCTION("if(countif(query(filter('Data Recording'!R:R,'Data Recording'!D:D=B35), ""Select Col1""),""Yes, Engaged"")=0,""0"",countif(query(filter('Data Recording'!R:R,'Data Recording'!D:D=B35), ""Select Col1""),""Yes, Engaged"")) &amp; ""/"" &amp; if(COUNTA(query(ifna(filt"&amp;"er('Data Recording'!R:R,'Data Recording'!D:D=B35),""""), ""Select Col1""))=0,""0"",COUNTA(query(ifna(filter('Data Recording'!R:R,'Data Recording'!D:D=B35),""""), ""Select Col1"")))"),"0/4")</f>
        <v>0/4</v>
      </c>
      <c r="AJ35" s="5">
        <f>IFERROR(__xludf.DUMMYFUNCTION("iferror(SUM(query(filter('Data Recording'!S:S,'Data Recording'!D:D=B35), ""Select Col1"")),""-"")"),0.0)</f>
        <v>0</v>
      </c>
      <c r="AK35" s="5">
        <f>IFERROR(__xludf.DUMMYFUNCTION("iferror(SUM(query(filter('Data Recording'!T:T,'Data Recording'!D:D=B35), ""Select Col1"")),""-"")"),0.0)</f>
        <v>0</v>
      </c>
      <c r="AL35" s="59" t="str">
        <f t="shared" si="7"/>
        <v>-</v>
      </c>
      <c r="AM35" s="60" t="str">
        <f>IFERROR(__xludf.DUMMYFUNCTION("iferror(AVERAGE(query(filter('Data Recording'!T:T,'Data Recording'!D:D=B35), ""Select Col1"")),""0.00"")"),"0.00")</f>
        <v>0.00</v>
      </c>
      <c r="AN35" s="65">
        <f>IFERROR(__xludf.DUMMYFUNCTION("iferror(MAX(query(filter('Data Recording'!T:T,'Data Recording'!D:D=B35), ""Select Col1"")),""-"")"),0.0)</f>
        <v>0</v>
      </c>
      <c r="AO35" s="66">
        <f>IFERROR(__xludf.DUMMYFUNCTION("iferror(SUM(query(filter('Data Recording'!U:U,'Data Recording'!D:D=B35), ""Select Col1"")),""-"")"),0.0)</f>
        <v>0</v>
      </c>
      <c r="AP35" s="66">
        <f>IFERROR(__xludf.DUMMYFUNCTION("iferror(SUM(query(filter('Data Recording'!V:V,'Data Recording'!D:D=B35), ""Select Col1"")),""-"")"),0.0)</f>
        <v>0</v>
      </c>
      <c r="AQ35" s="67" t="str">
        <f t="shared" si="8"/>
        <v>-</v>
      </c>
      <c r="AR35" s="68" t="str">
        <f>IFERROR(__xludf.DUMMYFUNCTION("iferror(AVERAGE(query(filter('Data Recording'!V:V,'Data Recording'!D:D=B35), ""Select Col1"")),""0.00"")"),"0.00")</f>
        <v>0.00</v>
      </c>
      <c r="AS35" s="69">
        <f>IFERROR(__xludf.DUMMYFUNCTION("iferror(MAX(query(filter('Data Recording'!V:V,'Data Recording'!D:D=B35), ""Select Col1"")),""-"")"),0.0)</f>
        <v>0</v>
      </c>
      <c r="AT35" s="66">
        <f>IFERROR(__xludf.DUMMYFUNCTION("iferror(SUM(query(filter('Data Recording'!W:W,'Data Recording'!D:D=B35), ""Select Col1"")),""-"")"),0.0)</f>
        <v>0</v>
      </c>
      <c r="AU35" s="66">
        <f>IFERROR(__xludf.DUMMYFUNCTION("iferror(SUM(query(filter('Data Recording'!X:X,'Data Recording'!D:D=B35), ""Select Col1"")),""-"")"),0.0)</f>
        <v>0</v>
      </c>
      <c r="AV35" s="67" t="str">
        <f t="shared" si="9"/>
        <v>-</v>
      </c>
      <c r="AW35" s="68" t="str">
        <f>IFERROR(__xludf.DUMMYFUNCTION("iferror(AVERAGE(query(filter('Data Recording'!X:X,'Data Recording'!D:D=B35), ""Select Col1"")),""0.00"")"),"0.00")</f>
        <v>0.00</v>
      </c>
      <c r="AX35" s="69">
        <f>IFERROR(__xludf.DUMMYFUNCTION("iferror(MAX(query(filter('Data Recording'!X:X,'Data Recording'!D:D=B35), ""Select Col1"")),""-"")"),0.0)</f>
        <v>0</v>
      </c>
      <c r="AY35" s="66">
        <f>IFERROR(__xludf.DUMMYFUNCTION("iferror(SUM(query(filter('Data Recording'!Y:Y,'Data Recording'!D:D=B35), ""Select Col1"")),""-"")"),0.0)</f>
        <v>0</v>
      </c>
      <c r="AZ35" s="66">
        <f>IFERROR(__xludf.DUMMYFUNCTION("iferror(SUM(query(filter('Data Recording'!Z:Z,'Data Recording'!D:D=B35), ""Select Col1"")),""-"")"),0.0)</f>
        <v>0</v>
      </c>
      <c r="BA35" s="67" t="str">
        <f t="shared" si="10"/>
        <v>-</v>
      </c>
      <c r="BB35" s="68" t="str">
        <f>IFERROR(__xludf.DUMMYFUNCTION("iferror(AVERAGE(query(filter('Data Recording'!Z:Z,'Data Recording'!D:D=B35), ""Select Col1"")),""0.00"")"),"0.00")</f>
        <v>0.00</v>
      </c>
      <c r="BC35" s="69">
        <f>IFERROR(__xludf.DUMMYFUNCTION("iferror(MAX(query(filter('Data Recording'!Z:Z,'Data Recording'!D:D=B35), ""Select Col1"")),""-"")"),0.0)</f>
        <v>0</v>
      </c>
      <c r="BD35" s="66">
        <f>IFERROR(__xludf.DUMMYFUNCTION("iferror(SUM(query(filter('Data Recording'!AA:AA,'Data Recording'!D:D=B35), ""Select Col1"")),""-"")"),0.0)</f>
        <v>0</v>
      </c>
      <c r="BE35" s="66">
        <f>IFERROR(__xludf.DUMMYFUNCTION("iferror(SUM(query(filter('Data Recording'!AB:AB,'Data Recording'!D:D=B35), ""Select Col1"")),""-"")"),0.0)</f>
        <v>0</v>
      </c>
      <c r="BF35" s="67" t="str">
        <f t="shared" si="11"/>
        <v>-</v>
      </c>
      <c r="BG35" s="68" t="str">
        <f>IFERROR(__xludf.DUMMYFUNCTION("iferror(AVERAGE(query(filter('Data Recording'!AB:AB,'Data Recording'!D:D=B35), ""Select Col1"")),""0.00"")"),"0.00")</f>
        <v>0.00</v>
      </c>
      <c r="BH35" s="69">
        <f>IFERROR(__xludf.DUMMYFUNCTION("iferror(MAX(query(filter('Data Recording'!AB:AB,'Data Recording'!D:D=B35), ""Select Col1"")),""-"")"),0.0)</f>
        <v>0</v>
      </c>
      <c r="BI35" s="66">
        <f>IFERROR(__xludf.DUMMYFUNCTION("iferror(SUM(query(filter('Data Recording'!AC:AC,'Data Recording'!D:D=B35), ""Select Col1"")),""-"")"),2.0)</f>
        <v>2</v>
      </c>
      <c r="BJ35" s="66">
        <f>IFERROR(__xludf.DUMMYFUNCTION("iferror(SUM(query(filter('Data Recording'!AD:AD,'Data Recording'!D:D=B35), ""Select Col1"")),""-"")"),2.0)</f>
        <v>2</v>
      </c>
      <c r="BK35" s="67">
        <f t="shared" si="12"/>
        <v>1</v>
      </c>
      <c r="BL35" s="68">
        <f>IFERROR(__xludf.DUMMYFUNCTION("iferror(AVERAGE(query(filter('Data Recording'!AD:AD,'Data Recording'!D:D=B35), ""Select Col1"")),""0.00"")"),1.0)</f>
        <v>1</v>
      </c>
      <c r="BM35" s="69">
        <f>IFERROR(__xludf.DUMMYFUNCTION("iferror(MAX(query(filter('Data Recording'!AD:AD,'Data Recording'!D:D=B35), ""Select Col1"")),""-"")"),1.0)</f>
        <v>1</v>
      </c>
      <c r="BN35" s="70" t="str">
        <f>IFERROR(__xludf.DUMMYFUNCTION("if(countif(query(filter('Data Recording'!AE:AE,'Data Recording'!D:D=B35), ""Select Col1""),""Yes, Engaged"")+countif(query(filter('Data Recording'!AE:AE,'Data Recording'!D:D=B35), ""Select Col1""),""Yes, Docked"")=0,""0"",countif(query(filter('Data Record"&amp;"ing'!AE:AE,'Data Recording'!D:D=B35), ""Select Col1""),""Yes, Engaged""))+countif(query(filter('Data Recording'!AE:AE,'Data Recording'!D:D=B35), ""Select Col1""),""Yes, Docked"") &amp; ""/"" &amp; if(COUNTA(query(ifna(filter('Data Recording'!AE:AE,'Data Recording"&amp;"'!D:D=B35),""""), ""Select Col1""))=0,""0"",COUNTA(query(ifna(filter('Data Recording'!AE:AE,'Data Recording'!D:D=B35),""""), ""Select Col1"")))"),"2/4")</f>
        <v>2/4</v>
      </c>
      <c r="BO35" s="71" t="str">
        <f>IFERROR(__xludf.DUMMYFUNCTION("if(countif(query(filter('Data Recording'!AE:AE,'Data Recording'!D:D=B35), ""Select Col1""),""Yes, Engaged"")=0,""0"",countif(query(filter('Data Recording'!AE:AE,'Data Recording'!D:D=B35), ""Select Col1""),""Yes, Engaged"")) &amp; ""/"" &amp; if(COUNTA(query(ifna("&amp;"filter('Data Recording'!AE:AE,'Data Recording'!D:D=B35),""""), ""Select Col1""))=0,""0"",COUNTA(query(ifna(filter('Data Recording'!AE:AE,'Data Recording'!D:D=B35),""""), ""Select Col1"")))"),"2/4")</f>
        <v>2/4</v>
      </c>
      <c r="BP35" s="64" t="str">
        <f>IFERROR(__xludf.DUMMYFUNCTION("if(countif(query(filter('Data Recording'!AH:AH,'Data Recording'!D:D=B35), ""Select Col1""),""Yes"")=0,""0"",countif(query(filter('Data Recording'!AH:AH,'Data Recording'!D:D=B35), ""Select Col1""),""Yes"")) &amp; ""/"" &amp; if(COUNTA(query(ifna(filter('Data Recor"&amp;"ding'!AH:AH,'Data Recording'!D:D=B35),""""), ""Select Col1""))=0,""0"",COUNTA(query(ifna(filter('Data Recording'!AH:AH,'Data Recording'!D:D=B35),""""), ""Select Col1"")))"),"0/4")</f>
        <v>0/4</v>
      </c>
      <c r="BQ35" s="72">
        <v>0.0</v>
      </c>
      <c r="BR35" s="60">
        <f>IFERROR(__xludf.DUMMYFUNCTION("iferror(average(query(filter('Data Recording'!AF:AF,'Data Recording'!D:D=B35), ""Select Col1"")),""-"")"),0.0)</f>
        <v>0</v>
      </c>
      <c r="BS35" s="73">
        <f>IFERROR(__xludf.DUMMYFUNCTION("iferror(average(query(filter('Data Recording'!AG:AG,'Data Recording'!D:D=B35), ""Select Col1"")),""-"")"),1.5)</f>
        <v>1.5</v>
      </c>
      <c r="BT35" s="74">
        <f t="shared" si="13"/>
        <v>15</v>
      </c>
      <c r="BU35" s="74">
        <f>IFERROR(__xludf.DUMMYFUNCTION("iferror(AVERAGE(query(filter('Data Recording'!AJ:AJ,'Data Recording'!D:D=B35), ""Select Col1"")),""-"")"),9.0)</f>
        <v>9</v>
      </c>
      <c r="BV35" s="74">
        <f>IFERROR(__xludf.DUMMYFUNCTION("iferror(AVERAGE(query(filter('Data Recording'!AK:AK,'Data Recording'!D:D=B35), ""Select Col1"")),""-"")"),1.0)</f>
        <v>1</v>
      </c>
      <c r="BW35" s="74">
        <f t="shared" si="14"/>
        <v>2</v>
      </c>
      <c r="BX35" s="75">
        <f>IFERROR(__xludf.DUMMYFUNCTION("iferror(max(query(filter('Data Recording'!AJ:AJ,'Data Recording'!D:D=B35), ""Select Col1"")),""-"")"),13.0)</f>
        <v>13</v>
      </c>
      <c r="BY35" s="76">
        <f>IFERROR(__xludf.DUMMYFUNCTION("iferror(MIN(query(filter('Data Recording'!AJ:AJ,'Data Recording'!D:D=B35), ""Select Col1"")),""-"")"),5.0)</f>
        <v>5</v>
      </c>
      <c r="BZ35" s="77" t="str">
        <f>IFERROR(__xludf.DUMMYFUNCTION("iferror(if(DIVIDE(COUNTIF(query(filter('Data Recording'!R:R,'Data Recording'!D:D=B35), ""Select Col1""),""Yes, Docked"") + countif(query(filter('Data Recording'!R:R,'Data Recording'!D:D=B35), ""Select Col1""),""Yes, Engaged""),COUNTA(query(ifna(filter('Da"&amp;"ta Recording'!R:R,'Data Recording'!D:D=B35),""""), ""Select Col1"")))&gt;=(0.5),""1"",""0""),""-"")"),"0")</f>
        <v>0</v>
      </c>
      <c r="CA35" s="5" t="str">
        <f>IFERROR(__xludf.DUMMYFUNCTION("iferror(if(countif(query(filter('Data Recording'!R:R,'Data Recording'!D:D=B35), ""Select Col1""),""Yes, Engaged"")/COUNTA(query(ifna(filter('Data Recording'!R:R,'Data Recording'!D:D=B35),""""), ""Select Col1""))&gt;=(0.5),""1"",""0""),""-"")"),"0")</f>
        <v>0</v>
      </c>
      <c r="CB35" s="78" t="str">
        <f>IFERROR(__xludf.DUMMYFUNCTION("iferror(if(DIVIDE(COUNTIF(query(filter('Data Recording'!AE:AE,'Data Recording'!D:D=B35), ""Select Col1""),""Yes, Docked"") + countif(query(filter('Data Recording'!AE:AE,'Data Recording'!D:D=B35), ""Select Col1""),""Yes, Engaged""),COUNTA(query(ifna(filter"&amp;"('Data Recording'!AE:AE,'Data Recording'!D:D=B35),""""), ""Select Col1"")))&gt;=(0.5),""1"",""0""),""-"")"),"1")</f>
        <v>1</v>
      </c>
      <c r="CC35" s="5" t="str">
        <f>IFERROR(__xludf.DUMMYFUNCTION("iferror(if(countif(query(filter('Data Recording'!AE:AE,'Data Recording'!D:D=B35), ""Select Col1""),""Yes, Engaged"")/COUNTA(query(ifna(filter('Data Recording'!AE:AE,'Data Recording'!D:D=B35),""""), ""Select Col1""))&gt;=(0.5),""1"",""0""),""-"")"),"1")</f>
        <v>1</v>
      </c>
      <c r="CD35" s="78" t="str">
        <f>IFERROR(__xludf.DUMMYFUNCTION("iferror(if(DIVIDE(countif(query(filter('Data Recording'!E:E,'Data Recording'!D:D=B35), ""Select Col1""),""Yes""),COUNTA(query(ifna(filter('Data Recording'!E:E,'Data Recording'!D:D=B35),""""), ""Select Col1"")))&gt;=(0.5),""1"",""0""),""-"")"),"1")</f>
        <v>1</v>
      </c>
    </row>
    <row r="36">
      <c r="A36" s="2" t="s">
        <v>145</v>
      </c>
      <c r="B36" s="2">
        <v>4395.0</v>
      </c>
      <c r="C36" s="57" t="str">
        <f>IFERROR(__xludf.DUMMYFUNCTION("if(countif(query(filter('Data Recording'!E:E,'Data Recording'!D:D=B36), ""Select Col1""),""Yes"")=0,""0"",countif(query(filter('Data Recording'!E:E,'Data Recording'!D:D=B36), ""Select Col1""),""Yes"")) &amp; ""/"" &amp; if(COUNTA(query(ifna(filter('Data Recording"&amp;"'!E:E,'Data Recording'!D:D=B36),""""), ""Select Col1""))=0,""0"",COUNTA(query(ifna(filter('Data Recording'!E:E,'Data Recording'!D:D=B36),""""), ""Select Col1"")))"),"5/6")</f>
        <v>5/6</v>
      </c>
      <c r="D36" s="58">
        <f>IFERROR(__xludf.DUMMYFUNCTION("iferror(SUM(query(filter('Data Recording'!F:F,'Data Recording'!D:D=B36), ""Select Col1"")),""-"")"),1.0)</f>
        <v>1</v>
      </c>
      <c r="E36" s="58">
        <f>IFERROR(__xludf.DUMMYFUNCTION("iferror(SUM(query(filter('Data Recording'!G:G,'Data Recording'!D:D=B36), ""Select Col1"")),""-"")"),0.0)</f>
        <v>0</v>
      </c>
      <c r="F36" s="59">
        <f t="shared" si="1"/>
        <v>0</v>
      </c>
      <c r="G36" s="60">
        <f>IFERROR(__xludf.DUMMYFUNCTION("iferror(AVERAGE(query(filter('Data Recording'!G:G,'Data Recording'!D:D=B36), ""Select Col1"")),""0.00"")"),0.0)</f>
        <v>0</v>
      </c>
      <c r="H36" s="58">
        <f>IFERROR(__xludf.DUMMYFUNCTION("iferror(MAX(query(filter('Data Recording'!G:G,'Data Recording'!D:D=B36), ""Select Col1"")),""-"")"),0.0)</f>
        <v>0</v>
      </c>
      <c r="I36" s="61">
        <f>IFERROR(__xludf.DUMMYFUNCTION("iferror(SUM(query(filter('Data Recording'!H:H,'Data Recording'!D:D=B36), ""Select Col1"")),""-"")"),0.0)</f>
        <v>0</v>
      </c>
      <c r="J36" s="62">
        <f>IFERROR(__xludf.DUMMYFUNCTION("iferror(SUM(query(filter('Data Recording'!I:I,'Data Recording'!D:D=B36), ""Select Col1"")),""-"")"),0.0)</f>
        <v>0</v>
      </c>
      <c r="K36" s="59" t="str">
        <f t="shared" si="2"/>
        <v>-</v>
      </c>
      <c r="L36" s="60">
        <f>IFERROR(__xludf.DUMMYFUNCTION("iferror(AVERAGE(query(filter('Data Recording'!I:I,'Data Recording'!D:D=B36), ""Select Col1"")),""0.00"")"),0.0)</f>
        <v>0</v>
      </c>
      <c r="M36" s="58">
        <f>IFERROR(__xludf.DUMMYFUNCTION("iferror(MAX(query(filter('Data Recording'!I:I,'Data Recording'!D:D=B36), ""Select Col1"")),""-"")"),0.0)</f>
        <v>0</v>
      </c>
      <c r="N36" s="63">
        <f>IFERROR(__xludf.DUMMYFUNCTION("iferror(SUM(query(filter('Data Recording'!J:J,'Data Recording'!D:D=B36), ""Select Col1"")),""-"")"),0.0)</f>
        <v>0</v>
      </c>
      <c r="O36" s="5">
        <f>IFERROR(__xludf.DUMMYFUNCTION("iferror(SUM(query(filter('Data Recording'!K:K,'Data Recording'!D:D=B36), ""Select Col1"")),""-"")"),0.0)</f>
        <v>0</v>
      </c>
      <c r="P36" s="59" t="str">
        <f t="shared" si="3"/>
        <v>-</v>
      </c>
      <c r="Q36" s="60">
        <f>IFERROR(__xludf.DUMMYFUNCTION("iferror(AVERAGE(query(filter('Data Recording'!K:K,'Data Recording'!D:D=B36), ""Select Col1"")),""0.00"")"),0.0)</f>
        <v>0</v>
      </c>
      <c r="R36" s="58">
        <f>IFERROR(__xludf.DUMMYFUNCTION("iferror(MAX(query(filter('Data Recording'!K:K,'Data Recording'!D:D=B36), ""Select Col1"")),""-"")"),0.0)</f>
        <v>0</v>
      </c>
      <c r="S36" s="63">
        <f>IFERROR(__xludf.DUMMYFUNCTION("iferror(SUM(query(filter('Data Recording'!L:L,'Data Recording'!D:D=B36), ""Select Col1"")),""-"")"),1.0)</f>
        <v>1</v>
      </c>
      <c r="T36" s="5">
        <f>IFERROR(__xludf.DUMMYFUNCTION("iferror(SUM(query(filter('Data Recording'!M:M,'Data Recording'!D:D=B36), ""Select Col1"")),""-"")"),0.0)</f>
        <v>0</v>
      </c>
      <c r="U36" s="59">
        <f t="shared" si="4"/>
        <v>0</v>
      </c>
      <c r="V36" s="60">
        <f>IFERROR(__xludf.DUMMYFUNCTION("iferror(AVERAGE(query(filter('Data Recording'!M:M,'Data Recording'!D:D=B36), ""Select Col1"")),""-"")"),0.0)</f>
        <v>0</v>
      </c>
      <c r="W36" s="57">
        <f>IFERROR(__xludf.DUMMYFUNCTION("iferror(MAX(query(filter('Data Recording'!M:M,'Data Recording'!D:D=B36), ""Select Col1"")),""-"")"),0.0)</f>
        <v>0</v>
      </c>
      <c r="X36" s="5">
        <f>IFERROR(__xludf.DUMMYFUNCTION("iferror(SUM(query(filter('Data Recording'!N:N,'Data Recording'!D:D=B36), ""Select Col1"")),""-"")"),0.0)</f>
        <v>0</v>
      </c>
      <c r="Y36" s="5">
        <f>IFERROR(__xludf.DUMMYFUNCTION("iferror(SUM(query(filter('Data Recording'!O:O,'Data Recording'!D:D=B36), ""Select Col1"")),""-"")"),0.0)</f>
        <v>0</v>
      </c>
      <c r="Z36" s="59" t="str">
        <f t="shared" si="5"/>
        <v>-</v>
      </c>
      <c r="AA36" s="60">
        <f>IFERROR(__xludf.DUMMYFUNCTION("iferror(AVERAGE(query(filter('Data Recording'!O:O,'Data Recording'!D:D=B36), ""Select Col1"")),""0.00"")"),0.0)</f>
        <v>0</v>
      </c>
      <c r="AB36" s="57">
        <f>IFERROR(__xludf.DUMMYFUNCTION("iferror(MAX(query(filter('Data Recording'!O:O,'Data Recording'!D:D=B36), ""Select Col1"")),""-"")"),0.0)</f>
        <v>0</v>
      </c>
      <c r="AC36" s="5">
        <f>IFERROR(__xludf.DUMMYFUNCTION("iferror(SUM(query(filter('Data Recording'!P:P,'Data Recording'!D:D=B36), ""Select Col1"")),""-"")"),0.0)</f>
        <v>0</v>
      </c>
      <c r="AD36" s="5">
        <f>IFERROR(__xludf.DUMMYFUNCTION("iferror(SUM(query(filter('Data Recording'!Q:Q,'Data Recording'!D:D=B36), ""Select Col1"")),""-"")"),0.0)</f>
        <v>0</v>
      </c>
      <c r="AE36" s="59" t="str">
        <f t="shared" si="6"/>
        <v>-</v>
      </c>
      <c r="AF36" s="60">
        <f>IFERROR(__xludf.DUMMYFUNCTION("iferror(AVERAGE(query(filter('Data Recording'!Q:Q,'Data Recording'!D:D=B36), ""Select Col1"")),""0.00"")"),0.0)</f>
        <v>0</v>
      </c>
      <c r="AG36" s="5">
        <f>IFERROR(__xludf.DUMMYFUNCTION("iferror(MAX(query(filter('Data Recording'!Q:Q,'Data Recording'!D:D=B36), ""Select Col1"")),""-"")"),0.0)</f>
        <v>0</v>
      </c>
      <c r="AH36" s="63" t="str">
        <f>IFERROR(__xludf.DUMMYFUNCTION("if(countif(query(filter('Data Recording'!R:R,'Data Recording'!D:D=B36), ""Select Col1""),""Yes, Engaged"")+countif(query(filter('Data Recording'!R:R,'Data Recording'!D:D=B36), ""Select Col1""),""Yes, Docked"")=0,""0"",countif(query(filter('Data Recording'"&amp;"!R:R,'Data Recording'!D:D=B36), ""Select Col1""),""Yes, Engaged""))+countif(query(filter('Data Recording'!R:R,'Data Recording'!D:D=B36), ""Select Col1""),""Yes, Docked"") &amp; ""/"" &amp; if(COUNTA(query(ifna(filter('Data Recording'!R:R,'Data Recording'!D:D=B36)"&amp;",""""), ""Select Col1""))=0,""0"",COUNTA(query(ifna(filter('Data Recording'!R:R,'Data Recording'!D:D=B36),""""), ""Select Col1"")))"),"0/6")</f>
        <v>0/6</v>
      </c>
      <c r="AI36" s="64" t="str">
        <f>IFERROR(__xludf.DUMMYFUNCTION("if(countif(query(filter('Data Recording'!R:R,'Data Recording'!D:D=B36), ""Select Col1""),""Yes, Engaged"")=0,""0"",countif(query(filter('Data Recording'!R:R,'Data Recording'!D:D=B36), ""Select Col1""),""Yes, Engaged"")) &amp; ""/"" &amp; if(COUNTA(query(ifna(filt"&amp;"er('Data Recording'!R:R,'Data Recording'!D:D=B36),""""), ""Select Col1""))=0,""0"",COUNTA(query(ifna(filter('Data Recording'!R:R,'Data Recording'!D:D=B36),""""), ""Select Col1"")))"),"0/6")</f>
        <v>0/6</v>
      </c>
      <c r="AJ36" s="5">
        <f>IFERROR(__xludf.DUMMYFUNCTION("iferror(SUM(query(filter('Data Recording'!S:S,'Data Recording'!D:D=B36), ""Select Col1"")),""-"")"),1.0)</f>
        <v>1</v>
      </c>
      <c r="AK36" s="5">
        <f>IFERROR(__xludf.DUMMYFUNCTION("iferror(SUM(query(filter('Data Recording'!T:T,'Data Recording'!D:D=B36), ""Select Col1"")),""-"")"),0.0)</f>
        <v>0</v>
      </c>
      <c r="AL36" s="59">
        <f t="shared" si="7"/>
        <v>0</v>
      </c>
      <c r="AM36" s="60">
        <f>IFERROR(__xludf.DUMMYFUNCTION("iferror(AVERAGE(query(filter('Data Recording'!T:T,'Data Recording'!D:D=B36), ""Select Col1"")),""0.00"")"),0.0)</f>
        <v>0</v>
      </c>
      <c r="AN36" s="65">
        <f>IFERROR(__xludf.DUMMYFUNCTION("iferror(MAX(query(filter('Data Recording'!T:T,'Data Recording'!D:D=B36), ""Select Col1"")),""-"")"),0.0)</f>
        <v>0</v>
      </c>
      <c r="AO36" s="66">
        <f>IFERROR(__xludf.DUMMYFUNCTION("iferror(SUM(query(filter('Data Recording'!U:U,'Data Recording'!D:D=B36), ""Select Col1"")),""-"")"),0.0)</f>
        <v>0</v>
      </c>
      <c r="AP36" s="66">
        <f>IFERROR(__xludf.DUMMYFUNCTION("iferror(SUM(query(filter('Data Recording'!V:V,'Data Recording'!D:D=B36), ""Select Col1"")),""-"")"),0.0)</f>
        <v>0</v>
      </c>
      <c r="AQ36" s="67" t="str">
        <f t="shared" si="8"/>
        <v>-</v>
      </c>
      <c r="AR36" s="68">
        <f>IFERROR(__xludf.DUMMYFUNCTION("iferror(AVERAGE(query(filter('Data Recording'!V:V,'Data Recording'!D:D=B36), ""Select Col1"")),""0.00"")"),0.0)</f>
        <v>0</v>
      </c>
      <c r="AS36" s="69">
        <f>IFERROR(__xludf.DUMMYFUNCTION("iferror(MAX(query(filter('Data Recording'!V:V,'Data Recording'!D:D=B36), ""Select Col1"")),""-"")"),0.0)</f>
        <v>0</v>
      </c>
      <c r="AT36" s="66">
        <f>IFERROR(__xludf.DUMMYFUNCTION("iferror(SUM(query(filter('Data Recording'!W:W,'Data Recording'!D:D=B36), ""Select Col1"")),""-"")"),1.0)</f>
        <v>1</v>
      </c>
      <c r="AU36" s="66">
        <f>IFERROR(__xludf.DUMMYFUNCTION("iferror(SUM(query(filter('Data Recording'!X:X,'Data Recording'!D:D=B36), ""Select Col1"")),""-"")"),0.0)</f>
        <v>0</v>
      </c>
      <c r="AV36" s="67">
        <f t="shared" si="9"/>
        <v>0</v>
      </c>
      <c r="AW36" s="68">
        <f>IFERROR(__xludf.DUMMYFUNCTION("iferror(AVERAGE(query(filter('Data Recording'!X:X,'Data Recording'!D:D=B36), ""Select Col1"")),""0.00"")"),0.0)</f>
        <v>0</v>
      </c>
      <c r="AX36" s="69">
        <f>IFERROR(__xludf.DUMMYFUNCTION("iferror(MAX(query(filter('Data Recording'!X:X,'Data Recording'!D:D=B36), ""Select Col1"")),""-"")"),0.0)</f>
        <v>0</v>
      </c>
      <c r="AY36" s="66">
        <f>IFERROR(__xludf.DUMMYFUNCTION("iferror(SUM(query(filter('Data Recording'!Y:Y,'Data Recording'!D:D=B36), ""Select Col1"")),""-"")"),0.0)</f>
        <v>0</v>
      </c>
      <c r="AZ36" s="66">
        <f>IFERROR(__xludf.DUMMYFUNCTION("iferror(SUM(query(filter('Data Recording'!Z:Z,'Data Recording'!D:D=B36), ""Select Col1"")),""-"")"),0.0)</f>
        <v>0</v>
      </c>
      <c r="BA36" s="67" t="str">
        <f t="shared" si="10"/>
        <v>-</v>
      </c>
      <c r="BB36" s="68">
        <f>IFERROR(__xludf.DUMMYFUNCTION("iferror(AVERAGE(query(filter('Data Recording'!Z:Z,'Data Recording'!D:D=B36), ""Select Col1"")),""0.00"")"),0.0)</f>
        <v>0</v>
      </c>
      <c r="BC36" s="69">
        <f>IFERROR(__xludf.DUMMYFUNCTION("iferror(MAX(query(filter('Data Recording'!Z:Z,'Data Recording'!D:D=B36), ""Select Col1"")),""-"")"),0.0)</f>
        <v>0</v>
      </c>
      <c r="BD36" s="66">
        <f>IFERROR(__xludf.DUMMYFUNCTION("iferror(SUM(query(filter('Data Recording'!AA:AA,'Data Recording'!D:D=B36), ""Select Col1"")),""-"")"),1.0)</f>
        <v>1</v>
      </c>
      <c r="BE36" s="66">
        <f>IFERROR(__xludf.DUMMYFUNCTION("iferror(SUM(query(filter('Data Recording'!AB:AB,'Data Recording'!D:D=B36), ""Select Col1"")),""-"")"),1.0)</f>
        <v>1</v>
      </c>
      <c r="BF36" s="67">
        <f t="shared" si="11"/>
        <v>1</v>
      </c>
      <c r="BG36" s="68">
        <f>IFERROR(__xludf.DUMMYFUNCTION("iferror(AVERAGE(query(filter('Data Recording'!AB:AB,'Data Recording'!D:D=B36), ""Select Col1"")),""0.00"")"),0.16666666666666666)</f>
        <v>0.1666666667</v>
      </c>
      <c r="BH36" s="69">
        <f>IFERROR(__xludf.DUMMYFUNCTION("iferror(MAX(query(filter('Data Recording'!AB:AB,'Data Recording'!D:D=B36), ""Select Col1"")),""-"")"),1.0)</f>
        <v>1</v>
      </c>
      <c r="BI36" s="66">
        <f>IFERROR(__xludf.DUMMYFUNCTION("iferror(SUM(query(filter('Data Recording'!AC:AC,'Data Recording'!D:D=B36), ""Select Col1"")),""-"")"),0.0)</f>
        <v>0</v>
      </c>
      <c r="BJ36" s="66">
        <f>IFERROR(__xludf.DUMMYFUNCTION("iferror(SUM(query(filter('Data Recording'!AD:AD,'Data Recording'!D:D=B36), ""Select Col1"")),""-"")"),0.0)</f>
        <v>0</v>
      </c>
      <c r="BK36" s="67" t="str">
        <f t="shared" si="12"/>
        <v>-</v>
      </c>
      <c r="BL36" s="68">
        <f>IFERROR(__xludf.DUMMYFUNCTION("iferror(AVERAGE(query(filter('Data Recording'!AD:AD,'Data Recording'!D:D=B36), ""Select Col1"")),""0.00"")"),0.0)</f>
        <v>0</v>
      </c>
      <c r="BM36" s="69">
        <f>IFERROR(__xludf.DUMMYFUNCTION("iferror(MAX(query(filter('Data Recording'!AD:AD,'Data Recording'!D:D=B36), ""Select Col1"")),""-"")"),0.0)</f>
        <v>0</v>
      </c>
      <c r="BN36" s="70" t="str">
        <f>IFERROR(__xludf.DUMMYFUNCTION("if(countif(query(filter('Data Recording'!AE:AE,'Data Recording'!D:D=B36), ""Select Col1""),""Yes, Engaged"")+countif(query(filter('Data Recording'!AE:AE,'Data Recording'!D:D=B36), ""Select Col1""),""Yes, Docked"")=0,""0"",countif(query(filter('Data Record"&amp;"ing'!AE:AE,'Data Recording'!D:D=B36), ""Select Col1""),""Yes, Engaged""))+countif(query(filter('Data Recording'!AE:AE,'Data Recording'!D:D=B36), ""Select Col1""),""Yes, Docked"") &amp; ""/"" &amp; if(COUNTA(query(ifna(filter('Data Recording'!AE:AE,'Data Recording"&amp;"'!D:D=B36),""""), ""Select Col1""))=0,""0"",COUNTA(query(ifna(filter('Data Recording'!AE:AE,'Data Recording'!D:D=B36),""""), ""Select Col1"")))"),"3/6")</f>
        <v>3/6</v>
      </c>
      <c r="BO36" s="71" t="str">
        <f>IFERROR(__xludf.DUMMYFUNCTION("if(countif(query(filter('Data Recording'!AE:AE,'Data Recording'!D:D=B36), ""Select Col1""),""Yes, Engaged"")=0,""0"",countif(query(filter('Data Recording'!AE:AE,'Data Recording'!D:D=B36), ""Select Col1""),""Yes, Engaged"")) &amp; ""/"" &amp; if(COUNTA(query(ifna("&amp;"filter('Data Recording'!AE:AE,'Data Recording'!D:D=B36),""""), ""Select Col1""))=0,""0"",COUNTA(query(ifna(filter('Data Recording'!AE:AE,'Data Recording'!D:D=B36),""""), ""Select Col1"")))"),"3/6")</f>
        <v>3/6</v>
      </c>
      <c r="BP36" s="64" t="str">
        <f>IFERROR(__xludf.DUMMYFUNCTION("if(countif(query(filter('Data Recording'!AH:AH,'Data Recording'!D:D=B36), ""Select Col1""),""Yes"")=0,""0"",countif(query(filter('Data Recording'!AH:AH,'Data Recording'!D:D=B36), ""Select Col1""),""Yes"")) &amp; ""/"" &amp; if(COUNTA(query(ifna(filter('Data Recor"&amp;"ding'!AH:AH,'Data Recording'!D:D=B36),""""), ""Select Col1""))=0,""0"",COUNTA(query(ifna(filter('Data Recording'!AH:AH,'Data Recording'!D:D=B36),""""), ""Select Col1"")))"),"0/6")</f>
        <v>0/6</v>
      </c>
      <c r="BQ36" s="72">
        <v>0.0</v>
      </c>
      <c r="BR36" s="60">
        <f>IFERROR(__xludf.DUMMYFUNCTION("iferror(average(query(filter('Data Recording'!AF:AF,'Data Recording'!D:D=B36), ""Select Col1"")),""-"")"),0.16666666666666666)</f>
        <v>0.1666666667</v>
      </c>
      <c r="BS36" s="73">
        <f>IFERROR(__xludf.DUMMYFUNCTION("iferror(average(query(filter('Data Recording'!AG:AG,'Data Recording'!D:D=B36), ""Select Col1"")),""-"")"),0.6666666666666666)</f>
        <v>0.6666666667</v>
      </c>
      <c r="BT36" s="74">
        <f t="shared" si="13"/>
        <v>13.5</v>
      </c>
      <c r="BU36" s="74">
        <f>IFERROR(__xludf.DUMMYFUNCTION("iferror(AVERAGE(query(filter('Data Recording'!AJ:AJ,'Data Recording'!D:D=B36), ""Select Col1"")),""-"")"),8.0)</f>
        <v>8</v>
      </c>
      <c r="BV36" s="74">
        <f>IFERROR(__xludf.DUMMYFUNCTION("iferror(AVERAGE(query(filter('Data Recording'!AK:AK,'Data Recording'!D:D=B36), ""Select Col1"")),""-"")"),0.5)</f>
        <v>0.5</v>
      </c>
      <c r="BW36" s="74">
        <f t="shared" si="14"/>
        <v>0.5</v>
      </c>
      <c r="BX36" s="75">
        <f>IFERROR(__xludf.DUMMYFUNCTION("iferror(max(query(filter('Data Recording'!AJ:AJ,'Data Recording'!D:D=B36), ""Select Col1"")),""-"")"),13.0)</f>
        <v>13</v>
      </c>
      <c r="BY36" s="76">
        <f>IFERROR(__xludf.DUMMYFUNCTION("iferror(MIN(query(filter('Data Recording'!AJ:AJ,'Data Recording'!D:D=B36), ""Select Col1"")),""-"")"),3.0)</f>
        <v>3</v>
      </c>
      <c r="BZ36" s="77" t="str">
        <f>IFERROR(__xludf.DUMMYFUNCTION("iferror(if(DIVIDE(COUNTIF(query(filter('Data Recording'!R:R,'Data Recording'!D:D=B36), ""Select Col1""),""Yes, Docked"") + countif(query(filter('Data Recording'!R:R,'Data Recording'!D:D=B36), ""Select Col1""),""Yes, Engaged""),COUNTA(query(ifna(filter('Da"&amp;"ta Recording'!R:R,'Data Recording'!D:D=B36),""""), ""Select Col1"")))&gt;=(0.5),""1"",""0""),""-"")"),"0")</f>
        <v>0</v>
      </c>
      <c r="CA36" s="5" t="str">
        <f>IFERROR(__xludf.DUMMYFUNCTION("iferror(if(countif(query(filter('Data Recording'!R:R,'Data Recording'!D:D=B36), ""Select Col1""),""Yes, Engaged"")/COUNTA(query(ifna(filter('Data Recording'!R:R,'Data Recording'!D:D=B36),""""), ""Select Col1""))&gt;=(0.5),""1"",""0""),""-"")"),"0")</f>
        <v>0</v>
      </c>
      <c r="CB36" s="78" t="str">
        <f>IFERROR(__xludf.DUMMYFUNCTION("iferror(if(DIVIDE(COUNTIF(query(filter('Data Recording'!AE:AE,'Data Recording'!D:D=B36), ""Select Col1""),""Yes, Docked"") + countif(query(filter('Data Recording'!AE:AE,'Data Recording'!D:D=B36), ""Select Col1""),""Yes, Engaged""),COUNTA(query(ifna(filter"&amp;"('Data Recording'!AE:AE,'Data Recording'!D:D=B36),""""), ""Select Col1"")))&gt;=(0.5),""1"",""0""),""-"")"),"1")</f>
        <v>1</v>
      </c>
      <c r="CC36" s="5" t="str">
        <f>IFERROR(__xludf.DUMMYFUNCTION("iferror(if(countif(query(filter('Data Recording'!AE:AE,'Data Recording'!D:D=B36), ""Select Col1""),""Yes, Engaged"")/COUNTA(query(ifna(filter('Data Recording'!AE:AE,'Data Recording'!D:D=B36),""""), ""Select Col1""))&gt;=(0.5),""1"",""0""),""-"")"),"1")</f>
        <v>1</v>
      </c>
      <c r="CD36" s="78" t="str">
        <f>IFERROR(__xludf.DUMMYFUNCTION("iferror(if(DIVIDE(countif(query(filter('Data Recording'!E:E,'Data Recording'!D:D=B36), ""Select Col1""),""Yes""),COUNTA(query(ifna(filter('Data Recording'!E:E,'Data Recording'!D:D=B36),""""), ""Select Col1"")))&gt;=(0.5),""1"",""0""),""-"")"),"1")</f>
        <v>1</v>
      </c>
    </row>
    <row r="37">
      <c r="A37" s="2" t="s">
        <v>146</v>
      </c>
      <c r="B37" s="2">
        <v>7221.0</v>
      </c>
      <c r="C37" s="57" t="str">
        <f>IFERROR(__xludf.DUMMYFUNCTION("if(countif(query(filter('Data Recording'!E:E,'Data Recording'!D:D=B37), ""Select Col1""),""Yes"")=0,""0"",countif(query(filter('Data Recording'!E:E,'Data Recording'!D:D=B37), ""Select Col1""),""Yes"")) &amp; ""/"" &amp; if(COUNTA(query(ifna(filter('Data Recording"&amp;"'!E:E,'Data Recording'!D:D=B37),""""), ""Select Col1""))=0,""0"",COUNTA(query(ifna(filter('Data Recording'!E:E,'Data Recording'!D:D=B37),""""), ""Select Col1"")))"),"4/10")</f>
        <v>4/10</v>
      </c>
      <c r="D37" s="58">
        <f>IFERROR(__xludf.DUMMYFUNCTION("iferror(SUM(query(filter('Data Recording'!F:F,'Data Recording'!D:D=B37), ""Select Col1"")),""-"")"),0.0)</f>
        <v>0</v>
      </c>
      <c r="E37" s="58">
        <f>IFERROR(__xludf.DUMMYFUNCTION("iferror(SUM(query(filter('Data Recording'!G:G,'Data Recording'!D:D=B37), ""Select Col1"")),""-"")"),0.0)</f>
        <v>0</v>
      </c>
      <c r="F37" s="59" t="str">
        <f t="shared" si="1"/>
        <v>-</v>
      </c>
      <c r="G37" s="60">
        <f>IFERROR(__xludf.DUMMYFUNCTION("iferror(AVERAGE(query(filter('Data Recording'!G:G,'Data Recording'!D:D=B37), ""Select Col1"")),""0.00"")"),0.0)</f>
        <v>0</v>
      </c>
      <c r="H37" s="58">
        <f>IFERROR(__xludf.DUMMYFUNCTION("iferror(MAX(query(filter('Data Recording'!G:G,'Data Recording'!D:D=B37), ""Select Col1"")),""-"")"),0.0)</f>
        <v>0</v>
      </c>
      <c r="I37" s="61">
        <f>IFERROR(__xludf.DUMMYFUNCTION("iferror(SUM(query(filter('Data Recording'!H:H,'Data Recording'!D:D=B37), ""Select Col1"")),""-"")"),0.0)</f>
        <v>0</v>
      </c>
      <c r="J37" s="62">
        <f>IFERROR(__xludf.DUMMYFUNCTION("iferror(SUM(query(filter('Data Recording'!I:I,'Data Recording'!D:D=B37), ""Select Col1"")),""-"")"),0.0)</f>
        <v>0</v>
      </c>
      <c r="K37" s="59" t="str">
        <f t="shared" si="2"/>
        <v>-</v>
      </c>
      <c r="L37" s="60">
        <f>IFERROR(__xludf.DUMMYFUNCTION("iferror(AVERAGE(query(filter('Data Recording'!I:I,'Data Recording'!D:D=B37), ""Select Col1"")),""0.00"")"),0.0)</f>
        <v>0</v>
      </c>
      <c r="M37" s="58">
        <f>IFERROR(__xludf.DUMMYFUNCTION("iferror(MAX(query(filter('Data Recording'!I:I,'Data Recording'!D:D=B37), ""Select Col1"")),""-"")"),0.0)</f>
        <v>0</v>
      </c>
      <c r="N37" s="63">
        <f>IFERROR(__xludf.DUMMYFUNCTION("iferror(SUM(query(filter('Data Recording'!J:J,'Data Recording'!D:D=B37), ""Select Col1"")),""-"")"),0.0)</f>
        <v>0</v>
      </c>
      <c r="O37" s="5">
        <f>IFERROR(__xludf.DUMMYFUNCTION("iferror(SUM(query(filter('Data Recording'!K:K,'Data Recording'!D:D=B37), ""Select Col1"")),""-"")"),0.0)</f>
        <v>0</v>
      </c>
      <c r="P37" s="59" t="str">
        <f t="shared" si="3"/>
        <v>-</v>
      </c>
      <c r="Q37" s="60">
        <f>IFERROR(__xludf.DUMMYFUNCTION("iferror(AVERAGE(query(filter('Data Recording'!K:K,'Data Recording'!D:D=B37), ""Select Col1"")),""0.00"")"),0.0)</f>
        <v>0</v>
      </c>
      <c r="R37" s="58">
        <f>IFERROR(__xludf.DUMMYFUNCTION("iferror(MAX(query(filter('Data Recording'!K:K,'Data Recording'!D:D=B37), ""Select Col1"")),""-"")"),0.0)</f>
        <v>0</v>
      </c>
      <c r="S37" s="63">
        <f>IFERROR(__xludf.DUMMYFUNCTION("iferror(SUM(query(filter('Data Recording'!L:L,'Data Recording'!D:D=B37), ""Select Col1"")),""-"")"),0.0)</f>
        <v>0</v>
      </c>
      <c r="T37" s="5">
        <f>IFERROR(__xludf.DUMMYFUNCTION("iferror(SUM(query(filter('Data Recording'!M:M,'Data Recording'!D:D=B37), ""Select Col1"")),""-"")"),0.0)</f>
        <v>0</v>
      </c>
      <c r="U37" s="59" t="str">
        <f t="shared" si="4"/>
        <v>-</v>
      </c>
      <c r="V37" s="60">
        <f>IFERROR(__xludf.DUMMYFUNCTION("iferror(AVERAGE(query(filter('Data Recording'!M:M,'Data Recording'!D:D=B37), ""Select Col1"")),""-"")"),0.0)</f>
        <v>0</v>
      </c>
      <c r="W37" s="57">
        <f>IFERROR(__xludf.DUMMYFUNCTION("iferror(MAX(query(filter('Data Recording'!M:M,'Data Recording'!D:D=B37), ""Select Col1"")),""-"")"),0.0)</f>
        <v>0</v>
      </c>
      <c r="X37" s="5">
        <f>IFERROR(__xludf.DUMMYFUNCTION("iferror(SUM(query(filter('Data Recording'!N:N,'Data Recording'!D:D=B37), ""Select Col1"")),""-"")"),0.0)</f>
        <v>0</v>
      </c>
      <c r="Y37" s="5">
        <f>IFERROR(__xludf.DUMMYFUNCTION("iferror(SUM(query(filter('Data Recording'!O:O,'Data Recording'!D:D=B37), ""Select Col1"")),""-"")"),0.0)</f>
        <v>0</v>
      </c>
      <c r="Z37" s="59" t="str">
        <f t="shared" si="5"/>
        <v>-</v>
      </c>
      <c r="AA37" s="60">
        <f>IFERROR(__xludf.DUMMYFUNCTION("iferror(AVERAGE(query(filter('Data Recording'!O:O,'Data Recording'!D:D=B37), ""Select Col1"")),""0.00"")"),0.0)</f>
        <v>0</v>
      </c>
      <c r="AB37" s="57">
        <f>IFERROR(__xludf.DUMMYFUNCTION("iferror(MAX(query(filter('Data Recording'!O:O,'Data Recording'!D:D=B37), ""Select Col1"")),""-"")"),0.0)</f>
        <v>0</v>
      </c>
      <c r="AC37" s="5">
        <f>IFERROR(__xludf.DUMMYFUNCTION("iferror(SUM(query(filter('Data Recording'!P:P,'Data Recording'!D:D=B37), ""Select Col1"")),""-"")"),0.0)</f>
        <v>0</v>
      </c>
      <c r="AD37" s="5">
        <f>IFERROR(__xludf.DUMMYFUNCTION("iferror(SUM(query(filter('Data Recording'!Q:Q,'Data Recording'!D:D=B37), ""Select Col1"")),""-"")"),0.0)</f>
        <v>0</v>
      </c>
      <c r="AE37" s="59" t="str">
        <f t="shared" si="6"/>
        <v>-</v>
      </c>
      <c r="AF37" s="60">
        <f>IFERROR(__xludf.DUMMYFUNCTION("iferror(AVERAGE(query(filter('Data Recording'!Q:Q,'Data Recording'!D:D=B37), ""Select Col1"")),""0.00"")"),0.0)</f>
        <v>0</v>
      </c>
      <c r="AG37" s="5">
        <f>IFERROR(__xludf.DUMMYFUNCTION("iferror(MAX(query(filter('Data Recording'!Q:Q,'Data Recording'!D:D=B37), ""Select Col1"")),""-"")"),0.0)</f>
        <v>0</v>
      </c>
      <c r="AH37" s="63" t="str">
        <f>IFERROR(__xludf.DUMMYFUNCTION("if(countif(query(filter('Data Recording'!R:R,'Data Recording'!D:D=B37), ""Select Col1""),""Yes, Engaged"")+countif(query(filter('Data Recording'!R:R,'Data Recording'!D:D=B37), ""Select Col1""),""Yes, Docked"")=0,""0"",countif(query(filter('Data Recording'"&amp;"!R:R,'Data Recording'!D:D=B37), ""Select Col1""),""Yes, Engaged""))+countif(query(filter('Data Recording'!R:R,'Data Recording'!D:D=B37), ""Select Col1""),""Yes, Docked"") &amp; ""/"" &amp; if(COUNTA(query(ifna(filter('Data Recording'!R:R,'Data Recording'!D:D=B37)"&amp;",""""), ""Select Col1""))=0,""0"",COUNTA(query(ifna(filter('Data Recording'!R:R,'Data Recording'!D:D=B37),""""), ""Select Col1"")))"),"0/10")</f>
        <v>0/10</v>
      </c>
      <c r="AI37" s="64" t="str">
        <f>IFERROR(__xludf.DUMMYFUNCTION("if(countif(query(filter('Data Recording'!R:R,'Data Recording'!D:D=B37), ""Select Col1""),""Yes, Engaged"")=0,""0"",countif(query(filter('Data Recording'!R:R,'Data Recording'!D:D=B37), ""Select Col1""),""Yes, Engaged"")) &amp; ""/"" &amp; if(COUNTA(query(ifna(filt"&amp;"er('Data Recording'!R:R,'Data Recording'!D:D=B37),""""), ""Select Col1""))=0,""0"",COUNTA(query(ifna(filter('Data Recording'!R:R,'Data Recording'!D:D=B37),""""), ""Select Col1"")))"),"0/10")</f>
        <v>0/10</v>
      </c>
      <c r="AJ37" s="5">
        <f>IFERROR(__xludf.DUMMYFUNCTION("iferror(SUM(query(filter('Data Recording'!S:S,'Data Recording'!D:D=B37), ""Select Col1"")),""-"")"),0.0)</f>
        <v>0</v>
      </c>
      <c r="AK37" s="5">
        <f>IFERROR(__xludf.DUMMYFUNCTION("iferror(SUM(query(filter('Data Recording'!T:T,'Data Recording'!D:D=B37), ""Select Col1"")),""-"")"),0.0)</f>
        <v>0</v>
      </c>
      <c r="AL37" s="59" t="str">
        <f t="shared" si="7"/>
        <v>-</v>
      </c>
      <c r="AM37" s="60">
        <f>IFERROR(__xludf.DUMMYFUNCTION("iferror(AVERAGE(query(filter('Data Recording'!T:T,'Data Recording'!D:D=B37), ""Select Col1"")),""0.00"")"),0.0)</f>
        <v>0</v>
      </c>
      <c r="AN37" s="65">
        <f>IFERROR(__xludf.DUMMYFUNCTION("iferror(MAX(query(filter('Data Recording'!T:T,'Data Recording'!D:D=B37), ""Select Col1"")),""-"")"),0.0)</f>
        <v>0</v>
      </c>
      <c r="AO37" s="66">
        <f>IFERROR(__xludf.DUMMYFUNCTION("iferror(SUM(query(filter('Data Recording'!U:U,'Data Recording'!D:D=B37), ""Select Col1"")),""-"")"),1.0)</f>
        <v>1</v>
      </c>
      <c r="AP37" s="66">
        <f>IFERROR(__xludf.DUMMYFUNCTION("iferror(SUM(query(filter('Data Recording'!V:V,'Data Recording'!D:D=B37), ""Select Col1"")),""-"")"),0.0)</f>
        <v>0</v>
      </c>
      <c r="AQ37" s="67">
        <f t="shared" si="8"/>
        <v>0</v>
      </c>
      <c r="AR37" s="68">
        <f>IFERROR(__xludf.DUMMYFUNCTION("iferror(AVERAGE(query(filter('Data Recording'!V:V,'Data Recording'!D:D=B37), ""Select Col1"")),""0.00"")"),0.0)</f>
        <v>0</v>
      </c>
      <c r="AS37" s="69">
        <f>IFERROR(__xludf.DUMMYFUNCTION("iferror(MAX(query(filter('Data Recording'!V:V,'Data Recording'!D:D=B37), ""Select Col1"")),""-"")"),0.0)</f>
        <v>0</v>
      </c>
      <c r="AT37" s="66">
        <f>IFERROR(__xludf.DUMMYFUNCTION("iferror(SUM(query(filter('Data Recording'!W:W,'Data Recording'!D:D=B37), ""Select Col1"")),""-"")"),14.0)</f>
        <v>14</v>
      </c>
      <c r="AU37" s="66">
        <f>IFERROR(__xludf.DUMMYFUNCTION("iferror(SUM(query(filter('Data Recording'!X:X,'Data Recording'!D:D=B37), ""Select Col1"")),""-"")"),7.0)</f>
        <v>7</v>
      </c>
      <c r="AV37" s="67">
        <f t="shared" si="9"/>
        <v>0.5</v>
      </c>
      <c r="AW37" s="68">
        <f>IFERROR(__xludf.DUMMYFUNCTION("iferror(AVERAGE(query(filter('Data Recording'!X:X,'Data Recording'!D:D=B37), ""Select Col1"")),""0.00"")"),0.7777777777777778)</f>
        <v>0.7777777778</v>
      </c>
      <c r="AX37" s="69">
        <f>IFERROR(__xludf.DUMMYFUNCTION("iferror(MAX(query(filter('Data Recording'!X:X,'Data Recording'!D:D=B37), ""Select Col1"")),""-"")"),3.0)</f>
        <v>3</v>
      </c>
      <c r="AY37" s="66">
        <f>IFERROR(__xludf.DUMMYFUNCTION("iferror(SUM(query(filter('Data Recording'!Y:Y,'Data Recording'!D:D=B37), ""Select Col1"")),""-"")"),0.0)</f>
        <v>0</v>
      </c>
      <c r="AZ37" s="66">
        <f>IFERROR(__xludf.DUMMYFUNCTION("iferror(SUM(query(filter('Data Recording'!Z:Z,'Data Recording'!D:D=B37), ""Select Col1"")),""-"")"),0.0)</f>
        <v>0</v>
      </c>
      <c r="BA37" s="67" t="str">
        <f t="shared" si="10"/>
        <v>-</v>
      </c>
      <c r="BB37" s="68">
        <f>IFERROR(__xludf.DUMMYFUNCTION("iferror(AVERAGE(query(filter('Data Recording'!Z:Z,'Data Recording'!D:D=B37), ""Select Col1"")),""0.00"")"),0.0)</f>
        <v>0</v>
      </c>
      <c r="BC37" s="69">
        <f>IFERROR(__xludf.DUMMYFUNCTION("iferror(MAX(query(filter('Data Recording'!Z:Z,'Data Recording'!D:D=B37), ""Select Col1"")),""-"")"),0.0)</f>
        <v>0</v>
      </c>
      <c r="BD37" s="66">
        <f>IFERROR(__xludf.DUMMYFUNCTION("iferror(SUM(query(filter('Data Recording'!AA:AA,'Data Recording'!D:D=B37), ""Select Col1"")),""-"")"),0.0)</f>
        <v>0</v>
      </c>
      <c r="BE37" s="66">
        <f>IFERROR(__xludf.DUMMYFUNCTION("iferror(SUM(query(filter('Data Recording'!AB:AB,'Data Recording'!D:D=B37), ""Select Col1"")),""-"")"),0.0)</f>
        <v>0</v>
      </c>
      <c r="BF37" s="67" t="str">
        <f t="shared" si="11"/>
        <v>-</v>
      </c>
      <c r="BG37" s="68">
        <f>IFERROR(__xludf.DUMMYFUNCTION("iferror(AVERAGE(query(filter('Data Recording'!AB:AB,'Data Recording'!D:D=B37), ""Select Col1"")),""0.00"")"),0.0)</f>
        <v>0</v>
      </c>
      <c r="BH37" s="69">
        <f>IFERROR(__xludf.DUMMYFUNCTION("iferror(MAX(query(filter('Data Recording'!AB:AB,'Data Recording'!D:D=B37), ""Select Col1"")),""-"")"),0.0)</f>
        <v>0</v>
      </c>
      <c r="BI37" s="66">
        <f>IFERROR(__xludf.DUMMYFUNCTION("iferror(SUM(query(filter('Data Recording'!AC:AC,'Data Recording'!D:D=B37), ""Select Col1"")),""-"")"),7.0)</f>
        <v>7</v>
      </c>
      <c r="BJ37" s="66">
        <f>IFERROR(__xludf.DUMMYFUNCTION("iferror(SUM(query(filter('Data Recording'!AD:AD,'Data Recording'!D:D=B37), ""Select Col1"")),""-"")"),2.0)</f>
        <v>2</v>
      </c>
      <c r="BK37" s="67">
        <f t="shared" si="12"/>
        <v>0.2857142857</v>
      </c>
      <c r="BL37" s="68">
        <f>IFERROR(__xludf.DUMMYFUNCTION("iferror(AVERAGE(query(filter('Data Recording'!AD:AD,'Data Recording'!D:D=B37), ""Select Col1"")),""0.00"")"),0.2222222222222222)</f>
        <v>0.2222222222</v>
      </c>
      <c r="BM37" s="69">
        <f>IFERROR(__xludf.DUMMYFUNCTION("iferror(MAX(query(filter('Data Recording'!AD:AD,'Data Recording'!D:D=B37), ""Select Col1"")),""-"")"),1.0)</f>
        <v>1</v>
      </c>
      <c r="BN37" s="70" t="str">
        <f>IFERROR(__xludf.DUMMYFUNCTION("if(countif(query(filter('Data Recording'!AE:AE,'Data Recording'!D:D=B37), ""Select Col1""),""Yes, Engaged"")+countif(query(filter('Data Recording'!AE:AE,'Data Recording'!D:D=B37), ""Select Col1""),""Yes, Docked"")=0,""0"",countif(query(filter('Data Record"&amp;"ing'!AE:AE,'Data Recording'!D:D=B37), ""Select Col1""),""Yes, Engaged""))+countif(query(filter('Data Recording'!AE:AE,'Data Recording'!D:D=B37), ""Select Col1""),""Yes, Docked"") &amp; ""/"" &amp; if(COUNTA(query(ifna(filter('Data Recording'!AE:AE,'Data Recording"&amp;"'!D:D=B37),""""), ""Select Col1""))=0,""0"",COUNTA(query(ifna(filter('Data Recording'!AE:AE,'Data Recording'!D:D=B37),""""), ""Select Col1"")))"),"0/10")</f>
        <v>0/10</v>
      </c>
      <c r="BO37" s="71" t="str">
        <f>IFERROR(__xludf.DUMMYFUNCTION("if(countif(query(filter('Data Recording'!AE:AE,'Data Recording'!D:D=B37), ""Select Col1""),""Yes, Engaged"")=0,""0"",countif(query(filter('Data Recording'!AE:AE,'Data Recording'!D:D=B37), ""Select Col1""),""Yes, Engaged"")) &amp; ""/"" &amp; if(COUNTA(query(ifna("&amp;"filter('Data Recording'!AE:AE,'Data Recording'!D:D=B37),""""), ""Select Col1""))=0,""0"",COUNTA(query(ifna(filter('Data Recording'!AE:AE,'Data Recording'!D:D=B37),""""), ""Select Col1"")))"),"0/10")</f>
        <v>0/10</v>
      </c>
      <c r="BP37" s="81" t="str">
        <f>IFERROR(__xludf.DUMMYFUNCTION("if(countif(query(filter('Data Recording'!AH:AH,'Data Recording'!D:D=B37), ""Select Col1""),""Yes"")=0,""0"",countif(query(filter('Data Recording'!AH:AH,'Data Recording'!D:D=B37), ""Select Col1""),""Yes"")) &amp; ""/"" &amp; if(COUNTA(query(ifna(filter('Data Recor"&amp;"ding'!AH:AH,'Data Recording'!D:D=B37),""""), ""Select Col1""))=0,""0"",COUNTA(query(ifna(filter('Data Recording'!AH:AH,'Data Recording'!D:D=B37),""""), ""Select Col1"")))"),"5/10")</f>
        <v>5/10</v>
      </c>
      <c r="BQ37" s="72">
        <v>0.5</v>
      </c>
      <c r="BR37" s="60">
        <f>IFERROR(__xludf.DUMMYFUNCTION("iferror(average(query(filter('Data Recording'!AF:AF,'Data Recording'!D:D=B37), ""Select Col1"")),""-"")"),0.1)</f>
        <v>0.1</v>
      </c>
      <c r="BS37" s="73">
        <f>IFERROR(__xludf.DUMMYFUNCTION("iferror(average(query(filter('Data Recording'!AG:AG,'Data Recording'!D:D=B37), ""Select Col1"")),""-"")"),0.4)</f>
        <v>0.4</v>
      </c>
      <c r="BT37" s="74">
        <f t="shared" si="13"/>
        <v>2</v>
      </c>
      <c r="BU37" s="74">
        <f>IFERROR(__xludf.DUMMYFUNCTION("iferror(AVERAGE(query(filter('Data Recording'!AJ:AJ,'Data Recording'!D:D=B37), ""Select Col1"")),""-"")"),5.4)</f>
        <v>5.4</v>
      </c>
      <c r="BV37" s="74">
        <f>IFERROR(__xludf.DUMMYFUNCTION("iferror(AVERAGE(query(filter('Data Recording'!AK:AK,'Data Recording'!D:D=B37), ""Select Col1"")),""-"")"),1.8)</f>
        <v>1.8</v>
      </c>
      <c r="BW37" s="74">
        <f t="shared" si="14"/>
        <v>2</v>
      </c>
      <c r="BX37" s="75">
        <f>IFERROR(__xludf.DUMMYFUNCTION("iferror(max(query(filter('Data Recording'!AJ:AJ,'Data Recording'!D:D=B37), ""Select Col1"")),""-"")"),10.0)</f>
        <v>10</v>
      </c>
      <c r="BY37" s="76">
        <f>IFERROR(__xludf.DUMMYFUNCTION("iferror(MIN(query(filter('Data Recording'!AJ:AJ,'Data Recording'!D:D=B37), ""Select Col1"")),""-"")"),0.0)</f>
        <v>0</v>
      </c>
      <c r="BZ37" s="77" t="str">
        <f>IFERROR(__xludf.DUMMYFUNCTION("iferror(if(DIVIDE(COUNTIF(query(filter('Data Recording'!R:R,'Data Recording'!D:D=B37), ""Select Col1""),""Yes, Docked"") + countif(query(filter('Data Recording'!R:R,'Data Recording'!D:D=B37), ""Select Col1""),""Yes, Engaged""),COUNTA(query(ifna(filter('Da"&amp;"ta Recording'!R:R,'Data Recording'!D:D=B37),""""), ""Select Col1"")))&gt;=(0.5),""1"",""0""),""-"")"),"0")</f>
        <v>0</v>
      </c>
      <c r="CA37" s="5" t="str">
        <f>IFERROR(__xludf.DUMMYFUNCTION("iferror(if(countif(query(filter('Data Recording'!R:R,'Data Recording'!D:D=B37), ""Select Col1""),""Yes, Engaged"")/COUNTA(query(ifna(filter('Data Recording'!R:R,'Data Recording'!D:D=B37),""""), ""Select Col1""))&gt;=(0.5),""1"",""0""),""-"")"),"0")</f>
        <v>0</v>
      </c>
      <c r="CB37" s="78" t="str">
        <f>IFERROR(__xludf.DUMMYFUNCTION("iferror(if(DIVIDE(COUNTIF(query(filter('Data Recording'!AE:AE,'Data Recording'!D:D=B37), ""Select Col1""),""Yes, Docked"") + countif(query(filter('Data Recording'!AE:AE,'Data Recording'!D:D=B37), ""Select Col1""),""Yes, Engaged""),COUNTA(query(ifna(filter"&amp;"('Data Recording'!AE:AE,'Data Recording'!D:D=B37),""""), ""Select Col1"")))&gt;=(0.5),""1"",""0""),""-"")"),"0")</f>
        <v>0</v>
      </c>
      <c r="CC37" s="5" t="str">
        <f>IFERROR(__xludf.DUMMYFUNCTION("iferror(if(countif(query(filter('Data Recording'!AE:AE,'Data Recording'!D:D=B37), ""Select Col1""),""Yes, Engaged"")/COUNTA(query(ifna(filter('Data Recording'!AE:AE,'Data Recording'!D:D=B37),""""), ""Select Col1""))&gt;=(0.5),""1"",""0""),""-"")"),"0")</f>
        <v>0</v>
      </c>
      <c r="CD37" s="78" t="str">
        <f>IFERROR(__xludf.DUMMYFUNCTION("iferror(if(DIVIDE(countif(query(filter('Data Recording'!E:E,'Data Recording'!D:D=B37), ""Select Col1""),""Yes""),COUNTA(query(ifna(filter('Data Recording'!E:E,'Data Recording'!D:D=B37),""""), ""Select Col1"")))&gt;=(0.5),""1"",""0""),""-"")"),"0")</f>
        <v>0</v>
      </c>
    </row>
    <row r="38">
      <c r="A38" s="2" t="s">
        <v>147</v>
      </c>
      <c r="B38" s="2">
        <v>9211.0</v>
      </c>
      <c r="C38" s="57" t="str">
        <f>IFERROR(__xludf.DUMMYFUNCTION("if(countif(query(filter('Data Recording'!E:E,'Data Recording'!D:D=B38), ""Select Col1""),""Yes"")=0,""0"",countif(query(filter('Data Recording'!E:E,'Data Recording'!D:D=B38), ""Select Col1""),""Yes"")) &amp; ""/"" &amp; if(COUNTA(query(ifna(filter('Data Recording"&amp;"'!E:E,'Data Recording'!D:D=B38),""""), ""Select Col1""))=0,""0"",COUNTA(query(ifna(filter('Data Recording'!E:E,'Data Recording'!D:D=B38),""""), ""Select Col1"")))"),"0/4")</f>
        <v>0/4</v>
      </c>
      <c r="D38" s="58">
        <f>IFERROR(__xludf.DUMMYFUNCTION("iferror(SUM(query(filter('Data Recording'!F:F,'Data Recording'!D:D=B38), ""Select Col1"")),""-"")"),0.0)</f>
        <v>0</v>
      </c>
      <c r="E38" s="58">
        <f>IFERROR(__xludf.DUMMYFUNCTION("iferror(SUM(query(filter('Data Recording'!G:G,'Data Recording'!D:D=B38), ""Select Col1"")),""-"")"),0.0)</f>
        <v>0</v>
      </c>
      <c r="F38" s="59" t="str">
        <f t="shared" si="1"/>
        <v>-</v>
      </c>
      <c r="G38" s="60" t="str">
        <f>IFERROR(__xludf.DUMMYFUNCTION("iferror(AVERAGE(query(filter('Data Recording'!G:G,'Data Recording'!D:D=B38), ""Select Col1"")),""0.00"")"),"0.00")</f>
        <v>0.00</v>
      </c>
      <c r="H38" s="58">
        <f>IFERROR(__xludf.DUMMYFUNCTION("iferror(MAX(query(filter('Data Recording'!G:G,'Data Recording'!D:D=B38), ""Select Col1"")),""-"")"),0.0)</f>
        <v>0</v>
      </c>
      <c r="I38" s="61">
        <f>IFERROR(__xludf.DUMMYFUNCTION("iferror(SUM(query(filter('Data Recording'!H:H,'Data Recording'!D:D=B38), ""Select Col1"")),""-"")"),0.0)</f>
        <v>0</v>
      </c>
      <c r="J38" s="62">
        <f>IFERROR(__xludf.DUMMYFUNCTION("iferror(SUM(query(filter('Data Recording'!I:I,'Data Recording'!D:D=B38), ""Select Col1"")),""-"")"),0.0)</f>
        <v>0</v>
      </c>
      <c r="K38" s="59" t="str">
        <f t="shared" si="2"/>
        <v>-</v>
      </c>
      <c r="L38" s="60" t="str">
        <f>IFERROR(__xludf.DUMMYFUNCTION("iferror(AVERAGE(query(filter('Data Recording'!I:I,'Data Recording'!D:D=B38), ""Select Col1"")),""0.00"")"),"0.00")</f>
        <v>0.00</v>
      </c>
      <c r="M38" s="58">
        <f>IFERROR(__xludf.DUMMYFUNCTION("iferror(MAX(query(filter('Data Recording'!I:I,'Data Recording'!D:D=B38), ""Select Col1"")),""-"")"),0.0)</f>
        <v>0</v>
      </c>
      <c r="N38" s="63">
        <f>IFERROR(__xludf.DUMMYFUNCTION("iferror(SUM(query(filter('Data Recording'!J:J,'Data Recording'!D:D=B38), ""Select Col1"")),""-"")"),0.0)</f>
        <v>0</v>
      </c>
      <c r="O38" s="5">
        <f>IFERROR(__xludf.DUMMYFUNCTION("iferror(SUM(query(filter('Data Recording'!K:K,'Data Recording'!D:D=B38), ""Select Col1"")),""-"")"),0.0)</f>
        <v>0</v>
      </c>
      <c r="P38" s="59" t="str">
        <f t="shared" si="3"/>
        <v>-</v>
      </c>
      <c r="Q38" s="60" t="str">
        <f>IFERROR(__xludf.DUMMYFUNCTION("iferror(AVERAGE(query(filter('Data Recording'!K:K,'Data Recording'!D:D=B38), ""Select Col1"")),""0.00"")"),"0.00")</f>
        <v>0.00</v>
      </c>
      <c r="R38" s="58">
        <f>IFERROR(__xludf.DUMMYFUNCTION("iferror(MAX(query(filter('Data Recording'!K:K,'Data Recording'!D:D=B38), ""Select Col1"")),""-"")"),0.0)</f>
        <v>0</v>
      </c>
      <c r="S38" s="63">
        <f>IFERROR(__xludf.DUMMYFUNCTION("iferror(SUM(query(filter('Data Recording'!L:L,'Data Recording'!D:D=B38), ""Select Col1"")),""-"")"),0.0)</f>
        <v>0</v>
      </c>
      <c r="T38" s="5">
        <f>IFERROR(__xludf.DUMMYFUNCTION("iferror(SUM(query(filter('Data Recording'!M:M,'Data Recording'!D:D=B38), ""Select Col1"")),""-"")"),0.0)</f>
        <v>0</v>
      </c>
      <c r="U38" s="59" t="str">
        <f t="shared" si="4"/>
        <v>-</v>
      </c>
      <c r="V38" s="60" t="str">
        <f>IFERROR(__xludf.DUMMYFUNCTION("iferror(AVERAGE(query(filter('Data Recording'!M:M,'Data Recording'!D:D=B38), ""Select Col1"")),""-"")"),"-")</f>
        <v>-</v>
      </c>
      <c r="W38" s="57">
        <f>IFERROR(__xludf.DUMMYFUNCTION("iferror(MAX(query(filter('Data Recording'!M:M,'Data Recording'!D:D=B38), ""Select Col1"")),""-"")"),0.0)</f>
        <v>0</v>
      </c>
      <c r="X38" s="5">
        <f>IFERROR(__xludf.DUMMYFUNCTION("iferror(SUM(query(filter('Data Recording'!N:N,'Data Recording'!D:D=B38), ""Select Col1"")),""-"")"),0.0)</f>
        <v>0</v>
      </c>
      <c r="Y38" s="5">
        <f>IFERROR(__xludf.DUMMYFUNCTION("iferror(SUM(query(filter('Data Recording'!O:O,'Data Recording'!D:D=B38), ""Select Col1"")),""-"")"),0.0)</f>
        <v>0</v>
      </c>
      <c r="Z38" s="59" t="str">
        <f t="shared" si="5"/>
        <v>-</v>
      </c>
      <c r="AA38" s="60" t="str">
        <f>IFERROR(__xludf.DUMMYFUNCTION("iferror(AVERAGE(query(filter('Data Recording'!O:O,'Data Recording'!D:D=B38), ""Select Col1"")),""0.00"")"),"0.00")</f>
        <v>0.00</v>
      </c>
      <c r="AB38" s="57">
        <f>IFERROR(__xludf.DUMMYFUNCTION("iferror(MAX(query(filter('Data Recording'!O:O,'Data Recording'!D:D=B38), ""Select Col1"")),""-"")"),0.0)</f>
        <v>0</v>
      </c>
      <c r="AC38" s="5">
        <f>IFERROR(__xludf.DUMMYFUNCTION("iferror(SUM(query(filter('Data Recording'!P:P,'Data Recording'!D:D=B38), ""Select Col1"")),""-"")"),0.0)</f>
        <v>0</v>
      </c>
      <c r="AD38" s="5">
        <f>IFERROR(__xludf.DUMMYFUNCTION("iferror(SUM(query(filter('Data Recording'!Q:Q,'Data Recording'!D:D=B38), ""Select Col1"")),""-"")"),0.0)</f>
        <v>0</v>
      </c>
      <c r="AE38" s="59" t="str">
        <f t="shared" si="6"/>
        <v>-</v>
      </c>
      <c r="AF38" s="60" t="str">
        <f>IFERROR(__xludf.DUMMYFUNCTION("iferror(AVERAGE(query(filter('Data Recording'!Q:Q,'Data Recording'!D:D=B38), ""Select Col1"")),""0.00"")"),"0.00")</f>
        <v>0.00</v>
      </c>
      <c r="AG38" s="5">
        <f>IFERROR(__xludf.DUMMYFUNCTION("iferror(MAX(query(filter('Data Recording'!Q:Q,'Data Recording'!D:D=B38), ""Select Col1"")),""-"")"),0.0)</f>
        <v>0</v>
      </c>
      <c r="AH38" s="63" t="str">
        <f>IFERROR(__xludf.DUMMYFUNCTION("if(countif(query(filter('Data Recording'!R:R,'Data Recording'!D:D=B38), ""Select Col1""),""Yes, Engaged"")+countif(query(filter('Data Recording'!R:R,'Data Recording'!D:D=B38), ""Select Col1""),""Yes, Docked"")=0,""0"",countif(query(filter('Data Recording'"&amp;"!R:R,'Data Recording'!D:D=B38), ""Select Col1""),""Yes, Engaged""))+countif(query(filter('Data Recording'!R:R,'Data Recording'!D:D=B38), ""Select Col1""),""Yes, Docked"") &amp; ""/"" &amp; if(COUNTA(query(ifna(filter('Data Recording'!R:R,'Data Recording'!D:D=B38)"&amp;",""""), ""Select Col1""))=0,""0"",COUNTA(query(ifna(filter('Data Recording'!R:R,'Data Recording'!D:D=B38),""""), ""Select Col1"")))"),"0/4")</f>
        <v>0/4</v>
      </c>
      <c r="AI38" s="64" t="str">
        <f>IFERROR(__xludf.DUMMYFUNCTION("if(countif(query(filter('Data Recording'!R:R,'Data Recording'!D:D=B38), ""Select Col1""),""Yes, Engaged"")=0,""0"",countif(query(filter('Data Recording'!R:R,'Data Recording'!D:D=B38), ""Select Col1""),""Yes, Engaged"")) &amp; ""/"" &amp; if(COUNTA(query(ifna(filt"&amp;"er('Data Recording'!R:R,'Data Recording'!D:D=B38),""""), ""Select Col1""))=0,""0"",COUNTA(query(ifna(filter('Data Recording'!R:R,'Data Recording'!D:D=B38),""""), ""Select Col1"")))"),"0/4")</f>
        <v>0/4</v>
      </c>
      <c r="AJ38" s="5">
        <f>IFERROR(__xludf.DUMMYFUNCTION("iferror(SUM(query(filter('Data Recording'!S:S,'Data Recording'!D:D=B38), ""Select Col1"")),""-"")"),0.0)</f>
        <v>0</v>
      </c>
      <c r="AK38" s="5">
        <f>IFERROR(__xludf.DUMMYFUNCTION("iferror(SUM(query(filter('Data Recording'!T:T,'Data Recording'!D:D=B38), ""Select Col1"")),""-"")"),0.0)</f>
        <v>0</v>
      </c>
      <c r="AL38" s="59" t="str">
        <f t="shared" si="7"/>
        <v>-</v>
      </c>
      <c r="AM38" s="60" t="str">
        <f>IFERROR(__xludf.DUMMYFUNCTION("iferror(AVERAGE(query(filter('Data Recording'!T:T,'Data Recording'!D:D=B38), ""Select Col1"")),""0.00"")"),"0.00")</f>
        <v>0.00</v>
      </c>
      <c r="AN38" s="65">
        <f>IFERROR(__xludf.DUMMYFUNCTION("iferror(MAX(query(filter('Data Recording'!T:T,'Data Recording'!D:D=B38), ""Select Col1"")),""-"")"),0.0)</f>
        <v>0</v>
      </c>
      <c r="AO38" s="66">
        <f>IFERROR(__xludf.DUMMYFUNCTION("iferror(SUM(query(filter('Data Recording'!U:U,'Data Recording'!D:D=B38), ""Select Col1"")),""-"")"),0.0)</f>
        <v>0</v>
      </c>
      <c r="AP38" s="66">
        <f>IFERROR(__xludf.DUMMYFUNCTION("iferror(SUM(query(filter('Data Recording'!V:V,'Data Recording'!D:D=B38), ""Select Col1"")),""-"")"),0.0)</f>
        <v>0</v>
      </c>
      <c r="AQ38" s="67" t="str">
        <f t="shared" si="8"/>
        <v>-</v>
      </c>
      <c r="AR38" s="68" t="str">
        <f>IFERROR(__xludf.DUMMYFUNCTION("iferror(AVERAGE(query(filter('Data Recording'!V:V,'Data Recording'!D:D=B38), ""Select Col1"")),""0.00"")"),"0.00")</f>
        <v>0.00</v>
      </c>
      <c r="AS38" s="69">
        <f>IFERROR(__xludf.DUMMYFUNCTION("iferror(MAX(query(filter('Data Recording'!V:V,'Data Recording'!D:D=B38), ""Select Col1"")),""-"")"),0.0)</f>
        <v>0</v>
      </c>
      <c r="AT38" s="66">
        <f>IFERROR(__xludf.DUMMYFUNCTION("iferror(SUM(query(filter('Data Recording'!W:W,'Data Recording'!D:D=B38), ""Select Col1"")),""-"")"),1.0)</f>
        <v>1</v>
      </c>
      <c r="AU38" s="66">
        <f>IFERROR(__xludf.DUMMYFUNCTION("iferror(SUM(query(filter('Data Recording'!X:X,'Data Recording'!D:D=B38), ""Select Col1"")),""-"")"),0.0)</f>
        <v>0</v>
      </c>
      <c r="AV38" s="67">
        <f t="shared" si="9"/>
        <v>0</v>
      </c>
      <c r="AW38" s="68">
        <f>IFERROR(__xludf.DUMMYFUNCTION("iferror(AVERAGE(query(filter('Data Recording'!X:X,'Data Recording'!D:D=B38), ""Select Col1"")),""0.00"")"),0.0)</f>
        <v>0</v>
      </c>
      <c r="AX38" s="69">
        <f>IFERROR(__xludf.DUMMYFUNCTION("iferror(MAX(query(filter('Data Recording'!X:X,'Data Recording'!D:D=B38), ""Select Col1"")),""-"")"),0.0)</f>
        <v>0</v>
      </c>
      <c r="AY38" s="66">
        <f>IFERROR(__xludf.DUMMYFUNCTION("iferror(SUM(query(filter('Data Recording'!Y:Y,'Data Recording'!D:D=B38), ""Select Col1"")),""-"")"),0.0)</f>
        <v>0</v>
      </c>
      <c r="AZ38" s="66">
        <f>IFERROR(__xludf.DUMMYFUNCTION("iferror(SUM(query(filter('Data Recording'!Z:Z,'Data Recording'!D:D=B38), ""Select Col1"")),""-"")"),0.0)</f>
        <v>0</v>
      </c>
      <c r="BA38" s="67" t="str">
        <f t="shared" si="10"/>
        <v>-</v>
      </c>
      <c r="BB38" s="68" t="str">
        <f>IFERROR(__xludf.DUMMYFUNCTION("iferror(AVERAGE(query(filter('Data Recording'!Z:Z,'Data Recording'!D:D=B38), ""Select Col1"")),""0.00"")"),"0.00")</f>
        <v>0.00</v>
      </c>
      <c r="BC38" s="69">
        <f>IFERROR(__xludf.DUMMYFUNCTION("iferror(MAX(query(filter('Data Recording'!Z:Z,'Data Recording'!D:D=B38), ""Select Col1"")),""-"")"),0.0)</f>
        <v>0</v>
      </c>
      <c r="BD38" s="66">
        <f>IFERROR(__xludf.DUMMYFUNCTION("iferror(SUM(query(filter('Data Recording'!AA:AA,'Data Recording'!D:D=B38), ""Select Col1"")),""-"")"),0.0)</f>
        <v>0</v>
      </c>
      <c r="BE38" s="66">
        <f>IFERROR(__xludf.DUMMYFUNCTION("iferror(SUM(query(filter('Data Recording'!AB:AB,'Data Recording'!D:D=B38), ""Select Col1"")),""-"")"),0.0)</f>
        <v>0</v>
      </c>
      <c r="BF38" s="67" t="str">
        <f t="shared" si="11"/>
        <v>-</v>
      </c>
      <c r="BG38" s="68" t="str">
        <f>IFERROR(__xludf.DUMMYFUNCTION("iferror(AVERAGE(query(filter('Data Recording'!AB:AB,'Data Recording'!D:D=B38), ""Select Col1"")),""0.00"")"),"0.00")</f>
        <v>0.00</v>
      </c>
      <c r="BH38" s="69">
        <f>IFERROR(__xludf.DUMMYFUNCTION("iferror(MAX(query(filter('Data Recording'!AB:AB,'Data Recording'!D:D=B38), ""Select Col1"")),""-"")"),0.0)</f>
        <v>0</v>
      </c>
      <c r="BI38" s="66">
        <f>IFERROR(__xludf.DUMMYFUNCTION("iferror(SUM(query(filter('Data Recording'!AC:AC,'Data Recording'!D:D=B38), ""Select Col1"")),""-"")"),1.0)</f>
        <v>1</v>
      </c>
      <c r="BJ38" s="66">
        <f>IFERROR(__xludf.DUMMYFUNCTION("iferror(SUM(query(filter('Data Recording'!AD:AD,'Data Recording'!D:D=B38), ""Select Col1"")),""-"")"),0.0)</f>
        <v>0</v>
      </c>
      <c r="BK38" s="67">
        <f t="shared" si="12"/>
        <v>0</v>
      </c>
      <c r="BL38" s="68">
        <f>IFERROR(__xludf.DUMMYFUNCTION("iferror(AVERAGE(query(filter('Data Recording'!AD:AD,'Data Recording'!D:D=B38), ""Select Col1"")),""0.00"")"),0.0)</f>
        <v>0</v>
      </c>
      <c r="BM38" s="69">
        <f>IFERROR(__xludf.DUMMYFUNCTION("iferror(MAX(query(filter('Data Recording'!AD:AD,'Data Recording'!D:D=B38), ""Select Col1"")),""-"")"),0.0)</f>
        <v>0</v>
      </c>
      <c r="BN38" s="70" t="str">
        <f>IFERROR(__xludf.DUMMYFUNCTION("if(countif(query(filter('Data Recording'!AE:AE,'Data Recording'!D:D=B38), ""Select Col1""),""Yes, Engaged"")+countif(query(filter('Data Recording'!AE:AE,'Data Recording'!D:D=B38), ""Select Col1""),""Yes, Docked"")=0,""0"",countif(query(filter('Data Record"&amp;"ing'!AE:AE,'Data Recording'!D:D=B38), ""Select Col1""),""Yes, Engaged""))+countif(query(filter('Data Recording'!AE:AE,'Data Recording'!D:D=B38), ""Select Col1""),""Yes, Docked"") &amp; ""/"" &amp; if(COUNTA(query(ifna(filter('Data Recording'!AE:AE,'Data Recording"&amp;"'!D:D=B38),""""), ""Select Col1""))=0,""0"",COUNTA(query(ifna(filter('Data Recording'!AE:AE,'Data Recording'!D:D=B38),""""), ""Select Col1"")))"),"2/4")</f>
        <v>2/4</v>
      </c>
      <c r="BO38" s="71" t="str">
        <f>IFERROR(__xludf.DUMMYFUNCTION("if(countif(query(filter('Data Recording'!AE:AE,'Data Recording'!D:D=B38), ""Select Col1""),""Yes, Engaged"")=0,""0"",countif(query(filter('Data Recording'!AE:AE,'Data Recording'!D:D=B38), ""Select Col1""),""Yes, Engaged"")) &amp; ""/"" &amp; if(COUNTA(query(ifna("&amp;"filter('Data Recording'!AE:AE,'Data Recording'!D:D=B38),""""), ""Select Col1""))=0,""0"",COUNTA(query(ifna(filter('Data Recording'!AE:AE,'Data Recording'!D:D=B38),""""), ""Select Col1"")))"),"2/4")</f>
        <v>2/4</v>
      </c>
      <c r="BP38" s="64" t="str">
        <f>IFERROR(__xludf.DUMMYFUNCTION("if(countif(query(filter('Data Recording'!AH:AH,'Data Recording'!D:D=B38), ""Select Col1""),""Yes"")=0,""0"",countif(query(filter('Data Recording'!AH:AH,'Data Recording'!D:D=B38), ""Select Col1""),""Yes"")) &amp; ""/"" &amp; if(COUNTA(query(ifna(filter('Data Recor"&amp;"ding'!AH:AH,'Data Recording'!D:D=B38),""""), ""Select Col1""))=0,""0"",COUNTA(query(ifna(filter('Data Recording'!AH:AH,'Data Recording'!D:D=B38),""""), ""Select Col1"")))"),"2/4")</f>
        <v>2/4</v>
      </c>
      <c r="BQ38" s="72">
        <v>0.5</v>
      </c>
      <c r="BR38" s="60">
        <f>IFERROR(__xludf.DUMMYFUNCTION("iferror(average(query(filter('Data Recording'!AF:AF,'Data Recording'!D:D=B38), ""Select Col1"")),""-"")"),0.75)</f>
        <v>0.75</v>
      </c>
      <c r="BS38" s="73">
        <f>IFERROR(__xludf.DUMMYFUNCTION("iferror(average(query(filter('Data Recording'!AG:AG,'Data Recording'!D:D=B38), ""Select Col1"")),""-"")"),1.25)</f>
        <v>1.25</v>
      </c>
      <c r="BT38" s="74">
        <f t="shared" si="13"/>
        <v>10</v>
      </c>
      <c r="BU38" s="74">
        <f>IFERROR(__xludf.DUMMYFUNCTION("iferror(AVERAGE(query(filter('Data Recording'!AJ:AJ,'Data Recording'!D:D=B38), ""Select Col1"")),""-"")"),5.0)</f>
        <v>5</v>
      </c>
      <c r="BV38" s="74">
        <f>IFERROR(__xludf.DUMMYFUNCTION("iferror(AVERAGE(query(filter('Data Recording'!AK:AK,'Data Recording'!D:D=B38), ""Select Col1"")),""-"")"),0.0)</f>
        <v>0</v>
      </c>
      <c r="BW38" s="74">
        <f t="shared" si="14"/>
        <v>0</v>
      </c>
      <c r="BX38" s="75">
        <f>IFERROR(__xludf.DUMMYFUNCTION("iferror(max(query(filter('Data Recording'!AJ:AJ,'Data Recording'!D:D=B38), ""Select Col1"")),""-"")"),10.0)</f>
        <v>10</v>
      </c>
      <c r="BY38" s="76">
        <f>IFERROR(__xludf.DUMMYFUNCTION("iferror(MIN(query(filter('Data Recording'!AJ:AJ,'Data Recording'!D:D=B38), ""Select Col1"")),""-"")"),0.0)</f>
        <v>0</v>
      </c>
      <c r="BZ38" s="77" t="str">
        <f>IFERROR(__xludf.DUMMYFUNCTION("iferror(if(DIVIDE(COUNTIF(query(filter('Data Recording'!R:R,'Data Recording'!D:D=B38), ""Select Col1""),""Yes, Docked"") + countif(query(filter('Data Recording'!R:R,'Data Recording'!D:D=B38), ""Select Col1""),""Yes, Engaged""),COUNTA(query(ifna(filter('Da"&amp;"ta Recording'!R:R,'Data Recording'!D:D=B38),""""), ""Select Col1"")))&gt;=(0.5),""1"",""0""),""-"")"),"0")</f>
        <v>0</v>
      </c>
      <c r="CA38" s="5" t="str">
        <f>IFERROR(__xludf.DUMMYFUNCTION("iferror(if(countif(query(filter('Data Recording'!R:R,'Data Recording'!D:D=B38), ""Select Col1""),""Yes, Engaged"")/COUNTA(query(ifna(filter('Data Recording'!R:R,'Data Recording'!D:D=B38),""""), ""Select Col1""))&gt;=(0.5),""1"",""0""),""-"")"),"0")</f>
        <v>0</v>
      </c>
      <c r="CB38" s="78" t="str">
        <f>IFERROR(__xludf.DUMMYFUNCTION("iferror(if(DIVIDE(COUNTIF(query(filter('Data Recording'!AE:AE,'Data Recording'!D:D=B38), ""Select Col1""),""Yes, Docked"") + countif(query(filter('Data Recording'!AE:AE,'Data Recording'!D:D=B38), ""Select Col1""),""Yes, Engaged""),COUNTA(query(ifna(filter"&amp;"('Data Recording'!AE:AE,'Data Recording'!D:D=B38),""""), ""Select Col1"")))&gt;=(0.5),""1"",""0""),""-"")"),"1")</f>
        <v>1</v>
      </c>
      <c r="CC38" s="5" t="str">
        <f>IFERROR(__xludf.DUMMYFUNCTION("iferror(if(countif(query(filter('Data Recording'!AE:AE,'Data Recording'!D:D=B38), ""Select Col1""),""Yes, Engaged"")/COUNTA(query(ifna(filter('Data Recording'!AE:AE,'Data Recording'!D:D=B38),""""), ""Select Col1""))&gt;=(0.5),""1"",""0""),""-"")"),"1")</f>
        <v>1</v>
      </c>
      <c r="CD38" s="78" t="str">
        <f>IFERROR(__xludf.DUMMYFUNCTION("iferror(if(DIVIDE(countif(query(filter('Data Recording'!E:E,'Data Recording'!D:D=B38), ""Select Col1""),""Yes""),COUNTA(query(ifna(filter('Data Recording'!E:E,'Data Recording'!D:D=B38),""""), ""Select Col1"")))&gt;=(0.5),""1"",""0""),""-"")"),"0")</f>
        <v>0</v>
      </c>
    </row>
    <row r="39">
      <c r="A39" s="2" t="s">
        <v>148</v>
      </c>
      <c r="B39" s="2">
        <v>8895.0</v>
      </c>
      <c r="C39" s="57" t="str">
        <f>IFERROR(__xludf.DUMMYFUNCTION("if(countif(query(filter('Data Recording'!E:E,'Data Recording'!D:D=B39), ""Select Col1""),""Yes"")=0,""0"",countif(query(filter('Data Recording'!E:E,'Data Recording'!D:D=B39), ""Select Col1""),""Yes"")) &amp; ""/"" &amp; if(COUNTA(query(ifna(filter('Data Recording"&amp;"'!E:E,'Data Recording'!D:D=B39),""""), ""Select Col1""))=0,""0"",COUNTA(query(ifna(filter('Data Recording'!E:E,'Data Recording'!D:D=B39),""""), ""Select Col1"")))"),"0/9")</f>
        <v>0/9</v>
      </c>
      <c r="D39" s="58">
        <f>IFERROR(__xludf.DUMMYFUNCTION("iferror(SUM(query(filter('Data Recording'!F:F,'Data Recording'!D:D=B39), ""Select Col1"")),""-"")"),0.0)</f>
        <v>0</v>
      </c>
      <c r="E39" s="58">
        <f>IFERROR(__xludf.DUMMYFUNCTION("iferror(SUM(query(filter('Data Recording'!G:G,'Data Recording'!D:D=B39), ""Select Col1"")),""-"")"),0.0)</f>
        <v>0</v>
      </c>
      <c r="F39" s="59" t="str">
        <f t="shared" si="1"/>
        <v>-</v>
      </c>
      <c r="G39" s="60" t="str">
        <f>IFERROR(__xludf.DUMMYFUNCTION("iferror(AVERAGE(query(filter('Data Recording'!G:G,'Data Recording'!D:D=B39), ""Select Col1"")),""0.00"")"),"0.00")</f>
        <v>0.00</v>
      </c>
      <c r="H39" s="58">
        <f>IFERROR(__xludf.DUMMYFUNCTION("iferror(MAX(query(filter('Data Recording'!G:G,'Data Recording'!D:D=B39), ""Select Col1"")),""-"")"),0.0)</f>
        <v>0</v>
      </c>
      <c r="I39" s="61">
        <f>IFERROR(__xludf.DUMMYFUNCTION("iferror(SUM(query(filter('Data Recording'!H:H,'Data Recording'!D:D=B39), ""Select Col1"")),""-"")"),0.0)</f>
        <v>0</v>
      </c>
      <c r="J39" s="62">
        <f>IFERROR(__xludf.DUMMYFUNCTION("iferror(SUM(query(filter('Data Recording'!I:I,'Data Recording'!D:D=B39), ""Select Col1"")),""-"")"),0.0)</f>
        <v>0</v>
      </c>
      <c r="K39" s="59" t="str">
        <f t="shared" si="2"/>
        <v>-</v>
      </c>
      <c r="L39" s="60" t="str">
        <f>IFERROR(__xludf.DUMMYFUNCTION("iferror(AVERAGE(query(filter('Data Recording'!I:I,'Data Recording'!D:D=B39), ""Select Col1"")),""0.00"")"),"0.00")</f>
        <v>0.00</v>
      </c>
      <c r="M39" s="58">
        <f>IFERROR(__xludf.DUMMYFUNCTION("iferror(MAX(query(filter('Data Recording'!I:I,'Data Recording'!D:D=B39), ""Select Col1"")),""-"")"),0.0)</f>
        <v>0</v>
      </c>
      <c r="N39" s="63">
        <f>IFERROR(__xludf.DUMMYFUNCTION("iferror(SUM(query(filter('Data Recording'!J:J,'Data Recording'!D:D=B39), ""Select Col1"")),""-"")"),0.0)</f>
        <v>0</v>
      </c>
      <c r="O39" s="5">
        <f>IFERROR(__xludf.DUMMYFUNCTION("iferror(SUM(query(filter('Data Recording'!K:K,'Data Recording'!D:D=B39), ""Select Col1"")),""-"")"),0.0)</f>
        <v>0</v>
      </c>
      <c r="P39" s="59" t="str">
        <f t="shared" si="3"/>
        <v>-</v>
      </c>
      <c r="Q39" s="60" t="str">
        <f>IFERROR(__xludf.DUMMYFUNCTION("iferror(AVERAGE(query(filter('Data Recording'!K:K,'Data Recording'!D:D=B39), ""Select Col1"")),""0.00"")"),"0.00")</f>
        <v>0.00</v>
      </c>
      <c r="R39" s="58">
        <f>IFERROR(__xludf.DUMMYFUNCTION("iferror(MAX(query(filter('Data Recording'!K:K,'Data Recording'!D:D=B39), ""Select Col1"")),""-"")"),0.0)</f>
        <v>0</v>
      </c>
      <c r="S39" s="63">
        <f>IFERROR(__xludf.DUMMYFUNCTION("iferror(SUM(query(filter('Data Recording'!L:L,'Data Recording'!D:D=B39), ""Select Col1"")),""-"")"),0.0)</f>
        <v>0</v>
      </c>
      <c r="T39" s="5">
        <f>IFERROR(__xludf.DUMMYFUNCTION("iferror(SUM(query(filter('Data Recording'!M:M,'Data Recording'!D:D=B39), ""Select Col1"")),""-"")"),0.0)</f>
        <v>0</v>
      </c>
      <c r="U39" s="59" t="str">
        <f t="shared" si="4"/>
        <v>-</v>
      </c>
      <c r="V39" s="60" t="str">
        <f>IFERROR(__xludf.DUMMYFUNCTION("iferror(AVERAGE(query(filter('Data Recording'!M:M,'Data Recording'!D:D=B39), ""Select Col1"")),""-"")"),"-")</f>
        <v>-</v>
      </c>
      <c r="W39" s="57">
        <f>IFERROR(__xludf.DUMMYFUNCTION("iferror(MAX(query(filter('Data Recording'!M:M,'Data Recording'!D:D=B39), ""Select Col1"")),""-"")"),0.0)</f>
        <v>0</v>
      </c>
      <c r="X39" s="5">
        <f>IFERROR(__xludf.DUMMYFUNCTION("iferror(SUM(query(filter('Data Recording'!N:N,'Data Recording'!D:D=B39), ""Select Col1"")),""-"")"),0.0)</f>
        <v>0</v>
      </c>
      <c r="Y39" s="5">
        <f>IFERROR(__xludf.DUMMYFUNCTION("iferror(SUM(query(filter('Data Recording'!O:O,'Data Recording'!D:D=B39), ""Select Col1"")),""-"")"),0.0)</f>
        <v>0</v>
      </c>
      <c r="Z39" s="59" t="str">
        <f t="shared" si="5"/>
        <v>-</v>
      </c>
      <c r="AA39" s="60" t="str">
        <f>IFERROR(__xludf.DUMMYFUNCTION("iferror(AVERAGE(query(filter('Data Recording'!O:O,'Data Recording'!D:D=B39), ""Select Col1"")),""0.00"")"),"0.00")</f>
        <v>0.00</v>
      </c>
      <c r="AB39" s="57">
        <f>IFERROR(__xludf.DUMMYFUNCTION("iferror(MAX(query(filter('Data Recording'!O:O,'Data Recording'!D:D=B39), ""Select Col1"")),""-"")"),0.0)</f>
        <v>0</v>
      </c>
      <c r="AC39" s="5">
        <f>IFERROR(__xludf.DUMMYFUNCTION("iferror(SUM(query(filter('Data Recording'!P:P,'Data Recording'!D:D=B39), ""Select Col1"")),""-"")"),0.0)</f>
        <v>0</v>
      </c>
      <c r="AD39" s="5">
        <f>IFERROR(__xludf.DUMMYFUNCTION("iferror(SUM(query(filter('Data Recording'!Q:Q,'Data Recording'!D:D=B39), ""Select Col1"")),""-"")"),0.0)</f>
        <v>0</v>
      </c>
      <c r="AE39" s="59" t="str">
        <f t="shared" si="6"/>
        <v>-</v>
      </c>
      <c r="AF39" s="60" t="str">
        <f>IFERROR(__xludf.DUMMYFUNCTION("iferror(AVERAGE(query(filter('Data Recording'!Q:Q,'Data Recording'!D:D=B39), ""Select Col1"")),""0.00"")"),"0.00")</f>
        <v>0.00</v>
      </c>
      <c r="AG39" s="5">
        <f>IFERROR(__xludf.DUMMYFUNCTION("iferror(MAX(query(filter('Data Recording'!Q:Q,'Data Recording'!D:D=B39), ""Select Col1"")),""-"")"),0.0)</f>
        <v>0</v>
      </c>
      <c r="AH39" s="63" t="str">
        <f>IFERROR(__xludf.DUMMYFUNCTION("if(countif(query(filter('Data Recording'!R:R,'Data Recording'!D:D=B39), ""Select Col1""),""Yes, Engaged"")+countif(query(filter('Data Recording'!R:R,'Data Recording'!D:D=B39), ""Select Col1""),""Yes, Docked"")=0,""0"",countif(query(filter('Data Recording'"&amp;"!R:R,'Data Recording'!D:D=B39), ""Select Col1""),""Yes, Engaged""))+countif(query(filter('Data Recording'!R:R,'Data Recording'!D:D=B39), ""Select Col1""),""Yes, Docked"") &amp; ""/"" &amp; if(COUNTA(query(ifna(filter('Data Recording'!R:R,'Data Recording'!D:D=B39)"&amp;",""""), ""Select Col1""))=0,""0"",COUNTA(query(ifna(filter('Data Recording'!R:R,'Data Recording'!D:D=B39),""""), ""Select Col1"")))"),"0/9")</f>
        <v>0/9</v>
      </c>
      <c r="AI39" s="64" t="str">
        <f>IFERROR(__xludf.DUMMYFUNCTION("if(countif(query(filter('Data Recording'!R:R,'Data Recording'!D:D=B39), ""Select Col1""),""Yes, Engaged"")=0,""0"",countif(query(filter('Data Recording'!R:R,'Data Recording'!D:D=B39), ""Select Col1""),""Yes, Engaged"")) &amp; ""/"" &amp; if(COUNTA(query(ifna(filt"&amp;"er('Data Recording'!R:R,'Data Recording'!D:D=B39),""""), ""Select Col1""))=0,""0"",COUNTA(query(ifna(filter('Data Recording'!R:R,'Data Recording'!D:D=B39),""""), ""Select Col1"")))"),"0/9")</f>
        <v>0/9</v>
      </c>
      <c r="AJ39" s="5">
        <f>IFERROR(__xludf.DUMMYFUNCTION("iferror(SUM(query(filter('Data Recording'!S:S,'Data Recording'!D:D=B39), ""Select Col1"")),""-"")"),0.0)</f>
        <v>0</v>
      </c>
      <c r="AK39" s="5">
        <f>IFERROR(__xludf.DUMMYFUNCTION("iferror(SUM(query(filter('Data Recording'!T:T,'Data Recording'!D:D=B39), ""Select Col1"")),""-"")"),0.0)</f>
        <v>0</v>
      </c>
      <c r="AL39" s="59" t="str">
        <f t="shared" si="7"/>
        <v>-</v>
      </c>
      <c r="AM39" s="60" t="str">
        <f>IFERROR(__xludf.DUMMYFUNCTION("iferror(AVERAGE(query(filter('Data Recording'!T:T,'Data Recording'!D:D=B39), ""Select Col1"")),""0.00"")"),"0.00")</f>
        <v>0.00</v>
      </c>
      <c r="AN39" s="65">
        <f>IFERROR(__xludf.DUMMYFUNCTION("iferror(MAX(query(filter('Data Recording'!T:T,'Data Recording'!D:D=B39), ""Select Col1"")),""-"")"),0.0)</f>
        <v>0</v>
      </c>
      <c r="AO39" s="66">
        <f>IFERROR(__xludf.DUMMYFUNCTION("iferror(SUM(query(filter('Data Recording'!U:U,'Data Recording'!D:D=B39), ""Select Col1"")),""-"")"),0.0)</f>
        <v>0</v>
      </c>
      <c r="AP39" s="66">
        <f>IFERROR(__xludf.DUMMYFUNCTION("iferror(SUM(query(filter('Data Recording'!V:V,'Data Recording'!D:D=B39), ""Select Col1"")),""-"")"),0.0)</f>
        <v>0</v>
      </c>
      <c r="AQ39" s="67" t="str">
        <f t="shared" si="8"/>
        <v>-</v>
      </c>
      <c r="AR39" s="68" t="str">
        <f>IFERROR(__xludf.DUMMYFUNCTION("iferror(AVERAGE(query(filter('Data Recording'!V:V,'Data Recording'!D:D=B39), ""Select Col1"")),""0.00"")"),"0.00")</f>
        <v>0.00</v>
      </c>
      <c r="AS39" s="69">
        <f>IFERROR(__xludf.DUMMYFUNCTION("iferror(MAX(query(filter('Data Recording'!V:V,'Data Recording'!D:D=B39), ""Select Col1"")),""-"")"),0.0)</f>
        <v>0</v>
      </c>
      <c r="AT39" s="66">
        <f>IFERROR(__xludf.DUMMYFUNCTION("iferror(SUM(query(filter('Data Recording'!W:W,'Data Recording'!D:D=B39), ""Select Col1"")),""-"")"),5.0)</f>
        <v>5</v>
      </c>
      <c r="AU39" s="66">
        <f>IFERROR(__xludf.DUMMYFUNCTION("iferror(SUM(query(filter('Data Recording'!X:X,'Data Recording'!D:D=B39), ""Select Col1"")),""-"")"),2.0)</f>
        <v>2</v>
      </c>
      <c r="AV39" s="67">
        <f t="shared" si="9"/>
        <v>0.4</v>
      </c>
      <c r="AW39" s="68">
        <f>IFERROR(__xludf.DUMMYFUNCTION("iferror(AVERAGE(query(filter('Data Recording'!X:X,'Data Recording'!D:D=B39), ""Select Col1"")),""0.00"")"),0.5)</f>
        <v>0.5</v>
      </c>
      <c r="AX39" s="69">
        <f>IFERROR(__xludf.DUMMYFUNCTION("iferror(MAX(query(filter('Data Recording'!X:X,'Data Recording'!D:D=B39), ""Select Col1"")),""-"")"),1.0)</f>
        <v>1</v>
      </c>
      <c r="AY39" s="66">
        <f>IFERROR(__xludf.DUMMYFUNCTION("iferror(SUM(query(filter('Data Recording'!Y:Y,'Data Recording'!D:D=B39), ""Select Col1"")),""-"")"),0.0)</f>
        <v>0</v>
      </c>
      <c r="AZ39" s="66">
        <f>IFERROR(__xludf.DUMMYFUNCTION("iferror(SUM(query(filter('Data Recording'!Z:Z,'Data Recording'!D:D=B39), ""Select Col1"")),""-"")"),0.0)</f>
        <v>0</v>
      </c>
      <c r="BA39" s="67" t="str">
        <f t="shared" si="10"/>
        <v>-</v>
      </c>
      <c r="BB39" s="68" t="str">
        <f>IFERROR(__xludf.DUMMYFUNCTION("iferror(AVERAGE(query(filter('Data Recording'!Z:Z,'Data Recording'!D:D=B39), ""Select Col1"")),""0.00"")"),"0.00")</f>
        <v>0.00</v>
      </c>
      <c r="BC39" s="69">
        <f>IFERROR(__xludf.DUMMYFUNCTION("iferror(MAX(query(filter('Data Recording'!Z:Z,'Data Recording'!D:D=B39), ""Select Col1"")),""-"")"),0.0)</f>
        <v>0</v>
      </c>
      <c r="BD39" s="66">
        <f>IFERROR(__xludf.DUMMYFUNCTION("iferror(SUM(query(filter('Data Recording'!AA:AA,'Data Recording'!D:D=B39), ""Select Col1"")),""-"")"),0.0)</f>
        <v>0</v>
      </c>
      <c r="BE39" s="66">
        <f>IFERROR(__xludf.DUMMYFUNCTION("iferror(SUM(query(filter('Data Recording'!AB:AB,'Data Recording'!D:D=B39), ""Select Col1"")),""-"")"),0.0)</f>
        <v>0</v>
      </c>
      <c r="BF39" s="67" t="str">
        <f t="shared" si="11"/>
        <v>-</v>
      </c>
      <c r="BG39" s="68" t="str">
        <f>IFERROR(__xludf.DUMMYFUNCTION("iferror(AVERAGE(query(filter('Data Recording'!AB:AB,'Data Recording'!D:D=B39), ""Select Col1"")),""0.00"")"),"0.00")</f>
        <v>0.00</v>
      </c>
      <c r="BH39" s="69">
        <f>IFERROR(__xludf.DUMMYFUNCTION("iferror(MAX(query(filter('Data Recording'!AB:AB,'Data Recording'!D:D=B39), ""Select Col1"")),""-"")"),0.0)</f>
        <v>0</v>
      </c>
      <c r="BI39" s="66">
        <f>IFERROR(__xludf.DUMMYFUNCTION("iferror(SUM(query(filter('Data Recording'!AC:AC,'Data Recording'!D:D=B39), ""Select Col1"")),""-"")"),0.0)</f>
        <v>0</v>
      </c>
      <c r="BJ39" s="66">
        <f>IFERROR(__xludf.DUMMYFUNCTION("iferror(SUM(query(filter('Data Recording'!AD:AD,'Data Recording'!D:D=B39), ""Select Col1"")),""-"")"),0.0)</f>
        <v>0</v>
      </c>
      <c r="BK39" s="67" t="str">
        <f t="shared" si="12"/>
        <v>-</v>
      </c>
      <c r="BL39" s="68" t="str">
        <f>IFERROR(__xludf.DUMMYFUNCTION("iferror(AVERAGE(query(filter('Data Recording'!AD:AD,'Data Recording'!D:D=B39), ""Select Col1"")),""0.00"")"),"0.00")</f>
        <v>0.00</v>
      </c>
      <c r="BM39" s="69">
        <f>IFERROR(__xludf.DUMMYFUNCTION("iferror(MAX(query(filter('Data Recording'!AD:AD,'Data Recording'!D:D=B39), ""Select Col1"")),""-"")"),0.0)</f>
        <v>0</v>
      </c>
      <c r="BN39" s="70" t="str">
        <f>IFERROR(__xludf.DUMMYFUNCTION("if(countif(query(filter('Data Recording'!AE:AE,'Data Recording'!D:D=B39), ""Select Col1""),""Yes, Engaged"")+countif(query(filter('Data Recording'!AE:AE,'Data Recording'!D:D=B39), ""Select Col1""),""Yes, Docked"")=0,""0"",countif(query(filter('Data Record"&amp;"ing'!AE:AE,'Data Recording'!D:D=B39), ""Select Col1""),""Yes, Engaged""))+countif(query(filter('Data Recording'!AE:AE,'Data Recording'!D:D=B39), ""Select Col1""),""Yes, Docked"") &amp; ""/"" &amp; if(COUNTA(query(ifna(filter('Data Recording'!AE:AE,'Data Recording"&amp;"'!D:D=B39),""""), ""Select Col1""))=0,""0"",COUNTA(query(ifna(filter('Data Recording'!AE:AE,'Data Recording'!D:D=B39),""""), ""Select Col1"")))"),"3/9")</f>
        <v>3/9</v>
      </c>
      <c r="BO39" s="71" t="str">
        <f>IFERROR(__xludf.DUMMYFUNCTION("if(countif(query(filter('Data Recording'!AE:AE,'Data Recording'!D:D=B39), ""Select Col1""),""Yes, Engaged"")=0,""0"",countif(query(filter('Data Recording'!AE:AE,'Data Recording'!D:D=B39), ""Select Col1""),""Yes, Engaged"")) &amp; ""/"" &amp; if(COUNTA(query(ifna("&amp;"filter('Data Recording'!AE:AE,'Data Recording'!D:D=B39),""""), ""Select Col1""))=0,""0"",COUNTA(query(ifna(filter('Data Recording'!AE:AE,'Data Recording'!D:D=B39),""""), ""Select Col1"")))"),"3/9")</f>
        <v>3/9</v>
      </c>
      <c r="BP39" s="64" t="str">
        <f>IFERROR(__xludf.DUMMYFUNCTION("if(countif(query(filter('Data Recording'!AH:AH,'Data Recording'!D:D=B39), ""Select Col1""),""Yes"")=0,""0"",countif(query(filter('Data Recording'!AH:AH,'Data Recording'!D:D=B39), ""Select Col1""),""Yes"")) &amp; ""/"" &amp; if(COUNTA(query(ifna(filter('Data Recor"&amp;"ding'!AH:AH,'Data Recording'!D:D=B39),""""), ""Select Col1""))=0,""0"",COUNTA(query(ifna(filter('Data Recording'!AH:AH,'Data Recording'!D:D=B39),""""), ""Select Col1"")))"),"3/9")</f>
        <v>3/9</v>
      </c>
      <c r="BQ39" s="79">
        <v>0.3333</v>
      </c>
      <c r="BR39" s="60">
        <f>IFERROR(__xludf.DUMMYFUNCTION("iferror(average(query(filter('Data Recording'!AF:AF,'Data Recording'!D:D=B39), ""Select Col1"")),""-"")"),0.3333333333333333)</f>
        <v>0.3333333333</v>
      </c>
      <c r="BS39" s="73">
        <f>IFERROR(__xludf.DUMMYFUNCTION("iferror(average(query(filter('Data Recording'!AG:AG,'Data Recording'!D:D=B39), ""Select Col1"")),""-"")"),0.1111111111111111)</f>
        <v>0.1111111111</v>
      </c>
      <c r="BT39" s="74">
        <f t="shared" si="13"/>
        <v>1</v>
      </c>
      <c r="BU39" s="74">
        <f>IFERROR(__xludf.DUMMYFUNCTION("iferror(AVERAGE(query(filter('Data Recording'!AJ:AJ,'Data Recording'!D:D=B39), ""Select Col1"")),""-"")"),4.444444444444445)</f>
        <v>4.444444444</v>
      </c>
      <c r="BV39" s="74">
        <f>IFERROR(__xludf.DUMMYFUNCTION("iferror(AVERAGE(query(filter('Data Recording'!AK:AK,'Data Recording'!D:D=B39), ""Select Col1"")),""-"")"),0.4444444444444444)</f>
        <v>0.4444444444</v>
      </c>
      <c r="BW39" s="74">
        <f t="shared" si="14"/>
        <v>1</v>
      </c>
      <c r="BX39" s="75">
        <f>IFERROR(__xludf.DUMMYFUNCTION("iferror(max(query(filter('Data Recording'!AJ:AJ,'Data Recording'!D:D=B39), ""Select Col1"")),""-"")"),12.0)</f>
        <v>12</v>
      </c>
      <c r="BY39" s="76">
        <f>IFERROR(__xludf.DUMMYFUNCTION("iferror(MIN(query(filter('Data Recording'!AJ:AJ,'Data Recording'!D:D=B39), ""Select Col1"")),""-"")"),0.0)</f>
        <v>0</v>
      </c>
      <c r="BZ39" s="77" t="str">
        <f>IFERROR(__xludf.DUMMYFUNCTION("iferror(if(DIVIDE(COUNTIF(query(filter('Data Recording'!R:R,'Data Recording'!D:D=B39), ""Select Col1""),""Yes, Docked"") + countif(query(filter('Data Recording'!R:R,'Data Recording'!D:D=B39), ""Select Col1""),""Yes, Engaged""),COUNTA(query(ifna(filter('Da"&amp;"ta Recording'!R:R,'Data Recording'!D:D=B39),""""), ""Select Col1"")))&gt;=(0.5),""1"",""0""),""-"")"),"0")</f>
        <v>0</v>
      </c>
      <c r="CA39" s="5" t="str">
        <f>IFERROR(__xludf.DUMMYFUNCTION("iferror(if(countif(query(filter('Data Recording'!R:R,'Data Recording'!D:D=B39), ""Select Col1""),""Yes, Engaged"")/COUNTA(query(ifna(filter('Data Recording'!R:R,'Data Recording'!D:D=B39),""""), ""Select Col1""))&gt;=(0.5),""1"",""0""),""-"")"),"0")</f>
        <v>0</v>
      </c>
      <c r="CB39" s="78" t="str">
        <f>IFERROR(__xludf.DUMMYFUNCTION("iferror(if(DIVIDE(COUNTIF(query(filter('Data Recording'!AE:AE,'Data Recording'!D:D=B39), ""Select Col1""),""Yes, Docked"") + countif(query(filter('Data Recording'!AE:AE,'Data Recording'!D:D=B39), ""Select Col1""),""Yes, Engaged""),COUNTA(query(ifna(filter"&amp;"('Data Recording'!AE:AE,'Data Recording'!D:D=B39),""""), ""Select Col1"")))&gt;=(0.5),""1"",""0""),""-"")"),"0")</f>
        <v>0</v>
      </c>
      <c r="CC39" s="5" t="str">
        <f>IFERROR(__xludf.DUMMYFUNCTION("iferror(if(countif(query(filter('Data Recording'!AE:AE,'Data Recording'!D:D=B39), ""Select Col1""),""Yes, Engaged"")/COUNTA(query(ifna(filter('Data Recording'!AE:AE,'Data Recording'!D:D=B39),""""), ""Select Col1""))&gt;=(0.5),""1"",""0""),""-"")"),"0")</f>
        <v>0</v>
      </c>
      <c r="CD39" s="78" t="str">
        <f>IFERROR(__xludf.DUMMYFUNCTION("iferror(if(DIVIDE(countif(query(filter('Data Recording'!E:E,'Data Recording'!D:D=B39), ""Select Col1""),""Yes""),COUNTA(query(ifna(filter('Data Recording'!E:E,'Data Recording'!D:D=B39),""""), ""Select Col1"")))&gt;=(0.5),""1"",""0""),""-"")"),"0")</f>
        <v>0</v>
      </c>
    </row>
    <row r="40">
      <c r="A40" s="2" t="s">
        <v>149</v>
      </c>
      <c r="B40" s="2">
        <v>5205.0</v>
      </c>
      <c r="C40" s="57" t="str">
        <f>IFERROR(__xludf.DUMMYFUNCTION("if(countif(query(filter('Data Recording'!E:E,'Data Recording'!D:D=B40), ""Select Col1""),""Yes"")=0,""0"",countif(query(filter('Data Recording'!E:E,'Data Recording'!D:D=B40), ""Select Col1""),""Yes"")) &amp; ""/"" &amp; if(COUNTA(query(ifna(filter('Data Recording"&amp;"'!E:E,'Data Recording'!D:D=B40),""""), ""Select Col1""))=0,""0"",COUNTA(query(ifna(filter('Data Recording'!E:E,'Data Recording'!D:D=B40),""""), ""Select Col1"")))"),"1/5")</f>
        <v>1/5</v>
      </c>
      <c r="D40" s="58">
        <f>IFERROR(__xludf.DUMMYFUNCTION("iferror(SUM(query(filter('Data Recording'!F:F,'Data Recording'!D:D=B40), ""Select Col1"")),""-"")"),0.0)</f>
        <v>0</v>
      </c>
      <c r="E40" s="58">
        <f>IFERROR(__xludf.DUMMYFUNCTION("iferror(SUM(query(filter('Data Recording'!G:G,'Data Recording'!D:D=B40), ""Select Col1"")),""-"")"),0.0)</f>
        <v>0</v>
      </c>
      <c r="F40" s="59" t="str">
        <f t="shared" si="1"/>
        <v>-</v>
      </c>
      <c r="G40" s="60" t="str">
        <f>IFERROR(__xludf.DUMMYFUNCTION("iferror(AVERAGE(query(filter('Data Recording'!G:G,'Data Recording'!D:D=B40), ""Select Col1"")),""0.00"")"),"0.00")</f>
        <v>0.00</v>
      </c>
      <c r="H40" s="58">
        <f>IFERROR(__xludf.DUMMYFUNCTION("iferror(MAX(query(filter('Data Recording'!G:G,'Data Recording'!D:D=B40), ""Select Col1"")),""-"")"),0.0)</f>
        <v>0</v>
      </c>
      <c r="I40" s="61">
        <f>IFERROR(__xludf.DUMMYFUNCTION("iferror(SUM(query(filter('Data Recording'!H:H,'Data Recording'!D:D=B40), ""Select Col1"")),""-"")"),0.0)</f>
        <v>0</v>
      </c>
      <c r="J40" s="62">
        <f>IFERROR(__xludf.DUMMYFUNCTION("iferror(SUM(query(filter('Data Recording'!I:I,'Data Recording'!D:D=B40), ""Select Col1"")),""-"")"),0.0)</f>
        <v>0</v>
      </c>
      <c r="K40" s="59" t="str">
        <f t="shared" si="2"/>
        <v>-</v>
      </c>
      <c r="L40" s="60" t="str">
        <f>IFERROR(__xludf.DUMMYFUNCTION("iferror(AVERAGE(query(filter('Data Recording'!I:I,'Data Recording'!D:D=B40), ""Select Col1"")),""0.00"")"),"0.00")</f>
        <v>0.00</v>
      </c>
      <c r="M40" s="58">
        <f>IFERROR(__xludf.DUMMYFUNCTION("iferror(MAX(query(filter('Data Recording'!I:I,'Data Recording'!D:D=B40), ""Select Col1"")),""-"")"),0.0)</f>
        <v>0</v>
      </c>
      <c r="N40" s="63">
        <f>IFERROR(__xludf.DUMMYFUNCTION("iferror(SUM(query(filter('Data Recording'!J:J,'Data Recording'!D:D=B40), ""Select Col1"")),""-"")"),0.0)</f>
        <v>0</v>
      </c>
      <c r="O40" s="5">
        <f>IFERROR(__xludf.DUMMYFUNCTION("iferror(SUM(query(filter('Data Recording'!K:K,'Data Recording'!D:D=B40), ""Select Col1"")),""-"")"),0.0)</f>
        <v>0</v>
      </c>
      <c r="P40" s="59" t="str">
        <f t="shared" si="3"/>
        <v>-</v>
      </c>
      <c r="Q40" s="60" t="str">
        <f>IFERROR(__xludf.DUMMYFUNCTION("iferror(AVERAGE(query(filter('Data Recording'!K:K,'Data Recording'!D:D=B40), ""Select Col1"")),""0.00"")"),"0.00")</f>
        <v>0.00</v>
      </c>
      <c r="R40" s="58">
        <f>IFERROR(__xludf.DUMMYFUNCTION("iferror(MAX(query(filter('Data Recording'!K:K,'Data Recording'!D:D=B40), ""Select Col1"")),""-"")"),0.0)</f>
        <v>0</v>
      </c>
      <c r="S40" s="63">
        <f>IFERROR(__xludf.DUMMYFUNCTION("iferror(SUM(query(filter('Data Recording'!L:L,'Data Recording'!D:D=B40), ""Select Col1"")),""-"")"),0.0)</f>
        <v>0</v>
      </c>
      <c r="T40" s="5">
        <f>IFERROR(__xludf.DUMMYFUNCTION("iferror(SUM(query(filter('Data Recording'!M:M,'Data Recording'!D:D=B40), ""Select Col1"")),""-"")"),0.0)</f>
        <v>0</v>
      </c>
      <c r="U40" s="59" t="str">
        <f t="shared" si="4"/>
        <v>-</v>
      </c>
      <c r="V40" s="60" t="str">
        <f>IFERROR(__xludf.DUMMYFUNCTION("iferror(AVERAGE(query(filter('Data Recording'!M:M,'Data Recording'!D:D=B40), ""Select Col1"")),""-"")"),"-")</f>
        <v>-</v>
      </c>
      <c r="W40" s="57">
        <f>IFERROR(__xludf.DUMMYFUNCTION("iferror(MAX(query(filter('Data Recording'!M:M,'Data Recording'!D:D=B40), ""Select Col1"")),""-"")"),0.0)</f>
        <v>0</v>
      </c>
      <c r="X40" s="5">
        <f>IFERROR(__xludf.DUMMYFUNCTION("iferror(SUM(query(filter('Data Recording'!N:N,'Data Recording'!D:D=B40), ""Select Col1"")),""-"")"),0.0)</f>
        <v>0</v>
      </c>
      <c r="Y40" s="5">
        <f>IFERROR(__xludf.DUMMYFUNCTION("iferror(SUM(query(filter('Data Recording'!O:O,'Data Recording'!D:D=B40), ""Select Col1"")),""-"")"),0.0)</f>
        <v>0</v>
      </c>
      <c r="Z40" s="59" t="str">
        <f t="shared" si="5"/>
        <v>-</v>
      </c>
      <c r="AA40" s="60" t="str">
        <f>IFERROR(__xludf.DUMMYFUNCTION("iferror(AVERAGE(query(filter('Data Recording'!O:O,'Data Recording'!D:D=B40), ""Select Col1"")),""0.00"")"),"0.00")</f>
        <v>0.00</v>
      </c>
      <c r="AB40" s="57">
        <f>IFERROR(__xludf.DUMMYFUNCTION("iferror(MAX(query(filter('Data Recording'!O:O,'Data Recording'!D:D=B40), ""Select Col1"")),""-"")"),0.0)</f>
        <v>0</v>
      </c>
      <c r="AC40" s="5">
        <f>IFERROR(__xludf.DUMMYFUNCTION("iferror(SUM(query(filter('Data Recording'!P:P,'Data Recording'!D:D=B40), ""Select Col1"")),""-"")"),0.0)</f>
        <v>0</v>
      </c>
      <c r="AD40" s="5">
        <f>IFERROR(__xludf.DUMMYFUNCTION("iferror(SUM(query(filter('Data Recording'!Q:Q,'Data Recording'!D:D=B40), ""Select Col1"")),""-"")"),0.0)</f>
        <v>0</v>
      </c>
      <c r="AE40" s="59" t="str">
        <f t="shared" si="6"/>
        <v>-</v>
      </c>
      <c r="AF40" s="60" t="str">
        <f>IFERROR(__xludf.DUMMYFUNCTION("iferror(AVERAGE(query(filter('Data Recording'!Q:Q,'Data Recording'!D:D=B40), ""Select Col1"")),""0.00"")"),"0.00")</f>
        <v>0.00</v>
      </c>
      <c r="AG40" s="5">
        <f>IFERROR(__xludf.DUMMYFUNCTION("iferror(MAX(query(filter('Data Recording'!Q:Q,'Data Recording'!D:D=B40), ""Select Col1"")),""-"")"),0.0)</f>
        <v>0</v>
      </c>
      <c r="AH40" s="63" t="str">
        <f>IFERROR(__xludf.DUMMYFUNCTION("if(countif(query(filter('Data Recording'!R:R,'Data Recording'!D:D=B40), ""Select Col1""),""Yes, Engaged"")+countif(query(filter('Data Recording'!R:R,'Data Recording'!D:D=B40), ""Select Col1""),""Yes, Docked"")=0,""0"",countif(query(filter('Data Recording'"&amp;"!R:R,'Data Recording'!D:D=B40), ""Select Col1""),""Yes, Engaged""))+countif(query(filter('Data Recording'!R:R,'Data Recording'!D:D=B40), ""Select Col1""),""Yes, Docked"") &amp; ""/"" &amp; if(COUNTA(query(ifna(filter('Data Recording'!R:R,'Data Recording'!D:D=B40)"&amp;",""""), ""Select Col1""))=0,""0"",COUNTA(query(ifna(filter('Data Recording'!R:R,'Data Recording'!D:D=B40),""""), ""Select Col1"")))"),"0/5")</f>
        <v>0/5</v>
      </c>
      <c r="AI40" s="64" t="str">
        <f>IFERROR(__xludf.DUMMYFUNCTION("if(countif(query(filter('Data Recording'!R:R,'Data Recording'!D:D=B40), ""Select Col1""),""Yes, Engaged"")=0,""0"",countif(query(filter('Data Recording'!R:R,'Data Recording'!D:D=B40), ""Select Col1""),""Yes, Engaged"")) &amp; ""/"" &amp; if(COUNTA(query(ifna(filt"&amp;"er('Data Recording'!R:R,'Data Recording'!D:D=B40),""""), ""Select Col1""))=0,""0"",COUNTA(query(ifna(filter('Data Recording'!R:R,'Data Recording'!D:D=B40),""""), ""Select Col1"")))"),"0/5")</f>
        <v>0/5</v>
      </c>
      <c r="AJ40" s="5">
        <f>IFERROR(__xludf.DUMMYFUNCTION("iferror(SUM(query(filter('Data Recording'!S:S,'Data Recording'!D:D=B40), ""Select Col1"")),""-"")"),0.0)</f>
        <v>0</v>
      </c>
      <c r="AK40" s="5">
        <f>IFERROR(__xludf.DUMMYFUNCTION("iferror(SUM(query(filter('Data Recording'!T:T,'Data Recording'!D:D=B40), ""Select Col1"")),""-"")"),0.0)</f>
        <v>0</v>
      </c>
      <c r="AL40" s="59" t="str">
        <f t="shared" si="7"/>
        <v>-</v>
      </c>
      <c r="AM40" s="60" t="str">
        <f>IFERROR(__xludf.DUMMYFUNCTION("iferror(AVERAGE(query(filter('Data Recording'!T:T,'Data Recording'!D:D=B40), ""Select Col1"")),""0.00"")"),"0.00")</f>
        <v>0.00</v>
      </c>
      <c r="AN40" s="65">
        <f>IFERROR(__xludf.DUMMYFUNCTION("iferror(MAX(query(filter('Data Recording'!T:T,'Data Recording'!D:D=B40), ""Select Col1"")),""-"")"),0.0)</f>
        <v>0</v>
      </c>
      <c r="AO40" s="66">
        <f>IFERROR(__xludf.DUMMYFUNCTION("iferror(SUM(query(filter('Data Recording'!U:U,'Data Recording'!D:D=B40), ""Select Col1"")),""-"")"),0.0)</f>
        <v>0</v>
      </c>
      <c r="AP40" s="66">
        <f>IFERROR(__xludf.DUMMYFUNCTION("iferror(SUM(query(filter('Data Recording'!V:V,'Data Recording'!D:D=B40), ""Select Col1"")),""-"")"),0.0)</f>
        <v>0</v>
      </c>
      <c r="AQ40" s="67" t="str">
        <f t="shared" si="8"/>
        <v>-</v>
      </c>
      <c r="AR40" s="68" t="str">
        <f>IFERROR(__xludf.DUMMYFUNCTION("iferror(AVERAGE(query(filter('Data Recording'!V:V,'Data Recording'!D:D=B40), ""Select Col1"")),""0.00"")"),"0.00")</f>
        <v>0.00</v>
      </c>
      <c r="AS40" s="69">
        <f>IFERROR(__xludf.DUMMYFUNCTION("iferror(MAX(query(filter('Data Recording'!V:V,'Data Recording'!D:D=B40), ""Select Col1"")),""-"")"),0.0)</f>
        <v>0</v>
      </c>
      <c r="AT40" s="66">
        <f>IFERROR(__xludf.DUMMYFUNCTION("iferror(SUM(query(filter('Data Recording'!W:W,'Data Recording'!D:D=B40), ""Select Col1"")),""-"")"),0.0)</f>
        <v>0</v>
      </c>
      <c r="AU40" s="66">
        <f>IFERROR(__xludf.DUMMYFUNCTION("iferror(SUM(query(filter('Data Recording'!X:X,'Data Recording'!D:D=B40), ""Select Col1"")),""-"")"),0.0)</f>
        <v>0</v>
      </c>
      <c r="AV40" s="67" t="str">
        <f t="shared" si="9"/>
        <v>-</v>
      </c>
      <c r="AW40" s="68" t="str">
        <f>IFERROR(__xludf.DUMMYFUNCTION("iferror(AVERAGE(query(filter('Data Recording'!X:X,'Data Recording'!D:D=B40), ""Select Col1"")),""0.00"")"),"0.00")</f>
        <v>0.00</v>
      </c>
      <c r="AX40" s="69">
        <f>IFERROR(__xludf.DUMMYFUNCTION("iferror(MAX(query(filter('Data Recording'!X:X,'Data Recording'!D:D=B40), ""Select Col1"")),""-"")"),0.0)</f>
        <v>0</v>
      </c>
      <c r="AY40" s="66">
        <f>IFERROR(__xludf.DUMMYFUNCTION("iferror(SUM(query(filter('Data Recording'!Y:Y,'Data Recording'!D:D=B40), ""Select Col1"")),""-"")"),0.0)</f>
        <v>0</v>
      </c>
      <c r="AZ40" s="66">
        <f>IFERROR(__xludf.DUMMYFUNCTION("iferror(SUM(query(filter('Data Recording'!Z:Z,'Data Recording'!D:D=B40), ""Select Col1"")),""-"")"),0.0)</f>
        <v>0</v>
      </c>
      <c r="BA40" s="67" t="str">
        <f t="shared" si="10"/>
        <v>-</v>
      </c>
      <c r="BB40" s="68" t="str">
        <f>IFERROR(__xludf.DUMMYFUNCTION("iferror(AVERAGE(query(filter('Data Recording'!Z:Z,'Data Recording'!D:D=B40), ""Select Col1"")),""0.00"")"),"0.00")</f>
        <v>0.00</v>
      </c>
      <c r="BC40" s="69">
        <f>IFERROR(__xludf.DUMMYFUNCTION("iferror(MAX(query(filter('Data Recording'!Z:Z,'Data Recording'!D:D=B40), ""Select Col1"")),""-"")"),0.0)</f>
        <v>0</v>
      </c>
      <c r="BD40" s="66">
        <f>IFERROR(__xludf.DUMMYFUNCTION("iferror(SUM(query(filter('Data Recording'!AA:AA,'Data Recording'!D:D=B40), ""Select Col1"")),""-"")"),0.0)</f>
        <v>0</v>
      </c>
      <c r="BE40" s="66">
        <f>IFERROR(__xludf.DUMMYFUNCTION("iferror(SUM(query(filter('Data Recording'!AB:AB,'Data Recording'!D:D=B40), ""Select Col1"")),""-"")"),0.0)</f>
        <v>0</v>
      </c>
      <c r="BF40" s="67" t="str">
        <f t="shared" si="11"/>
        <v>-</v>
      </c>
      <c r="BG40" s="68" t="str">
        <f>IFERROR(__xludf.DUMMYFUNCTION("iferror(AVERAGE(query(filter('Data Recording'!AB:AB,'Data Recording'!D:D=B40), ""Select Col1"")),""0.00"")"),"0.00")</f>
        <v>0.00</v>
      </c>
      <c r="BH40" s="69">
        <f>IFERROR(__xludf.DUMMYFUNCTION("iferror(MAX(query(filter('Data Recording'!AB:AB,'Data Recording'!D:D=B40), ""Select Col1"")),""-"")"),0.0)</f>
        <v>0</v>
      </c>
      <c r="BI40" s="66">
        <f>IFERROR(__xludf.DUMMYFUNCTION("iferror(SUM(query(filter('Data Recording'!AC:AC,'Data Recording'!D:D=B40), ""Select Col1"")),""-"")"),0.0)</f>
        <v>0</v>
      </c>
      <c r="BJ40" s="66">
        <f>IFERROR(__xludf.DUMMYFUNCTION("iferror(SUM(query(filter('Data Recording'!AD:AD,'Data Recording'!D:D=B40), ""Select Col1"")),""-"")"),0.0)</f>
        <v>0</v>
      </c>
      <c r="BK40" s="67" t="str">
        <f t="shared" si="12"/>
        <v>-</v>
      </c>
      <c r="BL40" s="68" t="str">
        <f>IFERROR(__xludf.DUMMYFUNCTION("iferror(AVERAGE(query(filter('Data Recording'!AD:AD,'Data Recording'!D:D=B40), ""Select Col1"")),""0.00"")"),"0.00")</f>
        <v>0.00</v>
      </c>
      <c r="BM40" s="69">
        <f>IFERROR(__xludf.DUMMYFUNCTION("iferror(MAX(query(filter('Data Recording'!AD:AD,'Data Recording'!D:D=B40), ""Select Col1"")),""-"")"),0.0)</f>
        <v>0</v>
      </c>
      <c r="BN40" s="70" t="str">
        <f>IFERROR(__xludf.DUMMYFUNCTION("if(countif(query(filter('Data Recording'!AE:AE,'Data Recording'!D:D=B40), ""Select Col1""),""Yes, Engaged"")+countif(query(filter('Data Recording'!AE:AE,'Data Recording'!D:D=B40), ""Select Col1""),""Yes, Docked"")=0,""0"",countif(query(filter('Data Record"&amp;"ing'!AE:AE,'Data Recording'!D:D=B40), ""Select Col1""),""Yes, Engaged""))+countif(query(filter('Data Recording'!AE:AE,'Data Recording'!D:D=B40), ""Select Col1""),""Yes, Docked"") &amp; ""/"" &amp; if(COUNTA(query(ifna(filter('Data Recording'!AE:AE,'Data Recording"&amp;"'!D:D=B40),""""), ""Select Col1""))=0,""0"",COUNTA(query(ifna(filter('Data Recording'!AE:AE,'Data Recording'!D:D=B40),""""), ""Select Col1"")))"),"1/5")</f>
        <v>1/5</v>
      </c>
      <c r="BO40" s="71" t="str">
        <f>IFERROR(__xludf.DUMMYFUNCTION("if(countif(query(filter('Data Recording'!AE:AE,'Data Recording'!D:D=B40), ""Select Col1""),""Yes, Engaged"")=0,""0"",countif(query(filter('Data Recording'!AE:AE,'Data Recording'!D:D=B40), ""Select Col1""),""Yes, Engaged"")) &amp; ""/"" &amp; if(COUNTA(query(ifna("&amp;"filter('Data Recording'!AE:AE,'Data Recording'!D:D=B40),""""), ""Select Col1""))=0,""0"",COUNTA(query(ifna(filter('Data Recording'!AE:AE,'Data Recording'!D:D=B40),""""), ""Select Col1"")))"),"1/5")</f>
        <v>1/5</v>
      </c>
      <c r="BP40" s="64" t="str">
        <f>IFERROR(__xludf.DUMMYFUNCTION("if(countif(query(filter('Data Recording'!AH:AH,'Data Recording'!D:D=B40), ""Select Col1""),""Yes"")=0,""0"",countif(query(filter('Data Recording'!AH:AH,'Data Recording'!D:D=B40), ""Select Col1""),""Yes"")) &amp; ""/"" &amp; if(COUNTA(query(ifna(filter('Data Recor"&amp;"ding'!AH:AH,'Data Recording'!D:D=B40),""""), ""Select Col1""))=0,""0"",COUNTA(query(ifna(filter('Data Recording'!AH:AH,'Data Recording'!D:D=B40),""""), ""Select Col1"")))"),"0/5")</f>
        <v>0/5</v>
      </c>
      <c r="BQ40" s="72">
        <v>0.0</v>
      </c>
      <c r="BR40" s="60">
        <f>IFERROR(__xludf.DUMMYFUNCTION("iferror(average(query(filter('Data Recording'!AF:AF,'Data Recording'!D:D=B40), ""Select Col1"")),""-"")"),0.0)</f>
        <v>0</v>
      </c>
      <c r="BS40" s="73">
        <f>IFERROR(__xludf.DUMMYFUNCTION("iferror(average(query(filter('Data Recording'!AG:AG,'Data Recording'!D:D=B40), ""Select Col1"")),""-"")"),0.4)</f>
        <v>0.4</v>
      </c>
      <c r="BT40" s="74">
        <f t="shared" si="13"/>
        <v>0</v>
      </c>
      <c r="BU40" s="74">
        <f>IFERROR(__xludf.DUMMYFUNCTION("iferror(AVERAGE(query(filter('Data Recording'!AJ:AJ,'Data Recording'!D:D=B40), ""Select Col1"")),""-"")"),2.6)</f>
        <v>2.6</v>
      </c>
      <c r="BV40" s="74">
        <f>IFERROR(__xludf.DUMMYFUNCTION("iferror(AVERAGE(query(filter('Data Recording'!AK:AK,'Data Recording'!D:D=B40), ""Select Col1"")),""-"")"),0.0)</f>
        <v>0</v>
      </c>
      <c r="BW40" s="74">
        <f t="shared" si="14"/>
        <v>0</v>
      </c>
      <c r="BX40" s="75">
        <f>IFERROR(__xludf.DUMMYFUNCTION("iferror(max(query(filter('Data Recording'!AJ:AJ,'Data Recording'!D:D=B40), ""Select Col1"")),""-"")"),10.0)</f>
        <v>10</v>
      </c>
      <c r="BY40" s="76">
        <f>IFERROR(__xludf.DUMMYFUNCTION("iferror(MIN(query(filter('Data Recording'!AJ:AJ,'Data Recording'!D:D=B40), ""Select Col1"")),""-"")"),0.0)</f>
        <v>0</v>
      </c>
      <c r="BZ40" s="77" t="str">
        <f>IFERROR(__xludf.DUMMYFUNCTION("iferror(if(DIVIDE(COUNTIF(query(filter('Data Recording'!R:R,'Data Recording'!D:D=B40), ""Select Col1""),""Yes, Docked"") + countif(query(filter('Data Recording'!R:R,'Data Recording'!D:D=B40), ""Select Col1""),""Yes, Engaged""),COUNTA(query(ifna(filter('Da"&amp;"ta Recording'!R:R,'Data Recording'!D:D=B40),""""), ""Select Col1"")))&gt;=(0.5),""1"",""0""),""-"")"),"0")</f>
        <v>0</v>
      </c>
      <c r="CA40" s="5" t="str">
        <f>IFERROR(__xludf.DUMMYFUNCTION("iferror(if(countif(query(filter('Data Recording'!R:R,'Data Recording'!D:D=B40), ""Select Col1""),""Yes, Engaged"")/COUNTA(query(ifna(filter('Data Recording'!R:R,'Data Recording'!D:D=B40),""""), ""Select Col1""))&gt;=(0.5),""1"",""0""),""-"")"),"0")</f>
        <v>0</v>
      </c>
      <c r="CB40" s="78" t="str">
        <f>IFERROR(__xludf.DUMMYFUNCTION("iferror(if(DIVIDE(COUNTIF(query(filter('Data Recording'!AE:AE,'Data Recording'!D:D=B40), ""Select Col1""),""Yes, Docked"") + countif(query(filter('Data Recording'!AE:AE,'Data Recording'!D:D=B40), ""Select Col1""),""Yes, Engaged""),COUNTA(query(ifna(filter"&amp;"('Data Recording'!AE:AE,'Data Recording'!D:D=B40),""""), ""Select Col1"")))&gt;=(0.5),""1"",""0""),""-"")"),"0")</f>
        <v>0</v>
      </c>
      <c r="CC40" s="5" t="str">
        <f>IFERROR(__xludf.DUMMYFUNCTION("iferror(if(countif(query(filter('Data Recording'!AE:AE,'Data Recording'!D:D=B40), ""Select Col1""),""Yes, Engaged"")/COUNTA(query(ifna(filter('Data Recording'!AE:AE,'Data Recording'!D:D=B40),""""), ""Select Col1""))&gt;=(0.5),""1"",""0""),""-"")"),"0")</f>
        <v>0</v>
      </c>
      <c r="CD40" s="78" t="str">
        <f>IFERROR(__xludf.DUMMYFUNCTION("iferror(if(DIVIDE(countif(query(filter('Data Recording'!E:E,'Data Recording'!D:D=B40), ""Select Col1""),""Yes""),COUNTA(query(ifna(filter('Data Recording'!E:E,'Data Recording'!D:D=B40),""""), ""Select Col1"")))&gt;=(0.5),""1"",""0""),""-"")"),"0")</f>
        <v>0</v>
      </c>
    </row>
    <row r="41">
      <c r="A41" s="2" t="s">
        <v>150</v>
      </c>
      <c r="B41" s="2">
        <v>6556.0</v>
      </c>
      <c r="C41" s="57" t="str">
        <f>IFERROR(__xludf.DUMMYFUNCTION("if(countif(query(filter('Data Recording'!E:E,'Data Recording'!D:D=B41), ""Select Col1""),""Yes"")=0,""0"",countif(query(filter('Data Recording'!E:E,'Data Recording'!D:D=B41), ""Select Col1""),""Yes"")) &amp; ""/"" &amp; if(COUNTA(query(ifna(filter('Data Recording"&amp;"'!E:E,'Data Recording'!D:D=B41),""""), ""Select Col1""))=0,""0"",COUNTA(query(ifna(filter('Data Recording'!E:E,'Data Recording'!D:D=B41),""""), ""Select Col1"")))"),"1/4")</f>
        <v>1/4</v>
      </c>
      <c r="D41" s="58">
        <f>IFERROR(__xludf.DUMMYFUNCTION("iferror(SUM(query(filter('Data Recording'!F:F,'Data Recording'!D:D=B41), ""Select Col1"")),""-"")"),0.0)</f>
        <v>0</v>
      </c>
      <c r="E41" s="58">
        <f>IFERROR(__xludf.DUMMYFUNCTION("iferror(SUM(query(filter('Data Recording'!G:G,'Data Recording'!D:D=B41), ""Select Col1"")),""-"")"),0.0)</f>
        <v>0</v>
      </c>
      <c r="F41" s="59" t="str">
        <f t="shared" si="1"/>
        <v>-</v>
      </c>
      <c r="G41" s="60" t="str">
        <f>IFERROR(__xludf.DUMMYFUNCTION("iferror(AVERAGE(query(filter('Data Recording'!G:G,'Data Recording'!D:D=B41), ""Select Col1"")),""0.00"")"),"0.00")</f>
        <v>0.00</v>
      </c>
      <c r="H41" s="58">
        <f>IFERROR(__xludf.DUMMYFUNCTION("iferror(MAX(query(filter('Data Recording'!G:G,'Data Recording'!D:D=B41), ""Select Col1"")),""-"")"),0.0)</f>
        <v>0</v>
      </c>
      <c r="I41" s="61">
        <f>IFERROR(__xludf.DUMMYFUNCTION("iferror(SUM(query(filter('Data Recording'!H:H,'Data Recording'!D:D=B41), ""Select Col1"")),""-"")"),0.0)</f>
        <v>0</v>
      </c>
      <c r="J41" s="62">
        <f>IFERROR(__xludf.DUMMYFUNCTION("iferror(SUM(query(filter('Data Recording'!I:I,'Data Recording'!D:D=B41), ""Select Col1"")),""-"")"),0.0)</f>
        <v>0</v>
      </c>
      <c r="K41" s="59" t="str">
        <f t="shared" si="2"/>
        <v>-</v>
      </c>
      <c r="L41" s="60" t="str">
        <f>IFERROR(__xludf.DUMMYFUNCTION("iferror(AVERAGE(query(filter('Data Recording'!I:I,'Data Recording'!D:D=B41), ""Select Col1"")),""0.00"")"),"0.00")</f>
        <v>0.00</v>
      </c>
      <c r="M41" s="58">
        <f>IFERROR(__xludf.DUMMYFUNCTION("iferror(MAX(query(filter('Data Recording'!I:I,'Data Recording'!D:D=B41), ""Select Col1"")),""-"")"),0.0)</f>
        <v>0</v>
      </c>
      <c r="N41" s="63">
        <f>IFERROR(__xludf.DUMMYFUNCTION("iferror(SUM(query(filter('Data Recording'!J:J,'Data Recording'!D:D=B41), ""Select Col1"")),""-"")"),0.0)</f>
        <v>0</v>
      </c>
      <c r="O41" s="5">
        <f>IFERROR(__xludf.DUMMYFUNCTION("iferror(SUM(query(filter('Data Recording'!K:K,'Data Recording'!D:D=B41), ""Select Col1"")),""-"")"),0.0)</f>
        <v>0</v>
      </c>
      <c r="P41" s="59" t="str">
        <f t="shared" si="3"/>
        <v>-</v>
      </c>
      <c r="Q41" s="60" t="str">
        <f>IFERROR(__xludf.DUMMYFUNCTION("iferror(AVERAGE(query(filter('Data Recording'!K:K,'Data Recording'!D:D=B41), ""Select Col1"")),""0.00"")"),"0.00")</f>
        <v>0.00</v>
      </c>
      <c r="R41" s="58">
        <f>IFERROR(__xludf.DUMMYFUNCTION("iferror(MAX(query(filter('Data Recording'!K:K,'Data Recording'!D:D=B41), ""Select Col1"")),""-"")"),0.0)</f>
        <v>0</v>
      </c>
      <c r="S41" s="63">
        <f>IFERROR(__xludf.DUMMYFUNCTION("iferror(SUM(query(filter('Data Recording'!L:L,'Data Recording'!D:D=B41), ""Select Col1"")),""-"")"),0.0)</f>
        <v>0</v>
      </c>
      <c r="T41" s="5">
        <f>IFERROR(__xludf.DUMMYFUNCTION("iferror(SUM(query(filter('Data Recording'!M:M,'Data Recording'!D:D=B41), ""Select Col1"")),""-"")"),0.0)</f>
        <v>0</v>
      </c>
      <c r="U41" s="59" t="str">
        <f t="shared" si="4"/>
        <v>-</v>
      </c>
      <c r="V41" s="60" t="str">
        <f>IFERROR(__xludf.DUMMYFUNCTION("iferror(AVERAGE(query(filter('Data Recording'!M:M,'Data Recording'!D:D=B41), ""Select Col1"")),""-"")"),"-")</f>
        <v>-</v>
      </c>
      <c r="W41" s="57">
        <f>IFERROR(__xludf.DUMMYFUNCTION("iferror(MAX(query(filter('Data Recording'!M:M,'Data Recording'!D:D=B41), ""Select Col1"")),""-"")"),0.0)</f>
        <v>0</v>
      </c>
      <c r="X41" s="5">
        <f>IFERROR(__xludf.DUMMYFUNCTION("iferror(SUM(query(filter('Data Recording'!N:N,'Data Recording'!D:D=B41), ""Select Col1"")),""-"")"),0.0)</f>
        <v>0</v>
      </c>
      <c r="Y41" s="5">
        <f>IFERROR(__xludf.DUMMYFUNCTION("iferror(SUM(query(filter('Data Recording'!O:O,'Data Recording'!D:D=B41), ""Select Col1"")),""-"")"),0.0)</f>
        <v>0</v>
      </c>
      <c r="Z41" s="59" t="str">
        <f t="shared" si="5"/>
        <v>-</v>
      </c>
      <c r="AA41" s="60" t="str">
        <f>IFERROR(__xludf.DUMMYFUNCTION("iferror(AVERAGE(query(filter('Data Recording'!O:O,'Data Recording'!D:D=B41), ""Select Col1"")),""0.00"")"),"0.00")</f>
        <v>0.00</v>
      </c>
      <c r="AB41" s="57">
        <f>IFERROR(__xludf.DUMMYFUNCTION("iferror(MAX(query(filter('Data Recording'!O:O,'Data Recording'!D:D=B41), ""Select Col1"")),""-"")"),0.0)</f>
        <v>0</v>
      </c>
      <c r="AC41" s="5">
        <f>IFERROR(__xludf.DUMMYFUNCTION("iferror(SUM(query(filter('Data Recording'!P:P,'Data Recording'!D:D=B41), ""Select Col1"")),""-"")"),0.0)</f>
        <v>0</v>
      </c>
      <c r="AD41" s="5">
        <f>IFERROR(__xludf.DUMMYFUNCTION("iferror(SUM(query(filter('Data Recording'!Q:Q,'Data Recording'!D:D=B41), ""Select Col1"")),""-"")"),0.0)</f>
        <v>0</v>
      </c>
      <c r="AE41" s="59" t="str">
        <f t="shared" si="6"/>
        <v>-</v>
      </c>
      <c r="AF41" s="60" t="str">
        <f>IFERROR(__xludf.DUMMYFUNCTION("iferror(AVERAGE(query(filter('Data Recording'!Q:Q,'Data Recording'!D:D=B41), ""Select Col1"")),""0.00"")"),"0.00")</f>
        <v>0.00</v>
      </c>
      <c r="AG41" s="5">
        <f>IFERROR(__xludf.DUMMYFUNCTION("iferror(MAX(query(filter('Data Recording'!Q:Q,'Data Recording'!D:D=B41), ""Select Col1"")),""-"")"),0.0)</f>
        <v>0</v>
      </c>
      <c r="AH41" s="63" t="str">
        <f>IFERROR(__xludf.DUMMYFUNCTION("if(countif(query(filter('Data Recording'!R:R,'Data Recording'!D:D=B41), ""Select Col1""),""Yes, Engaged"")+countif(query(filter('Data Recording'!R:R,'Data Recording'!D:D=B41), ""Select Col1""),""Yes, Docked"")=0,""0"",countif(query(filter('Data Recording'"&amp;"!R:R,'Data Recording'!D:D=B41), ""Select Col1""),""Yes, Engaged""))+countif(query(filter('Data Recording'!R:R,'Data Recording'!D:D=B41), ""Select Col1""),""Yes, Docked"") &amp; ""/"" &amp; if(COUNTA(query(ifna(filter('Data Recording'!R:R,'Data Recording'!D:D=B41)"&amp;",""""), ""Select Col1""))=0,""0"",COUNTA(query(ifna(filter('Data Recording'!R:R,'Data Recording'!D:D=B41),""""), ""Select Col1"")))"),"0/4")</f>
        <v>0/4</v>
      </c>
      <c r="AI41" s="64" t="str">
        <f>IFERROR(__xludf.DUMMYFUNCTION("if(countif(query(filter('Data Recording'!R:R,'Data Recording'!D:D=B41), ""Select Col1""),""Yes, Engaged"")=0,""0"",countif(query(filter('Data Recording'!R:R,'Data Recording'!D:D=B41), ""Select Col1""),""Yes, Engaged"")) &amp; ""/"" &amp; if(COUNTA(query(ifna(filt"&amp;"er('Data Recording'!R:R,'Data Recording'!D:D=B41),""""), ""Select Col1""))=0,""0"",COUNTA(query(ifna(filter('Data Recording'!R:R,'Data Recording'!D:D=B41),""""), ""Select Col1"")))"),"0/4")</f>
        <v>0/4</v>
      </c>
      <c r="AJ41" s="5">
        <f>IFERROR(__xludf.DUMMYFUNCTION("iferror(SUM(query(filter('Data Recording'!S:S,'Data Recording'!D:D=B41), ""Select Col1"")),""-"")"),0.0)</f>
        <v>0</v>
      </c>
      <c r="AK41" s="5">
        <f>IFERROR(__xludf.DUMMYFUNCTION("iferror(SUM(query(filter('Data Recording'!T:T,'Data Recording'!D:D=B41), ""Select Col1"")),""-"")"),0.0)</f>
        <v>0</v>
      </c>
      <c r="AL41" s="59" t="str">
        <f t="shared" si="7"/>
        <v>-</v>
      </c>
      <c r="AM41" s="60" t="str">
        <f>IFERROR(__xludf.DUMMYFUNCTION("iferror(AVERAGE(query(filter('Data Recording'!T:T,'Data Recording'!D:D=B41), ""Select Col1"")),""0.00"")"),"0.00")</f>
        <v>0.00</v>
      </c>
      <c r="AN41" s="65">
        <f>IFERROR(__xludf.DUMMYFUNCTION("iferror(MAX(query(filter('Data Recording'!T:T,'Data Recording'!D:D=B41), ""Select Col1"")),""-"")"),0.0)</f>
        <v>0</v>
      </c>
      <c r="AO41" s="66">
        <f>IFERROR(__xludf.DUMMYFUNCTION("iferror(SUM(query(filter('Data Recording'!U:U,'Data Recording'!D:D=B41), ""Select Col1"")),""-"")"),0.0)</f>
        <v>0</v>
      </c>
      <c r="AP41" s="66">
        <f>IFERROR(__xludf.DUMMYFUNCTION("iferror(SUM(query(filter('Data Recording'!V:V,'Data Recording'!D:D=B41), ""Select Col1"")),""-"")"),0.0)</f>
        <v>0</v>
      </c>
      <c r="AQ41" s="67" t="str">
        <f t="shared" si="8"/>
        <v>-</v>
      </c>
      <c r="AR41" s="68" t="str">
        <f>IFERROR(__xludf.DUMMYFUNCTION("iferror(AVERAGE(query(filter('Data Recording'!V:V,'Data Recording'!D:D=B41), ""Select Col1"")),""0.00"")"),"0.00")</f>
        <v>0.00</v>
      </c>
      <c r="AS41" s="69">
        <f>IFERROR(__xludf.DUMMYFUNCTION("iferror(MAX(query(filter('Data Recording'!V:V,'Data Recording'!D:D=B41), ""Select Col1"")),""-"")"),0.0)</f>
        <v>0</v>
      </c>
      <c r="AT41" s="66">
        <f>IFERROR(__xludf.DUMMYFUNCTION("iferror(SUM(query(filter('Data Recording'!W:W,'Data Recording'!D:D=B41), ""Select Col1"")),""-"")"),1.0)</f>
        <v>1</v>
      </c>
      <c r="AU41" s="66">
        <f>IFERROR(__xludf.DUMMYFUNCTION("iferror(SUM(query(filter('Data Recording'!X:X,'Data Recording'!D:D=B41), ""Select Col1"")),""-"")"),1.0)</f>
        <v>1</v>
      </c>
      <c r="AV41" s="67">
        <f t="shared" si="9"/>
        <v>1</v>
      </c>
      <c r="AW41" s="68">
        <f>IFERROR(__xludf.DUMMYFUNCTION("iferror(AVERAGE(query(filter('Data Recording'!X:X,'Data Recording'!D:D=B41), ""Select Col1"")),""0.00"")"),1.0)</f>
        <v>1</v>
      </c>
      <c r="AX41" s="69">
        <f>IFERROR(__xludf.DUMMYFUNCTION("iferror(MAX(query(filter('Data Recording'!X:X,'Data Recording'!D:D=B41), ""Select Col1"")),""-"")"),1.0)</f>
        <v>1</v>
      </c>
      <c r="AY41" s="66">
        <f>IFERROR(__xludf.DUMMYFUNCTION("iferror(SUM(query(filter('Data Recording'!Y:Y,'Data Recording'!D:D=B41), ""Select Col1"")),""-"")"),0.0)</f>
        <v>0</v>
      </c>
      <c r="AZ41" s="66">
        <f>IFERROR(__xludf.DUMMYFUNCTION("iferror(SUM(query(filter('Data Recording'!Z:Z,'Data Recording'!D:D=B41), ""Select Col1"")),""-"")"),0.0)</f>
        <v>0</v>
      </c>
      <c r="BA41" s="67" t="str">
        <f t="shared" si="10"/>
        <v>-</v>
      </c>
      <c r="BB41" s="68" t="str">
        <f>IFERROR(__xludf.DUMMYFUNCTION("iferror(AVERAGE(query(filter('Data Recording'!Z:Z,'Data Recording'!D:D=B41), ""Select Col1"")),""0.00"")"),"0.00")</f>
        <v>0.00</v>
      </c>
      <c r="BC41" s="69">
        <f>IFERROR(__xludf.DUMMYFUNCTION("iferror(MAX(query(filter('Data Recording'!Z:Z,'Data Recording'!D:D=B41), ""Select Col1"")),""-"")"),0.0)</f>
        <v>0</v>
      </c>
      <c r="BD41" s="66">
        <f>IFERROR(__xludf.DUMMYFUNCTION("iferror(SUM(query(filter('Data Recording'!AA:AA,'Data Recording'!D:D=B41), ""Select Col1"")),""-"")"),0.0)</f>
        <v>0</v>
      </c>
      <c r="BE41" s="66">
        <f>IFERROR(__xludf.DUMMYFUNCTION("iferror(SUM(query(filter('Data Recording'!AB:AB,'Data Recording'!D:D=B41), ""Select Col1"")),""-"")"),0.0)</f>
        <v>0</v>
      </c>
      <c r="BF41" s="67" t="str">
        <f t="shared" si="11"/>
        <v>-</v>
      </c>
      <c r="BG41" s="68" t="str">
        <f>IFERROR(__xludf.DUMMYFUNCTION("iferror(AVERAGE(query(filter('Data Recording'!AB:AB,'Data Recording'!D:D=B41), ""Select Col1"")),""0.00"")"),"0.00")</f>
        <v>0.00</v>
      </c>
      <c r="BH41" s="69">
        <f>IFERROR(__xludf.DUMMYFUNCTION("iferror(MAX(query(filter('Data Recording'!AB:AB,'Data Recording'!D:D=B41), ""Select Col1"")),""-"")"),0.0)</f>
        <v>0</v>
      </c>
      <c r="BI41" s="66">
        <f>IFERROR(__xludf.DUMMYFUNCTION("iferror(SUM(query(filter('Data Recording'!AC:AC,'Data Recording'!D:D=B41), ""Select Col1"")),""-"")"),1.0)</f>
        <v>1</v>
      </c>
      <c r="BJ41" s="66">
        <f>IFERROR(__xludf.DUMMYFUNCTION("iferror(SUM(query(filter('Data Recording'!AD:AD,'Data Recording'!D:D=B41), ""Select Col1"")),""-"")"),1.0)</f>
        <v>1</v>
      </c>
      <c r="BK41" s="67">
        <f t="shared" si="12"/>
        <v>1</v>
      </c>
      <c r="BL41" s="68">
        <f>IFERROR(__xludf.DUMMYFUNCTION("iferror(AVERAGE(query(filter('Data Recording'!AD:AD,'Data Recording'!D:D=B41), ""Select Col1"")),""0.00"")"),1.0)</f>
        <v>1</v>
      </c>
      <c r="BM41" s="69">
        <f>IFERROR(__xludf.DUMMYFUNCTION("iferror(MAX(query(filter('Data Recording'!AD:AD,'Data Recording'!D:D=B41), ""Select Col1"")),""-"")"),1.0)</f>
        <v>1</v>
      </c>
      <c r="BN41" s="70" t="str">
        <f>IFERROR(__xludf.DUMMYFUNCTION("if(countif(query(filter('Data Recording'!AE:AE,'Data Recording'!D:D=B41), ""Select Col1""),""Yes, Engaged"")+countif(query(filter('Data Recording'!AE:AE,'Data Recording'!D:D=B41), ""Select Col1""),""Yes, Docked"")=0,""0"",countif(query(filter('Data Record"&amp;"ing'!AE:AE,'Data Recording'!D:D=B41), ""Select Col1""),""Yes, Engaged""))+countif(query(filter('Data Recording'!AE:AE,'Data Recording'!D:D=B41), ""Select Col1""),""Yes, Docked"") &amp; ""/"" &amp; if(COUNTA(query(ifna(filter('Data Recording'!AE:AE,'Data Recording"&amp;"'!D:D=B41),""""), ""Select Col1""))=0,""0"",COUNTA(query(ifna(filter('Data Recording'!AE:AE,'Data Recording'!D:D=B41),""""), ""Select Col1"")))"),"0/4")</f>
        <v>0/4</v>
      </c>
      <c r="BO41" s="71" t="str">
        <f>IFERROR(__xludf.DUMMYFUNCTION("if(countif(query(filter('Data Recording'!AE:AE,'Data Recording'!D:D=B41), ""Select Col1""),""Yes, Engaged"")=0,""0"",countif(query(filter('Data Recording'!AE:AE,'Data Recording'!D:D=B41), ""Select Col1""),""Yes, Engaged"")) &amp; ""/"" &amp; if(COUNTA(query(ifna("&amp;"filter('Data Recording'!AE:AE,'Data Recording'!D:D=B41),""""), ""Select Col1""))=0,""0"",COUNTA(query(ifna(filter('Data Recording'!AE:AE,'Data Recording'!D:D=B41),""""), ""Select Col1"")))"),"0/4")</f>
        <v>0/4</v>
      </c>
      <c r="BP41" s="64" t="str">
        <f>IFERROR(__xludf.DUMMYFUNCTION("if(countif(query(filter('Data Recording'!AH:AH,'Data Recording'!D:D=B41), ""Select Col1""),""Yes"")=0,""0"",countif(query(filter('Data Recording'!AH:AH,'Data Recording'!D:D=B41), ""Select Col1""),""Yes"")) &amp; ""/"" &amp; if(COUNTA(query(ifna(filter('Data Recor"&amp;"ding'!AH:AH,'Data Recording'!D:D=B41),""""), ""Select Col1""))=0,""0"",COUNTA(query(ifna(filter('Data Recording'!AH:AH,'Data Recording'!D:D=B41),""""), ""Select Col1"")))"),"0/4")</f>
        <v>0/4</v>
      </c>
      <c r="BQ41" s="72">
        <v>0.0</v>
      </c>
      <c r="BR41" s="60">
        <f>IFERROR(__xludf.DUMMYFUNCTION("iferror(average(query(filter('Data Recording'!AF:AF,'Data Recording'!D:D=B41), ""Select Col1"")),""-"")"),0.5)</f>
        <v>0.5</v>
      </c>
      <c r="BS41" s="73">
        <f>IFERROR(__xludf.DUMMYFUNCTION("iferror(average(query(filter('Data Recording'!AG:AG,'Data Recording'!D:D=B41), ""Select Col1"")),""-"")"),0.75)</f>
        <v>0.75</v>
      </c>
      <c r="BT41" s="74">
        <f t="shared" si="13"/>
        <v>4</v>
      </c>
      <c r="BU41" s="74">
        <f>IFERROR(__xludf.DUMMYFUNCTION("iferror(AVERAGE(query(filter('Data Recording'!AJ:AJ,'Data Recording'!D:D=B41), ""Select Col1"")),""-"")"),1.75)</f>
        <v>1.75</v>
      </c>
      <c r="BV41" s="74">
        <f>IFERROR(__xludf.DUMMYFUNCTION("iferror(AVERAGE(query(filter('Data Recording'!AK:AK,'Data Recording'!D:D=B41), ""Select Col1"")),""-"")"),1.0)</f>
        <v>1</v>
      </c>
      <c r="BW41" s="74">
        <f t="shared" si="14"/>
        <v>4</v>
      </c>
      <c r="BX41" s="75">
        <f>IFERROR(__xludf.DUMMYFUNCTION("iferror(max(query(filter('Data Recording'!AJ:AJ,'Data Recording'!D:D=B41), ""Select Col1"")),""-"")"),3.0)</f>
        <v>3</v>
      </c>
      <c r="BY41" s="76">
        <f>IFERROR(__xludf.DUMMYFUNCTION("iferror(MIN(query(filter('Data Recording'!AJ:AJ,'Data Recording'!D:D=B41), ""Select Col1"")),""-"")"),0.0)</f>
        <v>0</v>
      </c>
      <c r="BZ41" s="77" t="str">
        <f>IFERROR(__xludf.DUMMYFUNCTION("iferror(if(DIVIDE(COUNTIF(query(filter('Data Recording'!R:R,'Data Recording'!D:D=B41), ""Select Col1""),""Yes, Docked"") + countif(query(filter('Data Recording'!R:R,'Data Recording'!D:D=B41), ""Select Col1""),""Yes, Engaged""),COUNTA(query(ifna(filter('Da"&amp;"ta Recording'!R:R,'Data Recording'!D:D=B41),""""), ""Select Col1"")))&gt;=(0.5),""1"",""0""),""-"")"),"0")</f>
        <v>0</v>
      </c>
      <c r="CA41" s="5" t="str">
        <f>IFERROR(__xludf.DUMMYFUNCTION("iferror(if(countif(query(filter('Data Recording'!R:R,'Data Recording'!D:D=B41), ""Select Col1""),""Yes, Engaged"")/COUNTA(query(ifna(filter('Data Recording'!R:R,'Data Recording'!D:D=B41),""""), ""Select Col1""))&gt;=(0.5),""1"",""0""),""-"")"),"0")</f>
        <v>0</v>
      </c>
      <c r="CB41" s="78" t="str">
        <f>IFERROR(__xludf.DUMMYFUNCTION("iferror(if(DIVIDE(COUNTIF(query(filter('Data Recording'!AE:AE,'Data Recording'!D:D=B41), ""Select Col1""),""Yes, Docked"") + countif(query(filter('Data Recording'!AE:AE,'Data Recording'!D:D=B41), ""Select Col1""),""Yes, Engaged""),COUNTA(query(ifna(filter"&amp;"('Data Recording'!AE:AE,'Data Recording'!D:D=B41),""""), ""Select Col1"")))&gt;=(0.5),""1"",""0""),""-"")"),"0")</f>
        <v>0</v>
      </c>
      <c r="CC41" s="5" t="str">
        <f>IFERROR(__xludf.DUMMYFUNCTION("iferror(if(countif(query(filter('Data Recording'!AE:AE,'Data Recording'!D:D=B41), ""Select Col1""),""Yes, Engaged"")/COUNTA(query(ifna(filter('Data Recording'!AE:AE,'Data Recording'!D:D=B41),""""), ""Select Col1""))&gt;=(0.5),""1"",""0""),""-"")"),"0")</f>
        <v>0</v>
      </c>
      <c r="CD41" s="78" t="str">
        <f>IFERROR(__xludf.DUMMYFUNCTION("iferror(if(DIVIDE(countif(query(filter('Data Recording'!E:E,'Data Recording'!D:D=B41), ""Select Col1""),""Yes""),COUNTA(query(ifna(filter('Data Recording'!E:E,'Data Recording'!D:D=B41),""""), ""Select Col1"")))&gt;=(0.5),""1"",""0""),""-"")"),"0")</f>
        <v>0</v>
      </c>
    </row>
    <row r="42">
      <c r="A42" s="2" t="s">
        <v>151</v>
      </c>
      <c r="B42" s="2">
        <v>3773.0</v>
      </c>
      <c r="C42" s="57" t="str">
        <f>IFERROR(__xludf.DUMMYFUNCTION("if(countif(query(filter('Data Recording'!E:E,'Data Recording'!D:D=B42), ""Select Col1""),""Yes"")=0,""0"",countif(query(filter('Data Recording'!E:E,'Data Recording'!D:D=B42), ""Select Col1""),""Yes"")) &amp; ""/"" &amp; if(COUNTA(query(ifna(filter('Data Recording"&amp;"'!E:E,'Data Recording'!D:D=B42),""""), ""Select Col1""))=0,""0"",COUNTA(query(ifna(filter('Data Recording'!E:E,'Data Recording'!D:D=B42),""""), ""Select Col1"")))"),"0/3")</f>
        <v>0/3</v>
      </c>
      <c r="D42" s="58">
        <f>IFERROR(__xludf.DUMMYFUNCTION("iferror(SUM(query(filter('Data Recording'!F:F,'Data Recording'!D:D=B42), ""Select Col1"")),""-"")"),0.0)</f>
        <v>0</v>
      </c>
      <c r="E42" s="58">
        <f>IFERROR(__xludf.DUMMYFUNCTION("iferror(SUM(query(filter('Data Recording'!G:G,'Data Recording'!D:D=B42), ""Select Col1"")),""-"")"),0.0)</f>
        <v>0</v>
      </c>
      <c r="F42" s="59" t="str">
        <f t="shared" si="1"/>
        <v>-</v>
      </c>
      <c r="G42" s="60" t="str">
        <f>IFERROR(__xludf.DUMMYFUNCTION("iferror(AVERAGE(query(filter('Data Recording'!G:G,'Data Recording'!D:D=B42), ""Select Col1"")),""0.00"")"),"0.00")</f>
        <v>0.00</v>
      </c>
      <c r="H42" s="58">
        <f>IFERROR(__xludf.DUMMYFUNCTION("iferror(MAX(query(filter('Data Recording'!G:G,'Data Recording'!D:D=B42), ""Select Col1"")),""-"")"),0.0)</f>
        <v>0</v>
      </c>
      <c r="I42" s="61">
        <f>IFERROR(__xludf.DUMMYFUNCTION("iferror(SUM(query(filter('Data Recording'!H:H,'Data Recording'!D:D=B42), ""Select Col1"")),""-"")"),0.0)</f>
        <v>0</v>
      </c>
      <c r="J42" s="62">
        <f>IFERROR(__xludf.DUMMYFUNCTION("iferror(SUM(query(filter('Data Recording'!I:I,'Data Recording'!D:D=B42), ""Select Col1"")),""-"")"),0.0)</f>
        <v>0</v>
      </c>
      <c r="K42" s="59" t="str">
        <f t="shared" si="2"/>
        <v>-</v>
      </c>
      <c r="L42" s="60" t="str">
        <f>IFERROR(__xludf.DUMMYFUNCTION("iferror(AVERAGE(query(filter('Data Recording'!I:I,'Data Recording'!D:D=B42), ""Select Col1"")),""0.00"")"),"0.00")</f>
        <v>0.00</v>
      </c>
      <c r="M42" s="58">
        <f>IFERROR(__xludf.DUMMYFUNCTION("iferror(MAX(query(filter('Data Recording'!I:I,'Data Recording'!D:D=B42), ""Select Col1"")),""-"")"),0.0)</f>
        <v>0</v>
      </c>
      <c r="N42" s="63">
        <f>IFERROR(__xludf.DUMMYFUNCTION("iferror(SUM(query(filter('Data Recording'!J:J,'Data Recording'!D:D=B42), ""Select Col1"")),""-"")"),0.0)</f>
        <v>0</v>
      </c>
      <c r="O42" s="5">
        <f>IFERROR(__xludf.DUMMYFUNCTION("iferror(SUM(query(filter('Data Recording'!K:K,'Data Recording'!D:D=B42), ""Select Col1"")),""-"")"),0.0)</f>
        <v>0</v>
      </c>
      <c r="P42" s="59" t="str">
        <f t="shared" si="3"/>
        <v>-</v>
      </c>
      <c r="Q42" s="60" t="str">
        <f>IFERROR(__xludf.DUMMYFUNCTION("iferror(AVERAGE(query(filter('Data Recording'!K:K,'Data Recording'!D:D=B42), ""Select Col1"")),""0.00"")"),"0.00")</f>
        <v>0.00</v>
      </c>
      <c r="R42" s="58">
        <f>IFERROR(__xludf.DUMMYFUNCTION("iferror(MAX(query(filter('Data Recording'!K:K,'Data Recording'!D:D=B42), ""Select Col1"")),""-"")"),0.0)</f>
        <v>0</v>
      </c>
      <c r="S42" s="63">
        <f>IFERROR(__xludf.DUMMYFUNCTION("iferror(SUM(query(filter('Data Recording'!L:L,'Data Recording'!D:D=B42), ""Select Col1"")),""-"")"),0.0)</f>
        <v>0</v>
      </c>
      <c r="T42" s="5">
        <f>IFERROR(__xludf.DUMMYFUNCTION("iferror(SUM(query(filter('Data Recording'!M:M,'Data Recording'!D:D=B42), ""Select Col1"")),""-"")"),0.0)</f>
        <v>0</v>
      </c>
      <c r="U42" s="59" t="str">
        <f t="shared" si="4"/>
        <v>-</v>
      </c>
      <c r="V42" s="60" t="str">
        <f>IFERROR(__xludf.DUMMYFUNCTION("iferror(AVERAGE(query(filter('Data Recording'!M:M,'Data Recording'!D:D=B42), ""Select Col1"")),""-"")"),"-")</f>
        <v>-</v>
      </c>
      <c r="W42" s="57">
        <f>IFERROR(__xludf.DUMMYFUNCTION("iferror(MAX(query(filter('Data Recording'!M:M,'Data Recording'!D:D=B42), ""Select Col1"")),""-"")"),0.0)</f>
        <v>0</v>
      </c>
      <c r="X42" s="5">
        <f>IFERROR(__xludf.DUMMYFUNCTION("iferror(SUM(query(filter('Data Recording'!N:N,'Data Recording'!D:D=B42), ""Select Col1"")),""-"")"),0.0)</f>
        <v>0</v>
      </c>
      <c r="Y42" s="5">
        <f>IFERROR(__xludf.DUMMYFUNCTION("iferror(SUM(query(filter('Data Recording'!O:O,'Data Recording'!D:D=B42), ""Select Col1"")),""-"")"),0.0)</f>
        <v>0</v>
      </c>
      <c r="Z42" s="59" t="str">
        <f t="shared" si="5"/>
        <v>-</v>
      </c>
      <c r="AA42" s="60" t="str">
        <f>IFERROR(__xludf.DUMMYFUNCTION("iferror(AVERAGE(query(filter('Data Recording'!O:O,'Data Recording'!D:D=B42), ""Select Col1"")),""0.00"")"),"0.00")</f>
        <v>0.00</v>
      </c>
      <c r="AB42" s="57">
        <f>IFERROR(__xludf.DUMMYFUNCTION("iferror(MAX(query(filter('Data Recording'!O:O,'Data Recording'!D:D=B42), ""Select Col1"")),""-"")"),0.0)</f>
        <v>0</v>
      </c>
      <c r="AC42" s="5">
        <f>IFERROR(__xludf.DUMMYFUNCTION("iferror(SUM(query(filter('Data Recording'!P:P,'Data Recording'!D:D=B42), ""Select Col1"")),""-"")"),0.0)</f>
        <v>0</v>
      </c>
      <c r="AD42" s="5">
        <f>IFERROR(__xludf.DUMMYFUNCTION("iferror(SUM(query(filter('Data Recording'!Q:Q,'Data Recording'!D:D=B42), ""Select Col1"")),""-"")"),0.0)</f>
        <v>0</v>
      </c>
      <c r="AE42" s="59" t="str">
        <f t="shared" si="6"/>
        <v>-</v>
      </c>
      <c r="AF42" s="60" t="str">
        <f>IFERROR(__xludf.DUMMYFUNCTION("iferror(AVERAGE(query(filter('Data Recording'!Q:Q,'Data Recording'!D:D=B42), ""Select Col1"")),""0.00"")"),"0.00")</f>
        <v>0.00</v>
      </c>
      <c r="AG42" s="5">
        <f>IFERROR(__xludf.DUMMYFUNCTION("iferror(MAX(query(filter('Data Recording'!Q:Q,'Data Recording'!D:D=B42), ""Select Col1"")),""-"")"),0.0)</f>
        <v>0</v>
      </c>
      <c r="AH42" s="63" t="str">
        <f>IFERROR(__xludf.DUMMYFUNCTION("if(countif(query(filter('Data Recording'!R:R,'Data Recording'!D:D=B42), ""Select Col1""),""Yes, Engaged"")+countif(query(filter('Data Recording'!R:R,'Data Recording'!D:D=B42), ""Select Col1""),""Yes, Docked"")=0,""0"",countif(query(filter('Data Recording'"&amp;"!R:R,'Data Recording'!D:D=B42), ""Select Col1""),""Yes, Engaged""))+countif(query(filter('Data Recording'!R:R,'Data Recording'!D:D=B42), ""Select Col1""),""Yes, Docked"") &amp; ""/"" &amp; if(COUNTA(query(ifna(filter('Data Recording'!R:R,'Data Recording'!D:D=B42)"&amp;",""""), ""Select Col1""))=0,""0"",COUNTA(query(ifna(filter('Data Recording'!R:R,'Data Recording'!D:D=B42),""""), ""Select Col1"")))"),"0/3")</f>
        <v>0/3</v>
      </c>
      <c r="AI42" s="64" t="str">
        <f>IFERROR(__xludf.DUMMYFUNCTION("if(countif(query(filter('Data Recording'!R:R,'Data Recording'!D:D=B42), ""Select Col1""),""Yes, Engaged"")=0,""0"",countif(query(filter('Data Recording'!R:R,'Data Recording'!D:D=B42), ""Select Col1""),""Yes, Engaged"")) &amp; ""/"" &amp; if(COUNTA(query(ifna(filt"&amp;"er('Data Recording'!R:R,'Data Recording'!D:D=B42),""""), ""Select Col1""))=0,""0"",COUNTA(query(ifna(filter('Data Recording'!R:R,'Data Recording'!D:D=B42),""""), ""Select Col1"")))"),"0/3")</f>
        <v>0/3</v>
      </c>
      <c r="AJ42" s="5">
        <f>IFERROR(__xludf.DUMMYFUNCTION("iferror(SUM(query(filter('Data Recording'!S:S,'Data Recording'!D:D=B42), ""Select Col1"")),""-"")"),0.0)</f>
        <v>0</v>
      </c>
      <c r="AK42" s="5">
        <f>IFERROR(__xludf.DUMMYFUNCTION("iferror(SUM(query(filter('Data Recording'!T:T,'Data Recording'!D:D=B42), ""Select Col1"")),""-"")"),0.0)</f>
        <v>0</v>
      </c>
      <c r="AL42" s="59" t="str">
        <f t="shared" si="7"/>
        <v>-</v>
      </c>
      <c r="AM42" s="60" t="str">
        <f>IFERROR(__xludf.DUMMYFUNCTION("iferror(AVERAGE(query(filter('Data Recording'!T:T,'Data Recording'!D:D=B42), ""Select Col1"")),""0.00"")"),"0.00")</f>
        <v>0.00</v>
      </c>
      <c r="AN42" s="65">
        <f>IFERROR(__xludf.DUMMYFUNCTION("iferror(MAX(query(filter('Data Recording'!T:T,'Data Recording'!D:D=B42), ""Select Col1"")),""-"")"),0.0)</f>
        <v>0</v>
      </c>
      <c r="AO42" s="66">
        <f>IFERROR(__xludf.DUMMYFUNCTION("iferror(SUM(query(filter('Data Recording'!U:U,'Data Recording'!D:D=B42), ""Select Col1"")),""-"")"),0.0)</f>
        <v>0</v>
      </c>
      <c r="AP42" s="66">
        <f>IFERROR(__xludf.DUMMYFUNCTION("iferror(SUM(query(filter('Data Recording'!V:V,'Data Recording'!D:D=B42), ""Select Col1"")),""-"")"),0.0)</f>
        <v>0</v>
      </c>
      <c r="AQ42" s="67" t="str">
        <f t="shared" si="8"/>
        <v>-</v>
      </c>
      <c r="AR42" s="68" t="str">
        <f>IFERROR(__xludf.DUMMYFUNCTION("iferror(AVERAGE(query(filter('Data Recording'!V:V,'Data Recording'!D:D=B42), ""Select Col1"")),""0.00"")"),"0.00")</f>
        <v>0.00</v>
      </c>
      <c r="AS42" s="69">
        <f>IFERROR(__xludf.DUMMYFUNCTION("iferror(MAX(query(filter('Data Recording'!V:V,'Data Recording'!D:D=B42), ""Select Col1"")),""-"")"),0.0)</f>
        <v>0</v>
      </c>
      <c r="AT42" s="66">
        <f>IFERROR(__xludf.DUMMYFUNCTION("iferror(SUM(query(filter('Data Recording'!W:W,'Data Recording'!D:D=B42), ""Select Col1"")),""-"")"),2.0)</f>
        <v>2</v>
      </c>
      <c r="AU42" s="66">
        <f>IFERROR(__xludf.DUMMYFUNCTION("iferror(SUM(query(filter('Data Recording'!X:X,'Data Recording'!D:D=B42), ""Select Col1"")),""-"")"),2.0)</f>
        <v>2</v>
      </c>
      <c r="AV42" s="67">
        <f t="shared" si="9"/>
        <v>1</v>
      </c>
      <c r="AW42" s="68">
        <f>IFERROR(__xludf.DUMMYFUNCTION("iferror(AVERAGE(query(filter('Data Recording'!X:X,'Data Recording'!D:D=B42), ""Select Col1"")),""0.00"")"),2.0)</f>
        <v>2</v>
      </c>
      <c r="AX42" s="69">
        <f>IFERROR(__xludf.DUMMYFUNCTION("iferror(MAX(query(filter('Data Recording'!X:X,'Data Recording'!D:D=B42), ""Select Col1"")),""-"")"),2.0)</f>
        <v>2</v>
      </c>
      <c r="AY42" s="66">
        <f>IFERROR(__xludf.DUMMYFUNCTION("iferror(SUM(query(filter('Data Recording'!Y:Y,'Data Recording'!D:D=B42), ""Select Col1"")),""-"")"),0.0)</f>
        <v>0</v>
      </c>
      <c r="AZ42" s="66">
        <f>IFERROR(__xludf.DUMMYFUNCTION("iferror(SUM(query(filter('Data Recording'!Z:Z,'Data Recording'!D:D=B42), ""Select Col1"")),""-"")"),0.0)</f>
        <v>0</v>
      </c>
      <c r="BA42" s="67" t="str">
        <f t="shared" si="10"/>
        <v>-</v>
      </c>
      <c r="BB42" s="68" t="str">
        <f>IFERROR(__xludf.DUMMYFUNCTION("iferror(AVERAGE(query(filter('Data Recording'!Z:Z,'Data Recording'!D:D=B42), ""Select Col1"")),""0.00"")"),"0.00")</f>
        <v>0.00</v>
      </c>
      <c r="BC42" s="69">
        <f>IFERROR(__xludf.DUMMYFUNCTION("iferror(MAX(query(filter('Data Recording'!Z:Z,'Data Recording'!D:D=B42), ""Select Col1"")),""-"")"),0.0)</f>
        <v>0</v>
      </c>
      <c r="BD42" s="66">
        <f>IFERROR(__xludf.DUMMYFUNCTION("iferror(SUM(query(filter('Data Recording'!AA:AA,'Data Recording'!D:D=B42), ""Select Col1"")),""-"")"),0.0)</f>
        <v>0</v>
      </c>
      <c r="BE42" s="66">
        <f>IFERROR(__xludf.DUMMYFUNCTION("iferror(SUM(query(filter('Data Recording'!AB:AB,'Data Recording'!D:D=B42), ""Select Col1"")),""-"")"),0.0)</f>
        <v>0</v>
      </c>
      <c r="BF42" s="67" t="str">
        <f t="shared" si="11"/>
        <v>-</v>
      </c>
      <c r="BG42" s="68" t="str">
        <f>IFERROR(__xludf.DUMMYFUNCTION("iferror(AVERAGE(query(filter('Data Recording'!AB:AB,'Data Recording'!D:D=B42), ""Select Col1"")),""0.00"")"),"0.00")</f>
        <v>0.00</v>
      </c>
      <c r="BH42" s="69">
        <f>IFERROR(__xludf.DUMMYFUNCTION("iferror(MAX(query(filter('Data Recording'!AB:AB,'Data Recording'!D:D=B42), ""Select Col1"")),""-"")"),0.0)</f>
        <v>0</v>
      </c>
      <c r="BI42" s="66">
        <f>IFERROR(__xludf.DUMMYFUNCTION("iferror(SUM(query(filter('Data Recording'!AC:AC,'Data Recording'!D:D=B42), ""Select Col1"")),""-"")"),0.0)</f>
        <v>0</v>
      </c>
      <c r="BJ42" s="66">
        <f>IFERROR(__xludf.DUMMYFUNCTION("iferror(SUM(query(filter('Data Recording'!AD:AD,'Data Recording'!D:D=B42), ""Select Col1"")),""-"")"),0.0)</f>
        <v>0</v>
      </c>
      <c r="BK42" s="67" t="str">
        <f t="shared" si="12"/>
        <v>-</v>
      </c>
      <c r="BL42" s="68" t="str">
        <f>IFERROR(__xludf.DUMMYFUNCTION("iferror(AVERAGE(query(filter('Data Recording'!AD:AD,'Data Recording'!D:D=B42), ""Select Col1"")),""0.00"")"),"0.00")</f>
        <v>0.00</v>
      </c>
      <c r="BM42" s="69">
        <f>IFERROR(__xludf.DUMMYFUNCTION("iferror(MAX(query(filter('Data Recording'!AD:AD,'Data Recording'!D:D=B42), ""Select Col1"")),""-"")"),0.0)</f>
        <v>0</v>
      </c>
      <c r="BN42" s="70" t="str">
        <f>IFERROR(__xludf.DUMMYFUNCTION("if(countif(query(filter('Data Recording'!AE:AE,'Data Recording'!D:D=B42), ""Select Col1""),""Yes, Engaged"")+countif(query(filter('Data Recording'!AE:AE,'Data Recording'!D:D=B42), ""Select Col1""),""Yes, Docked"")=0,""0"",countif(query(filter('Data Record"&amp;"ing'!AE:AE,'Data Recording'!D:D=B42), ""Select Col1""),""Yes, Engaged""))+countif(query(filter('Data Recording'!AE:AE,'Data Recording'!D:D=B42), ""Select Col1""),""Yes, Docked"") &amp; ""/"" &amp; if(COUNTA(query(ifna(filter('Data Recording'!AE:AE,'Data Recording"&amp;"'!D:D=B42),""""), ""Select Col1""))=0,""0"",COUNTA(query(ifna(filter('Data Recording'!AE:AE,'Data Recording'!D:D=B42),""""), ""Select Col1"")))"),"0/3")</f>
        <v>0/3</v>
      </c>
      <c r="BO42" s="71" t="str">
        <f>IFERROR(__xludf.DUMMYFUNCTION("if(countif(query(filter('Data Recording'!AE:AE,'Data Recording'!D:D=B42), ""Select Col1""),""Yes, Engaged"")=0,""0"",countif(query(filter('Data Recording'!AE:AE,'Data Recording'!D:D=B42), ""Select Col1""),""Yes, Engaged"")) &amp; ""/"" &amp; if(COUNTA(query(ifna("&amp;"filter('Data Recording'!AE:AE,'Data Recording'!D:D=B42),""""), ""Select Col1""))=0,""0"",COUNTA(query(ifna(filter('Data Recording'!AE:AE,'Data Recording'!D:D=B42),""""), ""Select Col1"")))"),"0/3")</f>
        <v>0/3</v>
      </c>
      <c r="BP42" s="64" t="str">
        <f>IFERROR(__xludf.DUMMYFUNCTION("if(countif(query(filter('Data Recording'!AH:AH,'Data Recording'!D:D=B42), ""Select Col1""),""Yes"")=0,""0"",countif(query(filter('Data Recording'!AH:AH,'Data Recording'!D:D=B42), ""Select Col1""),""Yes"")) &amp; ""/"" &amp; if(COUNTA(query(ifna(filter('Data Recor"&amp;"ding'!AH:AH,'Data Recording'!D:D=B42),""""), ""Select Col1""))=0,""0"",COUNTA(query(ifna(filter('Data Recording'!AH:AH,'Data Recording'!D:D=B42),""""), ""Select Col1"")))"),"3/3")</f>
        <v>3/3</v>
      </c>
      <c r="BQ42" s="72">
        <v>1.0</v>
      </c>
      <c r="BR42" s="60">
        <f>IFERROR(__xludf.DUMMYFUNCTION("iferror(average(query(filter('Data Recording'!AF:AF,'Data Recording'!D:D=B42), ""Select Col1"")),""-"")"),0.0)</f>
        <v>0</v>
      </c>
      <c r="BS42" s="73">
        <f>IFERROR(__xludf.DUMMYFUNCTION("iferror(average(query(filter('Data Recording'!AG:AG,'Data Recording'!D:D=B42), ""Select Col1"")),""-"")"),0.3333333333333333)</f>
        <v>0.3333333333</v>
      </c>
      <c r="BT42" s="74">
        <f t="shared" si="13"/>
        <v>4</v>
      </c>
      <c r="BU42" s="74">
        <f>IFERROR(__xludf.DUMMYFUNCTION("iferror(AVERAGE(query(filter('Data Recording'!AJ:AJ,'Data Recording'!D:D=B42), ""Select Col1"")),""-"")"),1.3333333333333333)</f>
        <v>1.333333333</v>
      </c>
      <c r="BV42" s="74">
        <f>IFERROR(__xludf.DUMMYFUNCTION("iferror(AVERAGE(query(filter('Data Recording'!AK:AK,'Data Recording'!D:D=B42), ""Select Col1"")),""-"")"),1.3333333333333333)</f>
        <v>1.333333333</v>
      </c>
      <c r="BW42" s="74">
        <f t="shared" si="14"/>
        <v>4</v>
      </c>
      <c r="BX42" s="75">
        <f>IFERROR(__xludf.DUMMYFUNCTION("iferror(max(query(filter('Data Recording'!AJ:AJ,'Data Recording'!D:D=B42), ""Select Col1"")),""-"")"),4.0)</f>
        <v>4</v>
      </c>
      <c r="BY42" s="76">
        <f>IFERROR(__xludf.DUMMYFUNCTION("iferror(MIN(query(filter('Data Recording'!AJ:AJ,'Data Recording'!D:D=B42), ""Select Col1"")),""-"")"),0.0)</f>
        <v>0</v>
      </c>
      <c r="BZ42" s="77" t="str">
        <f>IFERROR(__xludf.DUMMYFUNCTION("iferror(if(DIVIDE(COUNTIF(query(filter('Data Recording'!R:R,'Data Recording'!D:D=B42), ""Select Col1""),""Yes, Docked"") + countif(query(filter('Data Recording'!R:R,'Data Recording'!D:D=B42), ""Select Col1""),""Yes, Engaged""),COUNTA(query(ifna(filter('Da"&amp;"ta Recording'!R:R,'Data Recording'!D:D=B42),""""), ""Select Col1"")))&gt;=(0.5),""1"",""0""),""-"")"),"0")</f>
        <v>0</v>
      </c>
      <c r="CA42" s="5" t="str">
        <f>IFERROR(__xludf.DUMMYFUNCTION("iferror(if(countif(query(filter('Data Recording'!R:R,'Data Recording'!D:D=B42), ""Select Col1""),""Yes, Engaged"")/COUNTA(query(ifna(filter('Data Recording'!R:R,'Data Recording'!D:D=B42),""""), ""Select Col1""))&gt;=(0.5),""1"",""0""),""-"")"),"0")</f>
        <v>0</v>
      </c>
      <c r="CB42" s="78" t="str">
        <f>IFERROR(__xludf.DUMMYFUNCTION("iferror(if(DIVIDE(COUNTIF(query(filter('Data Recording'!AE:AE,'Data Recording'!D:D=B42), ""Select Col1""),""Yes, Docked"") + countif(query(filter('Data Recording'!AE:AE,'Data Recording'!D:D=B42), ""Select Col1""),""Yes, Engaged""),COUNTA(query(ifna(filter"&amp;"('Data Recording'!AE:AE,'Data Recording'!D:D=B42),""""), ""Select Col1"")))&gt;=(0.5),""1"",""0""),""-"")"),"0")</f>
        <v>0</v>
      </c>
      <c r="CC42" s="5" t="str">
        <f>IFERROR(__xludf.DUMMYFUNCTION("iferror(if(countif(query(filter('Data Recording'!AE:AE,'Data Recording'!D:D=B42), ""Select Col1""),""Yes, Engaged"")/COUNTA(query(ifna(filter('Data Recording'!AE:AE,'Data Recording'!D:D=B42),""""), ""Select Col1""))&gt;=(0.5),""1"",""0""),""-"")"),"0")</f>
        <v>0</v>
      </c>
      <c r="CD42" s="78" t="str">
        <f>IFERROR(__xludf.DUMMYFUNCTION("iferror(if(DIVIDE(countif(query(filter('Data Recording'!E:E,'Data Recording'!D:D=B42), ""Select Col1""),""Yes""),COUNTA(query(ifna(filter('Data Recording'!E:E,'Data Recording'!D:D=B42),""""), ""Select Col1"")))&gt;=(0.5),""1"",""0""),""-"")"),"0")</f>
        <v>0</v>
      </c>
    </row>
    <row r="43">
      <c r="A43" s="2" t="s">
        <v>152</v>
      </c>
      <c r="B43" s="2">
        <v>6616.0</v>
      </c>
      <c r="C43" s="57" t="str">
        <f>IFERROR(__xludf.DUMMYFUNCTION("if(countif(query(filter('Data Recording'!E:E,'Data Recording'!D:D=B43), ""Select Col1""),""Yes"")=0,""0"",countif(query(filter('Data Recording'!E:E,'Data Recording'!D:D=B43), ""Select Col1""),""Yes"")) &amp; ""/"" &amp; if(COUNTA(query(ifna(filter('Data Recording"&amp;"'!E:E,'Data Recording'!D:D=B43),""""), ""Select Col1""))=0,""0"",COUNTA(query(ifna(filter('Data Recording'!E:E,'Data Recording'!D:D=B43),""""), ""Select Col1"")))"),"0/8")</f>
        <v>0/8</v>
      </c>
      <c r="D43" s="58">
        <f>IFERROR(__xludf.DUMMYFUNCTION("iferror(SUM(query(filter('Data Recording'!F:F,'Data Recording'!D:D=B43), ""Select Col1"")),""-"")"),0.0)</f>
        <v>0</v>
      </c>
      <c r="E43" s="58">
        <f>IFERROR(__xludf.DUMMYFUNCTION("iferror(SUM(query(filter('Data Recording'!G:G,'Data Recording'!D:D=B43), ""Select Col1"")),""-"")"),0.0)</f>
        <v>0</v>
      </c>
      <c r="F43" s="59" t="str">
        <f t="shared" si="1"/>
        <v>-</v>
      </c>
      <c r="G43" s="60" t="str">
        <f>IFERROR(__xludf.DUMMYFUNCTION("iferror(AVERAGE(query(filter('Data Recording'!G:G,'Data Recording'!D:D=B43), ""Select Col1"")),""0.00"")"),"0.00")</f>
        <v>0.00</v>
      </c>
      <c r="H43" s="58">
        <f>IFERROR(__xludf.DUMMYFUNCTION("iferror(MAX(query(filter('Data Recording'!G:G,'Data Recording'!D:D=B43), ""Select Col1"")),""-"")"),0.0)</f>
        <v>0</v>
      </c>
      <c r="I43" s="61">
        <f>IFERROR(__xludf.DUMMYFUNCTION("iferror(SUM(query(filter('Data Recording'!H:H,'Data Recording'!D:D=B43), ""Select Col1"")),""-"")"),0.0)</f>
        <v>0</v>
      </c>
      <c r="J43" s="62">
        <f>IFERROR(__xludf.DUMMYFUNCTION("iferror(SUM(query(filter('Data Recording'!I:I,'Data Recording'!D:D=B43), ""Select Col1"")),""-"")"),0.0)</f>
        <v>0</v>
      </c>
      <c r="K43" s="59" t="str">
        <f t="shared" si="2"/>
        <v>-</v>
      </c>
      <c r="L43" s="60" t="str">
        <f>IFERROR(__xludf.DUMMYFUNCTION("iferror(AVERAGE(query(filter('Data Recording'!I:I,'Data Recording'!D:D=B43), ""Select Col1"")),""0.00"")"),"0.00")</f>
        <v>0.00</v>
      </c>
      <c r="M43" s="58">
        <f>IFERROR(__xludf.DUMMYFUNCTION("iferror(MAX(query(filter('Data Recording'!I:I,'Data Recording'!D:D=B43), ""Select Col1"")),""-"")"),0.0)</f>
        <v>0</v>
      </c>
      <c r="N43" s="63">
        <f>IFERROR(__xludf.DUMMYFUNCTION("iferror(SUM(query(filter('Data Recording'!J:J,'Data Recording'!D:D=B43), ""Select Col1"")),""-"")"),0.0)</f>
        <v>0</v>
      </c>
      <c r="O43" s="5">
        <f>IFERROR(__xludf.DUMMYFUNCTION("iferror(SUM(query(filter('Data Recording'!K:K,'Data Recording'!D:D=B43), ""Select Col1"")),""-"")"),0.0)</f>
        <v>0</v>
      </c>
      <c r="P43" s="59" t="str">
        <f t="shared" si="3"/>
        <v>-</v>
      </c>
      <c r="Q43" s="60" t="str">
        <f>IFERROR(__xludf.DUMMYFUNCTION("iferror(AVERAGE(query(filter('Data Recording'!K:K,'Data Recording'!D:D=B43), ""Select Col1"")),""0.00"")"),"0.00")</f>
        <v>0.00</v>
      </c>
      <c r="R43" s="58">
        <f>IFERROR(__xludf.DUMMYFUNCTION("iferror(MAX(query(filter('Data Recording'!K:K,'Data Recording'!D:D=B43), ""Select Col1"")),""-"")"),0.0)</f>
        <v>0</v>
      </c>
      <c r="S43" s="63">
        <f>IFERROR(__xludf.DUMMYFUNCTION("iferror(SUM(query(filter('Data Recording'!L:L,'Data Recording'!D:D=B43), ""Select Col1"")),""-"")"),0.0)</f>
        <v>0</v>
      </c>
      <c r="T43" s="5">
        <f>IFERROR(__xludf.DUMMYFUNCTION("iferror(SUM(query(filter('Data Recording'!M:M,'Data Recording'!D:D=B43), ""Select Col1"")),""-"")"),0.0)</f>
        <v>0</v>
      </c>
      <c r="U43" s="59" t="str">
        <f t="shared" si="4"/>
        <v>-</v>
      </c>
      <c r="V43" s="60" t="str">
        <f>IFERROR(__xludf.DUMMYFUNCTION("iferror(AVERAGE(query(filter('Data Recording'!M:M,'Data Recording'!D:D=B43), ""Select Col1"")),""-"")"),"-")</f>
        <v>-</v>
      </c>
      <c r="W43" s="57">
        <f>IFERROR(__xludf.DUMMYFUNCTION("iferror(MAX(query(filter('Data Recording'!M:M,'Data Recording'!D:D=B43), ""Select Col1"")),""-"")"),0.0)</f>
        <v>0</v>
      </c>
      <c r="X43" s="5">
        <f>IFERROR(__xludf.DUMMYFUNCTION("iferror(SUM(query(filter('Data Recording'!N:N,'Data Recording'!D:D=B43), ""Select Col1"")),""-"")"),0.0)</f>
        <v>0</v>
      </c>
      <c r="Y43" s="5">
        <f>IFERROR(__xludf.DUMMYFUNCTION("iferror(SUM(query(filter('Data Recording'!O:O,'Data Recording'!D:D=B43), ""Select Col1"")),""-"")"),0.0)</f>
        <v>0</v>
      </c>
      <c r="Z43" s="59" t="str">
        <f t="shared" si="5"/>
        <v>-</v>
      </c>
      <c r="AA43" s="60" t="str">
        <f>IFERROR(__xludf.DUMMYFUNCTION("iferror(AVERAGE(query(filter('Data Recording'!O:O,'Data Recording'!D:D=B43), ""Select Col1"")),""0.00"")"),"0.00")</f>
        <v>0.00</v>
      </c>
      <c r="AB43" s="57">
        <f>IFERROR(__xludf.DUMMYFUNCTION("iferror(MAX(query(filter('Data Recording'!O:O,'Data Recording'!D:D=B43), ""Select Col1"")),""-"")"),0.0)</f>
        <v>0</v>
      </c>
      <c r="AC43" s="5">
        <f>IFERROR(__xludf.DUMMYFUNCTION("iferror(SUM(query(filter('Data Recording'!P:P,'Data Recording'!D:D=B43), ""Select Col1"")),""-"")"),0.0)</f>
        <v>0</v>
      </c>
      <c r="AD43" s="5">
        <f>IFERROR(__xludf.DUMMYFUNCTION("iferror(SUM(query(filter('Data Recording'!Q:Q,'Data Recording'!D:D=B43), ""Select Col1"")),""-"")"),0.0)</f>
        <v>0</v>
      </c>
      <c r="AE43" s="59" t="str">
        <f t="shared" si="6"/>
        <v>-</v>
      </c>
      <c r="AF43" s="60" t="str">
        <f>IFERROR(__xludf.DUMMYFUNCTION("iferror(AVERAGE(query(filter('Data Recording'!Q:Q,'Data Recording'!D:D=B43), ""Select Col1"")),""0.00"")"),"0.00")</f>
        <v>0.00</v>
      </c>
      <c r="AG43" s="5">
        <f>IFERROR(__xludf.DUMMYFUNCTION("iferror(MAX(query(filter('Data Recording'!Q:Q,'Data Recording'!D:D=B43), ""Select Col1"")),""-"")"),0.0)</f>
        <v>0</v>
      </c>
      <c r="AH43" s="63" t="str">
        <f>IFERROR(__xludf.DUMMYFUNCTION("if(countif(query(filter('Data Recording'!R:R,'Data Recording'!D:D=B43), ""Select Col1""),""Yes, Engaged"")+countif(query(filter('Data Recording'!R:R,'Data Recording'!D:D=B43), ""Select Col1""),""Yes, Docked"")=0,""0"",countif(query(filter('Data Recording'"&amp;"!R:R,'Data Recording'!D:D=B43), ""Select Col1""),""Yes, Engaged""))+countif(query(filter('Data Recording'!R:R,'Data Recording'!D:D=B43), ""Select Col1""),""Yes, Docked"") &amp; ""/"" &amp; if(COUNTA(query(ifna(filter('Data Recording'!R:R,'Data Recording'!D:D=B43)"&amp;",""""), ""Select Col1""))=0,""0"",COUNTA(query(ifna(filter('Data Recording'!R:R,'Data Recording'!D:D=B43),""""), ""Select Col1"")))"),"0/8")</f>
        <v>0/8</v>
      </c>
      <c r="AI43" s="64" t="str">
        <f>IFERROR(__xludf.DUMMYFUNCTION("if(countif(query(filter('Data Recording'!R:R,'Data Recording'!D:D=B43), ""Select Col1""),""Yes, Engaged"")=0,""0"",countif(query(filter('Data Recording'!R:R,'Data Recording'!D:D=B43), ""Select Col1""),""Yes, Engaged"")) &amp; ""/"" &amp; if(COUNTA(query(ifna(filt"&amp;"er('Data Recording'!R:R,'Data Recording'!D:D=B43),""""), ""Select Col1""))=0,""0"",COUNTA(query(ifna(filter('Data Recording'!R:R,'Data Recording'!D:D=B43),""""), ""Select Col1"")))"),"0/8")</f>
        <v>0/8</v>
      </c>
      <c r="AJ43" s="5">
        <f>IFERROR(__xludf.DUMMYFUNCTION("iferror(SUM(query(filter('Data Recording'!S:S,'Data Recording'!D:D=B43), ""Select Col1"")),""-"")"),0.0)</f>
        <v>0</v>
      </c>
      <c r="AK43" s="5">
        <f>IFERROR(__xludf.DUMMYFUNCTION("iferror(SUM(query(filter('Data Recording'!T:T,'Data Recording'!D:D=B43), ""Select Col1"")),""-"")"),0.0)</f>
        <v>0</v>
      </c>
      <c r="AL43" s="59" t="str">
        <f t="shared" si="7"/>
        <v>-</v>
      </c>
      <c r="AM43" s="60" t="str">
        <f>IFERROR(__xludf.DUMMYFUNCTION("iferror(AVERAGE(query(filter('Data Recording'!T:T,'Data Recording'!D:D=B43), ""Select Col1"")),""0.00"")"),"0.00")</f>
        <v>0.00</v>
      </c>
      <c r="AN43" s="65">
        <f>IFERROR(__xludf.DUMMYFUNCTION("iferror(MAX(query(filter('Data Recording'!T:T,'Data Recording'!D:D=B43), ""Select Col1"")),""-"")"),0.0)</f>
        <v>0</v>
      </c>
      <c r="AO43" s="66">
        <f>IFERROR(__xludf.DUMMYFUNCTION("iferror(SUM(query(filter('Data Recording'!U:U,'Data Recording'!D:D=B43), ""Select Col1"")),""-"")"),0.0)</f>
        <v>0</v>
      </c>
      <c r="AP43" s="66">
        <f>IFERROR(__xludf.DUMMYFUNCTION("iferror(SUM(query(filter('Data Recording'!V:V,'Data Recording'!D:D=B43), ""Select Col1"")),""-"")"),0.0)</f>
        <v>0</v>
      </c>
      <c r="AQ43" s="67" t="str">
        <f t="shared" si="8"/>
        <v>-</v>
      </c>
      <c r="AR43" s="68" t="str">
        <f>IFERROR(__xludf.DUMMYFUNCTION("iferror(AVERAGE(query(filter('Data Recording'!V:V,'Data Recording'!D:D=B43), ""Select Col1"")),""0.00"")"),"0.00")</f>
        <v>0.00</v>
      </c>
      <c r="AS43" s="69">
        <f>IFERROR(__xludf.DUMMYFUNCTION("iferror(MAX(query(filter('Data Recording'!V:V,'Data Recording'!D:D=B43), ""Select Col1"")),""-"")"),0.0)</f>
        <v>0</v>
      </c>
      <c r="AT43" s="66">
        <f>IFERROR(__xludf.DUMMYFUNCTION("iferror(SUM(query(filter('Data Recording'!W:W,'Data Recording'!D:D=B43), ""Select Col1"")),""-"")"),0.0)</f>
        <v>0</v>
      </c>
      <c r="AU43" s="66">
        <f>IFERROR(__xludf.DUMMYFUNCTION("iferror(SUM(query(filter('Data Recording'!X:X,'Data Recording'!D:D=B43), ""Select Col1"")),""-"")"),0.0)</f>
        <v>0</v>
      </c>
      <c r="AV43" s="67" t="str">
        <f t="shared" si="9"/>
        <v>-</v>
      </c>
      <c r="AW43" s="68" t="str">
        <f>IFERROR(__xludf.DUMMYFUNCTION("iferror(AVERAGE(query(filter('Data Recording'!X:X,'Data Recording'!D:D=B43), ""Select Col1"")),""0.00"")"),"0.00")</f>
        <v>0.00</v>
      </c>
      <c r="AX43" s="69">
        <f>IFERROR(__xludf.DUMMYFUNCTION("iferror(MAX(query(filter('Data Recording'!X:X,'Data Recording'!D:D=B43), ""Select Col1"")),""-"")"),0.0)</f>
        <v>0</v>
      </c>
      <c r="AY43" s="66">
        <f>IFERROR(__xludf.DUMMYFUNCTION("iferror(SUM(query(filter('Data Recording'!Y:Y,'Data Recording'!D:D=B43), ""Select Col1"")),""-"")"),0.0)</f>
        <v>0</v>
      </c>
      <c r="AZ43" s="66">
        <f>IFERROR(__xludf.DUMMYFUNCTION("iferror(SUM(query(filter('Data Recording'!Z:Z,'Data Recording'!D:D=B43), ""Select Col1"")),""-"")"),0.0)</f>
        <v>0</v>
      </c>
      <c r="BA43" s="67" t="str">
        <f t="shared" si="10"/>
        <v>-</v>
      </c>
      <c r="BB43" s="68" t="str">
        <f>IFERROR(__xludf.DUMMYFUNCTION("iferror(AVERAGE(query(filter('Data Recording'!Z:Z,'Data Recording'!D:D=B43), ""Select Col1"")),""0.00"")"),"0.00")</f>
        <v>0.00</v>
      </c>
      <c r="BC43" s="69">
        <f>IFERROR(__xludf.DUMMYFUNCTION("iferror(MAX(query(filter('Data Recording'!Z:Z,'Data Recording'!D:D=B43), ""Select Col1"")),""-"")"),0.0)</f>
        <v>0</v>
      </c>
      <c r="BD43" s="66">
        <f>IFERROR(__xludf.DUMMYFUNCTION("iferror(SUM(query(filter('Data Recording'!AA:AA,'Data Recording'!D:D=B43), ""Select Col1"")),""-"")"),0.0)</f>
        <v>0</v>
      </c>
      <c r="BE43" s="66">
        <f>IFERROR(__xludf.DUMMYFUNCTION("iferror(SUM(query(filter('Data Recording'!AB:AB,'Data Recording'!D:D=B43), ""Select Col1"")),""-"")"),0.0)</f>
        <v>0</v>
      </c>
      <c r="BF43" s="67" t="str">
        <f t="shared" si="11"/>
        <v>-</v>
      </c>
      <c r="BG43" s="68" t="str">
        <f>IFERROR(__xludf.DUMMYFUNCTION("iferror(AVERAGE(query(filter('Data Recording'!AB:AB,'Data Recording'!D:D=B43), ""Select Col1"")),""0.00"")"),"0.00")</f>
        <v>0.00</v>
      </c>
      <c r="BH43" s="69">
        <f>IFERROR(__xludf.DUMMYFUNCTION("iferror(MAX(query(filter('Data Recording'!AB:AB,'Data Recording'!D:D=B43), ""Select Col1"")),""-"")"),0.0)</f>
        <v>0</v>
      </c>
      <c r="BI43" s="66">
        <f>IFERROR(__xludf.DUMMYFUNCTION("iferror(SUM(query(filter('Data Recording'!AC:AC,'Data Recording'!D:D=B43), ""Select Col1"")),""-"")"),0.0)</f>
        <v>0</v>
      </c>
      <c r="BJ43" s="66">
        <f>IFERROR(__xludf.DUMMYFUNCTION("iferror(SUM(query(filter('Data Recording'!AD:AD,'Data Recording'!D:D=B43), ""Select Col1"")),""-"")"),0.0)</f>
        <v>0</v>
      </c>
      <c r="BK43" s="67" t="str">
        <f t="shared" si="12"/>
        <v>-</v>
      </c>
      <c r="BL43" s="68" t="str">
        <f>IFERROR(__xludf.DUMMYFUNCTION("iferror(AVERAGE(query(filter('Data Recording'!AD:AD,'Data Recording'!D:D=B43), ""Select Col1"")),""0.00"")"),"0.00")</f>
        <v>0.00</v>
      </c>
      <c r="BM43" s="69">
        <f>IFERROR(__xludf.DUMMYFUNCTION("iferror(MAX(query(filter('Data Recording'!AD:AD,'Data Recording'!D:D=B43), ""Select Col1"")),""-"")"),0.0)</f>
        <v>0</v>
      </c>
      <c r="BN43" s="70" t="str">
        <f>IFERROR(__xludf.DUMMYFUNCTION("if(countif(query(filter('Data Recording'!AE:AE,'Data Recording'!D:D=B43), ""Select Col1""),""Yes, Engaged"")+countif(query(filter('Data Recording'!AE:AE,'Data Recording'!D:D=B43), ""Select Col1""),""Yes, Docked"")=0,""0"",countif(query(filter('Data Record"&amp;"ing'!AE:AE,'Data Recording'!D:D=B43), ""Select Col1""),""Yes, Engaged""))+countif(query(filter('Data Recording'!AE:AE,'Data Recording'!D:D=B43), ""Select Col1""),""Yes, Docked"") &amp; ""/"" &amp; if(COUNTA(query(ifna(filter('Data Recording'!AE:AE,'Data Recording"&amp;"'!D:D=B43),""""), ""Select Col1""))=0,""0"",COUNTA(query(ifna(filter('Data Recording'!AE:AE,'Data Recording'!D:D=B43),""""), ""Select Col1"")))"),"0/8")</f>
        <v>0/8</v>
      </c>
      <c r="BO43" s="71" t="str">
        <f>IFERROR(__xludf.DUMMYFUNCTION("if(countif(query(filter('Data Recording'!AE:AE,'Data Recording'!D:D=B43), ""Select Col1""),""Yes, Engaged"")=0,""0"",countif(query(filter('Data Recording'!AE:AE,'Data Recording'!D:D=B43), ""Select Col1""),""Yes, Engaged"")) &amp; ""/"" &amp; if(COUNTA(query(ifna("&amp;"filter('Data Recording'!AE:AE,'Data Recording'!D:D=B43),""""), ""Select Col1""))=0,""0"",COUNTA(query(ifna(filter('Data Recording'!AE:AE,'Data Recording'!D:D=B43),""""), ""Select Col1"")))"),"0/8")</f>
        <v>0/8</v>
      </c>
      <c r="BP43" s="64" t="str">
        <f>IFERROR(__xludf.DUMMYFUNCTION("if(countif(query(filter('Data Recording'!AH:AH,'Data Recording'!D:D=B43), ""Select Col1""),""Yes"")=0,""0"",countif(query(filter('Data Recording'!AH:AH,'Data Recording'!D:D=B43), ""Select Col1""),""Yes"")) &amp; ""/"" &amp; if(COUNTA(query(ifna(filter('Data Recor"&amp;"ding'!AH:AH,'Data Recording'!D:D=B43),""""), ""Select Col1""))=0,""0"",COUNTA(query(ifna(filter('Data Recording'!AH:AH,'Data Recording'!D:D=B43),""""), ""Select Col1"")))"),"4/8")</f>
        <v>4/8</v>
      </c>
      <c r="BQ43" s="72">
        <v>0.5</v>
      </c>
      <c r="BR43" s="60">
        <f>IFERROR(__xludf.DUMMYFUNCTION("iferror(average(query(filter('Data Recording'!AF:AF,'Data Recording'!D:D=B43), ""Select Col1"")),""-"")"),0.0)</f>
        <v>0</v>
      </c>
      <c r="BS43" s="73">
        <f>IFERROR(__xludf.DUMMYFUNCTION("iferror(average(query(filter('Data Recording'!AG:AG,'Data Recording'!D:D=B43), ""Select Col1"")),""-"")"),0.0)</f>
        <v>0</v>
      </c>
      <c r="BT43" s="74">
        <f t="shared" si="13"/>
        <v>0</v>
      </c>
      <c r="BU43" s="74">
        <f>IFERROR(__xludf.DUMMYFUNCTION("iferror(AVERAGE(query(filter('Data Recording'!AJ:AJ,'Data Recording'!D:D=B43), ""Select Col1"")),""-"")"),0.0)</f>
        <v>0</v>
      </c>
      <c r="BV43" s="74">
        <f>IFERROR(__xludf.DUMMYFUNCTION("iferror(AVERAGE(query(filter('Data Recording'!AK:AK,'Data Recording'!D:D=B43), ""Select Col1"")),""-"")"),0.0)</f>
        <v>0</v>
      </c>
      <c r="BW43" s="74">
        <f t="shared" si="14"/>
        <v>0</v>
      </c>
      <c r="BX43" s="75">
        <f>IFERROR(__xludf.DUMMYFUNCTION("iferror(max(query(filter('Data Recording'!AJ:AJ,'Data Recording'!D:D=B43), ""Select Col1"")),""-"")"),0.0)</f>
        <v>0</v>
      </c>
      <c r="BY43" s="76">
        <f>IFERROR(__xludf.DUMMYFUNCTION("iferror(MIN(query(filter('Data Recording'!AJ:AJ,'Data Recording'!D:D=B43), ""Select Col1"")),""-"")"),0.0)</f>
        <v>0</v>
      </c>
      <c r="BZ43" s="77" t="str">
        <f>IFERROR(__xludf.DUMMYFUNCTION("iferror(if(DIVIDE(COUNTIF(query(filter('Data Recording'!R:R,'Data Recording'!D:D=B43), ""Select Col1""),""Yes, Docked"") + countif(query(filter('Data Recording'!R:R,'Data Recording'!D:D=B43), ""Select Col1""),""Yes, Engaged""),COUNTA(query(ifna(filter('Da"&amp;"ta Recording'!R:R,'Data Recording'!D:D=B43),""""), ""Select Col1"")))&gt;=(0.5),""1"",""0""),""-"")"),"0")</f>
        <v>0</v>
      </c>
      <c r="CA43" s="5" t="str">
        <f>IFERROR(__xludf.DUMMYFUNCTION("iferror(if(countif(query(filter('Data Recording'!R:R,'Data Recording'!D:D=B43), ""Select Col1""),""Yes, Engaged"")/COUNTA(query(ifna(filter('Data Recording'!R:R,'Data Recording'!D:D=B43),""""), ""Select Col1""))&gt;=(0.5),""1"",""0""),""-"")"),"0")</f>
        <v>0</v>
      </c>
      <c r="CB43" s="78" t="str">
        <f>IFERROR(__xludf.DUMMYFUNCTION("iferror(if(DIVIDE(COUNTIF(query(filter('Data Recording'!AE:AE,'Data Recording'!D:D=B43), ""Select Col1""),""Yes, Docked"") + countif(query(filter('Data Recording'!AE:AE,'Data Recording'!D:D=B43), ""Select Col1""),""Yes, Engaged""),COUNTA(query(ifna(filter"&amp;"('Data Recording'!AE:AE,'Data Recording'!D:D=B43),""""), ""Select Col1"")))&gt;=(0.5),""1"",""0""),""-"")"),"0")</f>
        <v>0</v>
      </c>
      <c r="CC43" s="5" t="str">
        <f>IFERROR(__xludf.DUMMYFUNCTION("iferror(if(countif(query(filter('Data Recording'!AE:AE,'Data Recording'!D:D=B43), ""Select Col1""),""Yes, Engaged"")/COUNTA(query(ifna(filter('Data Recording'!AE:AE,'Data Recording'!D:D=B43),""""), ""Select Col1""))&gt;=(0.5),""1"",""0""),""-"")"),"0")</f>
        <v>0</v>
      </c>
      <c r="CD43" s="78" t="str">
        <f>IFERROR(__xludf.DUMMYFUNCTION("iferror(if(DIVIDE(countif(query(filter('Data Recording'!E:E,'Data Recording'!D:D=B43), ""Select Col1""),""Yes""),COUNTA(query(ifna(filter('Data Recording'!E:E,'Data Recording'!D:D=B43),""""), ""Select Col1"")))&gt;=(0.5),""1"",""0""),""-"")"),"0")</f>
        <v>0</v>
      </c>
    </row>
  </sheetData>
  <autoFilter ref="$A$4:$CD$43">
    <sortState ref="A4:CD43">
      <sortCondition descending="1" ref="BU4:BU43"/>
      <sortCondition ref="B4:B43"/>
      <sortCondition descending="1" ref="BV4:BV43"/>
      <sortCondition descending="1" ref="BY4:BY43"/>
      <sortCondition descending="1" ref="BX4:BX43"/>
      <sortCondition ref="BQ4:BQ43"/>
      <sortCondition descending="1" ref="BK4:BK43"/>
      <sortCondition descending="1" ref="BP4:BP43"/>
      <sortCondition descending="1" ref="AI4:AI43"/>
      <sortCondition descending="1" ref="BT4:BT43"/>
      <sortCondition descending="1" ref="C4:C43"/>
      <sortCondition descending="1" ref="BW4:BW43"/>
      <sortCondition descending="1" ref="BS4:BS43"/>
      <sortCondition descending="1" ref="BR4:BR43"/>
      <sortCondition ref="BO4:BO43"/>
    </sortState>
  </autoFilter>
  <mergeCells count="26">
    <mergeCell ref="S2:AG2"/>
    <mergeCell ref="AH2:AI3"/>
    <mergeCell ref="S3:W3"/>
    <mergeCell ref="X3:AB3"/>
    <mergeCell ref="AC3:AG3"/>
    <mergeCell ref="A1:B3"/>
    <mergeCell ref="C1:AI1"/>
    <mergeCell ref="AJ1:BP1"/>
    <mergeCell ref="BR1:BY1"/>
    <mergeCell ref="BZ1:CD3"/>
    <mergeCell ref="D2:R2"/>
    <mergeCell ref="BT2:BY3"/>
    <mergeCell ref="AJ2:AX2"/>
    <mergeCell ref="AY2:BM2"/>
    <mergeCell ref="BN2:BO3"/>
    <mergeCell ref="BR2:BS3"/>
    <mergeCell ref="C2:C3"/>
    <mergeCell ref="D3:H3"/>
    <mergeCell ref="I3:M3"/>
    <mergeCell ref="N3:R3"/>
    <mergeCell ref="AJ3:AN3"/>
    <mergeCell ref="AO3:AS3"/>
    <mergeCell ref="AT3:AX3"/>
    <mergeCell ref="AY3:BC3"/>
    <mergeCell ref="BD3:BH3"/>
    <mergeCell ref="BI3:BM3"/>
  </mergeCells>
  <conditionalFormatting sqref="BT5:BT43">
    <cfRule type="colorScale" priority="1">
      <colorScale>
        <cfvo type="min"/>
        <cfvo type="percentile" val="50"/>
        <cfvo type="max"/>
        <color rgb="FFE67C73"/>
        <color rgb="FFFFC16B"/>
        <color rgb="FF57BB8A"/>
      </colorScale>
    </cfRule>
  </conditionalFormatting>
  <conditionalFormatting sqref="BZ5:CD43">
    <cfRule type="cellIs" dxfId="0" priority="2" operator="equal">
      <formula>1</formula>
    </cfRule>
  </conditionalFormatting>
  <conditionalFormatting sqref="BW5:BW43">
    <cfRule type="colorScale" priority="3">
      <colorScale>
        <cfvo type="percentile" val="0"/>
        <cfvo type="percentile" val="50"/>
        <cfvo type="max"/>
        <color rgb="FFE67C73"/>
        <color rgb="FFFFC16B"/>
        <color rgb="FF57BB8A"/>
      </colorScale>
    </cfRule>
  </conditionalFormatting>
  <conditionalFormatting sqref="BU5:BU4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V5:BV43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4" width="18.88"/>
    <col customWidth="1" min="35" max="35" width="42.13"/>
    <col customWidth="1" min="36" max="41" width="18.88"/>
  </cols>
  <sheetData>
    <row r="1">
      <c r="A1" s="1" t="s">
        <v>0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157</v>
      </c>
      <c r="T1" s="1" t="s">
        <v>158</v>
      </c>
      <c r="U1" s="1" t="s">
        <v>159</v>
      </c>
      <c r="V1" s="1" t="s">
        <v>160</v>
      </c>
      <c r="W1" s="1" t="s">
        <v>161</v>
      </c>
      <c r="X1" s="1" t="s">
        <v>162</v>
      </c>
      <c r="Y1" s="1" t="s">
        <v>163</v>
      </c>
      <c r="Z1" s="1" t="s">
        <v>164</v>
      </c>
      <c r="AA1" s="1" t="s">
        <v>165</v>
      </c>
      <c r="AB1" s="1" t="s">
        <v>166</v>
      </c>
      <c r="AC1" s="1" t="s">
        <v>167</v>
      </c>
      <c r="AD1" s="1" t="s">
        <v>168</v>
      </c>
      <c r="AE1" s="1" t="s">
        <v>170</v>
      </c>
      <c r="AF1" s="1" t="s">
        <v>171</v>
      </c>
      <c r="AG1" s="1" t="s">
        <v>172</v>
      </c>
      <c r="AH1" s="1" t="s">
        <v>173</v>
      </c>
      <c r="AI1" s="1" t="s">
        <v>13</v>
      </c>
      <c r="AJ1" s="2" t="s">
        <v>17</v>
      </c>
      <c r="AK1" s="2" t="s">
        <v>174</v>
      </c>
    </row>
    <row r="2">
      <c r="A2" s="6">
        <v>45012.388078958335</v>
      </c>
      <c r="B2" s="2" t="s">
        <v>25</v>
      </c>
      <c r="C2" s="2">
        <v>4.0</v>
      </c>
      <c r="D2" s="2">
        <v>107.0</v>
      </c>
      <c r="E2" s="2" t="s">
        <v>22</v>
      </c>
      <c r="L2" s="2">
        <v>1.0</v>
      </c>
      <c r="M2" s="2">
        <v>1.0</v>
      </c>
      <c r="R2" s="2" t="s">
        <v>175</v>
      </c>
      <c r="S2" s="2">
        <v>1.0</v>
      </c>
      <c r="T2" s="2">
        <v>1.0</v>
      </c>
      <c r="Y2" s="2">
        <v>1.0</v>
      </c>
      <c r="Z2" s="2">
        <v>1.0</v>
      </c>
      <c r="AE2" s="2" t="s">
        <v>175</v>
      </c>
      <c r="AF2" s="2">
        <v>1.0</v>
      </c>
      <c r="AG2" s="2">
        <v>0.0</v>
      </c>
      <c r="AH2" s="2" t="s">
        <v>22</v>
      </c>
      <c r="AI2" s="2" t="s">
        <v>176</v>
      </c>
      <c r="AJ2" s="82">
        <f t="shared" ref="AJ2:AJ448" si="1">SUM(if(E2="Yes",3),G2*6,I2*4,K2*3,M2*6,O2*4,Q2*3,T2*5,V2*3,X2*2,Z2*5,AB2*3,AD2*2,if(R2="Yes, Engaged",12),if(R2="Yes, Docked",8),if(AE2="Yes, Engaged",10),if(AE2="Yes, Docked",6),if(AE2="Parked",3))</f>
        <v>38</v>
      </c>
      <c r="AK2" s="82">
        <f t="shared" ref="AK2:AK448" si="2">SUM(G2*6,I2*4,K2*3,M2*6,O2*4,Q2*3,T2*5,V2*3,X2*2,Z2*5,AB2*3,AD2*2)</f>
        <v>16</v>
      </c>
    </row>
    <row r="3">
      <c r="A3" s="6">
        <v>45012.39040563657</v>
      </c>
      <c r="B3" s="2" t="s">
        <v>25</v>
      </c>
      <c r="C3" s="2">
        <v>10.0</v>
      </c>
      <c r="D3" s="2">
        <v>107.0</v>
      </c>
      <c r="E3" s="2" t="s">
        <v>34</v>
      </c>
      <c r="L3" s="2">
        <v>1.0</v>
      </c>
      <c r="M3" s="2">
        <v>1.0</v>
      </c>
      <c r="R3" s="2" t="s">
        <v>22</v>
      </c>
      <c r="S3" s="2">
        <v>1.0</v>
      </c>
      <c r="T3" s="2">
        <v>1.0</v>
      </c>
      <c r="W3" s="2">
        <v>2.0</v>
      </c>
      <c r="X3" s="2">
        <v>2.0</v>
      </c>
      <c r="AE3" s="2" t="s">
        <v>177</v>
      </c>
      <c r="AF3" s="2">
        <v>2.0</v>
      </c>
      <c r="AG3" s="2">
        <v>0.0</v>
      </c>
      <c r="AH3" s="2" t="s">
        <v>22</v>
      </c>
      <c r="AJ3" s="82">
        <f t="shared" si="1"/>
        <v>21</v>
      </c>
      <c r="AK3" s="82">
        <f t="shared" si="2"/>
        <v>15</v>
      </c>
    </row>
    <row r="4">
      <c r="A4" s="6">
        <v>45012.39197008102</v>
      </c>
      <c r="B4" s="2" t="s">
        <v>25</v>
      </c>
      <c r="C4" s="2">
        <v>14.0</v>
      </c>
      <c r="D4" s="2">
        <v>107.0</v>
      </c>
      <c r="E4" s="2" t="s">
        <v>22</v>
      </c>
      <c r="L4" s="2">
        <v>1.0</v>
      </c>
      <c r="M4" s="2">
        <v>1.0</v>
      </c>
      <c r="R4" s="2" t="s">
        <v>178</v>
      </c>
      <c r="AC4" s="2">
        <v>7.0</v>
      </c>
      <c r="AD4" s="2">
        <v>7.0</v>
      </c>
      <c r="AE4" s="2" t="s">
        <v>175</v>
      </c>
      <c r="AF4" s="2">
        <v>3.0</v>
      </c>
      <c r="AG4" s="2">
        <v>0.0</v>
      </c>
      <c r="AH4" s="2" t="s">
        <v>22</v>
      </c>
      <c r="AJ4" s="82">
        <f t="shared" si="1"/>
        <v>38</v>
      </c>
      <c r="AK4" s="82">
        <f t="shared" si="2"/>
        <v>20</v>
      </c>
    </row>
    <row r="5">
      <c r="A5" s="6">
        <v>45012.39570537037</v>
      </c>
      <c r="B5" s="2" t="s">
        <v>25</v>
      </c>
      <c r="C5" s="2">
        <v>26.0</v>
      </c>
      <c r="D5" s="2">
        <v>107.0</v>
      </c>
      <c r="E5" s="2" t="s">
        <v>22</v>
      </c>
      <c r="L5" s="2">
        <v>1.0</v>
      </c>
      <c r="M5" s="2">
        <v>1.0</v>
      </c>
      <c r="R5" s="2" t="s">
        <v>175</v>
      </c>
      <c r="S5" s="2">
        <v>2.0</v>
      </c>
      <c r="T5" s="2">
        <v>2.0</v>
      </c>
      <c r="W5" s="2">
        <v>1.0</v>
      </c>
      <c r="X5" s="2">
        <v>1.0</v>
      </c>
      <c r="AC5" s="2">
        <v>2.0</v>
      </c>
      <c r="AD5" s="2">
        <v>2.0</v>
      </c>
      <c r="AE5" s="2" t="s">
        <v>175</v>
      </c>
      <c r="AF5" s="2">
        <v>4.0</v>
      </c>
      <c r="AG5" s="2">
        <v>0.0</v>
      </c>
      <c r="AH5" s="2" t="s">
        <v>22</v>
      </c>
      <c r="AJ5" s="82">
        <f t="shared" si="1"/>
        <v>44</v>
      </c>
      <c r="AK5" s="82">
        <f t="shared" si="2"/>
        <v>22</v>
      </c>
    </row>
    <row r="6">
      <c r="A6" s="6">
        <v>45012.397088831014</v>
      </c>
      <c r="B6" s="2" t="s">
        <v>25</v>
      </c>
      <c r="C6" s="2">
        <v>30.0</v>
      </c>
      <c r="D6" s="2">
        <v>107.0</v>
      </c>
      <c r="E6" s="2" t="s">
        <v>22</v>
      </c>
      <c r="L6" s="2">
        <v>1.0</v>
      </c>
      <c r="M6" s="2">
        <v>1.0</v>
      </c>
      <c r="R6" s="2" t="s">
        <v>22</v>
      </c>
      <c r="S6" s="2">
        <v>2.0</v>
      </c>
      <c r="T6" s="2">
        <v>2.0</v>
      </c>
      <c r="W6" s="2">
        <v>1.0</v>
      </c>
      <c r="AE6" s="2" t="s">
        <v>177</v>
      </c>
      <c r="AF6" s="2">
        <v>2.0</v>
      </c>
      <c r="AG6" s="2">
        <v>0.0</v>
      </c>
      <c r="AH6" s="2" t="s">
        <v>34</v>
      </c>
      <c r="AI6" s="2" t="s">
        <v>179</v>
      </c>
      <c r="AJ6" s="82">
        <f t="shared" si="1"/>
        <v>19</v>
      </c>
      <c r="AK6" s="82">
        <f t="shared" si="2"/>
        <v>16</v>
      </c>
    </row>
    <row r="7">
      <c r="A7" s="6">
        <v>45012.39851363426</v>
      </c>
      <c r="B7" s="2" t="s">
        <v>25</v>
      </c>
      <c r="C7" s="2">
        <v>37.0</v>
      </c>
      <c r="D7" s="2">
        <v>107.0</v>
      </c>
      <c r="E7" s="2" t="s">
        <v>22</v>
      </c>
      <c r="L7" s="2">
        <v>1.0</v>
      </c>
      <c r="M7" s="2">
        <v>1.0</v>
      </c>
      <c r="R7" s="2" t="s">
        <v>175</v>
      </c>
      <c r="S7" s="2">
        <v>1.0</v>
      </c>
      <c r="T7" s="2">
        <v>1.0</v>
      </c>
      <c r="Y7" s="2">
        <v>1.0</v>
      </c>
      <c r="Z7" s="2">
        <v>1.0</v>
      </c>
      <c r="AC7" s="2">
        <v>3.0</v>
      </c>
      <c r="AD7" s="2">
        <v>3.0</v>
      </c>
      <c r="AE7" s="2" t="s">
        <v>175</v>
      </c>
      <c r="AF7" s="2">
        <v>3.0</v>
      </c>
      <c r="AG7" s="2">
        <v>0.0</v>
      </c>
      <c r="AH7" s="2" t="s">
        <v>22</v>
      </c>
      <c r="AI7" s="2" t="s">
        <v>180</v>
      </c>
      <c r="AJ7" s="82">
        <f t="shared" si="1"/>
        <v>44</v>
      </c>
      <c r="AK7" s="82">
        <f t="shared" si="2"/>
        <v>22</v>
      </c>
    </row>
    <row r="8">
      <c r="A8" s="6">
        <v>45012.40292471065</v>
      </c>
      <c r="B8" s="2" t="s">
        <v>25</v>
      </c>
      <c r="C8" s="2">
        <v>43.0</v>
      </c>
      <c r="D8" s="2">
        <v>107.0</v>
      </c>
      <c r="E8" s="2" t="s">
        <v>22</v>
      </c>
      <c r="L8" s="2">
        <v>1.0</v>
      </c>
      <c r="M8" s="2">
        <v>1.0</v>
      </c>
      <c r="R8" s="2" t="s">
        <v>175</v>
      </c>
      <c r="Y8" s="2">
        <v>0.0</v>
      </c>
      <c r="Z8" s="2">
        <v>0.0</v>
      </c>
      <c r="AC8" s="2">
        <v>7.0</v>
      </c>
      <c r="AD8" s="2">
        <v>6.0</v>
      </c>
      <c r="AE8" s="2" t="s">
        <v>175</v>
      </c>
      <c r="AF8" s="2">
        <v>3.0</v>
      </c>
      <c r="AG8" s="2">
        <v>0.0</v>
      </c>
      <c r="AH8" s="2" t="s">
        <v>22</v>
      </c>
      <c r="AJ8" s="82">
        <f t="shared" si="1"/>
        <v>40</v>
      </c>
      <c r="AK8" s="82">
        <f t="shared" si="2"/>
        <v>18</v>
      </c>
    </row>
    <row r="9">
      <c r="A9" s="6">
        <v>45012.40586006944</v>
      </c>
      <c r="B9" s="2" t="s">
        <v>25</v>
      </c>
      <c r="C9" s="2">
        <v>47.0</v>
      </c>
      <c r="D9" s="2">
        <v>107.0</v>
      </c>
      <c r="E9" s="2" t="s">
        <v>22</v>
      </c>
      <c r="L9" s="2">
        <v>1.0</v>
      </c>
      <c r="M9" s="2">
        <v>1.0</v>
      </c>
      <c r="R9" s="2" t="s">
        <v>175</v>
      </c>
      <c r="S9" s="2">
        <v>1.0</v>
      </c>
      <c r="T9" s="2">
        <v>1.0</v>
      </c>
      <c r="AC9" s="2">
        <v>6.0</v>
      </c>
      <c r="AD9" s="2">
        <v>6.0</v>
      </c>
      <c r="AE9" s="2" t="s">
        <v>175</v>
      </c>
      <c r="AF9" s="2">
        <v>3.0</v>
      </c>
      <c r="AG9" s="2">
        <v>0.0</v>
      </c>
      <c r="AH9" s="2" t="s">
        <v>22</v>
      </c>
      <c r="AJ9" s="82">
        <f t="shared" si="1"/>
        <v>45</v>
      </c>
      <c r="AK9" s="82">
        <f t="shared" si="2"/>
        <v>23</v>
      </c>
    </row>
    <row r="10">
      <c r="A10" s="6">
        <v>45012.4076152662</v>
      </c>
      <c r="B10" s="2" t="s">
        <v>25</v>
      </c>
      <c r="C10" s="2">
        <v>55.0</v>
      </c>
      <c r="D10" s="2">
        <v>107.0</v>
      </c>
      <c r="E10" s="2" t="s">
        <v>34</v>
      </c>
      <c r="L10" s="2">
        <v>1.0</v>
      </c>
      <c r="M10" s="2">
        <v>1.0</v>
      </c>
      <c r="R10" s="2" t="s">
        <v>178</v>
      </c>
      <c r="S10" s="2">
        <v>3.0</v>
      </c>
      <c r="T10" s="2">
        <v>3.0</v>
      </c>
      <c r="Y10" s="2">
        <v>0.0</v>
      </c>
      <c r="Z10" s="2">
        <v>0.0</v>
      </c>
      <c r="AC10" s="2">
        <v>3.0</v>
      </c>
      <c r="AD10" s="2">
        <v>2.0</v>
      </c>
      <c r="AE10" s="2" t="s">
        <v>175</v>
      </c>
      <c r="AF10" s="2">
        <v>3.0</v>
      </c>
      <c r="AG10" s="2">
        <v>0.0</v>
      </c>
      <c r="AH10" s="2" t="s">
        <v>22</v>
      </c>
      <c r="AJ10" s="82">
        <f t="shared" si="1"/>
        <v>46</v>
      </c>
      <c r="AK10" s="82">
        <f t="shared" si="2"/>
        <v>25</v>
      </c>
    </row>
    <row r="11">
      <c r="A11" s="6">
        <v>45012.40864934028</v>
      </c>
      <c r="B11" s="2" t="s">
        <v>25</v>
      </c>
      <c r="C11" s="2">
        <v>59.0</v>
      </c>
      <c r="D11" s="2">
        <v>107.0</v>
      </c>
      <c r="E11" s="2" t="s">
        <v>34</v>
      </c>
      <c r="L11" s="2">
        <v>1.0</v>
      </c>
      <c r="M11" s="2">
        <v>1.0</v>
      </c>
      <c r="R11" s="2" t="s">
        <v>22</v>
      </c>
      <c r="S11" s="2">
        <v>2.0</v>
      </c>
      <c r="T11" s="2">
        <v>2.0</v>
      </c>
      <c r="AE11" s="2" t="s">
        <v>177</v>
      </c>
      <c r="AF11" s="2">
        <v>2.0</v>
      </c>
      <c r="AG11" s="2">
        <v>0.0</v>
      </c>
      <c r="AH11" s="2" t="s">
        <v>34</v>
      </c>
      <c r="AI11" s="2" t="s">
        <v>181</v>
      </c>
      <c r="AJ11" s="82">
        <f t="shared" si="1"/>
        <v>22</v>
      </c>
      <c r="AK11" s="82">
        <f t="shared" si="2"/>
        <v>16</v>
      </c>
    </row>
    <row r="12">
      <c r="A12" s="6">
        <v>45012.41184900463</v>
      </c>
      <c r="B12" s="2" t="s">
        <v>25</v>
      </c>
      <c r="C12" s="2">
        <v>66.0</v>
      </c>
      <c r="D12" s="2">
        <v>107.0</v>
      </c>
      <c r="E12" s="2" t="s">
        <v>22</v>
      </c>
      <c r="F12" s="2">
        <v>1.0</v>
      </c>
      <c r="G12" s="2">
        <v>0.0</v>
      </c>
      <c r="R12" s="2" t="s">
        <v>178</v>
      </c>
      <c r="S12" s="2">
        <v>3.0</v>
      </c>
      <c r="T12" s="2">
        <v>2.0</v>
      </c>
      <c r="W12" s="2">
        <v>1.0</v>
      </c>
      <c r="X12" s="2">
        <v>1.0</v>
      </c>
      <c r="Y12" s="2">
        <v>1.0</v>
      </c>
      <c r="Z12" s="2">
        <v>1.0</v>
      </c>
      <c r="AA12" s="2">
        <v>1.0</v>
      </c>
      <c r="AB12" s="2">
        <v>1.0</v>
      </c>
      <c r="AC12" s="2">
        <v>1.0</v>
      </c>
      <c r="AD12" s="2">
        <v>1.0</v>
      </c>
      <c r="AE12" s="2" t="s">
        <v>175</v>
      </c>
      <c r="AF12" s="2">
        <v>2.0</v>
      </c>
      <c r="AG12" s="2">
        <v>0.0</v>
      </c>
      <c r="AH12" s="2" t="s">
        <v>22</v>
      </c>
      <c r="AJ12" s="82">
        <f t="shared" si="1"/>
        <v>40</v>
      </c>
      <c r="AK12" s="82">
        <f t="shared" si="2"/>
        <v>22</v>
      </c>
    </row>
    <row r="13">
      <c r="A13" s="6">
        <v>45012.41325222222</v>
      </c>
      <c r="B13" s="2" t="s">
        <v>25</v>
      </c>
      <c r="C13" s="2">
        <v>73.0</v>
      </c>
      <c r="D13" s="2">
        <v>107.0</v>
      </c>
      <c r="E13" s="2" t="s">
        <v>22</v>
      </c>
      <c r="F13" s="2">
        <v>1.0</v>
      </c>
      <c r="G13" s="2">
        <v>1.0</v>
      </c>
      <c r="R13" s="2" t="s">
        <v>175</v>
      </c>
      <c r="S13" s="2">
        <v>2.0</v>
      </c>
      <c r="T13" s="2">
        <v>2.0</v>
      </c>
      <c r="W13" s="2">
        <v>1.0</v>
      </c>
      <c r="X13" s="2">
        <v>1.0</v>
      </c>
      <c r="Y13" s="2">
        <v>1.0</v>
      </c>
      <c r="Z13" s="2">
        <v>1.0</v>
      </c>
      <c r="AC13" s="2">
        <v>4.0</v>
      </c>
      <c r="AD13" s="2">
        <v>2.0</v>
      </c>
      <c r="AE13" s="2" t="s">
        <v>175</v>
      </c>
      <c r="AF13" s="2">
        <v>3.0</v>
      </c>
      <c r="AG13" s="2">
        <v>0.0</v>
      </c>
      <c r="AH13" s="2" t="s">
        <v>22</v>
      </c>
      <c r="AJ13" s="82">
        <f t="shared" si="1"/>
        <v>49</v>
      </c>
      <c r="AK13" s="82">
        <f t="shared" si="2"/>
        <v>27</v>
      </c>
    </row>
    <row r="14">
      <c r="A14" s="6">
        <v>45012.41492675926</v>
      </c>
      <c r="B14" s="2" t="s">
        <v>25</v>
      </c>
      <c r="C14" s="2" t="s">
        <v>182</v>
      </c>
      <c r="D14" s="2">
        <v>107.0</v>
      </c>
      <c r="E14" s="2" t="s">
        <v>34</v>
      </c>
      <c r="L14" s="2">
        <v>1.0</v>
      </c>
      <c r="M14" s="2">
        <v>1.0</v>
      </c>
      <c r="R14" s="2" t="s">
        <v>22</v>
      </c>
      <c r="S14" s="2">
        <v>1.0</v>
      </c>
      <c r="T14" s="2">
        <v>0.0</v>
      </c>
      <c r="W14" s="2">
        <v>1.0</v>
      </c>
      <c r="X14" s="2">
        <v>1.0</v>
      </c>
      <c r="AC14" s="2">
        <v>4.0</v>
      </c>
      <c r="AD14" s="2">
        <v>4.0</v>
      </c>
      <c r="AE14" s="2" t="s">
        <v>175</v>
      </c>
      <c r="AF14" s="2">
        <v>3.0</v>
      </c>
      <c r="AG14" s="2">
        <v>0.0</v>
      </c>
      <c r="AH14" s="2" t="s">
        <v>22</v>
      </c>
      <c r="AJ14" s="82">
        <f t="shared" si="1"/>
        <v>29</v>
      </c>
      <c r="AK14" s="82">
        <f t="shared" si="2"/>
        <v>16</v>
      </c>
    </row>
    <row r="15">
      <c r="A15" s="6">
        <v>45012.41718737269</v>
      </c>
      <c r="B15" s="2" t="s">
        <v>25</v>
      </c>
      <c r="C15" s="2" t="s">
        <v>183</v>
      </c>
      <c r="D15" s="2">
        <v>107.0</v>
      </c>
      <c r="E15" s="2" t="s">
        <v>34</v>
      </c>
      <c r="L15" s="2">
        <v>1.0</v>
      </c>
      <c r="M15" s="2">
        <v>1.0</v>
      </c>
      <c r="R15" s="2" t="s">
        <v>22</v>
      </c>
      <c r="S15" s="2">
        <v>4.0</v>
      </c>
      <c r="T15" s="2">
        <v>3.0</v>
      </c>
      <c r="W15" s="2">
        <v>1.0</v>
      </c>
      <c r="X15" s="2">
        <v>1.0</v>
      </c>
      <c r="AE15" s="2" t="s">
        <v>175</v>
      </c>
      <c r="AF15" s="2">
        <v>2.0</v>
      </c>
      <c r="AG15" s="2">
        <v>0.0</v>
      </c>
      <c r="AH15" s="2" t="s">
        <v>22</v>
      </c>
      <c r="AJ15" s="82">
        <f t="shared" si="1"/>
        <v>36</v>
      </c>
      <c r="AK15" s="82">
        <f t="shared" si="2"/>
        <v>23</v>
      </c>
    </row>
    <row r="16">
      <c r="A16" s="6">
        <v>45012.41897413194</v>
      </c>
      <c r="B16" s="2" t="s">
        <v>25</v>
      </c>
      <c r="C16" s="2" t="s">
        <v>184</v>
      </c>
      <c r="D16" s="2">
        <v>107.0</v>
      </c>
      <c r="E16" s="2" t="s">
        <v>34</v>
      </c>
      <c r="L16" s="2">
        <v>1.0</v>
      </c>
      <c r="M16" s="2">
        <v>1.0</v>
      </c>
      <c r="R16" s="2" t="s">
        <v>22</v>
      </c>
      <c r="S16" s="2">
        <v>1.0</v>
      </c>
      <c r="T16" s="2">
        <v>0.0</v>
      </c>
      <c r="W16" s="2">
        <v>1.0</v>
      </c>
      <c r="X16" s="2">
        <v>1.0</v>
      </c>
      <c r="Y16" s="2">
        <v>1.0</v>
      </c>
      <c r="Z16" s="2">
        <v>1.0</v>
      </c>
      <c r="AA16" s="2">
        <v>1.0</v>
      </c>
      <c r="AB16" s="2">
        <v>1.0</v>
      </c>
      <c r="AC16" s="2">
        <v>2.0</v>
      </c>
      <c r="AD16" s="2">
        <v>2.0</v>
      </c>
      <c r="AE16" s="2" t="s">
        <v>175</v>
      </c>
      <c r="AF16" s="2">
        <v>3.0</v>
      </c>
      <c r="AG16" s="2">
        <v>0.0</v>
      </c>
      <c r="AH16" s="2" t="s">
        <v>22</v>
      </c>
      <c r="AI16" s="2" t="s">
        <v>185</v>
      </c>
      <c r="AJ16" s="82">
        <f t="shared" si="1"/>
        <v>33</v>
      </c>
      <c r="AK16" s="82">
        <f t="shared" si="2"/>
        <v>20</v>
      </c>
    </row>
    <row r="17">
      <c r="A17" s="6">
        <v>45012.4202937963</v>
      </c>
      <c r="B17" s="2" t="s">
        <v>25</v>
      </c>
      <c r="C17" s="2" t="s">
        <v>186</v>
      </c>
      <c r="D17" s="2">
        <v>107.0</v>
      </c>
      <c r="E17" s="2" t="s">
        <v>34</v>
      </c>
      <c r="L17" s="2">
        <v>1.0</v>
      </c>
      <c r="M17" s="2">
        <v>1.0</v>
      </c>
      <c r="R17" s="2" t="s">
        <v>22</v>
      </c>
      <c r="S17" s="2">
        <v>3.0</v>
      </c>
      <c r="T17" s="2">
        <v>3.0</v>
      </c>
      <c r="Y17" s="2">
        <v>1.0</v>
      </c>
      <c r="Z17" s="2">
        <v>1.0</v>
      </c>
      <c r="AC17" s="2">
        <v>1.0</v>
      </c>
      <c r="AD17" s="2">
        <v>1.0</v>
      </c>
      <c r="AE17" s="2" t="s">
        <v>175</v>
      </c>
      <c r="AF17" s="2">
        <v>3.0</v>
      </c>
      <c r="AG17" s="2">
        <v>0.0</v>
      </c>
      <c r="AH17" s="2" t="s">
        <v>22</v>
      </c>
      <c r="AJ17" s="82">
        <f t="shared" si="1"/>
        <v>41</v>
      </c>
      <c r="AK17" s="82">
        <f t="shared" si="2"/>
        <v>28</v>
      </c>
    </row>
    <row r="18">
      <c r="A18" s="6">
        <v>45012.42179493056</v>
      </c>
      <c r="B18" s="2" t="s">
        <v>25</v>
      </c>
      <c r="C18" s="2" t="s">
        <v>187</v>
      </c>
      <c r="D18" s="2">
        <v>107.0</v>
      </c>
      <c r="E18" s="2" t="s">
        <v>34</v>
      </c>
      <c r="L18" s="2">
        <v>1.0</v>
      </c>
      <c r="M18" s="2">
        <v>1.0</v>
      </c>
      <c r="R18" s="2" t="s">
        <v>22</v>
      </c>
      <c r="S18" s="2">
        <v>2.0</v>
      </c>
      <c r="T18" s="2">
        <v>2.0</v>
      </c>
      <c r="W18" s="2">
        <v>1.0</v>
      </c>
      <c r="X18" s="2">
        <v>1.0</v>
      </c>
      <c r="Y18" s="2">
        <v>1.0</v>
      </c>
      <c r="Z18" s="2">
        <v>1.0</v>
      </c>
      <c r="AC18" s="2">
        <v>1.0</v>
      </c>
      <c r="AD18" s="2">
        <v>1.0</v>
      </c>
      <c r="AE18" s="2" t="s">
        <v>175</v>
      </c>
      <c r="AF18" s="2">
        <v>3.0</v>
      </c>
      <c r="AG18" s="2">
        <v>0.0</v>
      </c>
      <c r="AH18" s="2" t="s">
        <v>22</v>
      </c>
      <c r="AJ18" s="82">
        <f t="shared" si="1"/>
        <v>38</v>
      </c>
      <c r="AK18" s="82">
        <f t="shared" si="2"/>
        <v>25</v>
      </c>
    </row>
    <row r="19">
      <c r="A19" s="6">
        <v>45009.357702650464</v>
      </c>
      <c r="B19" s="2" t="s">
        <v>25</v>
      </c>
      <c r="C19" s="2">
        <v>5.0</v>
      </c>
      <c r="D19" s="2">
        <v>815.0</v>
      </c>
      <c r="E19" s="2" t="s">
        <v>34</v>
      </c>
      <c r="R19" s="2" t="s">
        <v>22</v>
      </c>
      <c r="U19" s="2">
        <v>1.0</v>
      </c>
      <c r="V19" s="2">
        <v>1.0</v>
      </c>
      <c r="AA19" s="2">
        <v>1.0</v>
      </c>
      <c r="AB19" s="2">
        <v>1.0</v>
      </c>
      <c r="AE19" s="2" t="s">
        <v>175</v>
      </c>
      <c r="AF19" s="2">
        <v>2.0</v>
      </c>
      <c r="AG19" s="2">
        <v>0.0</v>
      </c>
      <c r="AH19" s="2" t="s">
        <v>22</v>
      </c>
      <c r="AI19" s="83"/>
      <c r="AJ19" s="82">
        <f t="shared" si="1"/>
        <v>19</v>
      </c>
      <c r="AK19" s="82">
        <f t="shared" si="2"/>
        <v>6</v>
      </c>
    </row>
    <row r="20">
      <c r="A20" s="6">
        <v>45009.35973841435</v>
      </c>
      <c r="B20" s="2" t="s">
        <v>25</v>
      </c>
      <c r="C20" s="2">
        <v>13.0</v>
      </c>
      <c r="D20" s="2">
        <v>815.0</v>
      </c>
      <c r="E20" s="2" t="s">
        <v>34</v>
      </c>
      <c r="F20" s="2">
        <v>1.0</v>
      </c>
      <c r="G20" s="2">
        <v>1.0</v>
      </c>
      <c r="R20" s="2" t="s">
        <v>178</v>
      </c>
      <c r="S20" s="2">
        <v>2.0</v>
      </c>
      <c r="T20" s="2">
        <v>2.0</v>
      </c>
      <c r="AE20" s="2" t="s">
        <v>22</v>
      </c>
      <c r="AF20" s="2">
        <v>3.0</v>
      </c>
      <c r="AG20" s="2">
        <v>0.0</v>
      </c>
      <c r="AH20" s="2" t="s">
        <v>22</v>
      </c>
      <c r="AI20" s="84" t="s">
        <v>188</v>
      </c>
      <c r="AJ20" s="82">
        <f t="shared" si="1"/>
        <v>27</v>
      </c>
      <c r="AK20" s="82">
        <f t="shared" si="2"/>
        <v>16</v>
      </c>
    </row>
    <row r="21">
      <c r="A21" s="6">
        <v>45009.36134462963</v>
      </c>
      <c r="B21" s="2" t="s">
        <v>25</v>
      </c>
      <c r="C21" s="2">
        <v>19.0</v>
      </c>
      <c r="D21" s="2">
        <v>815.0</v>
      </c>
      <c r="E21" s="2" t="s">
        <v>22</v>
      </c>
      <c r="R21" s="2" t="s">
        <v>22</v>
      </c>
      <c r="S21" s="2">
        <v>2.0</v>
      </c>
      <c r="T21" s="2">
        <v>2.0</v>
      </c>
      <c r="W21" s="2">
        <v>2.0</v>
      </c>
      <c r="X21" s="2">
        <v>2.0</v>
      </c>
      <c r="Y21" s="2">
        <v>1.0</v>
      </c>
      <c r="Z21" s="2">
        <v>1.0</v>
      </c>
      <c r="AE21" s="2" t="s">
        <v>175</v>
      </c>
      <c r="AF21" s="2">
        <v>3.0</v>
      </c>
      <c r="AG21" s="2">
        <v>0.0</v>
      </c>
      <c r="AH21" s="2" t="s">
        <v>22</v>
      </c>
      <c r="AI21" s="83"/>
      <c r="AJ21" s="82">
        <f t="shared" si="1"/>
        <v>29</v>
      </c>
      <c r="AK21" s="82">
        <f t="shared" si="2"/>
        <v>19</v>
      </c>
    </row>
    <row r="22">
      <c r="A22" s="6">
        <v>45009.365129074075</v>
      </c>
      <c r="B22" s="2" t="s">
        <v>25</v>
      </c>
      <c r="C22" s="2">
        <v>26.0</v>
      </c>
      <c r="D22" s="2">
        <v>815.0</v>
      </c>
      <c r="E22" s="2" t="s">
        <v>34</v>
      </c>
      <c r="F22" s="2">
        <v>1.0</v>
      </c>
      <c r="G22" s="2">
        <v>1.0</v>
      </c>
      <c r="R22" s="2" t="s">
        <v>175</v>
      </c>
      <c r="S22" s="2">
        <v>1.0</v>
      </c>
      <c r="T22" s="2">
        <v>0.0</v>
      </c>
      <c r="AE22" s="2" t="s">
        <v>175</v>
      </c>
      <c r="AF22" s="2">
        <v>0.0</v>
      </c>
      <c r="AG22" s="2">
        <v>0.0</v>
      </c>
      <c r="AH22" s="2" t="s">
        <v>22</v>
      </c>
      <c r="AI22" s="84" t="s">
        <v>189</v>
      </c>
      <c r="AJ22" s="82">
        <f t="shared" si="1"/>
        <v>31</v>
      </c>
      <c r="AK22" s="82">
        <f t="shared" si="2"/>
        <v>6</v>
      </c>
    </row>
    <row r="23">
      <c r="A23" s="6">
        <v>45009.36766717593</v>
      </c>
      <c r="B23" s="2" t="s">
        <v>25</v>
      </c>
      <c r="C23" s="2">
        <v>31.0</v>
      </c>
      <c r="D23" s="2">
        <v>815.0</v>
      </c>
      <c r="E23" s="2" t="s">
        <v>34</v>
      </c>
      <c r="F23" s="2">
        <v>1.0</v>
      </c>
      <c r="G23" s="2">
        <v>1.0</v>
      </c>
      <c r="R23" s="2" t="s">
        <v>22</v>
      </c>
      <c r="W23" s="2">
        <v>1.0</v>
      </c>
      <c r="X23" s="2">
        <v>1.0</v>
      </c>
      <c r="AC23" s="2">
        <v>2.0</v>
      </c>
      <c r="AD23" s="2">
        <v>2.0</v>
      </c>
      <c r="AE23" s="2" t="s">
        <v>175</v>
      </c>
      <c r="AF23" s="2">
        <v>1.0</v>
      </c>
      <c r="AG23" s="2">
        <v>0.0</v>
      </c>
      <c r="AH23" s="2" t="s">
        <v>22</v>
      </c>
      <c r="AI23" s="84" t="s">
        <v>190</v>
      </c>
      <c r="AJ23" s="82">
        <f t="shared" si="1"/>
        <v>25</v>
      </c>
      <c r="AK23" s="82">
        <f t="shared" si="2"/>
        <v>12</v>
      </c>
    </row>
    <row r="24">
      <c r="A24" s="6">
        <v>45009.37064247685</v>
      </c>
      <c r="B24" s="2" t="s">
        <v>25</v>
      </c>
      <c r="C24" s="2">
        <v>39.0</v>
      </c>
      <c r="D24" s="2">
        <v>815.0</v>
      </c>
      <c r="E24" s="2" t="s">
        <v>34</v>
      </c>
      <c r="F24" s="2">
        <v>1.0</v>
      </c>
      <c r="G24" s="2">
        <v>1.0</v>
      </c>
      <c r="R24" s="2" t="s">
        <v>178</v>
      </c>
      <c r="S24" s="2">
        <v>2.0</v>
      </c>
      <c r="T24" s="2">
        <v>2.0</v>
      </c>
      <c r="Y24" s="2">
        <v>1.0</v>
      </c>
      <c r="Z24" s="2">
        <v>1.0</v>
      </c>
      <c r="AE24" s="2" t="s">
        <v>175</v>
      </c>
      <c r="AF24" s="2">
        <v>2.0</v>
      </c>
      <c r="AG24" s="2">
        <v>0.0</v>
      </c>
      <c r="AH24" s="2" t="s">
        <v>22</v>
      </c>
      <c r="AI24" s="83"/>
      <c r="AJ24" s="82">
        <f t="shared" si="1"/>
        <v>42</v>
      </c>
      <c r="AK24" s="82">
        <f t="shared" si="2"/>
        <v>21</v>
      </c>
    </row>
    <row r="25">
      <c r="A25" s="6">
        <v>45009.37265748843</v>
      </c>
      <c r="B25" s="2" t="s">
        <v>25</v>
      </c>
      <c r="C25" s="2">
        <v>46.0</v>
      </c>
      <c r="D25" s="2">
        <v>815.0</v>
      </c>
      <c r="E25" s="2" t="s">
        <v>22</v>
      </c>
      <c r="R25" s="2" t="s">
        <v>22</v>
      </c>
      <c r="S25" s="2">
        <v>2.0</v>
      </c>
      <c r="T25" s="2">
        <v>2.0</v>
      </c>
      <c r="U25" s="2">
        <v>1.0</v>
      </c>
      <c r="V25" s="2">
        <v>1.0</v>
      </c>
      <c r="Y25" s="2">
        <v>1.0</v>
      </c>
      <c r="Z25" s="2">
        <v>1.0</v>
      </c>
      <c r="AE25" s="2" t="s">
        <v>22</v>
      </c>
      <c r="AF25" s="2">
        <v>2.0</v>
      </c>
      <c r="AG25" s="2">
        <v>0.0</v>
      </c>
      <c r="AH25" s="2" t="s">
        <v>34</v>
      </c>
      <c r="AI25" s="84" t="s">
        <v>191</v>
      </c>
      <c r="AJ25" s="82">
        <f t="shared" si="1"/>
        <v>18</v>
      </c>
      <c r="AK25" s="82">
        <f t="shared" si="2"/>
        <v>18</v>
      </c>
    </row>
    <row r="26">
      <c r="A26" s="6">
        <v>45009.37538131945</v>
      </c>
      <c r="B26" s="2" t="s">
        <v>25</v>
      </c>
      <c r="C26" s="2">
        <v>51.0</v>
      </c>
      <c r="D26" s="2">
        <v>815.0</v>
      </c>
      <c r="E26" s="2" t="s">
        <v>22</v>
      </c>
      <c r="R26" s="2" t="s">
        <v>22</v>
      </c>
      <c r="U26" s="2">
        <v>4.0</v>
      </c>
      <c r="V26" s="2">
        <v>3.0</v>
      </c>
      <c r="W26" s="2">
        <v>1.0</v>
      </c>
      <c r="X26" s="2">
        <v>1.0</v>
      </c>
      <c r="AE26" s="2" t="s">
        <v>175</v>
      </c>
      <c r="AF26" s="2">
        <v>2.0</v>
      </c>
      <c r="AG26" s="2">
        <v>0.0</v>
      </c>
      <c r="AH26" s="2" t="s">
        <v>22</v>
      </c>
      <c r="AI26" s="83"/>
      <c r="AJ26" s="82">
        <f t="shared" si="1"/>
        <v>21</v>
      </c>
      <c r="AK26" s="82">
        <f t="shared" si="2"/>
        <v>11</v>
      </c>
    </row>
    <row r="27">
      <c r="A27" s="6">
        <v>45009.37879844908</v>
      </c>
      <c r="B27" s="2" t="s">
        <v>25</v>
      </c>
      <c r="C27" s="2">
        <v>55.0</v>
      </c>
      <c r="D27" s="2">
        <v>815.0</v>
      </c>
      <c r="E27" s="2" t="s">
        <v>34</v>
      </c>
      <c r="F27" s="2">
        <v>1.0</v>
      </c>
      <c r="G27" s="2">
        <v>1.0</v>
      </c>
      <c r="R27" s="2" t="s">
        <v>22</v>
      </c>
      <c r="S27" s="2">
        <v>3.0</v>
      </c>
      <c r="T27" s="2">
        <v>2.0</v>
      </c>
      <c r="AE27" s="2" t="s">
        <v>177</v>
      </c>
      <c r="AF27" s="2">
        <v>3.0</v>
      </c>
      <c r="AG27" s="2">
        <v>0.0</v>
      </c>
      <c r="AH27" s="2" t="s">
        <v>22</v>
      </c>
      <c r="AI27" s="83"/>
      <c r="AJ27" s="82">
        <f t="shared" si="1"/>
        <v>22</v>
      </c>
      <c r="AK27" s="82">
        <f t="shared" si="2"/>
        <v>16</v>
      </c>
    </row>
    <row r="28">
      <c r="A28" s="6">
        <v>45009.3814147338</v>
      </c>
      <c r="B28" s="2" t="s">
        <v>25</v>
      </c>
      <c r="C28" s="2">
        <v>60.0</v>
      </c>
      <c r="D28" s="2">
        <v>815.0</v>
      </c>
      <c r="E28" s="2" t="s">
        <v>34</v>
      </c>
      <c r="F28" s="2">
        <v>1.0</v>
      </c>
      <c r="G28" s="2">
        <v>1.0</v>
      </c>
      <c r="R28" s="2" t="s">
        <v>178</v>
      </c>
      <c r="S28" s="2">
        <v>2.0</v>
      </c>
      <c r="T28" s="2">
        <v>2.0</v>
      </c>
      <c r="U28" s="2">
        <v>1.0</v>
      </c>
      <c r="V28" s="2">
        <v>1.0</v>
      </c>
      <c r="AE28" s="2" t="s">
        <v>175</v>
      </c>
      <c r="AF28" s="2">
        <v>3.0</v>
      </c>
      <c r="AG28" s="2">
        <v>0.0</v>
      </c>
      <c r="AH28" s="2" t="s">
        <v>22</v>
      </c>
      <c r="AJ28" s="82">
        <f t="shared" si="1"/>
        <v>40</v>
      </c>
      <c r="AK28" s="82">
        <f t="shared" si="2"/>
        <v>19</v>
      </c>
    </row>
    <row r="29">
      <c r="A29" s="6">
        <v>45009.54818488426</v>
      </c>
      <c r="B29" s="2" t="s">
        <v>25</v>
      </c>
      <c r="C29" s="2">
        <v>68.0</v>
      </c>
      <c r="D29" s="2">
        <v>815.0</v>
      </c>
      <c r="E29" s="2" t="s">
        <v>34</v>
      </c>
      <c r="F29" s="2">
        <v>1.0</v>
      </c>
      <c r="G29" s="2">
        <v>1.0</v>
      </c>
      <c r="R29" s="2" t="s">
        <v>175</v>
      </c>
      <c r="W29" s="2">
        <v>2.0</v>
      </c>
      <c r="X29" s="2">
        <v>2.0</v>
      </c>
      <c r="AE29" s="2" t="s">
        <v>175</v>
      </c>
      <c r="AF29" s="2">
        <v>2.0</v>
      </c>
      <c r="AG29" s="2">
        <v>1.0</v>
      </c>
      <c r="AH29" s="2" t="s">
        <v>22</v>
      </c>
      <c r="AI29" s="2" t="s">
        <v>192</v>
      </c>
      <c r="AJ29" s="82">
        <f t="shared" si="1"/>
        <v>35</v>
      </c>
      <c r="AK29" s="82">
        <f t="shared" si="2"/>
        <v>10</v>
      </c>
    </row>
    <row r="30">
      <c r="A30" s="6">
        <v>45009.54986857639</v>
      </c>
      <c r="B30" s="2" t="s">
        <v>25</v>
      </c>
      <c r="C30" s="2">
        <v>73.0</v>
      </c>
      <c r="D30" s="2">
        <v>815.0</v>
      </c>
      <c r="E30" s="2" t="s">
        <v>34</v>
      </c>
      <c r="R30" s="2" t="s">
        <v>175</v>
      </c>
      <c r="U30" s="2">
        <v>1.0</v>
      </c>
      <c r="V30" s="2">
        <v>1.0</v>
      </c>
      <c r="AE30" s="2" t="s">
        <v>22</v>
      </c>
      <c r="AF30" s="2">
        <v>0.0</v>
      </c>
      <c r="AG30" s="2">
        <v>0.0</v>
      </c>
      <c r="AH30" s="2" t="s">
        <v>34</v>
      </c>
      <c r="AI30" s="2" t="s">
        <v>193</v>
      </c>
      <c r="AJ30" s="82">
        <f t="shared" si="1"/>
        <v>18</v>
      </c>
      <c r="AK30" s="82">
        <f t="shared" si="2"/>
        <v>3</v>
      </c>
    </row>
    <row r="31">
      <c r="A31" s="6">
        <v>45009.553795740736</v>
      </c>
      <c r="B31" s="2" t="s">
        <v>25</v>
      </c>
      <c r="C31" s="2" t="s">
        <v>194</v>
      </c>
      <c r="D31" s="2">
        <v>815.0</v>
      </c>
      <c r="E31" s="2" t="s">
        <v>34</v>
      </c>
      <c r="F31" s="2">
        <v>1.0</v>
      </c>
      <c r="G31" s="2">
        <v>1.0</v>
      </c>
      <c r="R31" s="2" t="s">
        <v>22</v>
      </c>
      <c r="S31" s="2">
        <v>3.0</v>
      </c>
      <c r="T31" s="2">
        <v>3.0</v>
      </c>
      <c r="AE31" s="2" t="s">
        <v>22</v>
      </c>
      <c r="AF31" s="2">
        <v>2.0</v>
      </c>
      <c r="AG31" s="2">
        <v>0.0</v>
      </c>
      <c r="AH31" s="2" t="s">
        <v>34</v>
      </c>
      <c r="AI31" s="2" t="s">
        <v>195</v>
      </c>
      <c r="AJ31" s="82">
        <f t="shared" si="1"/>
        <v>24</v>
      </c>
      <c r="AK31" s="82">
        <f t="shared" si="2"/>
        <v>21</v>
      </c>
    </row>
    <row r="32">
      <c r="A32" s="6">
        <v>45009.55646423611</v>
      </c>
      <c r="B32" s="2" t="s">
        <v>25</v>
      </c>
      <c r="C32" s="2" t="s">
        <v>196</v>
      </c>
      <c r="D32" s="2">
        <v>815.0</v>
      </c>
      <c r="E32" s="2" t="s">
        <v>34</v>
      </c>
      <c r="F32" s="2">
        <v>1.0</v>
      </c>
      <c r="G32" s="2">
        <v>1.0</v>
      </c>
      <c r="R32" s="2" t="s">
        <v>22</v>
      </c>
      <c r="S32" s="2">
        <v>4.0</v>
      </c>
      <c r="T32" s="2">
        <v>4.0</v>
      </c>
      <c r="U32" s="2">
        <v>1.0</v>
      </c>
      <c r="V32" s="2">
        <v>1.0</v>
      </c>
      <c r="AE32" s="2" t="s">
        <v>175</v>
      </c>
      <c r="AF32" s="2">
        <v>4.0</v>
      </c>
      <c r="AG32" s="2">
        <v>0.0</v>
      </c>
      <c r="AH32" s="2" t="s">
        <v>22</v>
      </c>
      <c r="AJ32" s="82">
        <f t="shared" si="1"/>
        <v>42</v>
      </c>
      <c r="AK32" s="82">
        <f t="shared" si="2"/>
        <v>29</v>
      </c>
    </row>
    <row r="33">
      <c r="A33" s="6">
        <v>45009.5599218287</v>
      </c>
      <c r="B33" s="2" t="s">
        <v>25</v>
      </c>
      <c r="C33" s="2" t="s">
        <v>197</v>
      </c>
      <c r="D33" s="2">
        <v>815.0</v>
      </c>
      <c r="E33" s="2" t="s">
        <v>34</v>
      </c>
      <c r="F33" s="2">
        <v>1.0</v>
      </c>
      <c r="G33" s="2">
        <v>1.0</v>
      </c>
      <c r="R33" s="2" t="s">
        <v>22</v>
      </c>
      <c r="AE33" s="2" t="s">
        <v>175</v>
      </c>
      <c r="AF33" s="2">
        <v>0.0</v>
      </c>
      <c r="AG33" s="2">
        <v>3.0</v>
      </c>
      <c r="AH33" s="2" t="s">
        <v>34</v>
      </c>
      <c r="AI33" s="2" t="s">
        <v>198</v>
      </c>
      <c r="AJ33" s="82">
        <f t="shared" si="1"/>
        <v>19</v>
      </c>
      <c r="AK33" s="82">
        <f t="shared" si="2"/>
        <v>6</v>
      </c>
    </row>
    <row r="34">
      <c r="A34" s="6">
        <v>44996.7877849537</v>
      </c>
      <c r="B34" s="2" t="s">
        <v>25</v>
      </c>
      <c r="C34" s="2">
        <v>4.0</v>
      </c>
      <c r="D34" s="2">
        <v>862.0</v>
      </c>
      <c r="E34" s="2" t="s">
        <v>22</v>
      </c>
      <c r="L34" s="2">
        <v>1.0</v>
      </c>
      <c r="M34" s="2">
        <v>1.0</v>
      </c>
      <c r="R34" s="2" t="s">
        <v>178</v>
      </c>
      <c r="S34" s="2">
        <v>4.0</v>
      </c>
      <c r="T34" s="2">
        <v>3.0</v>
      </c>
      <c r="W34" s="2">
        <v>2.0</v>
      </c>
      <c r="X34" s="2">
        <v>2.0</v>
      </c>
      <c r="AE34" s="2" t="s">
        <v>177</v>
      </c>
      <c r="AF34" s="2">
        <v>3.0</v>
      </c>
      <c r="AG34" s="2">
        <v>0.0</v>
      </c>
      <c r="AH34" s="2" t="s">
        <v>34</v>
      </c>
      <c r="AI34" s="83"/>
      <c r="AJ34" s="82">
        <f t="shared" si="1"/>
        <v>36</v>
      </c>
      <c r="AK34" s="82">
        <f t="shared" si="2"/>
        <v>25</v>
      </c>
    </row>
    <row r="35">
      <c r="A35" s="6">
        <v>44996.79860375</v>
      </c>
      <c r="B35" s="2" t="s">
        <v>25</v>
      </c>
      <c r="C35" s="2">
        <v>8.0</v>
      </c>
      <c r="D35" s="2">
        <v>862.0</v>
      </c>
      <c r="E35" s="2" t="s">
        <v>22</v>
      </c>
      <c r="L35" s="2">
        <v>1.0</v>
      </c>
      <c r="M35" s="2">
        <v>1.0</v>
      </c>
      <c r="R35" s="2" t="s">
        <v>175</v>
      </c>
      <c r="S35" s="2">
        <v>2.0</v>
      </c>
      <c r="T35" s="2">
        <v>1.0</v>
      </c>
      <c r="W35" s="2">
        <v>1.0</v>
      </c>
      <c r="X35" s="2">
        <v>1.0</v>
      </c>
      <c r="Y35" s="2">
        <v>1.0</v>
      </c>
      <c r="Z35" s="2">
        <v>1.0</v>
      </c>
      <c r="AE35" s="2" t="s">
        <v>22</v>
      </c>
      <c r="AF35" s="2">
        <v>3.0</v>
      </c>
      <c r="AG35" s="2">
        <v>0.0</v>
      </c>
      <c r="AH35" s="2" t="s">
        <v>34</v>
      </c>
      <c r="AI35" s="84" t="s">
        <v>199</v>
      </c>
      <c r="AJ35" s="82">
        <f t="shared" si="1"/>
        <v>30</v>
      </c>
      <c r="AK35" s="82">
        <f t="shared" si="2"/>
        <v>18</v>
      </c>
    </row>
    <row r="36">
      <c r="A36" s="6">
        <v>44996.803366493055</v>
      </c>
      <c r="B36" s="2" t="s">
        <v>25</v>
      </c>
      <c r="C36" s="2">
        <v>14.0</v>
      </c>
      <c r="D36" s="2">
        <v>862.0</v>
      </c>
      <c r="E36" s="2" t="s">
        <v>22</v>
      </c>
      <c r="L36" s="2">
        <v>1.0</v>
      </c>
      <c r="M36" s="2">
        <v>1.0</v>
      </c>
      <c r="R36" s="2" t="s">
        <v>178</v>
      </c>
      <c r="S36" s="2">
        <v>5.0</v>
      </c>
      <c r="T36" s="2">
        <v>5.0</v>
      </c>
      <c r="Y36" s="2">
        <v>2.0</v>
      </c>
      <c r="Z36" s="2">
        <v>2.0</v>
      </c>
      <c r="AE36" s="2" t="s">
        <v>175</v>
      </c>
      <c r="AF36" s="2">
        <v>5.0</v>
      </c>
      <c r="AG36" s="2">
        <v>0.0</v>
      </c>
      <c r="AH36" s="2" t="s">
        <v>22</v>
      </c>
      <c r="AI36" s="83"/>
      <c r="AJ36" s="82">
        <f t="shared" si="1"/>
        <v>59</v>
      </c>
      <c r="AK36" s="82">
        <f t="shared" si="2"/>
        <v>41</v>
      </c>
    </row>
    <row r="37">
      <c r="A37" s="6">
        <v>44996.80838876158</v>
      </c>
      <c r="B37" s="2" t="s">
        <v>25</v>
      </c>
      <c r="C37" s="2">
        <v>20.0</v>
      </c>
      <c r="D37" s="2">
        <v>862.0</v>
      </c>
      <c r="E37" s="2" t="s">
        <v>34</v>
      </c>
      <c r="P37" s="2">
        <v>1.0</v>
      </c>
      <c r="Q37" s="2">
        <v>1.0</v>
      </c>
      <c r="R37" s="2" t="s">
        <v>22</v>
      </c>
      <c r="S37" s="2">
        <v>3.0</v>
      </c>
      <c r="T37" s="2">
        <v>3.0</v>
      </c>
      <c r="Y37" s="2">
        <v>1.0</v>
      </c>
      <c r="Z37" s="2">
        <v>1.0</v>
      </c>
      <c r="AA37" s="2">
        <v>1.0</v>
      </c>
      <c r="AB37" s="2">
        <v>1.0</v>
      </c>
      <c r="AE37" s="2" t="s">
        <v>175</v>
      </c>
      <c r="AF37" s="2">
        <v>4.0</v>
      </c>
      <c r="AG37" s="2">
        <v>0.0</v>
      </c>
      <c r="AH37" s="2" t="s">
        <v>22</v>
      </c>
      <c r="AI37" s="83"/>
      <c r="AJ37" s="82">
        <f t="shared" si="1"/>
        <v>39</v>
      </c>
      <c r="AK37" s="82">
        <f t="shared" si="2"/>
        <v>26</v>
      </c>
    </row>
    <row r="38">
      <c r="A38" s="6">
        <v>44996.82735943287</v>
      </c>
      <c r="B38" s="2" t="s">
        <v>25</v>
      </c>
      <c r="C38" s="2">
        <v>25.0</v>
      </c>
      <c r="D38" s="2">
        <v>862.0</v>
      </c>
      <c r="E38" s="2" t="s">
        <v>22</v>
      </c>
      <c r="P38" s="2">
        <v>1.0</v>
      </c>
      <c r="Q38" s="2">
        <v>1.0</v>
      </c>
      <c r="R38" s="2" t="s">
        <v>178</v>
      </c>
      <c r="W38" s="2">
        <v>3.0</v>
      </c>
      <c r="X38" s="2">
        <v>3.0</v>
      </c>
      <c r="AE38" s="2" t="s">
        <v>177</v>
      </c>
      <c r="AF38" s="2">
        <v>2.0</v>
      </c>
      <c r="AG38" s="2">
        <v>0.0</v>
      </c>
      <c r="AH38" s="2" t="s">
        <v>34</v>
      </c>
      <c r="AI38" s="83"/>
      <c r="AJ38" s="82">
        <f t="shared" si="1"/>
        <v>20</v>
      </c>
      <c r="AK38" s="82">
        <f t="shared" si="2"/>
        <v>9</v>
      </c>
    </row>
    <row r="39">
      <c r="A39" s="6">
        <v>44996.83481664352</v>
      </c>
      <c r="B39" s="2" t="s">
        <v>25</v>
      </c>
      <c r="C39" s="2">
        <v>33.0</v>
      </c>
      <c r="D39" s="2">
        <v>862.0</v>
      </c>
      <c r="E39" s="2" t="s">
        <v>22</v>
      </c>
      <c r="L39" s="2">
        <v>1.0</v>
      </c>
      <c r="M39" s="2">
        <v>1.0</v>
      </c>
      <c r="R39" s="2" t="s">
        <v>175</v>
      </c>
      <c r="S39" s="2">
        <v>2.0</v>
      </c>
      <c r="T39" s="2">
        <v>1.0</v>
      </c>
      <c r="W39" s="2">
        <v>3.0</v>
      </c>
      <c r="X39" s="2">
        <v>3.0</v>
      </c>
      <c r="AE39" s="2" t="s">
        <v>175</v>
      </c>
      <c r="AF39" s="2">
        <v>4.0</v>
      </c>
      <c r="AG39" s="2">
        <v>0.0</v>
      </c>
      <c r="AH39" s="2" t="s">
        <v>22</v>
      </c>
      <c r="AI39" s="84" t="s">
        <v>200</v>
      </c>
      <c r="AJ39" s="82">
        <f t="shared" si="1"/>
        <v>39</v>
      </c>
      <c r="AK39" s="82">
        <f t="shared" si="2"/>
        <v>17</v>
      </c>
    </row>
    <row r="40">
      <c r="A40" s="6">
        <v>44996.842945972225</v>
      </c>
      <c r="B40" s="2" t="s">
        <v>25</v>
      </c>
      <c r="C40" s="2">
        <v>41.0</v>
      </c>
      <c r="D40" s="2">
        <v>862.0</v>
      </c>
      <c r="E40" s="2" t="s">
        <v>22</v>
      </c>
      <c r="L40" s="2">
        <v>1.0</v>
      </c>
      <c r="M40" s="2">
        <v>1.0</v>
      </c>
      <c r="R40" s="2" t="s">
        <v>175</v>
      </c>
      <c r="S40" s="2">
        <v>1.0</v>
      </c>
      <c r="T40" s="2">
        <v>1.0</v>
      </c>
      <c r="AE40" s="2" t="s">
        <v>177</v>
      </c>
      <c r="AF40" s="2">
        <v>1.0</v>
      </c>
      <c r="AG40" s="2">
        <v>3.0</v>
      </c>
      <c r="AH40" s="2" t="s">
        <v>22</v>
      </c>
      <c r="AI40" s="84" t="s">
        <v>201</v>
      </c>
      <c r="AJ40" s="82">
        <f t="shared" si="1"/>
        <v>26</v>
      </c>
      <c r="AK40" s="82">
        <f t="shared" si="2"/>
        <v>11</v>
      </c>
    </row>
    <row r="41">
      <c r="A41" s="6">
        <v>44996.85999164352</v>
      </c>
      <c r="B41" s="2" t="s">
        <v>25</v>
      </c>
      <c r="C41" s="2">
        <v>48.0</v>
      </c>
      <c r="D41" s="2">
        <v>862.0</v>
      </c>
      <c r="E41" s="2" t="s">
        <v>22</v>
      </c>
      <c r="L41" s="2">
        <v>1.0</v>
      </c>
      <c r="M41" s="2">
        <v>1.0</v>
      </c>
      <c r="R41" s="2" t="s">
        <v>22</v>
      </c>
      <c r="AE41" s="2" t="s">
        <v>177</v>
      </c>
      <c r="AF41" s="2">
        <v>1.0</v>
      </c>
      <c r="AG41" s="2">
        <v>0.0</v>
      </c>
      <c r="AH41" s="2" t="s">
        <v>34</v>
      </c>
      <c r="AI41" s="84" t="s">
        <v>202</v>
      </c>
      <c r="AJ41" s="82">
        <f t="shared" si="1"/>
        <v>9</v>
      </c>
      <c r="AK41" s="82">
        <f t="shared" si="2"/>
        <v>6</v>
      </c>
    </row>
    <row r="42">
      <c r="A42" s="6">
        <v>44996.865418912035</v>
      </c>
      <c r="B42" s="2" t="s">
        <v>203</v>
      </c>
      <c r="C42" s="2">
        <v>52.0</v>
      </c>
      <c r="D42" s="2">
        <v>862.0</v>
      </c>
      <c r="E42" s="2" t="s">
        <v>22</v>
      </c>
      <c r="L42" s="2">
        <v>1.0</v>
      </c>
      <c r="M42" s="2">
        <v>1.0</v>
      </c>
      <c r="R42" s="2" t="s">
        <v>175</v>
      </c>
      <c r="S42" s="2">
        <v>4.0</v>
      </c>
      <c r="T42" s="2">
        <v>3.0</v>
      </c>
      <c r="U42" s="2">
        <v>1.0</v>
      </c>
      <c r="V42" s="2">
        <v>1.0</v>
      </c>
      <c r="W42" s="2">
        <v>1.0</v>
      </c>
      <c r="X42" s="2">
        <v>1.0</v>
      </c>
      <c r="AE42" s="2" t="s">
        <v>177</v>
      </c>
      <c r="AF42" s="2">
        <v>4.0</v>
      </c>
      <c r="AG42" s="2">
        <v>0.0</v>
      </c>
      <c r="AH42" s="2" t="s">
        <v>22</v>
      </c>
      <c r="AI42" s="83"/>
      <c r="AJ42" s="82">
        <f t="shared" si="1"/>
        <v>41</v>
      </c>
      <c r="AK42" s="82">
        <f t="shared" si="2"/>
        <v>26</v>
      </c>
    </row>
    <row r="43">
      <c r="A43" s="6">
        <v>44997.44190637732</v>
      </c>
      <c r="B43" s="2" t="s">
        <v>25</v>
      </c>
      <c r="C43" s="2">
        <v>60.0</v>
      </c>
      <c r="D43" s="2">
        <v>862.0</v>
      </c>
      <c r="E43" s="2" t="s">
        <v>34</v>
      </c>
      <c r="P43" s="2">
        <v>1.0</v>
      </c>
      <c r="Q43" s="2">
        <v>1.0</v>
      </c>
      <c r="R43" s="2" t="s">
        <v>22</v>
      </c>
      <c r="S43" s="2">
        <v>3.0</v>
      </c>
      <c r="T43" s="2">
        <v>3.0</v>
      </c>
      <c r="Y43" s="2">
        <v>2.0</v>
      </c>
      <c r="Z43" s="2">
        <v>2.0</v>
      </c>
      <c r="AE43" s="2" t="s">
        <v>175</v>
      </c>
      <c r="AF43" s="2">
        <v>4.0</v>
      </c>
      <c r="AG43" s="2">
        <v>0.0</v>
      </c>
      <c r="AH43" s="2" t="s">
        <v>22</v>
      </c>
      <c r="AI43" s="83"/>
      <c r="AJ43" s="82">
        <f t="shared" si="1"/>
        <v>41</v>
      </c>
      <c r="AK43" s="82">
        <f t="shared" si="2"/>
        <v>28</v>
      </c>
    </row>
    <row r="44">
      <c r="A44" s="6">
        <v>44997.44644020833</v>
      </c>
      <c r="B44" s="2" t="s">
        <v>25</v>
      </c>
      <c r="C44" s="2">
        <v>64.0</v>
      </c>
      <c r="D44" s="2">
        <v>862.0</v>
      </c>
      <c r="E44" s="2" t="s">
        <v>22</v>
      </c>
      <c r="L44" s="2">
        <v>1.0</v>
      </c>
      <c r="M44" s="2">
        <v>1.0</v>
      </c>
      <c r="R44" s="2" t="s">
        <v>175</v>
      </c>
      <c r="S44" s="2">
        <v>5.0</v>
      </c>
      <c r="T44" s="2">
        <v>4.0</v>
      </c>
      <c r="AE44" s="2" t="s">
        <v>175</v>
      </c>
      <c r="AF44" s="2">
        <v>4.0</v>
      </c>
      <c r="AG44" s="2">
        <v>0.0</v>
      </c>
      <c r="AH44" s="2" t="s">
        <v>22</v>
      </c>
      <c r="AI44" s="83"/>
      <c r="AJ44" s="82">
        <f t="shared" si="1"/>
        <v>48</v>
      </c>
      <c r="AK44" s="82">
        <f t="shared" si="2"/>
        <v>26</v>
      </c>
    </row>
    <row r="45">
      <c r="A45" s="6">
        <v>44997.45244907407</v>
      </c>
      <c r="B45" s="2" t="s">
        <v>25</v>
      </c>
      <c r="C45" s="2">
        <v>69.0</v>
      </c>
      <c r="D45" s="2">
        <v>862.0</v>
      </c>
      <c r="E45" s="2" t="s">
        <v>22</v>
      </c>
      <c r="L45" s="2">
        <v>1.0</v>
      </c>
      <c r="M45" s="2">
        <v>1.0</v>
      </c>
      <c r="R45" s="2" t="s">
        <v>175</v>
      </c>
      <c r="S45" s="2">
        <v>4.0</v>
      </c>
      <c r="T45" s="2">
        <v>4.0</v>
      </c>
      <c r="W45" s="2">
        <v>1.0</v>
      </c>
      <c r="X45" s="2">
        <v>1.0</v>
      </c>
      <c r="AE45" s="2" t="s">
        <v>175</v>
      </c>
      <c r="AF45" s="2">
        <v>4.0</v>
      </c>
      <c r="AG45" s="2">
        <v>0.0</v>
      </c>
      <c r="AH45" s="2" t="s">
        <v>22</v>
      </c>
      <c r="AI45" s="83"/>
      <c r="AJ45" s="82">
        <f t="shared" si="1"/>
        <v>50</v>
      </c>
      <c r="AK45" s="82">
        <f t="shared" si="2"/>
        <v>28</v>
      </c>
    </row>
    <row r="46">
      <c r="A46" s="6">
        <v>44997.45775715278</v>
      </c>
      <c r="B46" s="2" t="s">
        <v>25</v>
      </c>
      <c r="C46" s="2" t="s">
        <v>204</v>
      </c>
      <c r="D46" s="2">
        <v>862.0</v>
      </c>
      <c r="E46" s="2" t="s">
        <v>34</v>
      </c>
      <c r="L46" s="2">
        <v>1.0</v>
      </c>
      <c r="M46" s="2">
        <v>1.0</v>
      </c>
      <c r="R46" s="2" t="s">
        <v>22</v>
      </c>
      <c r="S46" s="2">
        <v>3.0</v>
      </c>
      <c r="T46" s="2">
        <v>3.0</v>
      </c>
      <c r="W46" s="2">
        <v>2.0</v>
      </c>
      <c r="X46" s="2">
        <v>2.0</v>
      </c>
      <c r="AE46" s="2" t="s">
        <v>175</v>
      </c>
      <c r="AF46" s="2">
        <v>5.0</v>
      </c>
      <c r="AG46" s="2">
        <v>0.0</v>
      </c>
      <c r="AH46" s="2" t="s">
        <v>22</v>
      </c>
      <c r="AI46" s="83"/>
      <c r="AJ46" s="82">
        <f t="shared" si="1"/>
        <v>38</v>
      </c>
      <c r="AK46" s="82">
        <f t="shared" si="2"/>
        <v>25</v>
      </c>
    </row>
    <row r="47">
      <c r="A47" s="6">
        <v>44997.46156876157</v>
      </c>
      <c r="B47" s="2" t="s">
        <v>25</v>
      </c>
      <c r="C47" s="2" t="s">
        <v>205</v>
      </c>
      <c r="D47" s="2">
        <v>862.0</v>
      </c>
      <c r="E47" s="2" t="s">
        <v>34</v>
      </c>
      <c r="L47" s="2">
        <v>1.0</v>
      </c>
      <c r="M47" s="2">
        <v>1.0</v>
      </c>
      <c r="R47" s="2" t="s">
        <v>22</v>
      </c>
      <c r="S47" s="2">
        <v>4.0</v>
      </c>
      <c r="T47" s="2">
        <v>4.0</v>
      </c>
      <c r="W47" s="2">
        <v>1.0</v>
      </c>
      <c r="X47" s="2">
        <v>1.0</v>
      </c>
      <c r="AE47" s="2" t="s">
        <v>177</v>
      </c>
      <c r="AF47" s="2">
        <v>4.0</v>
      </c>
      <c r="AG47" s="2">
        <v>0.0</v>
      </c>
      <c r="AH47" s="2" t="s">
        <v>22</v>
      </c>
      <c r="AI47" s="83"/>
      <c r="AJ47" s="82">
        <f t="shared" si="1"/>
        <v>34</v>
      </c>
      <c r="AK47" s="82">
        <f t="shared" si="2"/>
        <v>28</v>
      </c>
    </row>
    <row r="48">
      <c r="A48" s="6">
        <v>44997.46372310186</v>
      </c>
      <c r="B48" s="2" t="s">
        <v>25</v>
      </c>
      <c r="C48" s="2" t="s">
        <v>206</v>
      </c>
      <c r="D48" s="2">
        <v>862.0</v>
      </c>
      <c r="E48" s="2" t="s">
        <v>34</v>
      </c>
      <c r="L48" s="2">
        <v>1.0</v>
      </c>
      <c r="M48" s="2">
        <v>1.0</v>
      </c>
      <c r="R48" s="2" t="s">
        <v>22</v>
      </c>
      <c r="S48" s="2">
        <v>5.0</v>
      </c>
      <c r="T48" s="2">
        <v>5.0</v>
      </c>
      <c r="W48" s="2">
        <v>1.0</v>
      </c>
      <c r="X48" s="2">
        <v>1.0</v>
      </c>
      <c r="AE48" s="2" t="s">
        <v>175</v>
      </c>
      <c r="AF48" s="2">
        <v>5.0</v>
      </c>
      <c r="AG48" s="2">
        <v>0.0</v>
      </c>
      <c r="AH48" s="2" t="s">
        <v>22</v>
      </c>
      <c r="AI48" s="83"/>
      <c r="AJ48" s="82">
        <f t="shared" si="1"/>
        <v>46</v>
      </c>
      <c r="AK48" s="82">
        <f t="shared" si="2"/>
        <v>33</v>
      </c>
    </row>
    <row r="49">
      <c r="A49" s="6">
        <v>44997.46770523148</v>
      </c>
      <c r="B49" s="2" t="s">
        <v>25</v>
      </c>
      <c r="C49" s="2" t="s">
        <v>207</v>
      </c>
      <c r="D49" s="2">
        <v>862.0</v>
      </c>
      <c r="E49" s="2" t="s">
        <v>34</v>
      </c>
      <c r="L49" s="2">
        <v>1.0</v>
      </c>
      <c r="M49" s="2">
        <v>1.0</v>
      </c>
      <c r="R49" s="2" t="s">
        <v>22</v>
      </c>
      <c r="S49" s="2">
        <v>5.0</v>
      </c>
      <c r="T49" s="2">
        <v>4.0</v>
      </c>
      <c r="W49" s="2">
        <v>1.0</v>
      </c>
      <c r="X49" s="2">
        <v>1.0</v>
      </c>
      <c r="AE49" s="2" t="s">
        <v>175</v>
      </c>
      <c r="AF49" s="2">
        <v>4.0</v>
      </c>
      <c r="AG49" s="2">
        <v>0.0</v>
      </c>
      <c r="AH49" s="2" t="s">
        <v>22</v>
      </c>
      <c r="AI49" s="83"/>
      <c r="AJ49" s="82">
        <f t="shared" si="1"/>
        <v>41</v>
      </c>
      <c r="AK49" s="82">
        <f t="shared" si="2"/>
        <v>28</v>
      </c>
    </row>
    <row r="50">
      <c r="A50" s="6">
        <v>44997.470047511575</v>
      </c>
      <c r="B50" s="2" t="s">
        <v>25</v>
      </c>
      <c r="C50" s="2" t="s">
        <v>208</v>
      </c>
      <c r="D50" s="2">
        <v>862.0</v>
      </c>
      <c r="E50" s="2" t="s">
        <v>22</v>
      </c>
      <c r="L50" s="2">
        <v>1.0</v>
      </c>
      <c r="M50" s="2">
        <v>1.0</v>
      </c>
      <c r="R50" s="2" t="s">
        <v>175</v>
      </c>
      <c r="S50" s="2">
        <v>4.0</v>
      </c>
      <c r="T50" s="2">
        <v>4.0</v>
      </c>
      <c r="AE50" s="2" t="s">
        <v>175</v>
      </c>
      <c r="AF50" s="2">
        <v>3.0</v>
      </c>
      <c r="AG50" s="2">
        <v>1.0</v>
      </c>
      <c r="AH50" s="2" t="s">
        <v>22</v>
      </c>
      <c r="AI50" s="83"/>
      <c r="AJ50" s="82">
        <f t="shared" si="1"/>
        <v>48</v>
      </c>
      <c r="AK50" s="82">
        <f t="shared" si="2"/>
        <v>26</v>
      </c>
    </row>
    <row r="51">
      <c r="A51" s="6">
        <v>45005.42739096065</v>
      </c>
      <c r="B51" s="2" t="s">
        <v>25</v>
      </c>
      <c r="C51" s="2">
        <v>1.0</v>
      </c>
      <c r="D51" s="2">
        <v>904.0</v>
      </c>
      <c r="E51" s="2" t="s">
        <v>34</v>
      </c>
      <c r="R51" s="2" t="s">
        <v>22</v>
      </c>
      <c r="W51" s="2">
        <v>1.0</v>
      </c>
      <c r="X51" s="2">
        <v>1.0</v>
      </c>
      <c r="Y51" s="2">
        <v>1.0</v>
      </c>
      <c r="Z51" s="2">
        <v>1.0</v>
      </c>
      <c r="AE51" s="2" t="s">
        <v>177</v>
      </c>
      <c r="AF51" s="2">
        <v>1.0</v>
      </c>
      <c r="AG51" s="2">
        <v>0.0</v>
      </c>
      <c r="AH51" s="2" t="s">
        <v>22</v>
      </c>
      <c r="AI51" s="84" t="s">
        <v>209</v>
      </c>
      <c r="AJ51" s="82">
        <f t="shared" si="1"/>
        <v>13</v>
      </c>
      <c r="AK51" s="82">
        <f t="shared" si="2"/>
        <v>7</v>
      </c>
    </row>
    <row r="52">
      <c r="A52" s="6">
        <v>45005.42879144676</v>
      </c>
      <c r="B52" s="2" t="s">
        <v>25</v>
      </c>
      <c r="C52" s="2">
        <v>12.0</v>
      </c>
      <c r="D52" s="2">
        <v>904.0</v>
      </c>
      <c r="E52" s="2" t="s">
        <v>34</v>
      </c>
      <c r="R52" s="2" t="s">
        <v>22</v>
      </c>
      <c r="U52" s="2">
        <v>1.0</v>
      </c>
      <c r="V52" s="2">
        <v>0.0</v>
      </c>
      <c r="W52" s="2">
        <v>2.0</v>
      </c>
      <c r="X52" s="2">
        <v>2.0</v>
      </c>
      <c r="AC52" s="2">
        <v>1.0</v>
      </c>
      <c r="AD52" s="2">
        <v>1.0</v>
      </c>
      <c r="AE52" s="2" t="s">
        <v>177</v>
      </c>
      <c r="AF52" s="2">
        <v>2.0</v>
      </c>
      <c r="AG52" s="2">
        <v>0.0</v>
      </c>
      <c r="AH52" s="2" t="s">
        <v>22</v>
      </c>
      <c r="AI52" s="84" t="s">
        <v>210</v>
      </c>
      <c r="AJ52" s="82">
        <f t="shared" si="1"/>
        <v>12</v>
      </c>
      <c r="AK52" s="82">
        <f t="shared" si="2"/>
        <v>6</v>
      </c>
    </row>
    <row r="53">
      <c r="A53" s="6">
        <v>45005.431174074074</v>
      </c>
      <c r="B53" s="2" t="s">
        <v>25</v>
      </c>
      <c r="C53" s="2">
        <v>62.0</v>
      </c>
      <c r="D53" s="2">
        <v>904.0</v>
      </c>
      <c r="E53" s="2" t="s">
        <v>34</v>
      </c>
      <c r="R53" s="2" t="s">
        <v>22</v>
      </c>
      <c r="W53" s="2">
        <v>1.0</v>
      </c>
      <c r="X53" s="2">
        <v>1.0</v>
      </c>
      <c r="AA53" s="2">
        <v>1.0</v>
      </c>
      <c r="AB53" s="2">
        <v>1.0</v>
      </c>
      <c r="AE53" s="2" t="s">
        <v>175</v>
      </c>
      <c r="AF53" s="2">
        <v>1.0</v>
      </c>
      <c r="AG53" s="2">
        <v>0.0</v>
      </c>
      <c r="AH53" s="2" t="s">
        <v>22</v>
      </c>
      <c r="AI53" s="83"/>
      <c r="AJ53" s="82">
        <f t="shared" si="1"/>
        <v>18</v>
      </c>
      <c r="AK53" s="82">
        <f t="shared" si="2"/>
        <v>5</v>
      </c>
    </row>
    <row r="54">
      <c r="A54" s="6">
        <v>45005.43321752315</v>
      </c>
      <c r="B54" s="2" t="s">
        <v>25</v>
      </c>
      <c r="C54" s="2" t="s">
        <v>194</v>
      </c>
      <c r="D54" s="2">
        <v>904.0</v>
      </c>
      <c r="E54" s="2" t="s">
        <v>34</v>
      </c>
      <c r="J54" s="2">
        <v>1.0</v>
      </c>
      <c r="K54" s="2">
        <v>1.0</v>
      </c>
      <c r="R54" s="2" t="s">
        <v>22</v>
      </c>
      <c r="AC54" s="2">
        <v>2.0</v>
      </c>
      <c r="AD54" s="2">
        <v>2.0</v>
      </c>
      <c r="AE54" s="2" t="s">
        <v>177</v>
      </c>
      <c r="AF54" s="2">
        <v>2.0</v>
      </c>
      <c r="AG54" s="2">
        <v>0.0</v>
      </c>
      <c r="AH54" s="2" t="s">
        <v>22</v>
      </c>
      <c r="AI54" s="83"/>
      <c r="AJ54" s="82">
        <f t="shared" si="1"/>
        <v>13</v>
      </c>
      <c r="AK54" s="82">
        <f t="shared" si="2"/>
        <v>7</v>
      </c>
    </row>
    <row r="55">
      <c r="A55" s="6">
        <v>45005.435174375</v>
      </c>
      <c r="B55" s="2" t="s">
        <v>25</v>
      </c>
      <c r="C55" s="2" t="s">
        <v>211</v>
      </c>
      <c r="D55" s="2">
        <v>904.0</v>
      </c>
      <c r="E55" s="2" t="s">
        <v>34</v>
      </c>
      <c r="J55" s="2">
        <v>1.0</v>
      </c>
      <c r="K55" s="2">
        <v>1.0</v>
      </c>
      <c r="R55" s="2" t="s">
        <v>22</v>
      </c>
      <c r="W55" s="2">
        <v>1.0</v>
      </c>
      <c r="X55" s="2">
        <v>0.0</v>
      </c>
      <c r="AC55" s="2">
        <v>3.0</v>
      </c>
      <c r="AD55" s="2">
        <v>1.0</v>
      </c>
      <c r="AE55" s="2" t="s">
        <v>177</v>
      </c>
      <c r="AF55" s="2">
        <v>2.0</v>
      </c>
      <c r="AG55" s="2">
        <v>0.0</v>
      </c>
      <c r="AH55" s="2" t="s">
        <v>22</v>
      </c>
      <c r="AI55" s="83"/>
      <c r="AJ55" s="82">
        <f t="shared" si="1"/>
        <v>11</v>
      </c>
      <c r="AK55" s="82">
        <f t="shared" si="2"/>
        <v>5</v>
      </c>
    </row>
    <row r="56">
      <c r="A56" s="6">
        <v>45005.437131377315</v>
      </c>
      <c r="B56" s="2" t="s">
        <v>25</v>
      </c>
      <c r="C56" s="2" t="s">
        <v>206</v>
      </c>
      <c r="D56" s="2">
        <v>904.0</v>
      </c>
      <c r="E56" s="2" t="s">
        <v>34</v>
      </c>
      <c r="J56" s="2">
        <v>1.0</v>
      </c>
      <c r="K56" s="2">
        <v>1.0</v>
      </c>
      <c r="R56" s="2" t="s">
        <v>22</v>
      </c>
      <c r="W56" s="2">
        <v>1.0</v>
      </c>
      <c r="X56" s="2">
        <v>1.0</v>
      </c>
      <c r="AC56" s="2">
        <v>2.0</v>
      </c>
      <c r="AD56" s="2">
        <v>2.0</v>
      </c>
      <c r="AE56" s="2" t="s">
        <v>22</v>
      </c>
      <c r="AF56" s="2">
        <v>2.0</v>
      </c>
      <c r="AG56" s="2">
        <v>0.0</v>
      </c>
      <c r="AH56" s="2" t="s">
        <v>22</v>
      </c>
      <c r="AI56" s="84" t="s">
        <v>212</v>
      </c>
      <c r="AJ56" s="82">
        <f t="shared" si="1"/>
        <v>12</v>
      </c>
      <c r="AK56" s="82">
        <f t="shared" si="2"/>
        <v>9</v>
      </c>
    </row>
    <row r="57">
      <c r="A57" s="6">
        <v>45005.43901041667</v>
      </c>
      <c r="B57" s="2" t="s">
        <v>25</v>
      </c>
      <c r="C57" s="2" t="s">
        <v>207</v>
      </c>
      <c r="D57" s="2">
        <v>904.0</v>
      </c>
      <c r="E57" s="2" t="s">
        <v>34</v>
      </c>
      <c r="J57" s="2">
        <v>1.0</v>
      </c>
      <c r="K57" s="2">
        <v>1.0</v>
      </c>
      <c r="R57" s="2" t="s">
        <v>22</v>
      </c>
      <c r="W57" s="2">
        <v>1.0</v>
      </c>
      <c r="X57" s="2">
        <v>1.0</v>
      </c>
      <c r="AC57" s="2">
        <v>1.0</v>
      </c>
      <c r="AD57" s="2">
        <v>1.0</v>
      </c>
      <c r="AE57" s="2" t="s">
        <v>177</v>
      </c>
      <c r="AF57" s="2">
        <v>1.0</v>
      </c>
      <c r="AG57" s="2">
        <v>0.0</v>
      </c>
      <c r="AH57" s="2" t="s">
        <v>22</v>
      </c>
      <c r="AI57" s="84" t="s">
        <v>213</v>
      </c>
      <c r="AJ57" s="82">
        <f t="shared" si="1"/>
        <v>13</v>
      </c>
      <c r="AK57" s="82">
        <f t="shared" si="2"/>
        <v>7</v>
      </c>
    </row>
    <row r="58">
      <c r="A58" s="6">
        <v>45005.44128935185</v>
      </c>
      <c r="B58" s="2" t="s">
        <v>25</v>
      </c>
      <c r="C58" s="2" t="s">
        <v>208</v>
      </c>
      <c r="D58" s="2">
        <v>904.0</v>
      </c>
      <c r="E58" s="2" t="s">
        <v>34</v>
      </c>
      <c r="J58" s="2">
        <v>1.0</v>
      </c>
      <c r="K58" s="2">
        <v>1.0</v>
      </c>
      <c r="R58" s="2" t="s">
        <v>22</v>
      </c>
      <c r="W58" s="2">
        <v>1.0</v>
      </c>
      <c r="X58" s="2">
        <v>1.0</v>
      </c>
      <c r="AE58" s="2" t="s">
        <v>175</v>
      </c>
      <c r="AF58" s="2">
        <v>0.0</v>
      </c>
      <c r="AG58" s="2">
        <v>1.0</v>
      </c>
      <c r="AH58" s="2" t="s">
        <v>22</v>
      </c>
      <c r="AI58" s="83"/>
      <c r="AJ58" s="82">
        <f t="shared" si="1"/>
        <v>18</v>
      </c>
      <c r="AK58" s="82">
        <f t="shared" si="2"/>
        <v>5</v>
      </c>
    </row>
    <row r="59">
      <c r="A59" s="6">
        <v>44996.573996817126</v>
      </c>
      <c r="B59" s="2" t="s">
        <v>60</v>
      </c>
      <c r="C59" s="2">
        <v>3.0</v>
      </c>
      <c r="D59" s="2">
        <v>1076.0</v>
      </c>
      <c r="E59" s="2" t="s">
        <v>22</v>
      </c>
      <c r="R59" s="2" t="s">
        <v>22</v>
      </c>
      <c r="AE59" s="2" t="s">
        <v>175</v>
      </c>
      <c r="AF59" s="2">
        <v>1.0</v>
      </c>
      <c r="AG59" s="2">
        <v>0.0</v>
      </c>
      <c r="AH59" s="2" t="s">
        <v>22</v>
      </c>
      <c r="AI59" s="84" t="s">
        <v>214</v>
      </c>
      <c r="AJ59" s="82">
        <f t="shared" si="1"/>
        <v>10</v>
      </c>
      <c r="AK59" s="82">
        <f t="shared" si="2"/>
        <v>0</v>
      </c>
    </row>
    <row r="60">
      <c r="A60" s="6">
        <v>44996.57653327547</v>
      </c>
      <c r="B60" s="2" t="s">
        <v>60</v>
      </c>
      <c r="C60" s="2">
        <v>9.0</v>
      </c>
      <c r="D60" s="2">
        <v>1076.0</v>
      </c>
      <c r="E60" s="2" t="s">
        <v>34</v>
      </c>
      <c r="R60" s="2" t="s">
        <v>22</v>
      </c>
      <c r="S60" s="2">
        <v>1.0</v>
      </c>
      <c r="AE60" s="2" t="s">
        <v>175</v>
      </c>
      <c r="AF60" s="2">
        <v>2.0</v>
      </c>
      <c r="AG60" s="2">
        <v>0.0</v>
      </c>
      <c r="AH60" s="2" t="s">
        <v>22</v>
      </c>
      <c r="AI60" s="83"/>
      <c r="AJ60" s="82">
        <f t="shared" si="1"/>
        <v>13</v>
      </c>
      <c r="AK60" s="82">
        <f t="shared" si="2"/>
        <v>0</v>
      </c>
    </row>
    <row r="61">
      <c r="A61" s="6">
        <v>44996.57868856481</v>
      </c>
      <c r="B61" s="2" t="s">
        <v>60</v>
      </c>
      <c r="C61" s="2">
        <v>20.0</v>
      </c>
      <c r="D61" s="2">
        <v>1076.0</v>
      </c>
      <c r="E61" s="2" t="s">
        <v>34</v>
      </c>
      <c r="H61" s="2">
        <v>1.0</v>
      </c>
      <c r="I61" s="2">
        <v>1.0</v>
      </c>
      <c r="R61" s="2" t="s">
        <v>22</v>
      </c>
      <c r="S61" s="2">
        <v>1.0</v>
      </c>
      <c r="AE61" s="2" t="s">
        <v>175</v>
      </c>
      <c r="AF61" s="2">
        <v>1.0</v>
      </c>
      <c r="AG61" s="2">
        <v>0.0</v>
      </c>
      <c r="AH61" s="2" t="s">
        <v>22</v>
      </c>
      <c r="AI61" s="83"/>
      <c r="AJ61" s="82">
        <f t="shared" si="1"/>
        <v>17</v>
      </c>
      <c r="AK61" s="82">
        <f t="shared" si="2"/>
        <v>4</v>
      </c>
    </row>
    <row r="62">
      <c r="A62" s="6">
        <v>44996.58176894676</v>
      </c>
      <c r="B62" s="2" t="s">
        <v>60</v>
      </c>
      <c r="C62" s="2">
        <v>24.0</v>
      </c>
      <c r="D62" s="2">
        <v>1076.0</v>
      </c>
      <c r="E62" s="2" t="s">
        <v>22</v>
      </c>
      <c r="R62" s="2" t="s">
        <v>22</v>
      </c>
      <c r="U62" s="2">
        <v>1.0</v>
      </c>
      <c r="AE62" s="2" t="s">
        <v>175</v>
      </c>
      <c r="AF62" s="2">
        <v>1.0</v>
      </c>
      <c r="AG62" s="2">
        <v>0.0</v>
      </c>
      <c r="AH62" s="2" t="s">
        <v>22</v>
      </c>
      <c r="AI62" s="84" t="s">
        <v>215</v>
      </c>
      <c r="AJ62" s="82">
        <f t="shared" si="1"/>
        <v>10</v>
      </c>
      <c r="AK62" s="82">
        <f t="shared" si="2"/>
        <v>0</v>
      </c>
    </row>
    <row r="63">
      <c r="A63" s="6">
        <v>44996.584297256944</v>
      </c>
      <c r="B63" s="2" t="s">
        <v>60</v>
      </c>
      <c r="C63" s="2">
        <v>31.0</v>
      </c>
      <c r="D63" s="2">
        <v>1076.0</v>
      </c>
      <c r="E63" s="2" t="s">
        <v>34</v>
      </c>
      <c r="R63" s="2" t="s">
        <v>22</v>
      </c>
      <c r="AE63" s="2" t="s">
        <v>178</v>
      </c>
      <c r="AF63" s="2">
        <v>1.0</v>
      </c>
      <c r="AG63" s="2">
        <v>0.0</v>
      </c>
      <c r="AH63" s="2" t="s">
        <v>22</v>
      </c>
      <c r="AI63" s="84" t="s">
        <v>216</v>
      </c>
      <c r="AJ63" s="82">
        <f t="shared" si="1"/>
        <v>9</v>
      </c>
      <c r="AK63" s="82">
        <f t="shared" si="2"/>
        <v>0</v>
      </c>
    </row>
    <row r="64">
      <c r="A64" s="6">
        <v>44996.5870955787</v>
      </c>
      <c r="B64" s="2" t="s">
        <v>60</v>
      </c>
      <c r="C64" s="2">
        <v>39.0</v>
      </c>
      <c r="D64" s="2">
        <v>1076.0</v>
      </c>
      <c r="E64" s="2" t="s">
        <v>34</v>
      </c>
      <c r="H64" s="2">
        <v>1.0</v>
      </c>
      <c r="I64" s="2">
        <v>1.0</v>
      </c>
      <c r="R64" s="2" t="s">
        <v>22</v>
      </c>
      <c r="AE64" s="2" t="s">
        <v>175</v>
      </c>
      <c r="AF64" s="2">
        <v>0.0</v>
      </c>
      <c r="AG64" s="2">
        <v>0.0</v>
      </c>
      <c r="AH64" s="2" t="s">
        <v>22</v>
      </c>
      <c r="AI64" s="84" t="s">
        <v>217</v>
      </c>
      <c r="AJ64" s="82">
        <f t="shared" si="1"/>
        <v>17</v>
      </c>
      <c r="AK64" s="82">
        <f t="shared" si="2"/>
        <v>4</v>
      </c>
    </row>
    <row r="65">
      <c r="A65" s="6">
        <v>44996.590161064814</v>
      </c>
      <c r="B65" s="2" t="s">
        <v>60</v>
      </c>
      <c r="C65" s="2">
        <v>44.0</v>
      </c>
      <c r="D65" s="2">
        <v>1076.0</v>
      </c>
      <c r="E65" s="2" t="s">
        <v>34</v>
      </c>
      <c r="H65" s="2">
        <v>1.0</v>
      </c>
      <c r="R65" s="2" t="s">
        <v>22</v>
      </c>
      <c r="W65" s="2">
        <v>1.0</v>
      </c>
      <c r="AE65" s="2" t="s">
        <v>175</v>
      </c>
      <c r="AF65" s="2">
        <v>0.0</v>
      </c>
      <c r="AG65" s="2">
        <v>0.0</v>
      </c>
      <c r="AH65" s="2" t="s">
        <v>22</v>
      </c>
      <c r="AI65" s="83"/>
      <c r="AJ65" s="82">
        <f t="shared" si="1"/>
        <v>13</v>
      </c>
      <c r="AK65" s="82">
        <f t="shared" si="2"/>
        <v>0</v>
      </c>
    </row>
    <row r="66">
      <c r="A66" s="6">
        <v>44996.59213568287</v>
      </c>
      <c r="B66" s="2" t="s">
        <v>60</v>
      </c>
      <c r="C66" s="2">
        <v>48.0</v>
      </c>
      <c r="D66" s="2">
        <v>1076.0</v>
      </c>
      <c r="E66" s="2" t="s">
        <v>22</v>
      </c>
      <c r="H66" s="2">
        <v>1.0</v>
      </c>
      <c r="I66" s="2">
        <v>1.0</v>
      </c>
      <c r="R66" s="2" t="s">
        <v>22</v>
      </c>
      <c r="W66" s="2">
        <v>1.0</v>
      </c>
      <c r="X66" s="2">
        <v>0.0</v>
      </c>
      <c r="AE66" s="2" t="s">
        <v>175</v>
      </c>
      <c r="AF66" s="2">
        <v>1.0</v>
      </c>
      <c r="AG66" s="2">
        <v>0.0</v>
      </c>
      <c r="AH66" s="2" t="s">
        <v>22</v>
      </c>
      <c r="AI66" s="83"/>
      <c r="AJ66" s="82">
        <f t="shared" si="1"/>
        <v>14</v>
      </c>
      <c r="AK66" s="82">
        <f t="shared" si="2"/>
        <v>4</v>
      </c>
    </row>
    <row r="67">
      <c r="A67" s="6">
        <v>44996.65558258102</v>
      </c>
      <c r="B67" s="2" t="s">
        <v>60</v>
      </c>
      <c r="C67" s="2">
        <v>55.0</v>
      </c>
      <c r="D67" s="2">
        <v>1076.0</v>
      </c>
      <c r="E67" s="2" t="s">
        <v>22</v>
      </c>
      <c r="R67" s="2" t="s">
        <v>22</v>
      </c>
      <c r="U67" s="2">
        <v>1.0</v>
      </c>
      <c r="W67" s="2">
        <v>1.0</v>
      </c>
      <c r="X67" s="2">
        <v>1.0</v>
      </c>
      <c r="AC67" s="2">
        <v>1.0</v>
      </c>
      <c r="AD67" s="2">
        <v>1.0</v>
      </c>
      <c r="AE67" s="2" t="s">
        <v>178</v>
      </c>
      <c r="AF67" s="2">
        <v>1.0</v>
      </c>
      <c r="AG67" s="2">
        <v>0.0</v>
      </c>
      <c r="AH67" s="2" t="s">
        <v>22</v>
      </c>
      <c r="AI67" s="83"/>
      <c r="AJ67" s="82">
        <f t="shared" si="1"/>
        <v>10</v>
      </c>
      <c r="AK67" s="82">
        <f t="shared" si="2"/>
        <v>4</v>
      </c>
    </row>
    <row r="68">
      <c r="A68" s="6">
        <v>44996.65734716435</v>
      </c>
      <c r="B68" s="2" t="s">
        <v>60</v>
      </c>
      <c r="C68" s="2">
        <v>62.0</v>
      </c>
      <c r="D68" s="2">
        <v>1076.0</v>
      </c>
      <c r="E68" s="2" t="s">
        <v>22</v>
      </c>
      <c r="R68" s="2" t="s">
        <v>22</v>
      </c>
      <c r="AE68" s="2" t="s">
        <v>175</v>
      </c>
      <c r="AF68" s="2">
        <v>0.0</v>
      </c>
      <c r="AG68" s="2">
        <v>0.0</v>
      </c>
      <c r="AH68" s="2" t="s">
        <v>34</v>
      </c>
      <c r="AI68" s="83"/>
      <c r="AJ68" s="82">
        <f t="shared" si="1"/>
        <v>10</v>
      </c>
      <c r="AK68" s="82">
        <f t="shared" si="2"/>
        <v>0</v>
      </c>
    </row>
    <row r="69">
      <c r="A69" s="6">
        <v>44996.65945871528</v>
      </c>
      <c r="B69" s="2" t="s">
        <v>60</v>
      </c>
      <c r="C69" s="2">
        <v>66.0</v>
      </c>
      <c r="D69" s="2">
        <v>1076.0</v>
      </c>
      <c r="E69" s="2" t="s">
        <v>22</v>
      </c>
      <c r="R69" s="2" t="s">
        <v>22</v>
      </c>
      <c r="U69" s="2">
        <v>1.0</v>
      </c>
      <c r="V69" s="2">
        <v>0.0</v>
      </c>
      <c r="W69" s="2">
        <v>1.0</v>
      </c>
      <c r="X69" s="2">
        <v>1.0</v>
      </c>
      <c r="AE69" s="2" t="s">
        <v>175</v>
      </c>
      <c r="AF69" s="2">
        <v>1.0</v>
      </c>
      <c r="AG69" s="2">
        <v>0.0</v>
      </c>
      <c r="AH69" s="2" t="s">
        <v>22</v>
      </c>
      <c r="AI69" s="84" t="s">
        <v>218</v>
      </c>
      <c r="AJ69" s="82">
        <f t="shared" si="1"/>
        <v>12</v>
      </c>
      <c r="AK69" s="82">
        <f t="shared" si="2"/>
        <v>2</v>
      </c>
    </row>
    <row r="70">
      <c r="A70" s="6">
        <v>44996.66249304399</v>
      </c>
      <c r="B70" s="2" t="s">
        <v>60</v>
      </c>
      <c r="C70" s="2">
        <v>72.0</v>
      </c>
      <c r="D70" s="2">
        <v>1076.0</v>
      </c>
      <c r="E70" s="2" t="s">
        <v>22</v>
      </c>
      <c r="R70" s="2" t="s">
        <v>22</v>
      </c>
      <c r="U70" s="2">
        <v>1.0</v>
      </c>
      <c r="V70" s="2">
        <v>0.0</v>
      </c>
      <c r="AE70" s="2" t="s">
        <v>175</v>
      </c>
      <c r="AF70" s="2">
        <v>1.0</v>
      </c>
      <c r="AG70" s="2">
        <v>0.0</v>
      </c>
      <c r="AH70" s="2" t="s">
        <v>22</v>
      </c>
      <c r="AI70" s="83"/>
      <c r="AJ70" s="82">
        <f t="shared" si="1"/>
        <v>10</v>
      </c>
      <c r="AK70" s="82">
        <f t="shared" si="2"/>
        <v>0</v>
      </c>
    </row>
    <row r="71">
      <c r="A71" s="6">
        <v>44996.55981688657</v>
      </c>
      <c r="B71" s="2" t="s">
        <v>27</v>
      </c>
      <c r="C71" s="2">
        <v>6.0</v>
      </c>
      <c r="D71" s="2">
        <v>1502.0</v>
      </c>
      <c r="E71" s="2" t="s">
        <v>34</v>
      </c>
      <c r="R71" s="2" t="s">
        <v>22</v>
      </c>
      <c r="AE71" s="2" t="s">
        <v>22</v>
      </c>
      <c r="AF71" s="2">
        <v>1.0</v>
      </c>
      <c r="AG71" s="2">
        <v>1.0</v>
      </c>
      <c r="AH71" s="2" t="s">
        <v>34</v>
      </c>
      <c r="AI71" s="84" t="s">
        <v>219</v>
      </c>
      <c r="AJ71" s="82">
        <f t="shared" si="1"/>
        <v>3</v>
      </c>
      <c r="AK71" s="82">
        <f t="shared" si="2"/>
        <v>0</v>
      </c>
    </row>
    <row r="72">
      <c r="A72" s="6">
        <v>44996.56202730324</v>
      </c>
      <c r="B72" s="2" t="s">
        <v>27</v>
      </c>
      <c r="C72" s="2">
        <v>11.0</v>
      </c>
      <c r="D72" s="2">
        <v>1502.0</v>
      </c>
      <c r="E72" s="2" t="s">
        <v>22</v>
      </c>
      <c r="P72" s="2">
        <v>1.0</v>
      </c>
      <c r="Q72" s="2">
        <v>0.0</v>
      </c>
      <c r="R72" s="2" t="s">
        <v>22</v>
      </c>
      <c r="AC72" s="2">
        <v>1.0</v>
      </c>
      <c r="AD72" s="2">
        <v>1.0</v>
      </c>
      <c r="AE72" s="2" t="s">
        <v>175</v>
      </c>
      <c r="AF72" s="2">
        <v>2.0</v>
      </c>
      <c r="AG72" s="2">
        <v>2.0</v>
      </c>
      <c r="AH72" s="2" t="s">
        <v>22</v>
      </c>
      <c r="AI72" s="84" t="s">
        <v>220</v>
      </c>
      <c r="AJ72" s="82">
        <f t="shared" si="1"/>
        <v>12</v>
      </c>
      <c r="AK72" s="82">
        <f t="shared" si="2"/>
        <v>2</v>
      </c>
    </row>
    <row r="73">
      <c r="A73" s="6">
        <v>44996.563702534724</v>
      </c>
      <c r="B73" s="2" t="s">
        <v>27</v>
      </c>
      <c r="C73" s="2">
        <v>18.0</v>
      </c>
      <c r="D73" s="2">
        <v>1502.0</v>
      </c>
      <c r="E73" s="2" t="s">
        <v>34</v>
      </c>
      <c r="F73" s="2">
        <v>1.0</v>
      </c>
      <c r="G73" s="2">
        <v>1.0</v>
      </c>
      <c r="R73" s="2" t="s">
        <v>22</v>
      </c>
      <c r="AE73" s="2" t="s">
        <v>175</v>
      </c>
      <c r="AF73" s="2">
        <v>1.0</v>
      </c>
      <c r="AG73" s="2">
        <v>3.0</v>
      </c>
      <c r="AH73" s="2" t="s">
        <v>22</v>
      </c>
      <c r="AI73" s="84" t="s">
        <v>221</v>
      </c>
      <c r="AJ73" s="82">
        <f t="shared" si="1"/>
        <v>19</v>
      </c>
      <c r="AK73" s="82">
        <f t="shared" si="2"/>
        <v>6</v>
      </c>
    </row>
    <row r="74">
      <c r="A74" s="6">
        <v>44996.56574770833</v>
      </c>
      <c r="B74" s="2" t="s">
        <v>27</v>
      </c>
      <c r="C74" s="2">
        <v>22.0</v>
      </c>
      <c r="D74" s="2">
        <v>1502.0</v>
      </c>
      <c r="E74" s="2" t="s">
        <v>34</v>
      </c>
      <c r="P74" s="2">
        <v>1.0</v>
      </c>
      <c r="Q74" s="2">
        <v>0.0</v>
      </c>
      <c r="R74" s="2" t="s">
        <v>22</v>
      </c>
      <c r="AC74" s="2">
        <v>1.0</v>
      </c>
      <c r="AD74" s="2">
        <v>1.0</v>
      </c>
      <c r="AE74" s="2" t="s">
        <v>22</v>
      </c>
      <c r="AF74" s="2">
        <v>2.0</v>
      </c>
      <c r="AG74" s="2">
        <v>2.0</v>
      </c>
      <c r="AH74" s="2" t="s">
        <v>34</v>
      </c>
      <c r="AI74" s="84" t="s">
        <v>222</v>
      </c>
      <c r="AJ74" s="82">
        <f t="shared" si="1"/>
        <v>5</v>
      </c>
      <c r="AK74" s="82">
        <f t="shared" si="2"/>
        <v>2</v>
      </c>
    </row>
    <row r="75">
      <c r="A75" s="6">
        <v>44996.56786502315</v>
      </c>
      <c r="B75" s="2" t="s">
        <v>27</v>
      </c>
      <c r="C75" s="2">
        <v>26.0</v>
      </c>
      <c r="D75" s="2">
        <v>1502.0</v>
      </c>
      <c r="E75" s="2" t="s">
        <v>34</v>
      </c>
      <c r="P75" s="2">
        <v>1.0</v>
      </c>
      <c r="Q75" s="2">
        <v>0.0</v>
      </c>
      <c r="R75" s="2" t="s">
        <v>22</v>
      </c>
      <c r="AC75" s="2">
        <v>1.0</v>
      </c>
      <c r="AD75" s="2">
        <v>1.0</v>
      </c>
      <c r="AE75" s="2" t="s">
        <v>175</v>
      </c>
      <c r="AF75" s="2">
        <v>3.0</v>
      </c>
      <c r="AG75" s="2">
        <v>3.0</v>
      </c>
      <c r="AH75" s="2" t="s">
        <v>22</v>
      </c>
      <c r="AI75" s="84" t="s">
        <v>223</v>
      </c>
      <c r="AJ75" s="82">
        <f t="shared" si="1"/>
        <v>15</v>
      </c>
      <c r="AK75" s="82">
        <f t="shared" si="2"/>
        <v>2</v>
      </c>
    </row>
    <row r="76">
      <c r="A76" s="6">
        <v>44996.570649699075</v>
      </c>
      <c r="B76" s="2" t="s">
        <v>224</v>
      </c>
      <c r="C76" s="2">
        <v>35.0</v>
      </c>
      <c r="D76" s="2">
        <v>1502.0</v>
      </c>
      <c r="E76" s="2" t="s">
        <v>34</v>
      </c>
      <c r="P76" s="2">
        <v>1.0</v>
      </c>
      <c r="Q76" s="2">
        <v>1.0</v>
      </c>
      <c r="R76" s="2" t="s">
        <v>22</v>
      </c>
      <c r="AE76" s="2" t="s">
        <v>178</v>
      </c>
      <c r="AF76" s="2">
        <v>3.0</v>
      </c>
      <c r="AG76" s="2">
        <v>3.0</v>
      </c>
      <c r="AH76" s="2" t="s">
        <v>22</v>
      </c>
      <c r="AI76" s="84" t="s">
        <v>225</v>
      </c>
      <c r="AJ76" s="82">
        <f t="shared" si="1"/>
        <v>12</v>
      </c>
      <c r="AK76" s="82">
        <f t="shared" si="2"/>
        <v>3</v>
      </c>
    </row>
    <row r="77">
      <c r="A77" s="6">
        <v>44996.57274447917</v>
      </c>
      <c r="B77" s="2" t="s">
        <v>27</v>
      </c>
      <c r="C77" s="2">
        <v>42.0</v>
      </c>
      <c r="D77" s="2">
        <v>1502.0</v>
      </c>
      <c r="E77" s="2" t="s">
        <v>34</v>
      </c>
      <c r="P77" s="2">
        <v>1.0</v>
      </c>
      <c r="Q77" s="2">
        <v>0.0</v>
      </c>
      <c r="R77" s="2" t="s">
        <v>22</v>
      </c>
      <c r="AE77" s="2" t="s">
        <v>22</v>
      </c>
      <c r="AF77" s="2">
        <v>3.0</v>
      </c>
      <c r="AG77" s="2">
        <v>4.0</v>
      </c>
      <c r="AH77" s="2" t="s">
        <v>22</v>
      </c>
      <c r="AI77" s="84" t="s">
        <v>226</v>
      </c>
      <c r="AJ77" s="82">
        <f t="shared" si="1"/>
        <v>3</v>
      </c>
      <c r="AK77" s="82">
        <f t="shared" si="2"/>
        <v>0</v>
      </c>
    </row>
    <row r="78">
      <c r="A78" s="6">
        <v>44996.57525362269</v>
      </c>
      <c r="B78" s="2" t="s">
        <v>27</v>
      </c>
      <c r="C78" s="2">
        <v>46.0</v>
      </c>
      <c r="D78" s="2">
        <v>1502.0</v>
      </c>
      <c r="E78" s="2" t="s">
        <v>22</v>
      </c>
      <c r="P78" s="2">
        <v>1.0</v>
      </c>
      <c r="Q78" s="2">
        <v>0.0</v>
      </c>
      <c r="R78" s="2" t="s">
        <v>22</v>
      </c>
      <c r="AC78" s="2">
        <v>1.0</v>
      </c>
      <c r="AD78" s="2">
        <v>1.0</v>
      </c>
      <c r="AE78" s="2" t="s">
        <v>22</v>
      </c>
      <c r="AF78" s="2">
        <v>2.0</v>
      </c>
      <c r="AG78" s="2">
        <v>2.0</v>
      </c>
      <c r="AH78" s="2" t="s">
        <v>34</v>
      </c>
      <c r="AI78" s="84" t="s">
        <v>227</v>
      </c>
      <c r="AJ78" s="82">
        <f t="shared" si="1"/>
        <v>2</v>
      </c>
      <c r="AK78" s="82">
        <f t="shared" si="2"/>
        <v>2</v>
      </c>
    </row>
    <row r="79">
      <c r="A79" s="6">
        <v>44996.577996712964</v>
      </c>
      <c r="B79" s="2" t="s">
        <v>27</v>
      </c>
      <c r="C79" s="2">
        <v>57.0</v>
      </c>
      <c r="D79" s="2">
        <v>1502.0</v>
      </c>
      <c r="E79" s="2" t="s">
        <v>34</v>
      </c>
      <c r="P79" s="2">
        <v>1.0</v>
      </c>
      <c r="Q79" s="2">
        <v>0.0</v>
      </c>
      <c r="R79" s="2" t="s">
        <v>22</v>
      </c>
      <c r="AC79" s="2">
        <v>0.0</v>
      </c>
      <c r="AD79" s="2">
        <v>0.0</v>
      </c>
      <c r="AE79" s="2" t="s">
        <v>175</v>
      </c>
      <c r="AF79" s="2">
        <v>2.0</v>
      </c>
      <c r="AG79" s="2">
        <v>2.0</v>
      </c>
      <c r="AH79" s="2" t="s">
        <v>22</v>
      </c>
      <c r="AI79" s="84" t="s">
        <v>228</v>
      </c>
      <c r="AJ79" s="82">
        <f t="shared" si="1"/>
        <v>13</v>
      </c>
      <c r="AK79" s="82">
        <f t="shared" si="2"/>
        <v>0</v>
      </c>
    </row>
    <row r="80">
      <c r="A80" s="6">
        <v>44996.58137184028</v>
      </c>
      <c r="B80" s="2" t="s">
        <v>27</v>
      </c>
      <c r="C80" s="2">
        <v>63.0</v>
      </c>
      <c r="D80" s="2">
        <v>1502.0</v>
      </c>
      <c r="E80" s="2" t="s">
        <v>34</v>
      </c>
      <c r="P80" s="2">
        <v>1.0</v>
      </c>
      <c r="Q80" s="2">
        <v>0.0</v>
      </c>
      <c r="R80" s="2" t="s">
        <v>22</v>
      </c>
      <c r="W80" s="2">
        <v>1.0</v>
      </c>
      <c r="X80" s="2">
        <v>1.0</v>
      </c>
      <c r="AC80" s="2">
        <v>1.0</v>
      </c>
      <c r="AD80" s="2">
        <v>1.0</v>
      </c>
      <c r="AE80" s="2" t="s">
        <v>175</v>
      </c>
      <c r="AF80" s="2">
        <v>3.0</v>
      </c>
      <c r="AG80" s="2">
        <v>2.0</v>
      </c>
      <c r="AH80" s="2" t="s">
        <v>22</v>
      </c>
      <c r="AI80" s="84" t="s">
        <v>229</v>
      </c>
      <c r="AJ80" s="82">
        <f t="shared" si="1"/>
        <v>17</v>
      </c>
      <c r="AK80" s="82">
        <f t="shared" si="2"/>
        <v>4</v>
      </c>
    </row>
    <row r="81">
      <c r="A81" s="6">
        <v>44996.58345751157</v>
      </c>
      <c r="B81" s="2" t="s">
        <v>27</v>
      </c>
      <c r="C81" s="2">
        <v>68.0</v>
      </c>
      <c r="D81" s="2">
        <v>1502.0</v>
      </c>
      <c r="E81" s="2" t="s">
        <v>34</v>
      </c>
      <c r="P81" s="2">
        <v>1.0</v>
      </c>
      <c r="Q81" s="2">
        <v>1.0</v>
      </c>
      <c r="R81" s="2" t="s">
        <v>22</v>
      </c>
      <c r="AE81" s="2" t="s">
        <v>175</v>
      </c>
      <c r="AF81" s="2">
        <v>2.0</v>
      </c>
      <c r="AG81" s="2">
        <v>3.0</v>
      </c>
      <c r="AH81" s="2" t="s">
        <v>22</v>
      </c>
      <c r="AI81" s="84" t="s">
        <v>230</v>
      </c>
      <c r="AJ81" s="82">
        <f t="shared" si="1"/>
        <v>16</v>
      </c>
      <c r="AK81" s="82">
        <f t="shared" si="2"/>
        <v>3</v>
      </c>
    </row>
    <row r="82">
      <c r="A82" s="6">
        <v>44996.58615392361</v>
      </c>
      <c r="B82" s="2" t="s">
        <v>27</v>
      </c>
      <c r="C82" s="2">
        <v>72.0</v>
      </c>
      <c r="D82" s="2">
        <v>1502.0</v>
      </c>
      <c r="E82" s="2" t="s">
        <v>22</v>
      </c>
      <c r="P82" s="2">
        <v>1.0</v>
      </c>
      <c r="Q82" s="2">
        <v>0.0</v>
      </c>
      <c r="R82" s="2" t="s">
        <v>22</v>
      </c>
      <c r="AC82" s="2">
        <v>1.0</v>
      </c>
      <c r="AD82" s="2">
        <v>1.0</v>
      </c>
      <c r="AE82" s="2" t="s">
        <v>178</v>
      </c>
      <c r="AF82" s="2">
        <v>4.0</v>
      </c>
      <c r="AG82" s="2">
        <v>4.0</v>
      </c>
      <c r="AH82" s="2" t="s">
        <v>22</v>
      </c>
      <c r="AI82" s="84" t="s">
        <v>231</v>
      </c>
      <c r="AJ82" s="82">
        <f t="shared" si="1"/>
        <v>8</v>
      </c>
      <c r="AK82" s="82">
        <f t="shared" si="2"/>
        <v>2</v>
      </c>
    </row>
    <row r="83">
      <c r="A83" s="6">
        <v>45011.58679420139</v>
      </c>
      <c r="B83" s="2" t="s">
        <v>232</v>
      </c>
      <c r="C83" s="2">
        <v>23.0</v>
      </c>
      <c r="D83" s="2">
        <v>1504.0</v>
      </c>
      <c r="E83" s="2" t="s">
        <v>34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  <c r="N83" s="2">
        <v>0.0</v>
      </c>
      <c r="O83" s="2">
        <v>0.0</v>
      </c>
      <c r="P83" s="2">
        <v>1.0</v>
      </c>
      <c r="Q83" s="2">
        <v>0.0</v>
      </c>
      <c r="R83" s="2" t="s">
        <v>22</v>
      </c>
      <c r="S83" s="2">
        <v>0.0</v>
      </c>
      <c r="T83" s="2">
        <v>0.0</v>
      </c>
      <c r="U83" s="2">
        <v>0.0</v>
      </c>
      <c r="V83" s="2">
        <v>0.0</v>
      </c>
      <c r="W83" s="2">
        <v>0.0</v>
      </c>
      <c r="X83" s="2">
        <v>0.0</v>
      </c>
      <c r="Y83" s="2">
        <v>3.0</v>
      </c>
      <c r="Z83" s="2">
        <v>3.0</v>
      </c>
      <c r="AA83" s="2">
        <v>1.0</v>
      </c>
      <c r="AB83" s="2">
        <v>1.0</v>
      </c>
      <c r="AC83" s="2">
        <v>0.0</v>
      </c>
      <c r="AD83" s="2">
        <v>0.0</v>
      </c>
      <c r="AE83" s="2" t="s">
        <v>175</v>
      </c>
      <c r="AF83" s="2">
        <v>3.0</v>
      </c>
      <c r="AG83" s="2">
        <v>3.0</v>
      </c>
      <c r="AH83" s="2" t="s">
        <v>22</v>
      </c>
      <c r="AI83" s="2" t="s">
        <v>233</v>
      </c>
      <c r="AJ83" s="82">
        <f t="shared" si="1"/>
        <v>31</v>
      </c>
      <c r="AK83" s="82">
        <f t="shared" si="2"/>
        <v>18</v>
      </c>
    </row>
    <row r="84">
      <c r="A84" s="6">
        <v>45011.589820567126</v>
      </c>
      <c r="B84" s="2" t="s">
        <v>232</v>
      </c>
      <c r="C84" s="2">
        <v>38.0</v>
      </c>
      <c r="D84" s="2">
        <v>1504.0</v>
      </c>
      <c r="E84" s="2" t="s">
        <v>34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v>0.0</v>
      </c>
      <c r="N84" s="2">
        <v>0.0</v>
      </c>
      <c r="O84" s="2">
        <v>0.0</v>
      </c>
      <c r="P84" s="2">
        <v>1.0</v>
      </c>
      <c r="Q84" s="2">
        <v>1.0</v>
      </c>
      <c r="R84" s="2" t="s">
        <v>22</v>
      </c>
      <c r="S84" s="2">
        <v>0.0</v>
      </c>
      <c r="T84" s="2">
        <v>0.0</v>
      </c>
      <c r="U84" s="2">
        <v>0.0</v>
      </c>
      <c r="V84" s="2">
        <v>0.0</v>
      </c>
      <c r="W84" s="2">
        <v>0.0</v>
      </c>
      <c r="X84" s="2">
        <v>0.0</v>
      </c>
      <c r="Y84" s="2">
        <v>1.0</v>
      </c>
      <c r="Z84" s="2">
        <v>1.0</v>
      </c>
      <c r="AA84" s="2">
        <v>0.0</v>
      </c>
      <c r="AB84" s="2">
        <v>0.0</v>
      </c>
      <c r="AC84" s="2">
        <v>0.0</v>
      </c>
      <c r="AD84" s="2">
        <v>0.0</v>
      </c>
      <c r="AE84" s="2" t="s">
        <v>175</v>
      </c>
      <c r="AF84" s="2">
        <v>3.0</v>
      </c>
      <c r="AG84" s="2">
        <v>2.0</v>
      </c>
      <c r="AH84" s="2" t="s">
        <v>22</v>
      </c>
      <c r="AI84" s="2" t="s">
        <v>234</v>
      </c>
      <c r="AJ84" s="82">
        <f t="shared" si="1"/>
        <v>21</v>
      </c>
      <c r="AK84" s="82">
        <f t="shared" si="2"/>
        <v>8</v>
      </c>
    </row>
    <row r="85">
      <c r="A85" s="6">
        <v>45011.59295384259</v>
      </c>
      <c r="B85" s="2" t="s">
        <v>232</v>
      </c>
      <c r="C85" s="2">
        <v>63.0</v>
      </c>
      <c r="D85" s="2">
        <v>1504.0</v>
      </c>
      <c r="E85" s="2" t="s">
        <v>34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0.0</v>
      </c>
      <c r="M85" s="2">
        <v>0.0</v>
      </c>
      <c r="N85" s="2">
        <v>0.0</v>
      </c>
      <c r="O85" s="2">
        <v>0.0</v>
      </c>
      <c r="P85" s="2">
        <v>1.0</v>
      </c>
      <c r="Q85" s="2">
        <v>0.0</v>
      </c>
      <c r="R85" s="2" t="s">
        <v>22</v>
      </c>
      <c r="S85" s="2">
        <v>0.0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1.0</v>
      </c>
      <c r="Z85" s="2">
        <v>1.0</v>
      </c>
      <c r="AA85" s="2">
        <v>2.0</v>
      </c>
      <c r="AB85" s="2">
        <v>2.0</v>
      </c>
      <c r="AC85" s="2">
        <v>0.0</v>
      </c>
      <c r="AD85" s="2">
        <v>0.0</v>
      </c>
      <c r="AE85" s="2" t="s">
        <v>175</v>
      </c>
      <c r="AF85" s="2">
        <v>2.0</v>
      </c>
      <c r="AG85" s="2">
        <v>2.0</v>
      </c>
      <c r="AH85" s="2" t="s">
        <v>22</v>
      </c>
      <c r="AI85" s="2" t="s">
        <v>235</v>
      </c>
      <c r="AJ85" s="82">
        <f t="shared" si="1"/>
        <v>24</v>
      </c>
      <c r="AK85" s="82">
        <f t="shared" si="2"/>
        <v>11</v>
      </c>
    </row>
    <row r="86">
      <c r="A86" s="6">
        <v>45011.596138912035</v>
      </c>
      <c r="B86" s="2" t="s">
        <v>232</v>
      </c>
      <c r="C86" s="2" t="s">
        <v>236</v>
      </c>
      <c r="D86" s="2">
        <v>1504.0</v>
      </c>
      <c r="E86" s="2" t="s">
        <v>34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1.0</v>
      </c>
      <c r="Q86" s="2">
        <v>1.0</v>
      </c>
      <c r="R86" s="2" t="s">
        <v>22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2.0</v>
      </c>
      <c r="Z86" s="2">
        <v>2.0</v>
      </c>
      <c r="AA86" s="2">
        <v>2.0</v>
      </c>
      <c r="AB86" s="2">
        <v>2.0</v>
      </c>
      <c r="AC86" s="2">
        <v>1.0</v>
      </c>
      <c r="AD86" s="2">
        <v>1.0</v>
      </c>
      <c r="AE86" s="2" t="s">
        <v>175</v>
      </c>
      <c r="AF86" s="2">
        <v>2.0</v>
      </c>
      <c r="AG86" s="2">
        <v>2.0</v>
      </c>
      <c r="AH86" s="2" t="s">
        <v>22</v>
      </c>
      <c r="AI86" s="2" t="s">
        <v>237</v>
      </c>
      <c r="AJ86" s="82">
        <f t="shared" si="1"/>
        <v>34</v>
      </c>
      <c r="AK86" s="82">
        <f t="shared" si="2"/>
        <v>21</v>
      </c>
    </row>
    <row r="87">
      <c r="A87" s="6">
        <v>45011.59974494213</v>
      </c>
      <c r="B87" s="2" t="s">
        <v>232</v>
      </c>
      <c r="C87" s="2" t="s">
        <v>238</v>
      </c>
      <c r="D87" s="2">
        <v>1504.0</v>
      </c>
      <c r="E87" s="2" t="s">
        <v>34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  <c r="M87" s="2">
        <v>0.0</v>
      </c>
      <c r="N87" s="2">
        <v>0.0</v>
      </c>
      <c r="O87" s="2">
        <v>0.0</v>
      </c>
      <c r="P87" s="2">
        <v>1.0</v>
      </c>
      <c r="Q87" s="2">
        <v>1.0</v>
      </c>
      <c r="R87" s="2" t="s">
        <v>22</v>
      </c>
      <c r="S87" s="2">
        <v>0.0</v>
      </c>
      <c r="T87" s="2">
        <v>0.0</v>
      </c>
      <c r="U87" s="2">
        <v>0.0</v>
      </c>
      <c r="V87" s="2">
        <v>0.0</v>
      </c>
      <c r="W87" s="2">
        <v>0.0</v>
      </c>
      <c r="X87" s="2">
        <v>0.0</v>
      </c>
      <c r="Y87" s="2">
        <v>1.0</v>
      </c>
      <c r="Z87" s="2">
        <v>1.0</v>
      </c>
      <c r="AA87" s="2">
        <v>2.0</v>
      </c>
      <c r="AB87" s="2">
        <v>2.0</v>
      </c>
      <c r="AC87" s="2">
        <v>0.0</v>
      </c>
      <c r="AD87" s="2">
        <v>0.0</v>
      </c>
      <c r="AE87" s="2" t="s">
        <v>177</v>
      </c>
      <c r="AF87" s="2">
        <v>2.0</v>
      </c>
      <c r="AG87" s="2">
        <v>2.0</v>
      </c>
      <c r="AH87" s="2" t="s">
        <v>22</v>
      </c>
      <c r="AJ87" s="82">
        <f t="shared" si="1"/>
        <v>20</v>
      </c>
      <c r="AK87" s="82">
        <f t="shared" si="2"/>
        <v>14</v>
      </c>
    </row>
    <row r="88">
      <c r="A88" s="6">
        <v>45011.60283682871</v>
      </c>
      <c r="B88" s="2" t="s">
        <v>232</v>
      </c>
      <c r="C88" s="2" t="s">
        <v>239</v>
      </c>
      <c r="D88" s="2">
        <v>1504.0</v>
      </c>
      <c r="E88" s="2" t="s">
        <v>34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  <c r="N88" s="2">
        <v>0.0</v>
      </c>
      <c r="O88" s="2">
        <v>0.0</v>
      </c>
      <c r="P88" s="2">
        <v>1.0</v>
      </c>
      <c r="Q88" s="2">
        <v>1.0</v>
      </c>
      <c r="R88" s="2" t="s">
        <v>22</v>
      </c>
      <c r="S88" s="2">
        <v>0.0</v>
      </c>
      <c r="T88" s="2">
        <v>0.0</v>
      </c>
      <c r="U88" s="2">
        <v>0.0</v>
      </c>
      <c r="V88" s="2">
        <v>0.0</v>
      </c>
      <c r="W88" s="2">
        <v>0.0</v>
      </c>
      <c r="X88" s="2">
        <v>0.0</v>
      </c>
      <c r="Y88" s="2">
        <v>2.0</v>
      </c>
      <c r="Z88" s="2">
        <v>2.0</v>
      </c>
      <c r="AA88" s="2">
        <v>0.0</v>
      </c>
      <c r="AB88" s="2">
        <v>0.0</v>
      </c>
      <c r="AC88" s="2">
        <v>0.0</v>
      </c>
      <c r="AD88" s="2">
        <v>0.0</v>
      </c>
      <c r="AE88" s="2" t="s">
        <v>175</v>
      </c>
      <c r="AF88" s="2">
        <v>2.0</v>
      </c>
      <c r="AG88" s="2">
        <v>2.0</v>
      </c>
      <c r="AH88" s="2" t="s">
        <v>22</v>
      </c>
      <c r="AJ88" s="82">
        <f t="shared" si="1"/>
        <v>26</v>
      </c>
      <c r="AK88" s="82">
        <f t="shared" si="2"/>
        <v>13</v>
      </c>
    </row>
    <row r="89">
      <c r="A89" s="6">
        <v>44995.66326238426</v>
      </c>
      <c r="B89" s="2" t="s">
        <v>25</v>
      </c>
      <c r="C89" s="2">
        <v>1.0</v>
      </c>
      <c r="D89" s="2">
        <v>3322.0</v>
      </c>
      <c r="E89" s="2" t="s">
        <v>22</v>
      </c>
      <c r="F89" s="2">
        <v>0.0</v>
      </c>
      <c r="G89" s="2">
        <v>0.0</v>
      </c>
      <c r="H89" s="2">
        <v>1.0</v>
      </c>
      <c r="I89" s="2">
        <v>0.0</v>
      </c>
      <c r="J89" s="2">
        <v>1.0</v>
      </c>
      <c r="K89" s="2">
        <v>1.0</v>
      </c>
      <c r="L89" s="2">
        <v>0.0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 t="s">
        <v>22</v>
      </c>
      <c r="S89" s="2">
        <v>0.0</v>
      </c>
      <c r="T89" s="2">
        <v>0.0</v>
      </c>
      <c r="U89" s="2">
        <v>0.0</v>
      </c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>
        <v>2.0</v>
      </c>
      <c r="AB89" s="2">
        <v>2.0</v>
      </c>
      <c r="AC89" s="2">
        <v>0.0</v>
      </c>
      <c r="AD89" s="2">
        <v>0.0</v>
      </c>
      <c r="AE89" s="2" t="s">
        <v>22</v>
      </c>
      <c r="AF89" s="2">
        <v>2.0</v>
      </c>
      <c r="AG89" s="2">
        <v>0.0</v>
      </c>
      <c r="AH89" s="2" t="s">
        <v>22</v>
      </c>
      <c r="AI89" s="83"/>
      <c r="AJ89" s="82">
        <f t="shared" si="1"/>
        <v>9</v>
      </c>
      <c r="AK89" s="82">
        <f t="shared" si="2"/>
        <v>9</v>
      </c>
    </row>
    <row r="90">
      <c r="A90" s="6">
        <v>44995.66731927083</v>
      </c>
      <c r="B90" s="2" t="s">
        <v>25</v>
      </c>
      <c r="C90" s="2">
        <v>7.0</v>
      </c>
      <c r="D90" s="2">
        <v>3322.0</v>
      </c>
      <c r="E90" s="2" t="s">
        <v>34</v>
      </c>
      <c r="H90" s="2">
        <v>1.0</v>
      </c>
      <c r="I90" s="2">
        <v>1.0</v>
      </c>
      <c r="R90" s="2" t="s">
        <v>22</v>
      </c>
      <c r="W90" s="2">
        <v>1.0</v>
      </c>
      <c r="X90" s="2">
        <v>1.0</v>
      </c>
      <c r="AA90" s="2">
        <v>2.0</v>
      </c>
      <c r="AB90" s="2">
        <v>2.0</v>
      </c>
      <c r="AC90" s="2">
        <v>2.0</v>
      </c>
      <c r="AD90" s="2">
        <v>2.0</v>
      </c>
      <c r="AE90" s="2" t="s">
        <v>177</v>
      </c>
      <c r="AF90" s="2">
        <v>3.0</v>
      </c>
      <c r="AG90" s="2">
        <v>0.0</v>
      </c>
      <c r="AH90" s="2" t="s">
        <v>22</v>
      </c>
      <c r="AI90" s="83"/>
      <c r="AJ90" s="82">
        <f t="shared" si="1"/>
        <v>22</v>
      </c>
      <c r="AK90" s="82">
        <f t="shared" si="2"/>
        <v>16</v>
      </c>
    </row>
    <row r="91">
      <c r="A91" s="6">
        <v>44995.67235846065</v>
      </c>
      <c r="B91" s="2" t="s">
        <v>25</v>
      </c>
      <c r="C91" s="2">
        <v>13.0</v>
      </c>
      <c r="D91" s="2">
        <v>3322.0</v>
      </c>
      <c r="E91" s="2" t="s">
        <v>34</v>
      </c>
      <c r="H91" s="2">
        <v>1.0</v>
      </c>
      <c r="I91" s="2">
        <v>1.0</v>
      </c>
      <c r="R91" s="2" t="s">
        <v>22</v>
      </c>
      <c r="W91" s="2">
        <v>1.0</v>
      </c>
      <c r="X91" s="2">
        <v>1.0</v>
      </c>
      <c r="Y91" s="2">
        <v>0.0</v>
      </c>
      <c r="Z91" s="2">
        <v>0.0</v>
      </c>
      <c r="AA91" s="2">
        <v>0.0</v>
      </c>
      <c r="AB91" s="2">
        <v>0.0</v>
      </c>
      <c r="AC91" s="2">
        <v>0.0</v>
      </c>
      <c r="AD91" s="2">
        <v>0.0</v>
      </c>
      <c r="AE91" s="2" t="s">
        <v>175</v>
      </c>
      <c r="AF91" s="2">
        <v>1.0</v>
      </c>
      <c r="AG91" s="2">
        <v>4.0</v>
      </c>
      <c r="AH91" s="2" t="s">
        <v>22</v>
      </c>
      <c r="AI91" s="84" t="s">
        <v>240</v>
      </c>
      <c r="AJ91" s="82">
        <f t="shared" si="1"/>
        <v>19</v>
      </c>
      <c r="AK91" s="82">
        <f t="shared" si="2"/>
        <v>6</v>
      </c>
    </row>
    <row r="92">
      <c r="A92" s="6">
        <v>44995.67552548611</v>
      </c>
      <c r="B92" s="2" t="s">
        <v>25</v>
      </c>
      <c r="C92" s="2">
        <v>20.0</v>
      </c>
      <c r="D92" s="2">
        <v>3322.0</v>
      </c>
      <c r="E92" s="2" t="s">
        <v>22</v>
      </c>
      <c r="R92" s="2" t="s">
        <v>22</v>
      </c>
      <c r="W92" s="2">
        <v>2.0</v>
      </c>
      <c r="X92" s="2">
        <v>2.0</v>
      </c>
      <c r="AE92" s="2" t="s">
        <v>175</v>
      </c>
      <c r="AF92" s="2">
        <v>3.0</v>
      </c>
      <c r="AG92" s="2">
        <v>0.0</v>
      </c>
      <c r="AH92" s="2" t="s">
        <v>22</v>
      </c>
      <c r="AI92" s="84" t="s">
        <v>241</v>
      </c>
      <c r="AJ92" s="82">
        <f t="shared" si="1"/>
        <v>14</v>
      </c>
      <c r="AK92" s="82">
        <f t="shared" si="2"/>
        <v>4</v>
      </c>
    </row>
    <row r="93">
      <c r="A93" s="6">
        <v>44995.678410775465</v>
      </c>
      <c r="B93" s="2" t="s">
        <v>25</v>
      </c>
      <c r="C93" s="2">
        <v>27.0</v>
      </c>
      <c r="D93" s="2">
        <v>3322.0</v>
      </c>
      <c r="E93" s="2" t="s">
        <v>22</v>
      </c>
      <c r="R93" s="2" t="s">
        <v>22</v>
      </c>
      <c r="U93" s="2">
        <v>1.0</v>
      </c>
      <c r="V93" s="2">
        <v>0.0</v>
      </c>
      <c r="W93" s="2">
        <v>2.0</v>
      </c>
      <c r="X93" s="2">
        <v>2.0</v>
      </c>
      <c r="AA93" s="2">
        <v>1.0</v>
      </c>
      <c r="AB93" s="2">
        <v>1.0</v>
      </c>
      <c r="AC93" s="2">
        <v>1.0</v>
      </c>
      <c r="AD93" s="2">
        <v>1.0</v>
      </c>
      <c r="AE93" s="2" t="s">
        <v>22</v>
      </c>
      <c r="AF93" s="2">
        <v>2.0</v>
      </c>
      <c r="AG93" s="2">
        <v>0.0</v>
      </c>
      <c r="AH93" s="2" t="s">
        <v>22</v>
      </c>
      <c r="AI93" s="83"/>
      <c r="AJ93" s="82">
        <f t="shared" si="1"/>
        <v>9</v>
      </c>
      <c r="AK93" s="82">
        <f t="shared" si="2"/>
        <v>9</v>
      </c>
    </row>
    <row r="94">
      <c r="A94" s="6">
        <v>44995.683497245365</v>
      </c>
      <c r="B94" s="2" t="s">
        <v>25</v>
      </c>
      <c r="C94" s="2">
        <v>38.0</v>
      </c>
      <c r="D94" s="2">
        <v>3322.0</v>
      </c>
      <c r="E94" s="2" t="s">
        <v>34</v>
      </c>
      <c r="N94" s="2">
        <v>1.0</v>
      </c>
      <c r="O94" s="2">
        <v>1.0</v>
      </c>
      <c r="R94" s="2" t="s">
        <v>22</v>
      </c>
      <c r="U94" s="2">
        <v>1.0</v>
      </c>
      <c r="V94" s="2">
        <v>0.0</v>
      </c>
      <c r="W94" s="2">
        <v>1.0</v>
      </c>
      <c r="X94" s="2">
        <v>1.0</v>
      </c>
      <c r="AA94" s="2">
        <v>2.0</v>
      </c>
      <c r="AB94" s="2">
        <v>2.0</v>
      </c>
      <c r="AC94" s="2">
        <v>2.0</v>
      </c>
      <c r="AD94" s="2">
        <v>2.0</v>
      </c>
      <c r="AE94" s="2" t="s">
        <v>175</v>
      </c>
      <c r="AF94" s="2">
        <v>3.0</v>
      </c>
      <c r="AG94" s="2">
        <v>0.0</v>
      </c>
      <c r="AH94" s="2" t="s">
        <v>22</v>
      </c>
      <c r="AI94" s="83"/>
      <c r="AJ94" s="82">
        <f t="shared" si="1"/>
        <v>29</v>
      </c>
      <c r="AK94" s="82">
        <f t="shared" si="2"/>
        <v>16</v>
      </c>
    </row>
    <row r="95">
      <c r="A95" s="6">
        <v>44995.69066606482</v>
      </c>
      <c r="B95" s="2" t="s">
        <v>25</v>
      </c>
      <c r="C95" s="2">
        <v>45.0</v>
      </c>
      <c r="D95" s="2">
        <v>3322.0</v>
      </c>
      <c r="E95" s="2" t="s">
        <v>34</v>
      </c>
      <c r="H95" s="2">
        <v>1.0</v>
      </c>
      <c r="I95" s="2">
        <v>1.0</v>
      </c>
      <c r="R95" s="2" t="s">
        <v>22</v>
      </c>
      <c r="U95" s="2">
        <v>1.0</v>
      </c>
      <c r="V95" s="2">
        <v>1.0</v>
      </c>
      <c r="AA95" s="2">
        <v>1.0</v>
      </c>
      <c r="AB95" s="2">
        <v>1.0</v>
      </c>
      <c r="AC95" s="2">
        <v>3.0</v>
      </c>
      <c r="AD95" s="2">
        <v>3.0</v>
      </c>
      <c r="AE95" s="2" t="s">
        <v>175</v>
      </c>
      <c r="AF95" s="2">
        <v>3.0</v>
      </c>
      <c r="AG95" s="2">
        <v>0.0</v>
      </c>
      <c r="AH95" s="2" t="s">
        <v>22</v>
      </c>
      <c r="AI95" s="83"/>
      <c r="AJ95" s="82">
        <f t="shared" si="1"/>
        <v>29</v>
      </c>
      <c r="AK95" s="82">
        <f t="shared" si="2"/>
        <v>16</v>
      </c>
    </row>
    <row r="96">
      <c r="A96" s="6">
        <v>44995.69709918981</v>
      </c>
      <c r="B96" s="2" t="s">
        <v>25</v>
      </c>
      <c r="C96" s="2">
        <v>59.0</v>
      </c>
      <c r="D96" s="2">
        <v>3322.0</v>
      </c>
      <c r="E96" s="2" t="s">
        <v>34</v>
      </c>
      <c r="H96" s="2">
        <v>1.0</v>
      </c>
      <c r="I96" s="2">
        <v>1.0</v>
      </c>
      <c r="R96" s="2" t="s">
        <v>22</v>
      </c>
      <c r="U96" s="2">
        <v>1.0</v>
      </c>
      <c r="V96" s="2">
        <v>0.0</v>
      </c>
      <c r="AA96" s="2">
        <v>1.0</v>
      </c>
      <c r="AB96" s="2">
        <v>1.0</v>
      </c>
      <c r="AC96" s="2">
        <v>3.0</v>
      </c>
      <c r="AD96" s="2">
        <v>3.0</v>
      </c>
      <c r="AE96" s="2" t="s">
        <v>178</v>
      </c>
      <c r="AF96" s="2">
        <v>2.0</v>
      </c>
      <c r="AG96" s="2">
        <v>0.0</v>
      </c>
      <c r="AH96" s="2" t="s">
        <v>22</v>
      </c>
      <c r="AI96" s="83"/>
      <c r="AJ96" s="82">
        <f t="shared" si="1"/>
        <v>22</v>
      </c>
      <c r="AK96" s="82">
        <f t="shared" si="2"/>
        <v>13</v>
      </c>
    </row>
    <row r="97">
      <c r="A97" s="6">
        <v>44995.70020056713</v>
      </c>
      <c r="B97" s="2" t="s">
        <v>25</v>
      </c>
      <c r="C97" s="2">
        <v>57.0</v>
      </c>
      <c r="D97" s="2">
        <v>3322.0</v>
      </c>
      <c r="E97" s="2" t="s">
        <v>34</v>
      </c>
      <c r="N97" s="2">
        <v>1.0</v>
      </c>
      <c r="O97" s="2">
        <v>1.0</v>
      </c>
      <c r="P97" s="2">
        <v>1.0</v>
      </c>
      <c r="Q97" s="2">
        <v>1.0</v>
      </c>
      <c r="R97" s="2" t="s">
        <v>22</v>
      </c>
      <c r="U97" s="2">
        <v>2.0</v>
      </c>
      <c r="V97" s="2">
        <v>2.0</v>
      </c>
      <c r="AA97" s="2">
        <v>1.0</v>
      </c>
      <c r="AB97" s="2">
        <v>1.0</v>
      </c>
      <c r="AE97" s="2" t="s">
        <v>177</v>
      </c>
      <c r="AF97" s="2">
        <v>3.0</v>
      </c>
      <c r="AG97" s="2">
        <v>0.0</v>
      </c>
      <c r="AH97" s="2" t="s">
        <v>22</v>
      </c>
      <c r="AI97" s="83"/>
      <c r="AJ97" s="82">
        <f t="shared" si="1"/>
        <v>22</v>
      </c>
      <c r="AK97" s="82">
        <f t="shared" si="2"/>
        <v>16</v>
      </c>
    </row>
    <row r="98">
      <c r="A98" s="6">
        <v>44995.70268185185</v>
      </c>
      <c r="B98" s="2" t="s">
        <v>25</v>
      </c>
      <c r="C98" s="2">
        <v>62.0</v>
      </c>
      <c r="D98" s="2">
        <v>3322.0</v>
      </c>
      <c r="E98" s="2" t="s">
        <v>34</v>
      </c>
      <c r="H98" s="2">
        <v>1.0</v>
      </c>
      <c r="I98" s="2">
        <v>1.0</v>
      </c>
      <c r="R98" s="2" t="s">
        <v>22</v>
      </c>
      <c r="W98" s="2">
        <v>1.0</v>
      </c>
      <c r="X98" s="2">
        <v>1.0</v>
      </c>
      <c r="AA98" s="2">
        <v>1.0</v>
      </c>
      <c r="AB98" s="2">
        <v>1.0</v>
      </c>
      <c r="AE98" s="2" t="s">
        <v>177</v>
      </c>
      <c r="AF98" s="2">
        <v>2.0</v>
      </c>
      <c r="AG98" s="2">
        <v>2.0</v>
      </c>
      <c r="AH98" s="2" t="s">
        <v>22</v>
      </c>
      <c r="AI98" s="84" t="s">
        <v>242</v>
      </c>
      <c r="AJ98" s="82">
        <f t="shared" si="1"/>
        <v>15</v>
      </c>
      <c r="AK98" s="82">
        <f t="shared" si="2"/>
        <v>9</v>
      </c>
    </row>
    <row r="99">
      <c r="A99" s="6">
        <v>44995.70599870371</v>
      </c>
      <c r="B99" s="2" t="s">
        <v>25</v>
      </c>
      <c r="C99" s="2">
        <v>69.0</v>
      </c>
      <c r="D99" s="2">
        <v>3322.0</v>
      </c>
      <c r="E99" s="2" t="s">
        <v>34</v>
      </c>
      <c r="H99" s="2">
        <v>1.0</v>
      </c>
      <c r="I99" s="2">
        <v>1.0</v>
      </c>
      <c r="R99" s="2" t="s">
        <v>22</v>
      </c>
      <c r="AA99" s="2">
        <v>1.0</v>
      </c>
      <c r="AB99" s="2">
        <v>1.0</v>
      </c>
      <c r="AC99" s="2">
        <v>4.0</v>
      </c>
      <c r="AD99" s="2">
        <v>4.0</v>
      </c>
      <c r="AE99" s="2" t="s">
        <v>178</v>
      </c>
      <c r="AF99" s="2">
        <v>2.0</v>
      </c>
      <c r="AG99" s="2">
        <v>0.0</v>
      </c>
      <c r="AH99" s="2" t="s">
        <v>22</v>
      </c>
      <c r="AI99" s="83"/>
      <c r="AJ99" s="82">
        <f t="shared" si="1"/>
        <v>24</v>
      </c>
      <c r="AK99" s="82">
        <f t="shared" si="2"/>
        <v>15</v>
      </c>
    </row>
    <row r="100">
      <c r="A100" s="6">
        <v>44995.70837168982</v>
      </c>
      <c r="B100" s="2" t="s">
        <v>25</v>
      </c>
      <c r="C100" s="2">
        <v>74.0</v>
      </c>
      <c r="D100" s="2">
        <v>3322.0</v>
      </c>
      <c r="E100" s="2" t="s">
        <v>34</v>
      </c>
      <c r="H100" s="2">
        <v>1.0</v>
      </c>
      <c r="I100" s="2">
        <v>1.0</v>
      </c>
      <c r="R100" s="2" t="s">
        <v>22</v>
      </c>
      <c r="U100" s="2">
        <v>2.0</v>
      </c>
      <c r="V100" s="2">
        <v>2.0</v>
      </c>
      <c r="AA100" s="2">
        <v>1.0</v>
      </c>
      <c r="AB100" s="2">
        <v>1.0</v>
      </c>
      <c r="AE100" s="2" t="s">
        <v>177</v>
      </c>
      <c r="AF100" s="2">
        <v>3.0</v>
      </c>
      <c r="AG100" s="2">
        <v>0.0</v>
      </c>
      <c r="AH100" s="2" t="s">
        <v>22</v>
      </c>
      <c r="AI100" s="83"/>
      <c r="AJ100" s="82">
        <f t="shared" si="1"/>
        <v>19</v>
      </c>
      <c r="AK100" s="82">
        <f t="shared" si="2"/>
        <v>13</v>
      </c>
    </row>
    <row r="101">
      <c r="A101" s="6">
        <v>44995.712620509265</v>
      </c>
      <c r="B101" s="2" t="s">
        <v>25</v>
      </c>
      <c r="C101" s="85" t="s">
        <v>204</v>
      </c>
      <c r="D101" s="2">
        <v>3322.0</v>
      </c>
      <c r="E101" s="2" t="s">
        <v>34</v>
      </c>
      <c r="H101" s="2">
        <v>1.0</v>
      </c>
      <c r="I101" s="2">
        <v>1.0</v>
      </c>
      <c r="R101" s="2" t="s">
        <v>22</v>
      </c>
      <c r="AA101" s="2">
        <v>3.0</v>
      </c>
      <c r="AB101" s="2">
        <v>3.0</v>
      </c>
      <c r="AC101" s="2">
        <v>1.0</v>
      </c>
      <c r="AD101" s="2">
        <v>1.0</v>
      </c>
      <c r="AE101" s="2" t="s">
        <v>175</v>
      </c>
      <c r="AF101" s="2">
        <v>4.0</v>
      </c>
      <c r="AG101" s="2">
        <v>0.0</v>
      </c>
      <c r="AH101" s="2" t="s">
        <v>22</v>
      </c>
      <c r="AI101" s="83"/>
      <c r="AJ101" s="82">
        <f t="shared" si="1"/>
        <v>28</v>
      </c>
      <c r="AK101" s="82">
        <f t="shared" si="2"/>
        <v>15</v>
      </c>
    </row>
    <row r="102">
      <c r="A102" s="6">
        <v>44995.71629864583</v>
      </c>
      <c r="B102" s="2" t="s">
        <v>25</v>
      </c>
      <c r="C102" s="85" t="s">
        <v>205</v>
      </c>
      <c r="D102" s="2">
        <v>3322.0</v>
      </c>
      <c r="E102" s="2" t="s">
        <v>34</v>
      </c>
      <c r="H102" s="2">
        <v>1.0</v>
      </c>
      <c r="I102" s="2">
        <v>1.0</v>
      </c>
      <c r="R102" s="2" t="s">
        <v>22</v>
      </c>
      <c r="AA102" s="2">
        <v>3.0</v>
      </c>
      <c r="AB102" s="2">
        <v>3.0</v>
      </c>
      <c r="AC102" s="2">
        <v>3.0</v>
      </c>
      <c r="AD102" s="2">
        <v>3.0</v>
      </c>
      <c r="AE102" s="2" t="s">
        <v>175</v>
      </c>
      <c r="AF102" s="2">
        <v>5.0</v>
      </c>
      <c r="AG102" s="2">
        <v>0.0</v>
      </c>
      <c r="AH102" s="2" t="s">
        <v>22</v>
      </c>
      <c r="AI102" s="83"/>
      <c r="AJ102" s="82">
        <f t="shared" si="1"/>
        <v>32</v>
      </c>
      <c r="AK102" s="82">
        <f t="shared" si="2"/>
        <v>19</v>
      </c>
    </row>
    <row r="103">
      <c r="A103" s="6">
        <v>44995.71931269676</v>
      </c>
      <c r="B103" s="2" t="s">
        <v>25</v>
      </c>
      <c r="C103" s="85" t="s">
        <v>206</v>
      </c>
      <c r="D103" s="2">
        <v>3322.0</v>
      </c>
      <c r="E103" s="2" t="s">
        <v>34</v>
      </c>
      <c r="H103" s="2">
        <v>1.0</v>
      </c>
      <c r="I103" s="2">
        <v>1.0</v>
      </c>
      <c r="R103" s="2" t="s">
        <v>22</v>
      </c>
      <c r="AA103" s="2">
        <v>3.0</v>
      </c>
      <c r="AB103" s="2">
        <v>3.0</v>
      </c>
      <c r="AC103" s="2">
        <v>2.0</v>
      </c>
      <c r="AD103" s="2">
        <v>2.0</v>
      </c>
      <c r="AE103" s="2" t="s">
        <v>175</v>
      </c>
      <c r="AF103" s="2">
        <v>5.0</v>
      </c>
      <c r="AG103" s="2">
        <v>0.0</v>
      </c>
      <c r="AH103" s="2" t="s">
        <v>22</v>
      </c>
      <c r="AI103" s="83"/>
      <c r="AJ103" s="82">
        <f t="shared" si="1"/>
        <v>30</v>
      </c>
      <c r="AK103" s="82">
        <f t="shared" si="2"/>
        <v>17</v>
      </c>
    </row>
    <row r="104">
      <c r="A104" s="6">
        <v>44995.73357689814</v>
      </c>
      <c r="B104" s="2" t="s">
        <v>25</v>
      </c>
      <c r="C104" s="85" t="s">
        <v>207</v>
      </c>
      <c r="D104" s="2">
        <v>3322.0</v>
      </c>
      <c r="E104" s="2" t="s">
        <v>34</v>
      </c>
      <c r="H104" s="2">
        <v>1.0</v>
      </c>
      <c r="I104" s="2">
        <v>1.0</v>
      </c>
      <c r="R104" s="2" t="s">
        <v>22</v>
      </c>
      <c r="U104" s="2">
        <v>1.0</v>
      </c>
      <c r="V104" s="2">
        <v>1.0</v>
      </c>
      <c r="AA104" s="2">
        <v>3.0</v>
      </c>
      <c r="AB104" s="2">
        <v>3.0</v>
      </c>
      <c r="AE104" s="2" t="s">
        <v>175</v>
      </c>
      <c r="AF104" s="2">
        <v>4.0</v>
      </c>
      <c r="AG104" s="2">
        <v>2.0</v>
      </c>
      <c r="AH104" s="2" t="s">
        <v>22</v>
      </c>
      <c r="AI104" s="83"/>
      <c r="AJ104" s="82">
        <f t="shared" si="1"/>
        <v>29</v>
      </c>
      <c r="AK104" s="82">
        <f t="shared" si="2"/>
        <v>16</v>
      </c>
    </row>
    <row r="105">
      <c r="A105" s="6">
        <v>44995.73630089121</v>
      </c>
      <c r="B105" s="2" t="s">
        <v>25</v>
      </c>
      <c r="C105" s="85" t="s">
        <v>208</v>
      </c>
      <c r="D105" s="2">
        <v>3322.0</v>
      </c>
      <c r="E105" s="2" t="s">
        <v>34</v>
      </c>
      <c r="H105" s="2">
        <v>1.0</v>
      </c>
      <c r="I105" s="2">
        <v>1.0</v>
      </c>
      <c r="R105" s="2" t="s">
        <v>22</v>
      </c>
      <c r="U105" s="2">
        <v>1.0</v>
      </c>
      <c r="V105" s="2">
        <v>1.0</v>
      </c>
      <c r="AA105" s="2">
        <v>3.0</v>
      </c>
      <c r="AB105" s="2">
        <v>3.0</v>
      </c>
      <c r="AC105" s="2">
        <v>1.0</v>
      </c>
      <c r="AD105" s="2">
        <v>1.0</v>
      </c>
      <c r="AE105" s="2" t="s">
        <v>175</v>
      </c>
      <c r="AF105" s="2">
        <v>4.0</v>
      </c>
      <c r="AG105" s="2">
        <v>1.0</v>
      </c>
      <c r="AH105" s="2" t="s">
        <v>22</v>
      </c>
      <c r="AI105" s="83"/>
      <c r="AJ105" s="82">
        <f t="shared" si="1"/>
        <v>31</v>
      </c>
      <c r="AK105" s="82">
        <f t="shared" si="2"/>
        <v>18</v>
      </c>
    </row>
    <row r="106">
      <c r="A106" s="6">
        <v>44998.78507509259</v>
      </c>
      <c r="B106" s="2" t="s">
        <v>25</v>
      </c>
      <c r="C106" s="2">
        <v>5.0</v>
      </c>
      <c r="D106" s="2">
        <v>3568.0</v>
      </c>
      <c r="E106" s="2" t="s">
        <v>34</v>
      </c>
      <c r="L106" s="2">
        <v>1.0</v>
      </c>
      <c r="M106" s="2">
        <v>0.0</v>
      </c>
      <c r="P106" s="2">
        <v>1.0</v>
      </c>
      <c r="Q106" s="2">
        <v>1.0</v>
      </c>
      <c r="R106" s="2" t="s">
        <v>22</v>
      </c>
      <c r="S106" s="2">
        <v>1.0</v>
      </c>
      <c r="T106" s="2">
        <v>1.0</v>
      </c>
      <c r="Y106" s="2">
        <v>1.0</v>
      </c>
      <c r="Z106" s="2">
        <v>1.0</v>
      </c>
      <c r="AA106" s="2">
        <v>1.0</v>
      </c>
      <c r="AB106" s="2">
        <v>1.0</v>
      </c>
      <c r="AE106" s="2" t="s">
        <v>177</v>
      </c>
      <c r="AF106" s="2">
        <v>2.0</v>
      </c>
      <c r="AG106" s="2">
        <v>0.0</v>
      </c>
      <c r="AH106" s="2" t="s">
        <v>22</v>
      </c>
      <c r="AI106" s="83"/>
      <c r="AJ106" s="82">
        <f t="shared" si="1"/>
        <v>22</v>
      </c>
      <c r="AK106" s="82">
        <f t="shared" si="2"/>
        <v>16</v>
      </c>
    </row>
    <row r="107">
      <c r="A107" s="6">
        <v>44998.78965283565</v>
      </c>
      <c r="B107" s="2" t="s">
        <v>25</v>
      </c>
      <c r="C107" s="2">
        <v>9.0</v>
      </c>
      <c r="D107" s="2">
        <v>3568.0</v>
      </c>
      <c r="E107" s="2" t="s">
        <v>34</v>
      </c>
      <c r="L107" s="2">
        <v>1.0</v>
      </c>
      <c r="M107" s="2">
        <v>0.0</v>
      </c>
      <c r="P107" s="2">
        <v>1.0</v>
      </c>
      <c r="Q107" s="2">
        <v>1.0</v>
      </c>
      <c r="R107" s="2" t="s">
        <v>22</v>
      </c>
      <c r="Y107" s="2">
        <v>1.0</v>
      </c>
      <c r="Z107" s="2">
        <v>1.0</v>
      </c>
      <c r="AA107" s="2">
        <v>2.0</v>
      </c>
      <c r="AB107" s="2">
        <v>2.0</v>
      </c>
      <c r="AC107" s="2">
        <v>1.0</v>
      </c>
      <c r="AD107" s="2">
        <v>1.0</v>
      </c>
      <c r="AE107" s="2" t="s">
        <v>177</v>
      </c>
      <c r="AF107" s="2">
        <v>3.0</v>
      </c>
      <c r="AG107" s="2">
        <v>0.0</v>
      </c>
      <c r="AH107" s="2" t="s">
        <v>22</v>
      </c>
      <c r="AI107" s="84" t="s">
        <v>243</v>
      </c>
      <c r="AJ107" s="82">
        <f t="shared" si="1"/>
        <v>22</v>
      </c>
      <c r="AK107" s="82">
        <f t="shared" si="2"/>
        <v>16</v>
      </c>
    </row>
    <row r="108">
      <c r="A108" s="6">
        <v>44998.793071215274</v>
      </c>
      <c r="B108" s="2" t="s">
        <v>25</v>
      </c>
      <c r="C108" s="2">
        <v>19.0</v>
      </c>
      <c r="D108" s="2">
        <v>3568.0</v>
      </c>
      <c r="E108" s="2" t="s">
        <v>34</v>
      </c>
      <c r="N108" s="2">
        <v>1.0</v>
      </c>
      <c r="O108" s="2">
        <v>1.0</v>
      </c>
      <c r="R108" s="2" t="s">
        <v>22</v>
      </c>
      <c r="Y108" s="2">
        <v>1.0</v>
      </c>
      <c r="Z108" s="2">
        <v>1.0</v>
      </c>
      <c r="AE108" s="2" t="s">
        <v>177</v>
      </c>
      <c r="AF108" s="2">
        <v>1.0</v>
      </c>
      <c r="AG108" s="2">
        <v>0.0</v>
      </c>
      <c r="AH108" s="2" t="s">
        <v>22</v>
      </c>
      <c r="AI108" s="83"/>
      <c r="AJ108" s="82">
        <f t="shared" si="1"/>
        <v>15</v>
      </c>
      <c r="AK108" s="82">
        <f t="shared" si="2"/>
        <v>9</v>
      </c>
    </row>
    <row r="109">
      <c r="A109" s="6">
        <v>44999.50831534722</v>
      </c>
      <c r="B109" s="2" t="s">
        <v>25</v>
      </c>
      <c r="C109" s="2">
        <v>23.0</v>
      </c>
      <c r="D109" s="2">
        <v>3568.0</v>
      </c>
      <c r="E109" s="2" t="s">
        <v>22</v>
      </c>
      <c r="N109" s="2">
        <v>1.0</v>
      </c>
      <c r="O109" s="2">
        <v>1.0</v>
      </c>
      <c r="R109" s="2" t="s">
        <v>22</v>
      </c>
      <c r="W109" s="2">
        <v>1.0</v>
      </c>
      <c r="X109" s="2">
        <v>1.0</v>
      </c>
      <c r="AE109" s="2" t="s">
        <v>175</v>
      </c>
      <c r="AF109" s="2">
        <v>2.0</v>
      </c>
      <c r="AG109" s="2">
        <v>0.0</v>
      </c>
      <c r="AH109" s="2" t="s">
        <v>22</v>
      </c>
      <c r="AI109" s="84" t="s">
        <v>244</v>
      </c>
      <c r="AJ109" s="82">
        <f t="shared" si="1"/>
        <v>16</v>
      </c>
      <c r="AK109" s="82">
        <f t="shared" si="2"/>
        <v>6</v>
      </c>
    </row>
    <row r="110">
      <c r="A110" s="6">
        <v>44999.510777731484</v>
      </c>
      <c r="B110" s="2" t="s">
        <v>25</v>
      </c>
      <c r="C110" s="2">
        <v>27.0</v>
      </c>
      <c r="D110" s="2">
        <v>3568.0</v>
      </c>
      <c r="E110" s="2" t="s">
        <v>22</v>
      </c>
      <c r="N110" s="2">
        <v>1.0</v>
      </c>
      <c r="O110" s="2">
        <v>1.0</v>
      </c>
      <c r="R110" s="2" t="s">
        <v>22</v>
      </c>
      <c r="Y110" s="2">
        <v>3.0</v>
      </c>
      <c r="Z110" s="2">
        <v>3.0</v>
      </c>
      <c r="AE110" s="2" t="s">
        <v>177</v>
      </c>
      <c r="AF110" s="2">
        <v>3.0</v>
      </c>
      <c r="AG110" s="2">
        <v>0.0</v>
      </c>
      <c r="AH110" s="2" t="s">
        <v>22</v>
      </c>
      <c r="AI110" s="84" t="s">
        <v>245</v>
      </c>
      <c r="AJ110" s="82">
        <f t="shared" si="1"/>
        <v>22</v>
      </c>
      <c r="AK110" s="82">
        <f t="shared" si="2"/>
        <v>19</v>
      </c>
    </row>
    <row r="111">
      <c r="A111" s="6">
        <v>44999.51549363426</v>
      </c>
      <c r="B111" s="2" t="s">
        <v>25</v>
      </c>
      <c r="C111" s="2">
        <v>33.0</v>
      </c>
      <c r="D111" s="2">
        <v>3568.0</v>
      </c>
      <c r="E111" s="2" t="s">
        <v>22</v>
      </c>
      <c r="N111" s="2">
        <v>1.0</v>
      </c>
      <c r="O111" s="2">
        <v>1.0</v>
      </c>
      <c r="R111" s="2" t="s">
        <v>22</v>
      </c>
      <c r="Y111" s="2">
        <v>3.0</v>
      </c>
      <c r="Z111" s="2">
        <v>3.0</v>
      </c>
      <c r="AA111" s="2">
        <v>1.0</v>
      </c>
      <c r="AB111" s="2">
        <v>1.0</v>
      </c>
      <c r="AE111" s="2" t="s">
        <v>177</v>
      </c>
      <c r="AF111" s="2">
        <v>3.0</v>
      </c>
      <c r="AG111" s="2">
        <v>0.0</v>
      </c>
      <c r="AH111" s="2" t="s">
        <v>22</v>
      </c>
      <c r="AI111" s="83"/>
      <c r="AJ111" s="82">
        <f t="shared" si="1"/>
        <v>25</v>
      </c>
      <c r="AK111" s="82">
        <f t="shared" si="2"/>
        <v>22</v>
      </c>
    </row>
    <row r="112">
      <c r="A112" s="6">
        <v>44999.84830725694</v>
      </c>
      <c r="B112" s="2" t="s">
        <v>246</v>
      </c>
      <c r="C112" s="2">
        <v>46.0</v>
      </c>
      <c r="D112" s="2">
        <v>3568.0</v>
      </c>
      <c r="E112" s="2" t="s">
        <v>34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1.0</v>
      </c>
      <c r="M112" s="2">
        <v>1.0</v>
      </c>
      <c r="N112" s="2">
        <v>0.0</v>
      </c>
      <c r="O112" s="2">
        <v>0.0</v>
      </c>
      <c r="P112" s="2">
        <v>0.0</v>
      </c>
      <c r="Q112" s="2">
        <v>0.0</v>
      </c>
      <c r="R112" s="2" t="s">
        <v>22</v>
      </c>
      <c r="S112" s="2">
        <v>0.0</v>
      </c>
      <c r="T112" s="2">
        <v>0.0</v>
      </c>
      <c r="U112" s="2">
        <v>0.0</v>
      </c>
      <c r="V112" s="2">
        <v>0.0</v>
      </c>
      <c r="W112" s="2">
        <v>0.0</v>
      </c>
      <c r="X112" s="2">
        <v>0.0</v>
      </c>
      <c r="Y112" s="2">
        <v>0.0</v>
      </c>
      <c r="Z112" s="2">
        <v>0.0</v>
      </c>
      <c r="AA112" s="2">
        <v>0.0</v>
      </c>
      <c r="AB112" s="2">
        <v>0.0</v>
      </c>
      <c r="AC112" s="2">
        <v>0.0</v>
      </c>
      <c r="AD112" s="2">
        <v>0.0</v>
      </c>
      <c r="AE112" s="2" t="s">
        <v>22</v>
      </c>
      <c r="AF112" s="2">
        <v>0.0</v>
      </c>
      <c r="AG112" s="2">
        <v>0.0</v>
      </c>
      <c r="AH112" s="2" t="s">
        <v>34</v>
      </c>
      <c r="AI112" s="84" t="s">
        <v>247</v>
      </c>
      <c r="AJ112" s="82">
        <f t="shared" si="1"/>
        <v>9</v>
      </c>
      <c r="AK112" s="82">
        <f t="shared" si="2"/>
        <v>6</v>
      </c>
    </row>
    <row r="113">
      <c r="A113" s="6">
        <v>45004.53346730324</v>
      </c>
      <c r="B113" s="2" t="s">
        <v>25</v>
      </c>
      <c r="C113" s="2" t="s">
        <v>194</v>
      </c>
      <c r="D113" s="2">
        <v>3568.0</v>
      </c>
      <c r="E113" s="2" t="s">
        <v>34</v>
      </c>
      <c r="L113" s="2">
        <v>1.0</v>
      </c>
      <c r="M113" s="2">
        <v>1.0</v>
      </c>
      <c r="R113" s="2" t="s">
        <v>22</v>
      </c>
      <c r="Y113" s="2">
        <v>2.0</v>
      </c>
      <c r="Z113" s="2">
        <v>1.0</v>
      </c>
      <c r="AA113" s="2">
        <v>1.0</v>
      </c>
      <c r="AB113" s="2">
        <v>1.0</v>
      </c>
      <c r="AC113" s="2">
        <v>1.0</v>
      </c>
      <c r="AD113" s="2">
        <v>1.0</v>
      </c>
      <c r="AE113" s="2" t="s">
        <v>175</v>
      </c>
      <c r="AF113" s="2">
        <v>2.0</v>
      </c>
      <c r="AG113" s="2">
        <v>0.0</v>
      </c>
      <c r="AH113" s="2" t="s">
        <v>22</v>
      </c>
      <c r="AI113" s="84" t="s">
        <v>248</v>
      </c>
      <c r="AJ113" s="82">
        <f t="shared" si="1"/>
        <v>29</v>
      </c>
      <c r="AK113" s="82">
        <f t="shared" si="2"/>
        <v>16</v>
      </c>
    </row>
    <row r="114">
      <c r="A114" s="6">
        <v>44996.55827815972</v>
      </c>
      <c r="B114" s="2" t="s">
        <v>249</v>
      </c>
      <c r="C114" s="2">
        <v>4.0</v>
      </c>
      <c r="D114" s="2">
        <v>3707.0</v>
      </c>
      <c r="E114" s="2" t="s">
        <v>34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v>0.0</v>
      </c>
      <c r="N114" s="2">
        <v>0.0</v>
      </c>
      <c r="O114" s="2">
        <v>0.0</v>
      </c>
      <c r="P114" s="2">
        <v>0.0</v>
      </c>
      <c r="Q114" s="2">
        <v>0.0</v>
      </c>
      <c r="R114" s="2" t="s">
        <v>22</v>
      </c>
      <c r="AE114" s="2" t="s">
        <v>177</v>
      </c>
      <c r="AF114" s="2">
        <v>0.0</v>
      </c>
      <c r="AG114" s="2">
        <v>0.0</v>
      </c>
      <c r="AH114" s="2" t="s">
        <v>34</v>
      </c>
      <c r="AI114" s="84" t="s">
        <v>250</v>
      </c>
      <c r="AJ114" s="82">
        <f t="shared" si="1"/>
        <v>6</v>
      </c>
      <c r="AK114" s="82">
        <f t="shared" si="2"/>
        <v>0</v>
      </c>
    </row>
    <row r="115">
      <c r="A115" s="6">
        <v>44996.563073171295</v>
      </c>
      <c r="B115" s="2" t="s">
        <v>63</v>
      </c>
      <c r="C115" s="2">
        <v>10.0</v>
      </c>
      <c r="D115" s="2">
        <v>3707.0</v>
      </c>
      <c r="E115" s="2" t="s">
        <v>34</v>
      </c>
      <c r="R115" s="2" t="s">
        <v>175</v>
      </c>
      <c r="AA115" s="2">
        <v>2.0</v>
      </c>
      <c r="AB115" s="2">
        <v>2.0</v>
      </c>
      <c r="AC115" s="2">
        <v>1.0</v>
      </c>
      <c r="AD115" s="2">
        <v>1.0</v>
      </c>
      <c r="AE115" s="2" t="s">
        <v>175</v>
      </c>
      <c r="AF115" s="2">
        <v>2.0</v>
      </c>
      <c r="AG115" s="2">
        <v>1.0</v>
      </c>
      <c r="AH115" s="2" t="s">
        <v>22</v>
      </c>
      <c r="AI115" s="83"/>
      <c r="AJ115" s="82">
        <f t="shared" si="1"/>
        <v>33</v>
      </c>
      <c r="AK115" s="82">
        <f t="shared" si="2"/>
        <v>8</v>
      </c>
    </row>
    <row r="116">
      <c r="A116" s="6">
        <v>44996.56582480324</v>
      </c>
      <c r="B116" s="2" t="s">
        <v>251</v>
      </c>
      <c r="C116" s="2">
        <v>15.0</v>
      </c>
      <c r="D116" s="2">
        <v>3707.0</v>
      </c>
      <c r="E116" s="2" t="s">
        <v>34</v>
      </c>
      <c r="R116" s="2" t="s">
        <v>22</v>
      </c>
      <c r="Y116" s="2">
        <v>1.0</v>
      </c>
      <c r="Z116" s="2">
        <v>1.0</v>
      </c>
      <c r="AC116" s="2">
        <v>1.0</v>
      </c>
      <c r="AD116" s="2">
        <v>1.0</v>
      </c>
      <c r="AE116" s="2" t="s">
        <v>175</v>
      </c>
      <c r="AF116" s="2">
        <v>0.0</v>
      </c>
      <c r="AG116" s="2">
        <v>1.0</v>
      </c>
      <c r="AH116" s="2" t="s">
        <v>22</v>
      </c>
      <c r="AI116" s="83"/>
      <c r="AJ116" s="82">
        <f t="shared" si="1"/>
        <v>20</v>
      </c>
      <c r="AK116" s="82">
        <f t="shared" si="2"/>
        <v>7</v>
      </c>
    </row>
    <row r="117">
      <c r="A117" s="6">
        <v>44996.569739768514</v>
      </c>
      <c r="B117" s="2" t="s">
        <v>249</v>
      </c>
      <c r="C117" s="2">
        <v>30.0</v>
      </c>
      <c r="D117" s="2">
        <v>3707.0</v>
      </c>
      <c r="E117" s="2" t="s">
        <v>34</v>
      </c>
      <c r="R117" s="2" t="s">
        <v>22</v>
      </c>
      <c r="W117" s="2">
        <v>2.0</v>
      </c>
      <c r="X117" s="2">
        <v>2.0</v>
      </c>
      <c r="AC117" s="2">
        <v>1.0</v>
      </c>
      <c r="AD117" s="2">
        <v>1.0</v>
      </c>
      <c r="AE117" s="2" t="s">
        <v>178</v>
      </c>
      <c r="AF117" s="2">
        <v>1.0</v>
      </c>
      <c r="AG117" s="2">
        <v>1.0</v>
      </c>
      <c r="AH117" s="2" t="s">
        <v>22</v>
      </c>
      <c r="AI117" s="83"/>
      <c r="AJ117" s="82">
        <f t="shared" si="1"/>
        <v>15</v>
      </c>
      <c r="AK117" s="82">
        <f t="shared" si="2"/>
        <v>6</v>
      </c>
    </row>
    <row r="118">
      <c r="A118" s="6">
        <v>44996.574429976856</v>
      </c>
      <c r="B118" s="2" t="s">
        <v>249</v>
      </c>
      <c r="C118" s="2">
        <v>29.0</v>
      </c>
      <c r="D118" s="2">
        <v>3707.0</v>
      </c>
      <c r="E118" s="2" t="s">
        <v>34</v>
      </c>
      <c r="R118" s="2" t="s">
        <v>178</v>
      </c>
      <c r="AA118" s="2">
        <v>3.0</v>
      </c>
      <c r="AB118" s="2">
        <v>2.0</v>
      </c>
      <c r="AC118" s="2">
        <v>3.0</v>
      </c>
      <c r="AD118" s="2">
        <v>3.0</v>
      </c>
      <c r="AE118" s="2" t="s">
        <v>175</v>
      </c>
      <c r="AF118" s="2">
        <v>0.0</v>
      </c>
      <c r="AG118" s="2">
        <v>2.0</v>
      </c>
      <c r="AH118" s="2" t="s">
        <v>22</v>
      </c>
      <c r="AI118" s="83"/>
      <c r="AJ118" s="82">
        <f t="shared" si="1"/>
        <v>33</v>
      </c>
      <c r="AK118" s="82">
        <f t="shared" si="2"/>
        <v>12</v>
      </c>
    </row>
    <row r="119">
      <c r="A119" s="6">
        <v>44996.57912241898</v>
      </c>
      <c r="B119" s="2" t="s">
        <v>251</v>
      </c>
      <c r="C119" s="2">
        <v>36.0</v>
      </c>
      <c r="D119" s="2">
        <v>3707.0</v>
      </c>
      <c r="E119" s="2" t="s">
        <v>34</v>
      </c>
      <c r="R119" s="2" t="s">
        <v>175</v>
      </c>
      <c r="AA119" s="2">
        <v>2.0</v>
      </c>
      <c r="AB119" s="2">
        <v>2.0</v>
      </c>
      <c r="AC119" s="2">
        <v>3.0</v>
      </c>
      <c r="AD119" s="2">
        <v>3.0</v>
      </c>
      <c r="AE119" s="2" t="s">
        <v>177</v>
      </c>
      <c r="AF119" s="2">
        <v>0.0</v>
      </c>
      <c r="AG119" s="2">
        <v>1.0</v>
      </c>
      <c r="AH119" s="2" t="s">
        <v>22</v>
      </c>
      <c r="AI119" s="83"/>
      <c r="AJ119" s="82">
        <f t="shared" si="1"/>
        <v>30</v>
      </c>
      <c r="AK119" s="82">
        <f t="shared" si="2"/>
        <v>12</v>
      </c>
    </row>
    <row r="120">
      <c r="A120" s="6">
        <v>44996.582033136576</v>
      </c>
      <c r="B120" s="2" t="s">
        <v>249</v>
      </c>
      <c r="C120" s="2">
        <v>43.0</v>
      </c>
      <c r="D120" s="2">
        <v>3707.0</v>
      </c>
      <c r="E120" s="2" t="s">
        <v>34</v>
      </c>
      <c r="R120" s="2" t="s">
        <v>22</v>
      </c>
      <c r="W120" s="2">
        <v>1.0</v>
      </c>
      <c r="X120" s="2">
        <v>1.0</v>
      </c>
      <c r="AA120" s="2">
        <v>3.0</v>
      </c>
      <c r="AB120" s="2">
        <v>3.0</v>
      </c>
      <c r="AC120" s="2">
        <v>2.0</v>
      </c>
      <c r="AD120" s="2">
        <v>2.0</v>
      </c>
      <c r="AE120" s="2" t="s">
        <v>177</v>
      </c>
      <c r="AF120" s="2">
        <v>0.0</v>
      </c>
      <c r="AG120" s="2">
        <v>2.0</v>
      </c>
      <c r="AH120" s="2" t="s">
        <v>22</v>
      </c>
      <c r="AI120" s="83"/>
      <c r="AJ120" s="82">
        <f t="shared" si="1"/>
        <v>21</v>
      </c>
      <c r="AK120" s="82">
        <f t="shared" si="2"/>
        <v>15</v>
      </c>
    </row>
    <row r="121">
      <c r="A121" s="6">
        <v>44996.58735180556</v>
      </c>
      <c r="B121" s="2" t="s">
        <v>249</v>
      </c>
      <c r="C121" s="2">
        <v>48.0</v>
      </c>
      <c r="D121" s="2">
        <v>3707.0</v>
      </c>
      <c r="E121" s="2" t="s">
        <v>34</v>
      </c>
      <c r="R121" s="2" t="s">
        <v>22</v>
      </c>
      <c r="AC121" s="2">
        <v>5.0</v>
      </c>
      <c r="AD121" s="2">
        <v>5.0</v>
      </c>
      <c r="AE121" s="2" t="s">
        <v>177</v>
      </c>
      <c r="AF121" s="2">
        <v>1.0</v>
      </c>
      <c r="AG121" s="2">
        <v>1.0</v>
      </c>
      <c r="AH121" s="2" t="s">
        <v>22</v>
      </c>
      <c r="AI121" s="83"/>
      <c r="AJ121" s="82">
        <f t="shared" si="1"/>
        <v>16</v>
      </c>
      <c r="AK121" s="82">
        <f t="shared" si="2"/>
        <v>10</v>
      </c>
    </row>
    <row r="122">
      <c r="A122" s="6">
        <v>44996.590295277776</v>
      </c>
      <c r="B122" s="2" t="s">
        <v>249</v>
      </c>
      <c r="C122" s="2">
        <v>55.0</v>
      </c>
      <c r="D122" s="2">
        <v>3707.0</v>
      </c>
      <c r="E122" s="2" t="s">
        <v>34</v>
      </c>
      <c r="R122" s="2" t="s">
        <v>22</v>
      </c>
      <c r="U122" s="2">
        <v>1.0</v>
      </c>
      <c r="V122" s="2">
        <v>1.0</v>
      </c>
      <c r="AA122" s="2">
        <v>2.0</v>
      </c>
      <c r="AB122" s="2">
        <v>2.0</v>
      </c>
      <c r="AC122" s="2">
        <v>3.0</v>
      </c>
      <c r="AD122" s="2">
        <v>3.0</v>
      </c>
      <c r="AE122" s="2" t="s">
        <v>175</v>
      </c>
      <c r="AF122" s="2">
        <v>0.0</v>
      </c>
      <c r="AG122" s="2">
        <v>2.0</v>
      </c>
      <c r="AH122" s="2" t="s">
        <v>22</v>
      </c>
      <c r="AI122" s="83"/>
      <c r="AJ122" s="82">
        <f t="shared" si="1"/>
        <v>28</v>
      </c>
      <c r="AK122" s="82">
        <f t="shared" si="2"/>
        <v>15</v>
      </c>
    </row>
    <row r="123">
      <c r="A123" s="6">
        <v>44996.59464422453</v>
      </c>
      <c r="B123" s="2" t="s">
        <v>249</v>
      </c>
      <c r="C123" s="2">
        <v>60.0</v>
      </c>
      <c r="D123" s="2">
        <v>3707.0</v>
      </c>
      <c r="E123" s="2" t="s">
        <v>22</v>
      </c>
      <c r="R123" s="2" t="s">
        <v>175</v>
      </c>
      <c r="AA123" s="2">
        <v>2.0</v>
      </c>
      <c r="AB123" s="2">
        <v>2.0</v>
      </c>
      <c r="AC123" s="2">
        <v>1.0</v>
      </c>
      <c r="AD123" s="2">
        <v>1.0</v>
      </c>
      <c r="AE123" s="2" t="s">
        <v>175</v>
      </c>
      <c r="AF123" s="2">
        <v>0.0</v>
      </c>
      <c r="AG123" s="2">
        <v>1.0</v>
      </c>
      <c r="AH123" s="2" t="s">
        <v>22</v>
      </c>
      <c r="AI123" s="83"/>
      <c r="AJ123" s="82">
        <f t="shared" si="1"/>
        <v>30</v>
      </c>
      <c r="AK123" s="82">
        <f t="shared" si="2"/>
        <v>8</v>
      </c>
    </row>
    <row r="124">
      <c r="A124" s="6">
        <v>44996.601125497684</v>
      </c>
      <c r="B124" s="2" t="s">
        <v>251</v>
      </c>
      <c r="C124" s="2">
        <v>67.0</v>
      </c>
      <c r="D124" s="2">
        <v>3707.0</v>
      </c>
      <c r="E124" s="2" t="s">
        <v>34</v>
      </c>
      <c r="R124" s="2" t="s">
        <v>22</v>
      </c>
      <c r="AA124" s="2">
        <v>4.0</v>
      </c>
      <c r="AB124" s="2">
        <v>3.0</v>
      </c>
      <c r="AC124" s="2">
        <v>2.0</v>
      </c>
      <c r="AD124" s="2">
        <v>2.0</v>
      </c>
      <c r="AE124" s="2" t="s">
        <v>175</v>
      </c>
      <c r="AF124" s="2">
        <v>0.0</v>
      </c>
      <c r="AG124" s="2">
        <v>1.0</v>
      </c>
      <c r="AH124" s="2" t="s">
        <v>22</v>
      </c>
      <c r="AI124" s="83"/>
      <c r="AJ124" s="82">
        <f t="shared" si="1"/>
        <v>26</v>
      </c>
      <c r="AK124" s="82">
        <f t="shared" si="2"/>
        <v>13</v>
      </c>
    </row>
    <row r="125">
      <c r="A125" s="6">
        <v>44996.604414664354</v>
      </c>
      <c r="B125" s="2" t="s">
        <v>251</v>
      </c>
      <c r="C125" s="2">
        <v>72.0</v>
      </c>
      <c r="D125" s="2">
        <v>3707.0</v>
      </c>
      <c r="E125" s="2" t="s">
        <v>22</v>
      </c>
      <c r="R125" s="2" t="s">
        <v>175</v>
      </c>
      <c r="AA125" s="2">
        <v>1.0</v>
      </c>
      <c r="AB125" s="2">
        <v>1.0</v>
      </c>
      <c r="AC125" s="2">
        <v>4.0</v>
      </c>
      <c r="AD125" s="2">
        <v>4.0</v>
      </c>
      <c r="AE125" s="2" t="s">
        <v>22</v>
      </c>
      <c r="AF125" s="2">
        <v>0.0</v>
      </c>
      <c r="AG125" s="2">
        <v>1.0</v>
      </c>
      <c r="AH125" s="2" t="s">
        <v>22</v>
      </c>
      <c r="AI125" s="83"/>
      <c r="AJ125" s="82">
        <f t="shared" si="1"/>
        <v>23</v>
      </c>
      <c r="AK125" s="82">
        <f t="shared" si="2"/>
        <v>11</v>
      </c>
    </row>
    <row r="126">
      <c r="A126" s="6">
        <v>44996.60776866898</v>
      </c>
      <c r="B126" s="2" t="s">
        <v>251</v>
      </c>
      <c r="C126" s="2" t="s">
        <v>252</v>
      </c>
      <c r="D126" s="2">
        <v>3707.0</v>
      </c>
      <c r="E126" s="2" t="s">
        <v>34</v>
      </c>
      <c r="R126" s="2" t="s">
        <v>22</v>
      </c>
      <c r="AA126" s="2">
        <v>1.0</v>
      </c>
      <c r="AB126" s="2">
        <v>1.0</v>
      </c>
      <c r="AC126" s="2">
        <v>2.0</v>
      </c>
      <c r="AD126" s="2">
        <v>2.0</v>
      </c>
      <c r="AE126" s="2" t="s">
        <v>178</v>
      </c>
      <c r="AF126" s="2">
        <v>1.0</v>
      </c>
      <c r="AG126" s="2">
        <v>2.0</v>
      </c>
      <c r="AH126" s="2" t="s">
        <v>22</v>
      </c>
      <c r="AI126" s="83"/>
      <c r="AJ126" s="82">
        <f t="shared" si="1"/>
        <v>16</v>
      </c>
      <c r="AK126" s="82">
        <f t="shared" si="2"/>
        <v>7</v>
      </c>
    </row>
    <row r="127">
      <c r="A127" s="6">
        <v>44996.614488356485</v>
      </c>
      <c r="B127" s="2" t="s">
        <v>63</v>
      </c>
      <c r="C127" s="2" t="s">
        <v>253</v>
      </c>
      <c r="D127" s="2">
        <v>3707.0</v>
      </c>
      <c r="E127" s="2" t="s">
        <v>34</v>
      </c>
      <c r="R127" s="2" t="s">
        <v>22</v>
      </c>
      <c r="AE127" s="2" t="s">
        <v>177</v>
      </c>
      <c r="AF127" s="2">
        <v>1.0</v>
      </c>
      <c r="AG127" s="2">
        <v>0.0</v>
      </c>
      <c r="AH127" s="2" t="s">
        <v>22</v>
      </c>
      <c r="AI127" s="83"/>
      <c r="AJ127" s="82">
        <f t="shared" si="1"/>
        <v>6</v>
      </c>
      <c r="AK127" s="82">
        <f t="shared" si="2"/>
        <v>0</v>
      </c>
    </row>
    <row r="128">
      <c r="A128" s="6">
        <v>44996.61838627315</v>
      </c>
      <c r="B128" s="2" t="s">
        <v>249</v>
      </c>
      <c r="C128" s="2">
        <v>5.0</v>
      </c>
      <c r="D128" s="2">
        <v>3773.0</v>
      </c>
      <c r="E128" s="2" t="s">
        <v>22</v>
      </c>
      <c r="R128" s="2" t="s">
        <v>22</v>
      </c>
      <c r="W128" s="2">
        <v>2.0</v>
      </c>
      <c r="X128" s="2">
        <v>2.0</v>
      </c>
      <c r="AE128" s="2" t="s">
        <v>22</v>
      </c>
      <c r="AF128" s="2">
        <v>0.0</v>
      </c>
      <c r="AG128" s="2">
        <v>1.0</v>
      </c>
      <c r="AH128" s="2" t="s">
        <v>34</v>
      </c>
      <c r="AI128" s="84" t="s">
        <v>254</v>
      </c>
      <c r="AJ128" s="82">
        <f t="shared" si="1"/>
        <v>4</v>
      </c>
      <c r="AK128" s="82">
        <f t="shared" si="2"/>
        <v>4</v>
      </c>
    </row>
    <row r="129">
      <c r="A129" s="6">
        <v>44996.620731250005</v>
      </c>
      <c r="B129" s="2" t="s">
        <v>249</v>
      </c>
      <c r="C129" s="2">
        <v>10.0</v>
      </c>
      <c r="D129" s="2">
        <v>3773.0</v>
      </c>
      <c r="E129" s="2" t="s">
        <v>22</v>
      </c>
      <c r="R129" s="2" t="s">
        <v>22</v>
      </c>
      <c r="AE129" s="2" t="s">
        <v>22</v>
      </c>
      <c r="AF129" s="2">
        <v>0.0</v>
      </c>
      <c r="AG129" s="2">
        <v>0.0</v>
      </c>
      <c r="AH129" s="2" t="s">
        <v>34</v>
      </c>
      <c r="AI129" s="83"/>
      <c r="AJ129" s="82">
        <f t="shared" si="1"/>
        <v>0</v>
      </c>
      <c r="AK129" s="82">
        <f t="shared" si="2"/>
        <v>0</v>
      </c>
    </row>
    <row r="130">
      <c r="A130" s="6">
        <v>44996.623688252315</v>
      </c>
      <c r="B130" s="2" t="s">
        <v>249</v>
      </c>
      <c r="C130" s="2">
        <v>23.0</v>
      </c>
      <c r="D130" s="2">
        <v>3773.0</v>
      </c>
      <c r="E130" s="2" t="s">
        <v>22</v>
      </c>
      <c r="R130" s="2" t="s">
        <v>22</v>
      </c>
      <c r="AE130" s="2" t="s">
        <v>22</v>
      </c>
      <c r="AF130" s="2">
        <v>0.0</v>
      </c>
      <c r="AG130" s="2">
        <v>0.0</v>
      </c>
      <c r="AH130" s="2" t="s">
        <v>34</v>
      </c>
      <c r="AI130" s="83"/>
      <c r="AJ130" s="82">
        <f t="shared" si="1"/>
        <v>0</v>
      </c>
      <c r="AK130" s="82">
        <f t="shared" si="2"/>
        <v>0</v>
      </c>
    </row>
    <row r="131">
      <c r="A131" s="6">
        <v>45011.624212766204</v>
      </c>
      <c r="B131" s="2" t="s">
        <v>255</v>
      </c>
      <c r="C131" s="2">
        <v>3.0</v>
      </c>
      <c r="D131" s="2">
        <v>4395.0</v>
      </c>
      <c r="E131" s="2" t="s">
        <v>22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1.0</v>
      </c>
      <c r="M131" s="2">
        <v>0.0</v>
      </c>
      <c r="N131" s="2">
        <v>0.0</v>
      </c>
      <c r="O131" s="2">
        <v>0.0</v>
      </c>
      <c r="P131" s="2">
        <v>0.0</v>
      </c>
      <c r="Q131" s="2">
        <v>0.0</v>
      </c>
      <c r="R131" s="2" t="s">
        <v>22</v>
      </c>
      <c r="S131" s="2">
        <v>1.0</v>
      </c>
      <c r="T131" s="2">
        <v>0.0</v>
      </c>
      <c r="U131" s="2">
        <v>0.0</v>
      </c>
      <c r="V131" s="2">
        <v>0.0</v>
      </c>
      <c r="W131" s="2">
        <v>0.0</v>
      </c>
      <c r="X131" s="2">
        <v>0.0</v>
      </c>
      <c r="Y131" s="2">
        <v>0.0</v>
      </c>
      <c r="Z131" s="2">
        <v>0.0</v>
      </c>
      <c r="AA131" s="2">
        <v>0.0</v>
      </c>
      <c r="AB131" s="2">
        <v>0.0</v>
      </c>
      <c r="AC131" s="2">
        <v>0.0</v>
      </c>
      <c r="AE131" s="2" t="s">
        <v>175</v>
      </c>
      <c r="AF131" s="2">
        <v>1.0</v>
      </c>
      <c r="AG131" s="2">
        <v>2.0</v>
      </c>
      <c r="AH131" s="2" t="s">
        <v>22</v>
      </c>
      <c r="AI131" s="2" t="s">
        <v>256</v>
      </c>
      <c r="AJ131" s="82">
        <f t="shared" si="1"/>
        <v>10</v>
      </c>
      <c r="AK131" s="82">
        <f t="shared" si="2"/>
        <v>0</v>
      </c>
    </row>
    <row r="132">
      <c r="A132" s="6">
        <v>45011.62842219908</v>
      </c>
      <c r="B132" s="2" t="s">
        <v>255</v>
      </c>
      <c r="C132" s="2">
        <v>8.0</v>
      </c>
      <c r="D132" s="2">
        <v>4395.0</v>
      </c>
      <c r="E132" s="2" t="s">
        <v>34</v>
      </c>
      <c r="F132" s="2">
        <v>1.0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  <c r="N132" s="2">
        <v>0.0</v>
      </c>
      <c r="O132" s="2">
        <v>0.0</v>
      </c>
      <c r="P132" s="2">
        <v>0.0</v>
      </c>
      <c r="Q132" s="2">
        <v>0.0</v>
      </c>
      <c r="R132" s="2" t="s">
        <v>22</v>
      </c>
      <c r="S132" s="2">
        <v>0.0</v>
      </c>
      <c r="T132" s="2">
        <v>0.0</v>
      </c>
      <c r="U132" s="2">
        <v>0.0</v>
      </c>
      <c r="V132" s="2">
        <v>0.0</v>
      </c>
      <c r="W132" s="2">
        <v>0.0</v>
      </c>
      <c r="X132" s="2">
        <v>0.0</v>
      </c>
      <c r="Y132" s="2">
        <v>0.0</v>
      </c>
      <c r="Z132" s="2">
        <v>0.0</v>
      </c>
      <c r="AA132" s="2">
        <v>1.0</v>
      </c>
      <c r="AB132" s="2">
        <v>1.0</v>
      </c>
      <c r="AC132" s="2">
        <v>0.0</v>
      </c>
      <c r="AD132" s="2">
        <v>0.0</v>
      </c>
      <c r="AE132" s="2" t="s">
        <v>22</v>
      </c>
      <c r="AF132" s="2">
        <v>0.0</v>
      </c>
      <c r="AG132" s="2">
        <v>0.0</v>
      </c>
      <c r="AH132" s="2" t="s">
        <v>22</v>
      </c>
      <c r="AJ132" s="82">
        <f t="shared" si="1"/>
        <v>6</v>
      </c>
      <c r="AK132" s="82">
        <f t="shared" si="2"/>
        <v>3</v>
      </c>
    </row>
    <row r="133">
      <c r="A133" s="6">
        <v>45011.63546884259</v>
      </c>
      <c r="B133" s="2" t="s">
        <v>255</v>
      </c>
      <c r="C133" s="2">
        <v>18.0</v>
      </c>
      <c r="D133" s="2">
        <v>4395.0</v>
      </c>
      <c r="E133" s="2" t="s">
        <v>34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  <c r="M133" s="2">
        <v>0.0</v>
      </c>
      <c r="N133" s="2">
        <v>0.0</v>
      </c>
      <c r="O133" s="2">
        <v>0.0</v>
      </c>
      <c r="P133" s="2">
        <v>0.0</v>
      </c>
      <c r="Q133" s="2">
        <v>0.0</v>
      </c>
      <c r="R133" s="2" t="s">
        <v>22</v>
      </c>
      <c r="S133" s="2">
        <v>0.0</v>
      </c>
      <c r="T133" s="2">
        <v>0.0</v>
      </c>
      <c r="U133" s="2">
        <v>0.0</v>
      </c>
      <c r="V133" s="2">
        <v>0.0</v>
      </c>
      <c r="W133" s="2">
        <v>0.0</v>
      </c>
      <c r="X133" s="2">
        <v>0.0</v>
      </c>
      <c r="Y133" s="2">
        <v>0.0</v>
      </c>
      <c r="Z133" s="2">
        <v>0.0</v>
      </c>
      <c r="AA133" s="2">
        <v>0.0</v>
      </c>
      <c r="AB133" s="2">
        <v>0.0</v>
      </c>
      <c r="AC133" s="2">
        <v>0.0</v>
      </c>
      <c r="AD133" s="2">
        <v>0.0</v>
      </c>
      <c r="AE133" s="2" t="s">
        <v>22</v>
      </c>
      <c r="AF133" s="2">
        <v>0.0</v>
      </c>
      <c r="AG133" s="2">
        <v>0.0</v>
      </c>
      <c r="AH133" s="2" t="s">
        <v>22</v>
      </c>
      <c r="AJ133" s="82">
        <f t="shared" si="1"/>
        <v>3</v>
      </c>
      <c r="AK133" s="82">
        <f t="shared" si="2"/>
        <v>0</v>
      </c>
    </row>
    <row r="134">
      <c r="A134" s="6">
        <v>45011.638848946764</v>
      </c>
      <c r="B134" s="2" t="s">
        <v>257</v>
      </c>
      <c r="C134" s="2">
        <v>25.0</v>
      </c>
      <c r="D134" s="2">
        <v>4395.0</v>
      </c>
      <c r="E134" s="2" t="s">
        <v>34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0.0</v>
      </c>
      <c r="M134" s="2">
        <v>0.0</v>
      </c>
      <c r="N134" s="2">
        <v>0.0</v>
      </c>
      <c r="O134" s="2">
        <v>0.0</v>
      </c>
      <c r="P134" s="2">
        <v>0.0</v>
      </c>
      <c r="Q134" s="2">
        <v>0.0</v>
      </c>
      <c r="R134" s="2" t="s">
        <v>22</v>
      </c>
      <c r="S134" s="2">
        <v>0.0</v>
      </c>
      <c r="T134" s="2">
        <v>0.0</v>
      </c>
      <c r="U134" s="2">
        <v>0.0</v>
      </c>
      <c r="V134" s="2">
        <v>0.0</v>
      </c>
      <c r="W134" s="2">
        <v>0.0</v>
      </c>
      <c r="X134" s="2">
        <v>0.0</v>
      </c>
      <c r="Y134" s="2">
        <v>0.0</v>
      </c>
      <c r="Z134" s="2">
        <v>0.0</v>
      </c>
      <c r="AA134" s="2">
        <v>0.0</v>
      </c>
      <c r="AB134" s="2">
        <v>0.0</v>
      </c>
      <c r="AC134" s="2">
        <v>0.0</v>
      </c>
      <c r="AD134" s="2">
        <v>0.0</v>
      </c>
      <c r="AE134" s="2" t="s">
        <v>22</v>
      </c>
      <c r="AF134" s="2">
        <v>0.0</v>
      </c>
      <c r="AG134" s="2">
        <v>0.0</v>
      </c>
      <c r="AH134" s="2" t="s">
        <v>22</v>
      </c>
      <c r="AI134" s="2" t="s">
        <v>258</v>
      </c>
      <c r="AJ134" s="82">
        <f t="shared" si="1"/>
        <v>3</v>
      </c>
      <c r="AK134" s="82">
        <f t="shared" si="2"/>
        <v>0</v>
      </c>
    </row>
    <row r="135">
      <c r="A135" s="6">
        <v>45011.64183707176</v>
      </c>
      <c r="B135" s="2" t="s">
        <v>255</v>
      </c>
      <c r="C135" s="2">
        <v>33.0</v>
      </c>
      <c r="D135" s="2">
        <v>4395.0</v>
      </c>
      <c r="E135" s="2" t="s">
        <v>34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v>0.0</v>
      </c>
      <c r="N135" s="2">
        <v>0.0</v>
      </c>
      <c r="O135" s="2">
        <v>0.0</v>
      </c>
      <c r="P135" s="2">
        <v>0.0</v>
      </c>
      <c r="Q135" s="2">
        <v>0.0</v>
      </c>
      <c r="R135" s="2" t="s">
        <v>22</v>
      </c>
      <c r="S135" s="2">
        <v>0.0</v>
      </c>
      <c r="T135" s="2">
        <v>0.0</v>
      </c>
      <c r="U135" s="2">
        <v>0.0</v>
      </c>
      <c r="V135" s="2">
        <v>0.0</v>
      </c>
      <c r="W135" s="2">
        <v>1.0</v>
      </c>
      <c r="X135" s="2">
        <v>0.0</v>
      </c>
      <c r="Y135" s="2">
        <v>0.0</v>
      </c>
      <c r="Z135" s="2">
        <v>0.0</v>
      </c>
      <c r="AA135" s="2">
        <v>0.0</v>
      </c>
      <c r="AB135" s="2">
        <v>0.0</v>
      </c>
      <c r="AC135" s="2">
        <v>0.0</v>
      </c>
      <c r="AD135" s="2">
        <v>0.0</v>
      </c>
      <c r="AE135" s="2" t="s">
        <v>175</v>
      </c>
      <c r="AF135" s="2">
        <v>0.0</v>
      </c>
      <c r="AG135" s="2">
        <v>0.0</v>
      </c>
      <c r="AH135" s="2" t="s">
        <v>22</v>
      </c>
      <c r="AJ135" s="82">
        <f t="shared" si="1"/>
        <v>13</v>
      </c>
      <c r="AK135" s="82">
        <f t="shared" si="2"/>
        <v>0</v>
      </c>
    </row>
    <row r="136">
      <c r="A136" s="6">
        <v>45012.52877548611</v>
      </c>
      <c r="B136" s="2" t="s">
        <v>255</v>
      </c>
      <c r="C136" s="2">
        <v>38.0</v>
      </c>
      <c r="D136" s="2">
        <v>4395.0</v>
      </c>
      <c r="E136" s="2" t="s">
        <v>34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  <c r="M136" s="2">
        <v>0.0</v>
      </c>
      <c r="N136" s="2">
        <v>0.0</v>
      </c>
      <c r="O136" s="2">
        <v>0.0</v>
      </c>
      <c r="P136" s="2">
        <v>0.0</v>
      </c>
      <c r="Q136" s="2">
        <v>0.0</v>
      </c>
      <c r="R136" s="2" t="s">
        <v>22</v>
      </c>
      <c r="S136" s="2">
        <v>0.0</v>
      </c>
      <c r="T136" s="2">
        <v>0.0</v>
      </c>
      <c r="U136" s="2">
        <v>0.0</v>
      </c>
      <c r="V136" s="2">
        <v>0.0</v>
      </c>
      <c r="W136" s="2">
        <v>0.0</v>
      </c>
      <c r="X136" s="2">
        <v>0.0</v>
      </c>
      <c r="Y136" s="2">
        <v>0.0</v>
      </c>
      <c r="Z136" s="2">
        <v>0.0</v>
      </c>
      <c r="AA136" s="2">
        <v>0.0</v>
      </c>
      <c r="AB136" s="2">
        <v>0.0</v>
      </c>
      <c r="AC136" s="2">
        <v>0.0</v>
      </c>
      <c r="AD136" s="2">
        <v>0.0</v>
      </c>
      <c r="AE136" s="2" t="s">
        <v>175</v>
      </c>
      <c r="AF136" s="2">
        <v>0.0</v>
      </c>
      <c r="AG136" s="2">
        <v>2.0</v>
      </c>
      <c r="AH136" s="2" t="s">
        <v>22</v>
      </c>
      <c r="AJ136" s="82">
        <f t="shared" si="1"/>
        <v>13</v>
      </c>
      <c r="AK136" s="82">
        <f t="shared" si="2"/>
        <v>0</v>
      </c>
    </row>
    <row r="137">
      <c r="A137" s="6">
        <v>45004.59095866898</v>
      </c>
      <c r="B137" s="2" t="s">
        <v>259</v>
      </c>
      <c r="C137" s="2">
        <v>79.0</v>
      </c>
      <c r="D137" s="2">
        <v>4405.0</v>
      </c>
      <c r="E137" s="2" t="s">
        <v>34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0.0</v>
      </c>
      <c r="M137" s="2">
        <v>0.0</v>
      </c>
      <c r="N137" s="2">
        <v>0.0</v>
      </c>
      <c r="O137" s="2">
        <v>0.0</v>
      </c>
      <c r="P137" s="2">
        <v>0.0</v>
      </c>
      <c r="Q137" s="2">
        <v>0.0</v>
      </c>
      <c r="R137" s="2" t="s">
        <v>175</v>
      </c>
      <c r="S137" s="2">
        <v>4.0</v>
      </c>
      <c r="T137" s="2">
        <v>2.0</v>
      </c>
      <c r="U137" s="2">
        <v>0.0</v>
      </c>
      <c r="V137" s="2">
        <v>0.0</v>
      </c>
      <c r="W137" s="2">
        <v>0.0</v>
      </c>
      <c r="X137" s="2">
        <v>0.0</v>
      </c>
      <c r="Y137" s="2">
        <v>1.0</v>
      </c>
      <c r="Z137" s="2">
        <v>1.0</v>
      </c>
      <c r="AA137" s="2">
        <v>0.0</v>
      </c>
      <c r="AB137" s="2">
        <v>0.0</v>
      </c>
      <c r="AC137" s="2">
        <v>0.0</v>
      </c>
      <c r="AD137" s="2">
        <v>0.0</v>
      </c>
      <c r="AE137" s="2" t="s">
        <v>175</v>
      </c>
      <c r="AF137" s="2">
        <v>2.0</v>
      </c>
      <c r="AG137" s="2">
        <v>0.0</v>
      </c>
      <c r="AH137" s="2" t="s">
        <v>22</v>
      </c>
      <c r="AI137" s="84" t="s">
        <v>260</v>
      </c>
      <c r="AJ137" s="82">
        <f t="shared" si="1"/>
        <v>40</v>
      </c>
      <c r="AK137" s="82">
        <f t="shared" si="2"/>
        <v>15</v>
      </c>
    </row>
    <row r="138">
      <c r="A138" s="6">
        <v>45004.596321273144</v>
      </c>
      <c r="B138" s="2" t="s">
        <v>259</v>
      </c>
      <c r="C138" s="2">
        <v>71.0</v>
      </c>
      <c r="D138" s="2">
        <v>4405.0</v>
      </c>
      <c r="E138" s="2" t="s">
        <v>34</v>
      </c>
      <c r="P138" s="2">
        <v>1.0</v>
      </c>
      <c r="Q138" s="2">
        <v>0.0</v>
      </c>
      <c r="R138" s="2" t="s">
        <v>175</v>
      </c>
      <c r="S138" s="2">
        <v>3.0</v>
      </c>
      <c r="T138" s="2">
        <v>3.0</v>
      </c>
      <c r="AE138" s="2" t="s">
        <v>175</v>
      </c>
      <c r="AF138" s="2">
        <v>3.0</v>
      </c>
      <c r="AG138" s="2">
        <v>0.0</v>
      </c>
      <c r="AH138" s="2" t="s">
        <v>22</v>
      </c>
      <c r="AI138" s="84" t="s">
        <v>261</v>
      </c>
      <c r="AJ138" s="82">
        <f t="shared" si="1"/>
        <v>40</v>
      </c>
      <c r="AK138" s="82">
        <f t="shared" si="2"/>
        <v>15</v>
      </c>
    </row>
    <row r="139">
      <c r="A139" s="6">
        <v>45004.60095259259</v>
      </c>
      <c r="B139" s="2" t="s">
        <v>259</v>
      </c>
      <c r="C139" s="2" t="s">
        <v>262</v>
      </c>
      <c r="D139" s="2">
        <v>4405.0</v>
      </c>
      <c r="E139" s="2" t="s">
        <v>34</v>
      </c>
      <c r="J139" s="2">
        <v>1.0</v>
      </c>
      <c r="K139" s="2">
        <v>1.0</v>
      </c>
      <c r="R139" s="2" t="s">
        <v>175</v>
      </c>
      <c r="S139" s="2">
        <v>4.0</v>
      </c>
      <c r="T139" s="2">
        <v>3.0</v>
      </c>
      <c r="AE139" s="2" t="s">
        <v>175</v>
      </c>
      <c r="AF139" s="2">
        <v>3.0</v>
      </c>
      <c r="AG139" s="2">
        <v>2.0</v>
      </c>
      <c r="AH139" s="2" t="s">
        <v>22</v>
      </c>
      <c r="AI139" s="84" t="s">
        <v>263</v>
      </c>
      <c r="AJ139" s="82">
        <f t="shared" si="1"/>
        <v>43</v>
      </c>
      <c r="AK139" s="82">
        <f t="shared" si="2"/>
        <v>18</v>
      </c>
    </row>
    <row r="140">
      <c r="A140" s="6">
        <v>45004.60732760417</v>
      </c>
      <c r="B140" s="2" t="s">
        <v>259</v>
      </c>
      <c r="C140" s="2" t="s">
        <v>264</v>
      </c>
      <c r="D140" s="2">
        <v>4405.0</v>
      </c>
      <c r="E140" s="2" t="s">
        <v>34</v>
      </c>
      <c r="J140" s="2">
        <v>1.0</v>
      </c>
      <c r="K140" s="2">
        <v>0.0</v>
      </c>
      <c r="R140" s="2" t="s">
        <v>175</v>
      </c>
      <c r="S140" s="2">
        <v>3.0</v>
      </c>
      <c r="T140" s="2">
        <v>3.0</v>
      </c>
      <c r="Y140" s="2">
        <v>2.0</v>
      </c>
      <c r="Z140" s="2">
        <v>1.0</v>
      </c>
      <c r="AE140" s="2" t="s">
        <v>175</v>
      </c>
      <c r="AF140" s="2">
        <v>4.0</v>
      </c>
      <c r="AG140" s="2">
        <v>0.0</v>
      </c>
      <c r="AH140" s="2" t="s">
        <v>22</v>
      </c>
      <c r="AI140" s="84" t="s">
        <v>265</v>
      </c>
      <c r="AJ140" s="82">
        <f t="shared" si="1"/>
        <v>45</v>
      </c>
      <c r="AK140" s="82">
        <f t="shared" si="2"/>
        <v>20</v>
      </c>
    </row>
    <row r="141">
      <c r="A141" s="6">
        <v>45004.610013854166</v>
      </c>
      <c r="B141" s="2" t="s">
        <v>259</v>
      </c>
      <c r="C141" s="2" t="s">
        <v>266</v>
      </c>
      <c r="D141" s="2">
        <v>4405.0</v>
      </c>
      <c r="E141" s="2" t="s">
        <v>34</v>
      </c>
      <c r="P141" s="2">
        <v>1.0</v>
      </c>
      <c r="Q141" s="2">
        <v>1.0</v>
      </c>
      <c r="R141" s="2" t="s">
        <v>175</v>
      </c>
      <c r="S141" s="2">
        <v>4.0</v>
      </c>
      <c r="T141" s="2">
        <v>3.0</v>
      </c>
      <c r="V141" s="2">
        <v>1.0</v>
      </c>
      <c r="Y141" s="2">
        <v>1.0</v>
      </c>
      <c r="Z141" s="2">
        <v>1.0</v>
      </c>
      <c r="AE141" s="2" t="s">
        <v>175</v>
      </c>
      <c r="AF141" s="2">
        <v>3.0</v>
      </c>
      <c r="AG141" s="2">
        <v>0.0</v>
      </c>
      <c r="AH141" s="2" t="s">
        <v>22</v>
      </c>
      <c r="AI141" s="84" t="s">
        <v>267</v>
      </c>
      <c r="AJ141" s="82">
        <f t="shared" si="1"/>
        <v>51</v>
      </c>
      <c r="AK141" s="82">
        <f t="shared" si="2"/>
        <v>26</v>
      </c>
    </row>
    <row r="142">
      <c r="A142" s="6">
        <v>45008.81795295139</v>
      </c>
      <c r="B142" s="2" t="s">
        <v>259</v>
      </c>
      <c r="C142" s="2">
        <v>64.0</v>
      </c>
      <c r="D142" s="2">
        <v>4405.0</v>
      </c>
      <c r="E142" s="2" t="s">
        <v>34</v>
      </c>
      <c r="P142" s="2">
        <v>1.0</v>
      </c>
      <c r="Q142" s="2">
        <v>1.0</v>
      </c>
      <c r="R142" s="2" t="s">
        <v>175</v>
      </c>
      <c r="S142" s="2">
        <v>1.0</v>
      </c>
      <c r="T142" s="2">
        <v>1.0</v>
      </c>
      <c r="U142" s="2">
        <v>2.0</v>
      </c>
      <c r="V142" s="2">
        <v>2.0</v>
      </c>
      <c r="AA142" s="2">
        <v>1.0</v>
      </c>
      <c r="AB142" s="2">
        <v>1.0</v>
      </c>
      <c r="AE142" s="2" t="s">
        <v>175</v>
      </c>
      <c r="AF142" s="2">
        <v>4.0</v>
      </c>
      <c r="AG142" s="2">
        <v>0.0</v>
      </c>
      <c r="AH142" s="2" t="s">
        <v>22</v>
      </c>
      <c r="AI142" s="84" t="s">
        <v>268</v>
      </c>
      <c r="AJ142" s="82">
        <f t="shared" si="1"/>
        <v>42</v>
      </c>
      <c r="AK142" s="82">
        <f t="shared" si="2"/>
        <v>17</v>
      </c>
    </row>
    <row r="143">
      <c r="A143" s="6">
        <v>45008.82111729166</v>
      </c>
      <c r="B143" s="2" t="s">
        <v>259</v>
      </c>
      <c r="C143" s="2">
        <v>60.0</v>
      </c>
      <c r="D143" s="2">
        <v>4405.0</v>
      </c>
      <c r="E143" s="2" t="s">
        <v>34</v>
      </c>
      <c r="P143" s="2">
        <v>1.0</v>
      </c>
      <c r="Q143" s="2">
        <v>1.0</v>
      </c>
      <c r="R143" s="2" t="s">
        <v>175</v>
      </c>
      <c r="S143" s="2">
        <v>3.0</v>
      </c>
      <c r="T143" s="2">
        <v>2.0</v>
      </c>
      <c r="Y143" s="2">
        <v>1.0</v>
      </c>
      <c r="Z143" s="2">
        <v>1.0</v>
      </c>
      <c r="AC143" s="2">
        <v>1.0</v>
      </c>
      <c r="AD143" s="2">
        <v>1.0</v>
      </c>
      <c r="AE143" s="2" t="s">
        <v>175</v>
      </c>
      <c r="AF143" s="2">
        <v>3.0</v>
      </c>
      <c r="AG143" s="2">
        <v>0.0</v>
      </c>
      <c r="AH143" s="2" t="s">
        <v>22</v>
      </c>
      <c r="AI143" s="83"/>
      <c r="AJ143" s="82">
        <f t="shared" si="1"/>
        <v>45</v>
      </c>
      <c r="AK143" s="82">
        <f t="shared" si="2"/>
        <v>20</v>
      </c>
    </row>
    <row r="144">
      <c r="A144" s="6">
        <v>45008.827937951384</v>
      </c>
      <c r="B144" s="2" t="s">
        <v>259</v>
      </c>
      <c r="C144" s="2">
        <v>54.0</v>
      </c>
      <c r="D144" s="2">
        <v>4405.0</v>
      </c>
      <c r="E144" s="2" t="s">
        <v>34</v>
      </c>
      <c r="P144" s="2">
        <v>1.0</v>
      </c>
      <c r="Q144" s="2">
        <v>0.0</v>
      </c>
      <c r="R144" s="2" t="s">
        <v>175</v>
      </c>
      <c r="S144" s="2">
        <v>4.0</v>
      </c>
      <c r="T144" s="2">
        <v>4.0</v>
      </c>
      <c r="AE144" s="2" t="s">
        <v>175</v>
      </c>
      <c r="AF144" s="2">
        <v>4.0</v>
      </c>
      <c r="AG144" s="2">
        <v>0.0</v>
      </c>
      <c r="AH144" s="2" t="s">
        <v>22</v>
      </c>
      <c r="AI144" s="83"/>
      <c r="AJ144" s="82">
        <f t="shared" si="1"/>
        <v>45</v>
      </c>
      <c r="AK144" s="82">
        <f t="shared" si="2"/>
        <v>20</v>
      </c>
    </row>
    <row r="145">
      <c r="A145" s="6">
        <v>45004.55234556713</v>
      </c>
      <c r="B145" s="2" t="s">
        <v>25</v>
      </c>
      <c r="C145" s="2">
        <v>2.0</v>
      </c>
      <c r="D145" s="2">
        <v>5050.0</v>
      </c>
      <c r="E145" s="2" t="s">
        <v>34</v>
      </c>
      <c r="F145" s="2">
        <v>1.0</v>
      </c>
      <c r="G145" s="2">
        <v>1.0</v>
      </c>
      <c r="R145" s="2" t="s">
        <v>175</v>
      </c>
      <c r="S145" s="2">
        <v>1.0</v>
      </c>
      <c r="T145" s="2">
        <v>1.0</v>
      </c>
      <c r="U145" s="2">
        <v>2.0</v>
      </c>
      <c r="V145" s="2">
        <v>2.0</v>
      </c>
      <c r="Y145" s="2">
        <v>1.0</v>
      </c>
      <c r="Z145" s="2">
        <v>1.0</v>
      </c>
      <c r="AA145" s="2">
        <v>1.0</v>
      </c>
      <c r="AB145" s="2">
        <v>1.0</v>
      </c>
      <c r="AE145" s="2" t="s">
        <v>175</v>
      </c>
      <c r="AF145" s="2">
        <v>4.0</v>
      </c>
      <c r="AG145" s="2">
        <v>0.0</v>
      </c>
      <c r="AH145" s="2" t="s">
        <v>22</v>
      </c>
      <c r="AI145" s="84" t="s">
        <v>269</v>
      </c>
      <c r="AJ145" s="82">
        <f t="shared" si="1"/>
        <v>50</v>
      </c>
      <c r="AK145" s="82">
        <f t="shared" si="2"/>
        <v>25</v>
      </c>
    </row>
    <row r="146">
      <c r="A146" s="6">
        <v>45004.55493711805</v>
      </c>
      <c r="B146" s="2" t="s">
        <v>25</v>
      </c>
      <c r="C146" s="2">
        <v>8.0</v>
      </c>
      <c r="D146" s="2">
        <v>5050.0</v>
      </c>
      <c r="E146" s="2" t="s">
        <v>34</v>
      </c>
      <c r="F146" s="2">
        <v>1.0</v>
      </c>
      <c r="G146" s="2">
        <v>1.0</v>
      </c>
      <c r="R146" s="2" t="s">
        <v>175</v>
      </c>
      <c r="S146" s="2">
        <v>1.0</v>
      </c>
      <c r="T146" s="2">
        <v>1.0</v>
      </c>
      <c r="U146" s="2">
        <v>2.0</v>
      </c>
      <c r="V146" s="2">
        <v>2.0</v>
      </c>
      <c r="Y146" s="2">
        <v>1.0</v>
      </c>
      <c r="Z146" s="2">
        <v>1.0</v>
      </c>
      <c r="AA146" s="2">
        <v>1.0</v>
      </c>
      <c r="AB146" s="2">
        <v>1.0</v>
      </c>
      <c r="AE146" s="2" t="s">
        <v>178</v>
      </c>
      <c r="AF146" s="2">
        <v>4.0</v>
      </c>
      <c r="AG146" s="2">
        <v>0.0</v>
      </c>
      <c r="AH146" s="2" t="s">
        <v>22</v>
      </c>
      <c r="AI146" s="83"/>
      <c r="AJ146" s="82">
        <f t="shared" si="1"/>
        <v>46</v>
      </c>
      <c r="AK146" s="82">
        <f t="shared" si="2"/>
        <v>25</v>
      </c>
    </row>
    <row r="147">
      <c r="A147" s="6">
        <v>45004.55814173611</v>
      </c>
      <c r="B147" s="2" t="s">
        <v>25</v>
      </c>
      <c r="C147" s="2">
        <v>16.0</v>
      </c>
      <c r="D147" s="2">
        <v>5050.0</v>
      </c>
      <c r="E147" s="2" t="s">
        <v>34</v>
      </c>
      <c r="F147" s="2">
        <v>1.0</v>
      </c>
      <c r="G147" s="2">
        <v>1.0</v>
      </c>
      <c r="R147" s="2" t="s">
        <v>175</v>
      </c>
      <c r="S147" s="2">
        <v>2.0</v>
      </c>
      <c r="T147" s="2">
        <v>2.0</v>
      </c>
      <c r="Y147" s="2">
        <v>1.0</v>
      </c>
      <c r="Z147" s="2">
        <v>1.0</v>
      </c>
      <c r="AE147" s="2" t="s">
        <v>175</v>
      </c>
      <c r="AF147" s="2">
        <v>4.0</v>
      </c>
      <c r="AG147" s="2">
        <v>0.0</v>
      </c>
      <c r="AH147" s="2" t="s">
        <v>22</v>
      </c>
      <c r="AI147" s="84" t="s">
        <v>270</v>
      </c>
      <c r="AJ147" s="82">
        <f t="shared" si="1"/>
        <v>46</v>
      </c>
      <c r="AK147" s="82">
        <f t="shared" si="2"/>
        <v>21</v>
      </c>
    </row>
    <row r="148">
      <c r="A148" s="6">
        <v>45004.5593665625</v>
      </c>
      <c r="B148" s="2" t="s">
        <v>25</v>
      </c>
      <c r="C148" s="2">
        <v>25.0</v>
      </c>
      <c r="D148" s="2">
        <v>5050.0</v>
      </c>
      <c r="E148" s="2" t="s">
        <v>34</v>
      </c>
      <c r="F148" s="2">
        <v>1.0</v>
      </c>
      <c r="G148" s="2">
        <v>1.0</v>
      </c>
      <c r="R148" s="2" t="s">
        <v>175</v>
      </c>
      <c r="S148" s="2">
        <v>3.0</v>
      </c>
      <c r="T148" s="2">
        <v>3.0</v>
      </c>
      <c r="Y148" s="2">
        <v>2.0</v>
      </c>
      <c r="Z148" s="2">
        <v>2.0</v>
      </c>
      <c r="AA148" s="2">
        <v>1.0</v>
      </c>
      <c r="AB148" s="2">
        <v>1.0</v>
      </c>
      <c r="AE148" s="2" t="s">
        <v>175</v>
      </c>
      <c r="AF148" s="2">
        <v>5.0</v>
      </c>
      <c r="AG148" s="2">
        <v>0.0</v>
      </c>
      <c r="AH148" s="2" t="s">
        <v>22</v>
      </c>
      <c r="AI148" s="83"/>
      <c r="AJ148" s="82">
        <f t="shared" si="1"/>
        <v>59</v>
      </c>
      <c r="AK148" s="82">
        <f t="shared" si="2"/>
        <v>34</v>
      </c>
    </row>
    <row r="149">
      <c r="A149" s="6">
        <v>45004.56183849537</v>
      </c>
      <c r="B149" s="2" t="s">
        <v>25</v>
      </c>
      <c r="C149" s="2">
        <v>30.0</v>
      </c>
      <c r="D149" s="2">
        <v>5050.0</v>
      </c>
      <c r="E149" s="2" t="s">
        <v>34</v>
      </c>
      <c r="F149" s="2">
        <v>1.0</v>
      </c>
      <c r="G149" s="2">
        <v>1.0</v>
      </c>
      <c r="R149" s="2" t="s">
        <v>175</v>
      </c>
      <c r="S149" s="2">
        <v>1.0</v>
      </c>
      <c r="T149" s="2">
        <v>1.0</v>
      </c>
      <c r="U149" s="2">
        <v>1.0</v>
      </c>
      <c r="V149" s="2">
        <v>1.0</v>
      </c>
      <c r="AA149" s="2">
        <v>2.0</v>
      </c>
      <c r="AB149" s="2">
        <v>2.0</v>
      </c>
      <c r="AE149" s="2" t="s">
        <v>175</v>
      </c>
      <c r="AF149" s="2">
        <v>4.0</v>
      </c>
      <c r="AG149" s="2">
        <v>0.0</v>
      </c>
      <c r="AH149" s="2" t="s">
        <v>22</v>
      </c>
      <c r="AI149" s="83"/>
      <c r="AJ149" s="82">
        <f t="shared" si="1"/>
        <v>45</v>
      </c>
      <c r="AK149" s="82">
        <f t="shared" si="2"/>
        <v>20</v>
      </c>
    </row>
    <row r="150">
      <c r="A150" s="6">
        <v>45004.56450871528</v>
      </c>
      <c r="B150" s="2" t="s">
        <v>25</v>
      </c>
      <c r="C150" s="2">
        <v>37.0</v>
      </c>
      <c r="D150" s="2">
        <v>5050.0</v>
      </c>
      <c r="E150" s="2" t="s">
        <v>34</v>
      </c>
      <c r="F150" s="2">
        <v>1.0</v>
      </c>
      <c r="G150" s="2">
        <v>1.0</v>
      </c>
      <c r="R150" s="2" t="s">
        <v>175</v>
      </c>
      <c r="S150" s="2">
        <v>1.0</v>
      </c>
      <c r="T150" s="2">
        <v>1.0</v>
      </c>
      <c r="U150" s="2">
        <v>2.0</v>
      </c>
      <c r="V150" s="2">
        <v>2.0</v>
      </c>
      <c r="Y150" s="2">
        <v>1.0</v>
      </c>
      <c r="Z150" s="2">
        <v>1.0</v>
      </c>
      <c r="AE150" s="2" t="s">
        <v>175</v>
      </c>
      <c r="AF150" s="2">
        <v>4.0</v>
      </c>
      <c r="AG150" s="2">
        <v>0.0</v>
      </c>
      <c r="AH150" s="2" t="s">
        <v>22</v>
      </c>
      <c r="AI150" s="83"/>
      <c r="AJ150" s="82">
        <f t="shared" si="1"/>
        <v>47</v>
      </c>
      <c r="AK150" s="82">
        <f t="shared" si="2"/>
        <v>22</v>
      </c>
    </row>
    <row r="151">
      <c r="A151" s="6">
        <v>45004.56700407407</v>
      </c>
      <c r="B151" s="2" t="s">
        <v>25</v>
      </c>
      <c r="C151" s="2">
        <v>44.0</v>
      </c>
      <c r="D151" s="2">
        <v>5050.0</v>
      </c>
      <c r="E151" s="2" t="s">
        <v>34</v>
      </c>
      <c r="F151" s="2">
        <v>1.0</v>
      </c>
      <c r="G151" s="2">
        <v>1.0</v>
      </c>
      <c r="R151" s="2" t="s">
        <v>175</v>
      </c>
      <c r="S151" s="2">
        <v>2.0</v>
      </c>
      <c r="T151" s="2">
        <v>2.0</v>
      </c>
      <c r="Y151" s="2">
        <v>2.0</v>
      </c>
      <c r="Z151" s="2">
        <v>2.0</v>
      </c>
      <c r="AA151" s="2">
        <v>1.0</v>
      </c>
      <c r="AB151" s="2">
        <v>0.0</v>
      </c>
      <c r="AC151" s="2">
        <v>2.0</v>
      </c>
      <c r="AD151" s="2">
        <v>2.0</v>
      </c>
      <c r="AE151" s="2" t="s">
        <v>177</v>
      </c>
      <c r="AF151" s="2">
        <v>5.0</v>
      </c>
      <c r="AG151" s="2">
        <v>0.0</v>
      </c>
      <c r="AH151" s="2" t="s">
        <v>22</v>
      </c>
      <c r="AI151" s="83"/>
      <c r="AJ151" s="82">
        <f t="shared" si="1"/>
        <v>48</v>
      </c>
      <c r="AK151" s="82">
        <f t="shared" si="2"/>
        <v>30</v>
      </c>
    </row>
    <row r="152">
      <c r="A152" s="6">
        <v>45004.56833898148</v>
      </c>
      <c r="B152" s="2" t="s">
        <v>25</v>
      </c>
      <c r="C152" s="2">
        <v>52.0</v>
      </c>
      <c r="D152" s="2">
        <v>5050.0</v>
      </c>
      <c r="E152" s="2" t="s">
        <v>34</v>
      </c>
      <c r="F152" s="2">
        <v>1.0</v>
      </c>
      <c r="G152" s="2">
        <v>1.0</v>
      </c>
      <c r="R152" s="2" t="s">
        <v>22</v>
      </c>
      <c r="AE152" s="2" t="s">
        <v>22</v>
      </c>
      <c r="AF152" s="2">
        <v>1.0</v>
      </c>
      <c r="AG152" s="2">
        <v>0.0</v>
      </c>
      <c r="AH152" s="2" t="s">
        <v>34</v>
      </c>
      <c r="AI152" s="84" t="s">
        <v>271</v>
      </c>
      <c r="AJ152" s="82">
        <f t="shared" si="1"/>
        <v>9</v>
      </c>
      <c r="AK152" s="82">
        <f t="shared" si="2"/>
        <v>6</v>
      </c>
    </row>
    <row r="153">
      <c r="A153" s="6">
        <v>45004.574839479166</v>
      </c>
      <c r="B153" s="2" t="s">
        <v>25</v>
      </c>
      <c r="C153" s="2">
        <v>60.0</v>
      </c>
      <c r="D153" s="2">
        <v>5050.0</v>
      </c>
      <c r="E153" s="2" t="s">
        <v>34</v>
      </c>
      <c r="F153" s="2">
        <v>1.0</v>
      </c>
      <c r="G153" s="2">
        <v>1.0</v>
      </c>
      <c r="R153" s="2" t="s">
        <v>175</v>
      </c>
      <c r="S153" s="2">
        <v>2.0</v>
      </c>
      <c r="T153" s="2">
        <v>2.0</v>
      </c>
      <c r="Y153" s="2">
        <v>2.0</v>
      </c>
      <c r="Z153" s="2">
        <v>1.0</v>
      </c>
      <c r="AA153" s="2">
        <v>1.0</v>
      </c>
      <c r="AB153" s="2">
        <v>1.0</v>
      </c>
      <c r="AE153" s="2" t="s">
        <v>177</v>
      </c>
      <c r="AF153" s="2">
        <v>3.0</v>
      </c>
      <c r="AG153" s="2">
        <v>0.0</v>
      </c>
      <c r="AH153" s="2" t="s">
        <v>22</v>
      </c>
      <c r="AI153" s="84" t="s">
        <v>272</v>
      </c>
      <c r="AJ153" s="82">
        <f t="shared" si="1"/>
        <v>42</v>
      </c>
      <c r="AK153" s="82">
        <f t="shared" si="2"/>
        <v>24</v>
      </c>
    </row>
    <row r="154">
      <c r="A154" s="6">
        <v>45004.57784806713</v>
      </c>
      <c r="B154" s="2" t="s">
        <v>25</v>
      </c>
      <c r="C154" s="2">
        <v>66.0</v>
      </c>
      <c r="D154" s="2">
        <v>5050.0</v>
      </c>
      <c r="E154" s="2" t="s">
        <v>34</v>
      </c>
      <c r="F154" s="2">
        <v>1.0</v>
      </c>
      <c r="G154" s="2">
        <v>1.0</v>
      </c>
      <c r="R154" s="2" t="s">
        <v>175</v>
      </c>
      <c r="S154" s="2">
        <v>1.0</v>
      </c>
      <c r="T154" s="2">
        <v>1.0</v>
      </c>
      <c r="Y154" s="2">
        <v>5.0</v>
      </c>
      <c r="Z154" s="2">
        <v>2.0</v>
      </c>
      <c r="AE154" s="2" t="s">
        <v>178</v>
      </c>
      <c r="AF154" s="2">
        <v>3.0</v>
      </c>
      <c r="AG154" s="2">
        <v>0.0</v>
      </c>
      <c r="AH154" s="2" t="s">
        <v>22</v>
      </c>
      <c r="AI154" s="84" t="s">
        <v>273</v>
      </c>
      <c r="AJ154" s="82">
        <f t="shared" si="1"/>
        <v>42</v>
      </c>
      <c r="AK154" s="82">
        <f t="shared" si="2"/>
        <v>21</v>
      </c>
    </row>
    <row r="155">
      <c r="A155" s="6">
        <v>45004.58120377315</v>
      </c>
      <c r="B155" s="2" t="s">
        <v>25</v>
      </c>
      <c r="C155" s="2">
        <v>72.0</v>
      </c>
      <c r="D155" s="2">
        <v>5050.0</v>
      </c>
      <c r="E155" s="2" t="s">
        <v>34</v>
      </c>
      <c r="F155" s="2">
        <v>1.0</v>
      </c>
      <c r="G155" s="2">
        <v>1.0</v>
      </c>
      <c r="R155" s="2" t="s">
        <v>175</v>
      </c>
      <c r="S155" s="2">
        <v>2.0</v>
      </c>
      <c r="T155" s="2">
        <v>2.0</v>
      </c>
      <c r="Y155" s="2">
        <v>3.0</v>
      </c>
      <c r="Z155" s="2">
        <v>2.0</v>
      </c>
      <c r="AA155" s="2">
        <v>1.0</v>
      </c>
      <c r="AB155" s="2">
        <v>1.0</v>
      </c>
      <c r="AE155" s="2" t="s">
        <v>175</v>
      </c>
      <c r="AF155" s="2">
        <v>4.0</v>
      </c>
      <c r="AG155" s="2">
        <v>0.0</v>
      </c>
      <c r="AH155" s="2" t="s">
        <v>22</v>
      </c>
      <c r="AI155" s="83"/>
      <c r="AJ155" s="82">
        <f t="shared" si="1"/>
        <v>54</v>
      </c>
      <c r="AK155" s="82">
        <f t="shared" si="2"/>
        <v>29</v>
      </c>
    </row>
    <row r="156">
      <c r="A156" s="6">
        <v>45004.58310945602</v>
      </c>
      <c r="B156" s="2" t="s">
        <v>25</v>
      </c>
      <c r="C156" s="2">
        <v>80.0</v>
      </c>
      <c r="D156" s="2">
        <v>5050.0</v>
      </c>
      <c r="E156" s="2" t="s">
        <v>34</v>
      </c>
      <c r="F156" s="2">
        <v>1.0</v>
      </c>
      <c r="G156" s="2">
        <v>1.0</v>
      </c>
      <c r="R156" s="2" t="s">
        <v>175</v>
      </c>
      <c r="S156" s="2">
        <v>2.0</v>
      </c>
      <c r="T156" s="2">
        <v>2.0</v>
      </c>
      <c r="Y156" s="2">
        <v>1.0</v>
      </c>
      <c r="Z156" s="2">
        <v>1.0</v>
      </c>
      <c r="AE156" s="2" t="s">
        <v>175</v>
      </c>
      <c r="AF156" s="2">
        <v>3.0</v>
      </c>
      <c r="AG156" s="2">
        <v>0.0</v>
      </c>
      <c r="AH156" s="2" t="s">
        <v>22</v>
      </c>
      <c r="AI156" s="84" t="s">
        <v>274</v>
      </c>
      <c r="AJ156" s="82">
        <f t="shared" si="1"/>
        <v>46</v>
      </c>
      <c r="AK156" s="82">
        <f t="shared" si="2"/>
        <v>21</v>
      </c>
    </row>
    <row r="157">
      <c r="A157" s="6">
        <v>45004.585381296296</v>
      </c>
      <c r="B157" s="2" t="s">
        <v>25</v>
      </c>
      <c r="C157" s="2" t="s">
        <v>182</v>
      </c>
      <c r="D157" s="2">
        <v>5050.0</v>
      </c>
      <c r="E157" s="2" t="s">
        <v>34</v>
      </c>
      <c r="F157" s="2">
        <v>1.0</v>
      </c>
      <c r="G157" s="2">
        <v>1.0</v>
      </c>
      <c r="R157" s="2" t="s">
        <v>22</v>
      </c>
      <c r="S157" s="2">
        <v>4.0</v>
      </c>
      <c r="T157" s="2">
        <v>4.0</v>
      </c>
      <c r="U157" s="2">
        <v>1.0</v>
      </c>
      <c r="V157" s="2">
        <v>1.0</v>
      </c>
      <c r="AE157" s="2" t="s">
        <v>175</v>
      </c>
      <c r="AF157" s="2">
        <v>4.0</v>
      </c>
      <c r="AG157" s="2">
        <v>0.0</v>
      </c>
      <c r="AH157" s="2" t="s">
        <v>22</v>
      </c>
      <c r="AI157" s="83"/>
      <c r="AJ157" s="82">
        <f t="shared" si="1"/>
        <v>42</v>
      </c>
      <c r="AK157" s="82">
        <f t="shared" si="2"/>
        <v>29</v>
      </c>
    </row>
    <row r="158">
      <c r="A158" s="6">
        <v>45004.58674135417</v>
      </c>
      <c r="B158" s="2" t="s">
        <v>25</v>
      </c>
      <c r="C158" s="2" t="s">
        <v>211</v>
      </c>
      <c r="D158" s="2">
        <v>5050.0</v>
      </c>
      <c r="E158" s="2" t="s">
        <v>34</v>
      </c>
      <c r="F158" s="2">
        <v>1.0</v>
      </c>
      <c r="G158" s="2">
        <v>1.0</v>
      </c>
      <c r="R158" s="2" t="s">
        <v>22</v>
      </c>
      <c r="S158" s="2">
        <v>3.0</v>
      </c>
      <c r="T158" s="2">
        <v>3.0</v>
      </c>
      <c r="AE158" s="2" t="s">
        <v>175</v>
      </c>
      <c r="AF158" s="2">
        <v>4.0</v>
      </c>
      <c r="AG158" s="2">
        <v>0.0</v>
      </c>
      <c r="AH158" s="2" t="s">
        <v>22</v>
      </c>
      <c r="AI158" s="83"/>
      <c r="AJ158" s="82">
        <f t="shared" si="1"/>
        <v>34</v>
      </c>
      <c r="AK158" s="82">
        <f t="shared" si="2"/>
        <v>21</v>
      </c>
    </row>
    <row r="159">
      <c r="A159" s="6">
        <v>45004.58853688657</v>
      </c>
      <c r="B159" s="2" t="s">
        <v>25</v>
      </c>
      <c r="C159" s="2" t="s">
        <v>197</v>
      </c>
      <c r="D159" s="2">
        <v>5050.0</v>
      </c>
      <c r="E159" s="2" t="s">
        <v>34</v>
      </c>
      <c r="F159" s="2">
        <v>1.0</v>
      </c>
      <c r="G159" s="2">
        <v>1.0</v>
      </c>
      <c r="R159" s="2" t="s">
        <v>22</v>
      </c>
      <c r="S159" s="2">
        <v>4.0</v>
      </c>
      <c r="T159" s="2">
        <v>4.0</v>
      </c>
      <c r="AE159" s="2" t="s">
        <v>175</v>
      </c>
      <c r="AF159" s="2">
        <v>4.0</v>
      </c>
      <c r="AG159" s="2">
        <v>0.0</v>
      </c>
      <c r="AH159" s="2" t="s">
        <v>22</v>
      </c>
      <c r="AI159" s="83"/>
      <c r="AJ159" s="82">
        <f t="shared" si="1"/>
        <v>39</v>
      </c>
      <c r="AK159" s="82">
        <f t="shared" si="2"/>
        <v>26</v>
      </c>
    </row>
    <row r="160">
      <c r="A160" s="6">
        <v>45004.590061192124</v>
      </c>
      <c r="B160" s="2" t="s">
        <v>25</v>
      </c>
      <c r="C160" s="2" t="s">
        <v>186</v>
      </c>
      <c r="D160" s="2">
        <v>5050.0</v>
      </c>
      <c r="E160" s="2" t="s">
        <v>34</v>
      </c>
      <c r="F160" s="2">
        <v>1.0</v>
      </c>
      <c r="G160" s="2">
        <v>1.0</v>
      </c>
      <c r="R160" s="2" t="s">
        <v>22</v>
      </c>
      <c r="S160" s="2">
        <v>5.0</v>
      </c>
      <c r="T160" s="2">
        <v>4.0</v>
      </c>
      <c r="AE160" s="2" t="s">
        <v>175</v>
      </c>
      <c r="AF160" s="2">
        <v>4.0</v>
      </c>
      <c r="AG160" s="2">
        <v>0.0</v>
      </c>
      <c r="AH160" s="2" t="s">
        <v>22</v>
      </c>
      <c r="AI160" s="83"/>
      <c r="AJ160" s="82">
        <f t="shared" si="1"/>
        <v>39</v>
      </c>
      <c r="AK160" s="82">
        <f t="shared" si="2"/>
        <v>26</v>
      </c>
    </row>
    <row r="161">
      <c r="A161" s="6">
        <v>45004.59150435185</v>
      </c>
      <c r="B161" s="2" t="s">
        <v>25</v>
      </c>
      <c r="C161" s="2" t="s">
        <v>187</v>
      </c>
      <c r="D161" s="2">
        <v>5050.0</v>
      </c>
      <c r="E161" s="2" t="s">
        <v>34</v>
      </c>
      <c r="F161" s="2">
        <v>1.0</v>
      </c>
      <c r="G161" s="2">
        <v>1.0</v>
      </c>
      <c r="R161" s="2" t="s">
        <v>22</v>
      </c>
      <c r="S161" s="2">
        <v>4.0</v>
      </c>
      <c r="T161" s="2">
        <v>4.0</v>
      </c>
      <c r="AE161" s="2" t="s">
        <v>175</v>
      </c>
      <c r="AF161" s="2">
        <v>4.0</v>
      </c>
      <c r="AG161" s="2">
        <v>0.0</v>
      </c>
      <c r="AH161" s="2" t="s">
        <v>22</v>
      </c>
      <c r="AI161" s="83"/>
      <c r="AJ161" s="82">
        <f t="shared" si="1"/>
        <v>39</v>
      </c>
      <c r="AK161" s="82">
        <f t="shared" si="2"/>
        <v>26</v>
      </c>
    </row>
    <row r="162">
      <c r="A162" s="6">
        <v>45004.594216620375</v>
      </c>
      <c r="B162" s="2" t="s">
        <v>25</v>
      </c>
      <c r="C162" s="2" t="s">
        <v>207</v>
      </c>
      <c r="D162" s="2">
        <v>5050.0</v>
      </c>
      <c r="E162" s="2" t="s">
        <v>34</v>
      </c>
      <c r="F162" s="2">
        <v>1.0</v>
      </c>
      <c r="G162" s="2">
        <v>1.0</v>
      </c>
      <c r="R162" s="2" t="s">
        <v>22</v>
      </c>
      <c r="S162" s="2">
        <v>4.0</v>
      </c>
      <c r="T162" s="2">
        <v>4.0</v>
      </c>
      <c r="AE162" s="2" t="s">
        <v>22</v>
      </c>
      <c r="AF162" s="2">
        <v>4.0</v>
      </c>
      <c r="AG162" s="2">
        <v>0.0</v>
      </c>
      <c r="AH162" s="2" t="s">
        <v>34</v>
      </c>
      <c r="AI162" s="84" t="s">
        <v>275</v>
      </c>
      <c r="AJ162" s="82">
        <f t="shared" si="1"/>
        <v>29</v>
      </c>
      <c r="AK162" s="82">
        <f t="shared" si="2"/>
        <v>26</v>
      </c>
    </row>
    <row r="163">
      <c r="A163" s="6">
        <v>45004.596736782405</v>
      </c>
      <c r="B163" s="2" t="s">
        <v>25</v>
      </c>
      <c r="C163" s="2" t="s">
        <v>208</v>
      </c>
      <c r="D163" s="2">
        <v>5050.0</v>
      </c>
      <c r="E163" s="2" t="s">
        <v>34</v>
      </c>
      <c r="F163" s="2">
        <v>1.0</v>
      </c>
      <c r="G163" s="2">
        <v>1.0</v>
      </c>
      <c r="R163" s="2" t="s">
        <v>22</v>
      </c>
      <c r="S163" s="2">
        <v>4.0</v>
      </c>
      <c r="T163" s="2">
        <v>4.0</v>
      </c>
      <c r="AC163" s="2">
        <v>1.0</v>
      </c>
      <c r="AD163" s="2">
        <v>1.0</v>
      </c>
      <c r="AE163" s="2" t="s">
        <v>175</v>
      </c>
      <c r="AF163" s="2">
        <v>4.0</v>
      </c>
      <c r="AG163" s="2">
        <v>0.0</v>
      </c>
      <c r="AH163" s="2" t="s">
        <v>22</v>
      </c>
      <c r="AI163" s="83"/>
      <c r="AJ163" s="82">
        <f t="shared" si="1"/>
        <v>41</v>
      </c>
      <c r="AK163" s="82">
        <f t="shared" si="2"/>
        <v>28</v>
      </c>
    </row>
    <row r="164">
      <c r="A164" s="6">
        <v>45004.59911805556</v>
      </c>
      <c r="B164" s="2" t="s">
        <v>25</v>
      </c>
      <c r="C164" s="2" t="s">
        <v>276</v>
      </c>
      <c r="D164" s="2">
        <v>5050.0</v>
      </c>
      <c r="E164" s="2" t="s">
        <v>34</v>
      </c>
      <c r="F164" s="2">
        <v>1.0</v>
      </c>
      <c r="G164" s="2">
        <v>1.0</v>
      </c>
      <c r="R164" s="2" t="s">
        <v>22</v>
      </c>
      <c r="S164" s="2">
        <v>4.0</v>
      </c>
      <c r="T164" s="2">
        <v>4.0</v>
      </c>
      <c r="AC164" s="2">
        <v>1.0</v>
      </c>
      <c r="AD164" s="2">
        <v>1.0</v>
      </c>
      <c r="AE164" s="2" t="s">
        <v>177</v>
      </c>
      <c r="AF164" s="2">
        <v>3.0</v>
      </c>
      <c r="AG164" s="2">
        <v>0.0</v>
      </c>
      <c r="AH164" s="2" t="s">
        <v>22</v>
      </c>
      <c r="AI164" s="83"/>
      <c r="AJ164" s="82">
        <f t="shared" si="1"/>
        <v>34</v>
      </c>
      <c r="AK164" s="82">
        <f t="shared" si="2"/>
        <v>28</v>
      </c>
    </row>
    <row r="165">
      <c r="A165" s="6">
        <v>44996.43680939815</v>
      </c>
      <c r="B165" s="2" t="s">
        <v>25</v>
      </c>
      <c r="C165" s="2">
        <v>6.0</v>
      </c>
      <c r="D165" s="2">
        <v>5066.0</v>
      </c>
      <c r="E165" s="2" t="s">
        <v>22</v>
      </c>
      <c r="L165" s="2">
        <v>1.0</v>
      </c>
      <c r="M165" s="2">
        <v>1.0</v>
      </c>
      <c r="R165" s="2" t="s">
        <v>175</v>
      </c>
      <c r="S165" s="2">
        <v>3.0</v>
      </c>
      <c r="T165" s="2">
        <v>3.0</v>
      </c>
      <c r="Y165" s="2">
        <v>1.0</v>
      </c>
      <c r="Z165" s="2">
        <v>1.0</v>
      </c>
      <c r="AE165" s="2" t="s">
        <v>175</v>
      </c>
      <c r="AF165" s="2">
        <v>3.0</v>
      </c>
      <c r="AG165" s="2">
        <v>0.0</v>
      </c>
      <c r="AH165" s="2" t="s">
        <v>22</v>
      </c>
      <c r="AI165" s="83"/>
      <c r="AJ165" s="82">
        <f t="shared" si="1"/>
        <v>48</v>
      </c>
      <c r="AK165" s="82">
        <f t="shared" si="2"/>
        <v>26</v>
      </c>
    </row>
    <row r="166">
      <c r="A166" s="6">
        <v>44996.445984074075</v>
      </c>
      <c r="B166" s="2" t="s">
        <v>25</v>
      </c>
      <c r="C166" s="2">
        <v>13.0</v>
      </c>
      <c r="D166" s="2">
        <v>5066.0</v>
      </c>
      <c r="E166" s="2" t="s">
        <v>22</v>
      </c>
      <c r="L166" s="2">
        <v>1.0</v>
      </c>
      <c r="M166" s="2">
        <v>1.0</v>
      </c>
      <c r="R166" s="2" t="s">
        <v>175</v>
      </c>
      <c r="S166" s="2">
        <v>2.0</v>
      </c>
      <c r="T166" s="2">
        <v>1.0</v>
      </c>
      <c r="W166" s="2">
        <v>1.0</v>
      </c>
      <c r="X166" s="2">
        <v>1.0</v>
      </c>
      <c r="AE166" s="2" t="s">
        <v>177</v>
      </c>
      <c r="AF166" s="2">
        <v>2.0</v>
      </c>
      <c r="AG166" s="2">
        <v>0.0</v>
      </c>
      <c r="AH166" s="2" t="s">
        <v>22</v>
      </c>
      <c r="AI166" s="83"/>
      <c r="AJ166" s="82">
        <f t="shared" si="1"/>
        <v>28</v>
      </c>
      <c r="AK166" s="82">
        <f t="shared" si="2"/>
        <v>13</v>
      </c>
    </row>
    <row r="167">
      <c r="A167" s="6">
        <v>44996.44978622685</v>
      </c>
      <c r="B167" s="2" t="s">
        <v>25</v>
      </c>
      <c r="C167" s="2">
        <v>17.0</v>
      </c>
      <c r="D167" s="2">
        <v>5066.0</v>
      </c>
      <c r="E167" s="2" t="s">
        <v>22</v>
      </c>
      <c r="L167" s="2">
        <v>1.0</v>
      </c>
      <c r="M167" s="2">
        <v>1.0</v>
      </c>
      <c r="R167" s="2" t="s">
        <v>22</v>
      </c>
      <c r="W167" s="2">
        <v>1.0</v>
      </c>
      <c r="X167" s="2">
        <v>1.0</v>
      </c>
      <c r="AE167" s="2" t="s">
        <v>175</v>
      </c>
      <c r="AF167" s="2">
        <v>1.0</v>
      </c>
      <c r="AG167" s="2">
        <v>0.0</v>
      </c>
      <c r="AH167" s="2" t="s">
        <v>22</v>
      </c>
      <c r="AI167" s="84" t="s">
        <v>277</v>
      </c>
      <c r="AJ167" s="82">
        <f t="shared" si="1"/>
        <v>18</v>
      </c>
      <c r="AK167" s="82">
        <f t="shared" si="2"/>
        <v>8</v>
      </c>
    </row>
    <row r="168">
      <c r="A168" s="6">
        <v>44996.45322524305</v>
      </c>
      <c r="B168" s="2" t="s">
        <v>25</v>
      </c>
      <c r="C168" s="2">
        <v>24.0</v>
      </c>
      <c r="D168" s="2">
        <v>5066.0</v>
      </c>
      <c r="E168" s="2" t="s">
        <v>22</v>
      </c>
      <c r="L168" s="2">
        <v>1.0</v>
      </c>
      <c r="M168" s="2">
        <v>1.0</v>
      </c>
      <c r="R168" s="2" t="s">
        <v>175</v>
      </c>
      <c r="S168" s="2">
        <v>1.0</v>
      </c>
      <c r="T168" s="2">
        <v>1.0</v>
      </c>
      <c r="Y168" s="2">
        <v>2.0</v>
      </c>
      <c r="Z168" s="2">
        <v>2.0</v>
      </c>
      <c r="AE168" s="2" t="s">
        <v>175</v>
      </c>
      <c r="AF168" s="2">
        <v>3.0</v>
      </c>
      <c r="AG168" s="2">
        <v>0.0</v>
      </c>
      <c r="AH168" s="2" t="s">
        <v>22</v>
      </c>
      <c r="AI168" s="84" t="s">
        <v>278</v>
      </c>
      <c r="AJ168" s="82">
        <f t="shared" si="1"/>
        <v>43</v>
      </c>
      <c r="AK168" s="82">
        <f t="shared" si="2"/>
        <v>21</v>
      </c>
    </row>
    <row r="169">
      <c r="A169" s="6">
        <v>44996.46149990741</v>
      </c>
      <c r="B169" s="2" t="s">
        <v>25</v>
      </c>
      <c r="C169" s="2">
        <v>32.0</v>
      </c>
      <c r="D169" s="2">
        <v>5066.0</v>
      </c>
      <c r="E169" s="2" t="s">
        <v>22</v>
      </c>
      <c r="L169" s="2">
        <v>1.0</v>
      </c>
      <c r="M169" s="2">
        <v>1.0</v>
      </c>
      <c r="R169" s="2" t="s">
        <v>22</v>
      </c>
      <c r="S169" s="2">
        <v>2.0</v>
      </c>
      <c r="T169" s="2">
        <v>2.0</v>
      </c>
      <c r="U169" s="2">
        <v>1.0</v>
      </c>
      <c r="V169" s="2">
        <v>1.0</v>
      </c>
      <c r="Y169" s="2">
        <v>1.0</v>
      </c>
      <c r="Z169" s="2">
        <v>1.0</v>
      </c>
      <c r="AE169" s="2" t="s">
        <v>175</v>
      </c>
      <c r="AF169" s="2">
        <v>3.0</v>
      </c>
      <c r="AG169" s="2">
        <v>0.0</v>
      </c>
      <c r="AH169" s="2" t="s">
        <v>22</v>
      </c>
      <c r="AI169" s="83"/>
      <c r="AJ169" s="82">
        <f t="shared" si="1"/>
        <v>34</v>
      </c>
      <c r="AK169" s="82">
        <f t="shared" si="2"/>
        <v>24</v>
      </c>
    </row>
    <row r="170">
      <c r="A170" s="6">
        <v>44996.4647487037</v>
      </c>
      <c r="B170" s="2" t="s">
        <v>25</v>
      </c>
      <c r="C170" s="2">
        <v>36.0</v>
      </c>
      <c r="D170" s="2">
        <v>5066.0</v>
      </c>
      <c r="E170" s="2" t="s">
        <v>22</v>
      </c>
      <c r="L170" s="2">
        <v>1.0</v>
      </c>
      <c r="M170" s="2">
        <v>1.0</v>
      </c>
      <c r="R170" s="2" t="s">
        <v>22</v>
      </c>
      <c r="S170" s="2">
        <v>1.0</v>
      </c>
      <c r="T170" s="2">
        <v>0.0</v>
      </c>
      <c r="AE170" s="2" t="s">
        <v>175</v>
      </c>
      <c r="AF170" s="2">
        <v>1.0</v>
      </c>
      <c r="AG170" s="2">
        <v>0.0</v>
      </c>
      <c r="AH170" s="2" t="s">
        <v>22</v>
      </c>
      <c r="AI170" s="84" t="s">
        <v>279</v>
      </c>
      <c r="AJ170" s="82">
        <f t="shared" si="1"/>
        <v>16</v>
      </c>
      <c r="AK170" s="82">
        <f t="shared" si="2"/>
        <v>6</v>
      </c>
    </row>
    <row r="171">
      <c r="A171" s="6">
        <v>44996.46857333333</v>
      </c>
      <c r="B171" s="2" t="s">
        <v>25</v>
      </c>
      <c r="C171" s="2">
        <v>42.0</v>
      </c>
      <c r="D171" s="2">
        <v>5066.0</v>
      </c>
      <c r="E171" s="2" t="s">
        <v>22</v>
      </c>
      <c r="L171" s="2">
        <v>1.0</v>
      </c>
      <c r="M171" s="2">
        <v>1.0</v>
      </c>
      <c r="R171" s="2" t="s">
        <v>178</v>
      </c>
      <c r="S171" s="2">
        <v>1.0</v>
      </c>
      <c r="T171" s="2">
        <v>0.0</v>
      </c>
      <c r="W171" s="2">
        <v>1.0</v>
      </c>
      <c r="X171" s="2">
        <v>1.0</v>
      </c>
      <c r="AE171" s="2" t="s">
        <v>175</v>
      </c>
      <c r="AF171" s="2">
        <v>1.0</v>
      </c>
      <c r="AG171" s="2">
        <v>0.0</v>
      </c>
      <c r="AH171" s="2" t="s">
        <v>22</v>
      </c>
      <c r="AI171" s="84" t="s">
        <v>280</v>
      </c>
      <c r="AJ171" s="82">
        <f t="shared" si="1"/>
        <v>26</v>
      </c>
      <c r="AK171" s="82">
        <f t="shared" si="2"/>
        <v>8</v>
      </c>
    </row>
    <row r="172">
      <c r="A172" s="6">
        <v>44996.4731553125</v>
      </c>
      <c r="B172" s="2" t="s">
        <v>25</v>
      </c>
      <c r="C172" s="2">
        <v>49.0</v>
      </c>
      <c r="D172" s="2">
        <v>5066.0</v>
      </c>
      <c r="E172" s="2" t="s">
        <v>22</v>
      </c>
      <c r="L172" s="2">
        <v>1.0</v>
      </c>
      <c r="M172" s="2">
        <v>1.0</v>
      </c>
      <c r="R172" s="2" t="s">
        <v>175</v>
      </c>
      <c r="Y172" s="2">
        <v>2.0</v>
      </c>
      <c r="Z172" s="2">
        <v>2.0</v>
      </c>
      <c r="AE172" s="2" t="s">
        <v>175</v>
      </c>
      <c r="AF172" s="2">
        <v>2.0</v>
      </c>
      <c r="AG172" s="2">
        <v>0.0</v>
      </c>
      <c r="AH172" s="2" t="s">
        <v>22</v>
      </c>
      <c r="AI172" s="83"/>
      <c r="AJ172" s="82">
        <f t="shared" si="1"/>
        <v>38</v>
      </c>
      <c r="AK172" s="82">
        <f t="shared" si="2"/>
        <v>16</v>
      </c>
    </row>
    <row r="173">
      <c r="A173" s="6">
        <v>44996.47655678241</v>
      </c>
      <c r="B173" s="2" t="s">
        <v>25</v>
      </c>
      <c r="C173" s="2">
        <v>55.0</v>
      </c>
      <c r="D173" s="2">
        <v>5066.0</v>
      </c>
      <c r="E173" s="2" t="s">
        <v>22</v>
      </c>
      <c r="L173" s="2">
        <v>1.0</v>
      </c>
      <c r="M173" s="2">
        <v>1.0</v>
      </c>
      <c r="R173" s="2" t="s">
        <v>175</v>
      </c>
      <c r="S173" s="2">
        <v>2.0</v>
      </c>
      <c r="T173" s="2">
        <v>0.0</v>
      </c>
      <c r="W173" s="2">
        <v>1.0</v>
      </c>
      <c r="X173" s="2">
        <v>1.0</v>
      </c>
      <c r="Y173" s="2">
        <v>1.0</v>
      </c>
      <c r="Z173" s="2">
        <v>1.0</v>
      </c>
      <c r="AE173" s="2" t="s">
        <v>22</v>
      </c>
      <c r="AF173" s="2">
        <v>1.0</v>
      </c>
      <c r="AG173" s="2">
        <v>0.0</v>
      </c>
      <c r="AH173" s="2" t="s">
        <v>22</v>
      </c>
      <c r="AI173" s="84" t="s">
        <v>281</v>
      </c>
      <c r="AJ173" s="82">
        <f t="shared" si="1"/>
        <v>25</v>
      </c>
      <c r="AK173" s="82">
        <f t="shared" si="2"/>
        <v>13</v>
      </c>
    </row>
    <row r="174">
      <c r="A174" s="6">
        <v>44996.479215590276</v>
      </c>
      <c r="B174" s="2" t="s">
        <v>25</v>
      </c>
      <c r="C174" s="2">
        <v>60.0</v>
      </c>
      <c r="D174" s="2">
        <v>5066.0</v>
      </c>
      <c r="E174" s="2" t="s">
        <v>22</v>
      </c>
      <c r="L174" s="2">
        <v>1.0</v>
      </c>
      <c r="M174" s="2">
        <v>1.0</v>
      </c>
      <c r="R174" s="2" t="s">
        <v>175</v>
      </c>
      <c r="W174" s="2">
        <v>1.0</v>
      </c>
      <c r="X174" s="2">
        <v>1.0</v>
      </c>
      <c r="Y174" s="2">
        <v>3.0</v>
      </c>
      <c r="Z174" s="2">
        <v>2.0</v>
      </c>
      <c r="AE174" s="2" t="s">
        <v>175</v>
      </c>
      <c r="AF174" s="2">
        <v>3.0</v>
      </c>
      <c r="AG174" s="2">
        <v>0.0</v>
      </c>
      <c r="AH174" s="2" t="s">
        <v>22</v>
      </c>
      <c r="AI174" s="83"/>
      <c r="AJ174" s="82">
        <f t="shared" si="1"/>
        <v>40</v>
      </c>
      <c r="AK174" s="82">
        <f t="shared" si="2"/>
        <v>18</v>
      </c>
    </row>
    <row r="175">
      <c r="A175" s="6">
        <v>44996.481853136575</v>
      </c>
      <c r="B175" s="2" t="s">
        <v>25</v>
      </c>
      <c r="C175" s="2">
        <v>70.0</v>
      </c>
      <c r="D175" s="2">
        <v>5066.0</v>
      </c>
      <c r="E175" s="2" t="s">
        <v>22</v>
      </c>
      <c r="L175" s="2">
        <v>1.0</v>
      </c>
      <c r="M175" s="2">
        <v>1.0</v>
      </c>
      <c r="R175" s="2" t="s">
        <v>175</v>
      </c>
      <c r="S175" s="2">
        <v>1.0</v>
      </c>
      <c r="T175" s="2">
        <v>1.0</v>
      </c>
      <c r="U175" s="2">
        <v>2.0</v>
      </c>
      <c r="V175" s="2">
        <v>2.0</v>
      </c>
      <c r="AE175" s="2" t="s">
        <v>177</v>
      </c>
      <c r="AF175" s="2">
        <v>3.0</v>
      </c>
      <c r="AG175" s="2">
        <v>0.0</v>
      </c>
      <c r="AH175" s="2" t="s">
        <v>22</v>
      </c>
      <c r="AI175" s="83"/>
      <c r="AJ175" s="82">
        <f t="shared" si="1"/>
        <v>32</v>
      </c>
      <c r="AK175" s="82">
        <f t="shared" si="2"/>
        <v>17</v>
      </c>
    </row>
    <row r="176">
      <c r="A176" s="6">
        <v>44996.55875976852</v>
      </c>
      <c r="B176" s="2" t="s">
        <v>25</v>
      </c>
      <c r="C176" s="2">
        <v>76.0</v>
      </c>
      <c r="D176" s="2">
        <v>5066.0</v>
      </c>
      <c r="E176" s="2" t="s">
        <v>34</v>
      </c>
      <c r="L176" s="2">
        <v>1.0</v>
      </c>
      <c r="M176" s="2">
        <v>1.0</v>
      </c>
      <c r="R176" s="2" t="s">
        <v>22</v>
      </c>
      <c r="Y176" s="2">
        <v>1.0</v>
      </c>
      <c r="Z176" s="2">
        <v>1.0</v>
      </c>
      <c r="AE176" s="2" t="s">
        <v>22</v>
      </c>
      <c r="AF176" s="2">
        <v>2.0</v>
      </c>
      <c r="AG176" s="2">
        <v>0.0</v>
      </c>
      <c r="AH176" s="2" t="s">
        <v>22</v>
      </c>
      <c r="AI176" s="83"/>
      <c r="AJ176" s="82">
        <f t="shared" si="1"/>
        <v>14</v>
      </c>
      <c r="AK176" s="82">
        <f t="shared" si="2"/>
        <v>11</v>
      </c>
    </row>
    <row r="177">
      <c r="A177" s="6">
        <v>44996.56363700231</v>
      </c>
      <c r="B177" s="2" t="s">
        <v>25</v>
      </c>
      <c r="C177" s="2" t="s">
        <v>194</v>
      </c>
      <c r="D177" s="2">
        <v>5066.0</v>
      </c>
      <c r="E177" s="2" t="s">
        <v>34</v>
      </c>
      <c r="L177" s="2">
        <v>1.0</v>
      </c>
      <c r="M177" s="2">
        <v>1.0</v>
      </c>
      <c r="R177" s="2" t="s">
        <v>22</v>
      </c>
      <c r="S177" s="2">
        <v>1.0</v>
      </c>
      <c r="T177" s="2">
        <v>0.0</v>
      </c>
      <c r="W177" s="2">
        <v>1.0</v>
      </c>
      <c r="X177" s="2">
        <v>1.0</v>
      </c>
      <c r="Y177" s="2">
        <v>1.0</v>
      </c>
      <c r="Z177" s="2">
        <v>1.0</v>
      </c>
      <c r="AE177" s="2" t="s">
        <v>175</v>
      </c>
      <c r="AF177" s="2">
        <v>3.0</v>
      </c>
      <c r="AG177" s="2">
        <v>0.0</v>
      </c>
      <c r="AH177" s="2" t="s">
        <v>22</v>
      </c>
      <c r="AI177" s="83"/>
      <c r="AJ177" s="82">
        <f t="shared" si="1"/>
        <v>26</v>
      </c>
      <c r="AK177" s="82">
        <f t="shared" si="2"/>
        <v>13</v>
      </c>
    </row>
    <row r="178">
      <c r="A178" s="6">
        <v>44996.56980190972</v>
      </c>
      <c r="B178" s="2" t="s">
        <v>25</v>
      </c>
      <c r="C178" s="2" t="s">
        <v>196</v>
      </c>
      <c r="D178" s="2">
        <v>5066.0</v>
      </c>
      <c r="E178" s="2" t="s">
        <v>34</v>
      </c>
      <c r="L178" s="2">
        <v>1.0</v>
      </c>
      <c r="M178" s="2">
        <v>0.0</v>
      </c>
      <c r="P178" s="2">
        <v>1.0</v>
      </c>
      <c r="Q178" s="2">
        <v>1.0</v>
      </c>
      <c r="R178" s="2" t="s">
        <v>22</v>
      </c>
      <c r="S178" s="2">
        <v>1.0</v>
      </c>
      <c r="T178" s="2">
        <v>0.0</v>
      </c>
      <c r="AE178" s="2" t="s">
        <v>175</v>
      </c>
      <c r="AF178" s="2">
        <v>1.0</v>
      </c>
      <c r="AG178" s="2">
        <v>0.0</v>
      </c>
      <c r="AH178" s="2" t="s">
        <v>22</v>
      </c>
      <c r="AI178" s="84" t="s">
        <v>282</v>
      </c>
      <c r="AJ178" s="82">
        <f t="shared" si="1"/>
        <v>16</v>
      </c>
      <c r="AK178" s="82">
        <f t="shared" si="2"/>
        <v>3</v>
      </c>
    </row>
    <row r="179">
      <c r="A179" s="6">
        <v>45012.91830457176</v>
      </c>
      <c r="B179" s="2" t="s">
        <v>259</v>
      </c>
      <c r="C179" s="2">
        <v>41.0</v>
      </c>
      <c r="D179" s="2">
        <v>5067.0</v>
      </c>
      <c r="E179" s="2" t="s">
        <v>34</v>
      </c>
      <c r="H179" s="2">
        <v>1.0</v>
      </c>
      <c r="I179" s="2">
        <v>0.0</v>
      </c>
      <c r="R179" s="2" t="s">
        <v>22</v>
      </c>
      <c r="S179" s="2">
        <v>2.0</v>
      </c>
      <c r="T179" s="2">
        <v>2.0</v>
      </c>
      <c r="Y179" s="2">
        <v>1.0</v>
      </c>
      <c r="Z179" s="2">
        <v>1.0</v>
      </c>
      <c r="AE179" s="2" t="s">
        <v>175</v>
      </c>
      <c r="AF179" s="2">
        <v>2.0</v>
      </c>
      <c r="AG179" s="2">
        <v>0.0</v>
      </c>
      <c r="AH179" s="2" t="s">
        <v>22</v>
      </c>
      <c r="AJ179" s="82">
        <f t="shared" si="1"/>
        <v>28</v>
      </c>
      <c r="AK179" s="82">
        <f t="shared" si="2"/>
        <v>15</v>
      </c>
    </row>
    <row r="180">
      <c r="A180" s="6">
        <v>45012.9212049537</v>
      </c>
      <c r="B180" s="2" t="s">
        <v>259</v>
      </c>
      <c r="C180" s="2">
        <v>48.0</v>
      </c>
      <c r="D180" s="2">
        <v>5067.0</v>
      </c>
      <c r="E180" s="2" t="s">
        <v>34</v>
      </c>
      <c r="F180" s="2">
        <v>1.0</v>
      </c>
      <c r="G180" s="2">
        <v>1.0</v>
      </c>
      <c r="R180" s="2" t="s">
        <v>22</v>
      </c>
      <c r="S180" s="2">
        <v>1.0</v>
      </c>
      <c r="T180" s="2">
        <v>1.0</v>
      </c>
      <c r="AE180" s="2" t="s">
        <v>177</v>
      </c>
      <c r="AF180" s="2">
        <v>2.0</v>
      </c>
      <c r="AG180" s="2">
        <v>0.0</v>
      </c>
      <c r="AH180" s="2" t="s">
        <v>22</v>
      </c>
      <c r="AI180" s="2" t="s">
        <v>283</v>
      </c>
      <c r="AJ180" s="82">
        <f t="shared" si="1"/>
        <v>17</v>
      </c>
      <c r="AK180" s="82">
        <f t="shared" si="2"/>
        <v>11</v>
      </c>
    </row>
    <row r="181">
      <c r="A181" s="6">
        <v>45012.9241625463</v>
      </c>
      <c r="B181" s="2" t="s">
        <v>259</v>
      </c>
      <c r="C181" s="2">
        <v>53.0</v>
      </c>
      <c r="D181" s="2">
        <v>5067.0</v>
      </c>
      <c r="E181" s="2" t="s">
        <v>22</v>
      </c>
      <c r="F181" s="2">
        <v>1.0</v>
      </c>
      <c r="G181" s="2">
        <v>0.0</v>
      </c>
      <c r="J181" s="2">
        <v>0.0</v>
      </c>
      <c r="K181" s="2">
        <v>1.0</v>
      </c>
      <c r="R181" s="2" t="s">
        <v>178</v>
      </c>
      <c r="S181" s="2">
        <v>2.0</v>
      </c>
      <c r="T181" s="2">
        <v>2.0</v>
      </c>
      <c r="Y181" s="2">
        <v>1.0</v>
      </c>
      <c r="Z181" s="2">
        <v>1.0</v>
      </c>
      <c r="AE181" s="2" t="s">
        <v>175</v>
      </c>
      <c r="AF181" s="2">
        <v>3.0</v>
      </c>
      <c r="AG181" s="2">
        <v>0.0</v>
      </c>
      <c r="AH181" s="2" t="s">
        <v>34</v>
      </c>
      <c r="AI181" s="2" t="s">
        <v>284</v>
      </c>
      <c r="AJ181" s="82">
        <f t="shared" si="1"/>
        <v>36</v>
      </c>
      <c r="AK181" s="82">
        <f t="shared" si="2"/>
        <v>18</v>
      </c>
    </row>
    <row r="182">
      <c r="A182" s="6">
        <v>45012.93723954861</v>
      </c>
      <c r="B182" s="2" t="s">
        <v>259</v>
      </c>
      <c r="C182" s="2">
        <v>64.0</v>
      </c>
      <c r="D182" s="2">
        <v>5067.0</v>
      </c>
      <c r="E182" s="2" t="s">
        <v>34</v>
      </c>
      <c r="F182" s="2">
        <v>1.0</v>
      </c>
      <c r="G182" s="2">
        <v>0.0</v>
      </c>
      <c r="R182" s="2" t="s">
        <v>22</v>
      </c>
      <c r="S182" s="2">
        <v>2.0</v>
      </c>
      <c r="T182" s="2">
        <v>2.0</v>
      </c>
      <c r="AE182" s="2" t="s">
        <v>175</v>
      </c>
      <c r="AF182" s="2">
        <v>3.0</v>
      </c>
      <c r="AG182" s="2">
        <v>0.0</v>
      </c>
      <c r="AH182" s="2" t="s">
        <v>22</v>
      </c>
      <c r="AI182" s="2" t="s">
        <v>285</v>
      </c>
      <c r="AJ182" s="82">
        <f t="shared" si="1"/>
        <v>23</v>
      </c>
      <c r="AK182" s="82">
        <f t="shared" si="2"/>
        <v>10</v>
      </c>
    </row>
    <row r="183">
      <c r="A183" s="6">
        <v>45012.94006991899</v>
      </c>
      <c r="B183" s="2" t="s">
        <v>259</v>
      </c>
      <c r="C183" s="2">
        <v>70.0</v>
      </c>
      <c r="D183" s="2">
        <v>5067.0</v>
      </c>
      <c r="E183" s="2" t="s">
        <v>34</v>
      </c>
      <c r="F183" s="2">
        <v>1.0</v>
      </c>
      <c r="G183" s="2">
        <v>0.0</v>
      </c>
      <c r="R183" s="2" t="s">
        <v>22</v>
      </c>
      <c r="AE183" s="2" t="s">
        <v>175</v>
      </c>
      <c r="AF183" s="2">
        <v>0.0</v>
      </c>
      <c r="AG183" s="2">
        <v>4.0</v>
      </c>
      <c r="AH183" s="2" t="s">
        <v>22</v>
      </c>
      <c r="AI183" s="2" t="s">
        <v>286</v>
      </c>
      <c r="AJ183" s="82">
        <f t="shared" si="1"/>
        <v>13</v>
      </c>
      <c r="AK183" s="82">
        <f t="shared" si="2"/>
        <v>0</v>
      </c>
    </row>
    <row r="184">
      <c r="A184" s="6">
        <v>45012.942527719904</v>
      </c>
      <c r="B184" s="2" t="s">
        <v>259</v>
      </c>
      <c r="C184" s="2">
        <v>75.0</v>
      </c>
      <c r="D184" s="2">
        <v>5067.0</v>
      </c>
      <c r="E184" s="2" t="s">
        <v>34</v>
      </c>
      <c r="F184" s="2">
        <v>1.0</v>
      </c>
      <c r="G184" s="2">
        <v>1.0</v>
      </c>
      <c r="R184" s="2" t="s">
        <v>22</v>
      </c>
      <c r="Y184" s="2">
        <v>1.0</v>
      </c>
      <c r="Z184" s="2">
        <v>1.0</v>
      </c>
      <c r="AE184" s="2" t="s">
        <v>22</v>
      </c>
      <c r="AF184" s="2">
        <v>2.0</v>
      </c>
      <c r="AG184" s="2">
        <v>3.0</v>
      </c>
      <c r="AH184" s="2" t="s">
        <v>22</v>
      </c>
      <c r="AJ184" s="82">
        <f t="shared" si="1"/>
        <v>14</v>
      </c>
      <c r="AK184" s="82">
        <f t="shared" si="2"/>
        <v>11</v>
      </c>
    </row>
    <row r="185">
      <c r="A185" s="6">
        <v>44996.628851319445</v>
      </c>
      <c r="B185" s="2" t="s">
        <v>249</v>
      </c>
      <c r="C185" s="2">
        <v>6.0</v>
      </c>
      <c r="D185" s="2">
        <v>5205.0</v>
      </c>
      <c r="E185" s="2" t="s">
        <v>22</v>
      </c>
      <c r="R185" s="2" t="s">
        <v>22</v>
      </c>
      <c r="AE185" s="2" t="s">
        <v>22</v>
      </c>
      <c r="AF185" s="2">
        <v>0.0</v>
      </c>
      <c r="AG185" s="2">
        <v>1.0</v>
      </c>
      <c r="AH185" s="2" t="s">
        <v>22</v>
      </c>
      <c r="AI185" s="84" t="s">
        <v>287</v>
      </c>
      <c r="AJ185" s="82">
        <f t="shared" si="1"/>
        <v>0</v>
      </c>
      <c r="AK185" s="82">
        <f t="shared" si="2"/>
        <v>0</v>
      </c>
    </row>
    <row r="186">
      <c r="A186" s="6">
        <v>44996.631217002316</v>
      </c>
      <c r="B186" s="2" t="s">
        <v>288</v>
      </c>
      <c r="C186" s="2">
        <v>11.0</v>
      </c>
      <c r="D186" s="2">
        <v>5205.0</v>
      </c>
      <c r="E186" s="2" t="s">
        <v>22</v>
      </c>
      <c r="R186" s="2" t="s">
        <v>22</v>
      </c>
      <c r="AE186" s="2" t="s">
        <v>175</v>
      </c>
      <c r="AF186" s="2">
        <v>0.0</v>
      </c>
      <c r="AG186" s="2">
        <v>0.0</v>
      </c>
      <c r="AH186" s="2" t="s">
        <v>22</v>
      </c>
      <c r="AI186" s="83"/>
      <c r="AJ186" s="82">
        <f t="shared" si="1"/>
        <v>10</v>
      </c>
      <c r="AK186" s="82">
        <f t="shared" si="2"/>
        <v>0</v>
      </c>
    </row>
    <row r="187">
      <c r="A187" s="6">
        <v>44996.63277644676</v>
      </c>
      <c r="B187" s="2" t="s">
        <v>249</v>
      </c>
      <c r="C187" s="2">
        <v>15.0</v>
      </c>
      <c r="D187" s="2">
        <v>5205.0</v>
      </c>
      <c r="E187" s="2" t="s">
        <v>22</v>
      </c>
      <c r="R187" s="2" t="s">
        <v>22</v>
      </c>
      <c r="AE187" s="2" t="s">
        <v>22</v>
      </c>
      <c r="AF187" s="2">
        <v>0.0</v>
      </c>
      <c r="AG187" s="2">
        <v>1.0</v>
      </c>
      <c r="AH187" s="2" t="s">
        <v>22</v>
      </c>
      <c r="AI187" s="83"/>
      <c r="AJ187" s="82">
        <f t="shared" si="1"/>
        <v>0</v>
      </c>
      <c r="AK187" s="82">
        <f t="shared" si="2"/>
        <v>0</v>
      </c>
    </row>
    <row r="188">
      <c r="A188" s="6">
        <v>44996.63424806713</v>
      </c>
      <c r="B188" s="2" t="s">
        <v>249</v>
      </c>
      <c r="C188" s="2">
        <v>20.0</v>
      </c>
      <c r="D188" s="2">
        <v>5205.0</v>
      </c>
      <c r="E188" s="2" t="s">
        <v>22</v>
      </c>
      <c r="R188" s="2" t="s">
        <v>22</v>
      </c>
      <c r="AE188" s="2" t="s">
        <v>22</v>
      </c>
      <c r="AF188" s="2">
        <v>0.0</v>
      </c>
      <c r="AG188" s="2">
        <v>0.0</v>
      </c>
      <c r="AH188" s="2" t="s">
        <v>22</v>
      </c>
      <c r="AI188" s="83"/>
      <c r="AJ188" s="82">
        <f t="shared" si="1"/>
        <v>0</v>
      </c>
      <c r="AK188" s="82">
        <f t="shared" si="2"/>
        <v>0</v>
      </c>
    </row>
    <row r="189">
      <c r="A189" s="6">
        <v>44996.636030625</v>
      </c>
      <c r="B189" s="2" t="s">
        <v>251</v>
      </c>
      <c r="C189" s="2">
        <v>37.0</v>
      </c>
      <c r="D189" s="2">
        <v>5205.0</v>
      </c>
      <c r="E189" s="2" t="s">
        <v>34</v>
      </c>
      <c r="R189" s="2" t="s">
        <v>22</v>
      </c>
      <c r="AE189" s="2" t="s">
        <v>22</v>
      </c>
      <c r="AF189" s="2">
        <v>0.0</v>
      </c>
      <c r="AG189" s="2">
        <v>0.0</v>
      </c>
      <c r="AH189" s="2" t="s">
        <v>22</v>
      </c>
      <c r="AI189" s="83"/>
      <c r="AJ189" s="82">
        <f t="shared" si="1"/>
        <v>3</v>
      </c>
      <c r="AK189" s="82">
        <f t="shared" si="2"/>
        <v>0</v>
      </c>
    </row>
    <row r="190">
      <c r="A190" s="6">
        <v>45014.61333543982</v>
      </c>
      <c r="B190" s="2" t="s">
        <v>259</v>
      </c>
      <c r="C190" s="2">
        <v>40.0</v>
      </c>
      <c r="D190" s="2">
        <v>5509.0</v>
      </c>
      <c r="E190" s="2" t="s">
        <v>34</v>
      </c>
      <c r="R190" s="2" t="s">
        <v>22</v>
      </c>
      <c r="Y190" s="2">
        <v>1.0</v>
      </c>
      <c r="Z190" s="2">
        <v>1.0</v>
      </c>
      <c r="AA190" s="2">
        <v>1.0</v>
      </c>
      <c r="AB190" s="2">
        <v>1.0</v>
      </c>
      <c r="AC190" s="2">
        <v>2.0</v>
      </c>
      <c r="AD190" s="2">
        <v>2.0</v>
      </c>
      <c r="AE190" s="2" t="s">
        <v>177</v>
      </c>
      <c r="AF190" s="2">
        <v>3.0</v>
      </c>
      <c r="AG190" s="2">
        <v>0.0</v>
      </c>
      <c r="AH190" s="2" t="s">
        <v>22</v>
      </c>
      <c r="AI190" s="2" t="s">
        <v>289</v>
      </c>
      <c r="AJ190" s="82">
        <f t="shared" si="1"/>
        <v>18</v>
      </c>
      <c r="AK190" s="82">
        <f t="shared" si="2"/>
        <v>12</v>
      </c>
    </row>
    <row r="191">
      <c r="A191" s="6">
        <v>45014.61894262732</v>
      </c>
      <c r="B191" s="2" t="s">
        <v>259</v>
      </c>
      <c r="C191" s="2">
        <v>51.0</v>
      </c>
      <c r="D191" s="2">
        <v>5509.0</v>
      </c>
      <c r="E191" s="2" t="s">
        <v>34</v>
      </c>
      <c r="R191" s="2" t="s">
        <v>22</v>
      </c>
      <c r="S191" s="2">
        <v>1.0</v>
      </c>
      <c r="T191" s="2">
        <v>0.0</v>
      </c>
      <c r="W191" s="2">
        <v>0.0</v>
      </c>
      <c r="X191" s="2">
        <v>1.0</v>
      </c>
      <c r="AE191" s="2" t="s">
        <v>22</v>
      </c>
      <c r="AF191" s="2">
        <v>2.0</v>
      </c>
      <c r="AG191" s="2">
        <v>0.0</v>
      </c>
      <c r="AH191" s="2" t="s">
        <v>22</v>
      </c>
      <c r="AI191" s="2" t="s">
        <v>290</v>
      </c>
      <c r="AJ191" s="82">
        <f t="shared" si="1"/>
        <v>5</v>
      </c>
      <c r="AK191" s="82">
        <f t="shared" si="2"/>
        <v>2</v>
      </c>
    </row>
    <row r="192">
      <c r="A192" s="6">
        <v>45014.62123777778</v>
      </c>
      <c r="B192" s="2" t="s">
        <v>259</v>
      </c>
      <c r="C192" s="2">
        <v>58.0</v>
      </c>
      <c r="D192" s="2">
        <v>5509.0</v>
      </c>
      <c r="E192" s="2" t="s">
        <v>22</v>
      </c>
      <c r="R192" s="2" t="s">
        <v>22</v>
      </c>
      <c r="S192" s="2">
        <v>2.0</v>
      </c>
      <c r="T192" s="2">
        <v>0.0</v>
      </c>
      <c r="W192" s="2">
        <v>0.0</v>
      </c>
      <c r="X192" s="2">
        <v>1.0</v>
      </c>
      <c r="Y192" s="2">
        <v>2.0</v>
      </c>
      <c r="Z192" s="2">
        <v>2.0</v>
      </c>
      <c r="AE192" s="2" t="s">
        <v>175</v>
      </c>
      <c r="AF192" s="2">
        <v>3.0</v>
      </c>
      <c r="AG192" s="2">
        <v>0.0</v>
      </c>
      <c r="AH192" s="2" t="s">
        <v>22</v>
      </c>
      <c r="AJ192" s="82">
        <f t="shared" si="1"/>
        <v>22</v>
      </c>
      <c r="AK192" s="82">
        <f t="shared" si="2"/>
        <v>12</v>
      </c>
    </row>
    <row r="193">
      <c r="A193" s="6">
        <v>45014.62323106482</v>
      </c>
      <c r="B193" s="2" t="s">
        <v>259</v>
      </c>
      <c r="C193" s="2">
        <v>62.0</v>
      </c>
      <c r="D193" s="2">
        <v>5509.0</v>
      </c>
      <c r="E193" s="2" t="s">
        <v>22</v>
      </c>
      <c r="R193" s="2" t="s">
        <v>22</v>
      </c>
      <c r="Y193" s="2">
        <v>1.0</v>
      </c>
      <c r="Z193" s="2">
        <v>0.0</v>
      </c>
      <c r="AE193" s="2" t="s">
        <v>22</v>
      </c>
      <c r="AF193" s="2">
        <v>1.0</v>
      </c>
      <c r="AG193" s="2">
        <v>3.0</v>
      </c>
      <c r="AH193" s="2" t="s">
        <v>22</v>
      </c>
      <c r="AI193" s="2" t="s">
        <v>291</v>
      </c>
      <c r="AJ193" s="82">
        <f t="shared" si="1"/>
        <v>0</v>
      </c>
      <c r="AK193" s="82">
        <f t="shared" si="2"/>
        <v>0</v>
      </c>
    </row>
    <row r="194">
      <c r="A194" s="6">
        <v>45014.62739902778</v>
      </c>
      <c r="B194" s="2" t="s">
        <v>259</v>
      </c>
      <c r="C194" s="2">
        <v>68.0</v>
      </c>
      <c r="D194" s="2">
        <v>5509.0</v>
      </c>
      <c r="E194" s="2" t="s">
        <v>22</v>
      </c>
      <c r="L194" s="2">
        <v>0.0</v>
      </c>
      <c r="M194" s="2">
        <v>0.0</v>
      </c>
      <c r="R194" s="2" t="s">
        <v>22</v>
      </c>
      <c r="Y194" s="2">
        <v>1.0</v>
      </c>
      <c r="Z194" s="2">
        <v>1.0</v>
      </c>
      <c r="AE194" s="2" t="s">
        <v>177</v>
      </c>
      <c r="AF194" s="2">
        <v>0.0</v>
      </c>
      <c r="AG194" s="2">
        <v>2.0</v>
      </c>
      <c r="AH194" s="2" t="s">
        <v>22</v>
      </c>
      <c r="AI194" s="2" t="s">
        <v>292</v>
      </c>
      <c r="AJ194" s="82">
        <f t="shared" si="1"/>
        <v>8</v>
      </c>
      <c r="AK194" s="82">
        <f t="shared" si="2"/>
        <v>5</v>
      </c>
    </row>
    <row r="195">
      <c r="A195" s="6">
        <v>45014.63077982639</v>
      </c>
      <c r="B195" s="2" t="s">
        <v>259</v>
      </c>
      <c r="C195" s="2">
        <v>77.0</v>
      </c>
      <c r="D195" s="2">
        <v>5509.0</v>
      </c>
      <c r="E195" s="2" t="s">
        <v>22</v>
      </c>
      <c r="R195" s="2" t="s">
        <v>22</v>
      </c>
      <c r="AE195" s="2" t="s">
        <v>178</v>
      </c>
      <c r="AF195" s="2">
        <v>1.0</v>
      </c>
      <c r="AG195" s="2">
        <v>1.0</v>
      </c>
      <c r="AH195" s="2" t="s">
        <v>22</v>
      </c>
      <c r="AI195" s="2" t="s">
        <v>293</v>
      </c>
      <c r="AJ195" s="82">
        <f t="shared" si="1"/>
        <v>6</v>
      </c>
      <c r="AK195" s="82">
        <f t="shared" si="2"/>
        <v>0</v>
      </c>
    </row>
    <row r="196">
      <c r="A196" s="6">
        <v>44996.64953623843</v>
      </c>
      <c r="B196" s="2" t="s">
        <v>249</v>
      </c>
      <c r="C196" s="2">
        <v>6.0</v>
      </c>
      <c r="D196" s="2">
        <v>5641.0</v>
      </c>
      <c r="E196" s="2" t="s">
        <v>34</v>
      </c>
      <c r="R196" s="2" t="s">
        <v>175</v>
      </c>
      <c r="AE196" s="2" t="s">
        <v>175</v>
      </c>
      <c r="AF196" s="2">
        <v>0.0</v>
      </c>
      <c r="AG196" s="2">
        <v>1.0</v>
      </c>
      <c r="AH196" s="2" t="s">
        <v>22</v>
      </c>
      <c r="AI196" s="83"/>
      <c r="AJ196" s="82">
        <f t="shared" si="1"/>
        <v>25</v>
      </c>
      <c r="AK196" s="82">
        <f t="shared" si="2"/>
        <v>0</v>
      </c>
    </row>
    <row r="197">
      <c r="A197" s="6">
        <v>44996.651117754634</v>
      </c>
      <c r="B197" s="2" t="s">
        <v>288</v>
      </c>
      <c r="C197" s="2">
        <v>11.0</v>
      </c>
      <c r="D197" s="2">
        <v>5641.0</v>
      </c>
      <c r="E197" s="2" t="s">
        <v>34</v>
      </c>
      <c r="R197" s="2" t="s">
        <v>175</v>
      </c>
      <c r="AE197" s="2" t="s">
        <v>175</v>
      </c>
      <c r="AF197" s="2">
        <v>0.0</v>
      </c>
      <c r="AG197" s="2">
        <v>1.0</v>
      </c>
      <c r="AH197" s="2" t="s">
        <v>22</v>
      </c>
      <c r="AI197" s="83"/>
      <c r="AJ197" s="82">
        <f t="shared" si="1"/>
        <v>25</v>
      </c>
      <c r="AK197" s="82">
        <f t="shared" si="2"/>
        <v>0</v>
      </c>
    </row>
    <row r="198">
      <c r="A198" s="6">
        <v>44996.65354619213</v>
      </c>
      <c r="B198" s="2" t="s">
        <v>249</v>
      </c>
      <c r="C198" s="2">
        <v>15.0</v>
      </c>
      <c r="D198" s="2">
        <v>5641.0</v>
      </c>
      <c r="E198" s="2" t="s">
        <v>34</v>
      </c>
      <c r="R198" s="2" t="s">
        <v>178</v>
      </c>
      <c r="W198" s="2">
        <v>1.0</v>
      </c>
      <c r="X198" s="2">
        <v>1.0</v>
      </c>
      <c r="AC198" s="2">
        <v>2.0</v>
      </c>
      <c r="AD198" s="2">
        <v>2.0</v>
      </c>
      <c r="AE198" s="2" t="s">
        <v>175</v>
      </c>
      <c r="AF198" s="2">
        <v>0.0</v>
      </c>
      <c r="AG198" s="2">
        <v>1.0</v>
      </c>
      <c r="AH198" s="2" t="s">
        <v>22</v>
      </c>
      <c r="AI198" s="83"/>
      <c r="AJ198" s="82">
        <f t="shared" si="1"/>
        <v>27</v>
      </c>
      <c r="AK198" s="82">
        <f t="shared" si="2"/>
        <v>6</v>
      </c>
    </row>
    <row r="199">
      <c r="A199" s="6">
        <v>44996.655192499995</v>
      </c>
      <c r="B199" s="2" t="s">
        <v>288</v>
      </c>
      <c r="C199" s="2">
        <v>21.0</v>
      </c>
      <c r="D199" s="2">
        <v>5641.0</v>
      </c>
      <c r="E199" s="2" t="s">
        <v>34</v>
      </c>
      <c r="R199" s="2" t="s">
        <v>178</v>
      </c>
      <c r="AE199" s="2" t="s">
        <v>22</v>
      </c>
      <c r="AF199" s="2">
        <v>0.0</v>
      </c>
      <c r="AG199" s="2">
        <v>0.0</v>
      </c>
      <c r="AH199" s="2" t="s">
        <v>22</v>
      </c>
      <c r="AI199" s="83"/>
      <c r="AJ199" s="82">
        <f t="shared" si="1"/>
        <v>11</v>
      </c>
      <c r="AK199" s="82">
        <f t="shared" si="2"/>
        <v>0</v>
      </c>
    </row>
    <row r="200">
      <c r="A200" s="6">
        <v>44996.658121064815</v>
      </c>
      <c r="B200" s="2" t="s">
        <v>249</v>
      </c>
      <c r="C200" s="2">
        <v>31.0</v>
      </c>
      <c r="D200" s="2">
        <v>5641.0</v>
      </c>
      <c r="E200" s="2" t="s">
        <v>34</v>
      </c>
      <c r="R200" s="2" t="s">
        <v>175</v>
      </c>
      <c r="AC200" s="2">
        <v>1.0</v>
      </c>
      <c r="AD200" s="2">
        <v>1.0</v>
      </c>
      <c r="AE200" s="2" t="s">
        <v>175</v>
      </c>
      <c r="AF200" s="2">
        <v>0.0</v>
      </c>
      <c r="AG200" s="2">
        <v>1.0</v>
      </c>
      <c r="AH200" s="2" t="s">
        <v>22</v>
      </c>
      <c r="AI200" s="84" t="s">
        <v>294</v>
      </c>
      <c r="AJ200" s="82">
        <f t="shared" si="1"/>
        <v>27</v>
      </c>
      <c r="AK200" s="82">
        <f t="shared" si="2"/>
        <v>2</v>
      </c>
    </row>
    <row r="201">
      <c r="A201" s="6">
        <v>44996.66059929398</v>
      </c>
      <c r="B201" s="2" t="s">
        <v>249</v>
      </c>
      <c r="C201" s="2">
        <v>36.0</v>
      </c>
      <c r="D201" s="2">
        <v>5641.0</v>
      </c>
      <c r="E201" s="2" t="s">
        <v>34</v>
      </c>
      <c r="R201" s="2" t="s">
        <v>178</v>
      </c>
      <c r="AA201" s="2">
        <v>1.0</v>
      </c>
      <c r="AB201" s="2">
        <v>1.0</v>
      </c>
      <c r="AC201" s="2">
        <v>2.0</v>
      </c>
      <c r="AD201" s="2">
        <v>2.0</v>
      </c>
      <c r="AE201" s="2" t="s">
        <v>175</v>
      </c>
      <c r="AF201" s="2">
        <v>0.0</v>
      </c>
      <c r="AG201" s="2">
        <v>1.0</v>
      </c>
      <c r="AH201" s="2" t="s">
        <v>22</v>
      </c>
      <c r="AI201" s="83"/>
      <c r="AJ201" s="82">
        <f t="shared" si="1"/>
        <v>28</v>
      </c>
      <c r="AK201" s="82">
        <f t="shared" si="2"/>
        <v>7</v>
      </c>
    </row>
    <row r="202">
      <c r="A202" s="6">
        <v>44996.66238886574</v>
      </c>
      <c r="B202" s="2" t="s">
        <v>249</v>
      </c>
      <c r="C202" s="2">
        <v>41.0</v>
      </c>
      <c r="D202" s="2">
        <v>5641.0</v>
      </c>
      <c r="E202" s="2" t="s">
        <v>34</v>
      </c>
      <c r="R202" s="2" t="s">
        <v>178</v>
      </c>
      <c r="AC202" s="2">
        <v>1.0</v>
      </c>
      <c r="AD202" s="2">
        <v>1.0</v>
      </c>
      <c r="AE202" s="2" t="s">
        <v>175</v>
      </c>
      <c r="AF202" s="2">
        <v>0.0</v>
      </c>
      <c r="AG202" s="2">
        <v>1.0</v>
      </c>
      <c r="AH202" s="2" t="s">
        <v>22</v>
      </c>
      <c r="AI202" s="83"/>
      <c r="AJ202" s="82">
        <f t="shared" si="1"/>
        <v>23</v>
      </c>
      <c r="AK202" s="82">
        <f t="shared" si="2"/>
        <v>2</v>
      </c>
    </row>
    <row r="203">
      <c r="A203" s="6">
        <v>44996.66519825232</v>
      </c>
      <c r="B203" s="2" t="s">
        <v>295</v>
      </c>
      <c r="C203" s="2">
        <v>46.0</v>
      </c>
      <c r="D203" s="2">
        <v>5641.0</v>
      </c>
      <c r="E203" s="2" t="s">
        <v>34</v>
      </c>
      <c r="R203" s="2" t="s">
        <v>22</v>
      </c>
      <c r="AA203" s="2">
        <v>1.0</v>
      </c>
      <c r="AB203" s="2">
        <v>1.0</v>
      </c>
      <c r="AC203" s="2">
        <v>3.0</v>
      </c>
      <c r="AD203" s="2">
        <v>3.0</v>
      </c>
      <c r="AE203" s="2" t="s">
        <v>175</v>
      </c>
      <c r="AF203" s="2">
        <v>0.0</v>
      </c>
      <c r="AG203" s="2">
        <v>1.0</v>
      </c>
      <c r="AH203" s="2" t="s">
        <v>22</v>
      </c>
      <c r="AI203" s="83"/>
      <c r="AJ203" s="82">
        <f t="shared" si="1"/>
        <v>22</v>
      </c>
      <c r="AK203" s="82">
        <f t="shared" si="2"/>
        <v>9</v>
      </c>
    </row>
    <row r="204">
      <c r="A204" s="6">
        <v>44996.66761347222</v>
      </c>
      <c r="B204" s="2" t="s">
        <v>251</v>
      </c>
      <c r="C204" s="2" t="s">
        <v>296</v>
      </c>
      <c r="D204" s="2">
        <v>5641.0</v>
      </c>
      <c r="E204" s="2" t="s">
        <v>34</v>
      </c>
      <c r="R204" s="2" t="s">
        <v>175</v>
      </c>
      <c r="AA204" s="2">
        <v>2.0</v>
      </c>
      <c r="AB204" s="2">
        <v>2.0</v>
      </c>
      <c r="AE204" s="2" t="s">
        <v>175</v>
      </c>
      <c r="AF204" s="2">
        <v>0.0</v>
      </c>
      <c r="AG204" s="2">
        <v>1.0</v>
      </c>
      <c r="AH204" s="2" t="s">
        <v>22</v>
      </c>
      <c r="AI204" s="83"/>
      <c r="AJ204" s="82">
        <f t="shared" si="1"/>
        <v>31</v>
      </c>
      <c r="AK204" s="82">
        <f t="shared" si="2"/>
        <v>6</v>
      </c>
    </row>
    <row r="205">
      <c r="A205" s="6">
        <v>44996.66949497686</v>
      </c>
      <c r="B205" s="2" t="s">
        <v>251</v>
      </c>
      <c r="C205" s="2" t="s">
        <v>297</v>
      </c>
      <c r="D205" s="2">
        <v>5641.0</v>
      </c>
      <c r="E205" s="2" t="s">
        <v>34</v>
      </c>
      <c r="R205" s="2" t="s">
        <v>175</v>
      </c>
      <c r="AA205" s="2">
        <v>2.0</v>
      </c>
      <c r="AB205" s="2">
        <v>0.0</v>
      </c>
      <c r="AC205" s="2">
        <v>2.0</v>
      </c>
      <c r="AD205" s="2">
        <v>2.0</v>
      </c>
      <c r="AE205" s="2" t="s">
        <v>177</v>
      </c>
      <c r="AF205" s="2">
        <v>0.0</v>
      </c>
      <c r="AG205" s="2">
        <v>1.0</v>
      </c>
      <c r="AH205" s="2" t="s">
        <v>22</v>
      </c>
      <c r="AI205" s="83"/>
      <c r="AJ205" s="82">
        <f t="shared" si="1"/>
        <v>22</v>
      </c>
      <c r="AK205" s="82">
        <f t="shared" si="2"/>
        <v>4</v>
      </c>
    </row>
    <row r="206">
      <c r="A206" s="6">
        <v>44996.67121994213</v>
      </c>
      <c r="B206" s="2" t="s">
        <v>251</v>
      </c>
      <c r="C206" s="2" t="s">
        <v>298</v>
      </c>
      <c r="D206" s="2">
        <v>5641.0</v>
      </c>
      <c r="E206" s="2" t="s">
        <v>34</v>
      </c>
      <c r="R206" s="2" t="s">
        <v>175</v>
      </c>
      <c r="AA206" s="2">
        <v>2.0</v>
      </c>
      <c r="AB206" s="2">
        <v>2.0</v>
      </c>
      <c r="AE206" s="2" t="s">
        <v>175</v>
      </c>
      <c r="AF206" s="2">
        <v>0.0</v>
      </c>
      <c r="AG206" s="2">
        <v>1.0</v>
      </c>
      <c r="AH206" s="2" t="s">
        <v>22</v>
      </c>
      <c r="AI206" s="83"/>
      <c r="AJ206" s="82">
        <f t="shared" si="1"/>
        <v>31</v>
      </c>
      <c r="AK206" s="82">
        <f t="shared" si="2"/>
        <v>6</v>
      </c>
    </row>
    <row r="207">
      <c r="A207" s="6">
        <v>44997.43968966435</v>
      </c>
      <c r="B207" s="2" t="s">
        <v>60</v>
      </c>
      <c r="C207" s="2">
        <v>1.0</v>
      </c>
      <c r="D207" s="2">
        <v>5674.0</v>
      </c>
      <c r="E207" s="2" t="s">
        <v>34</v>
      </c>
      <c r="R207" s="2" t="s">
        <v>22</v>
      </c>
      <c r="S207" s="2">
        <v>2.0</v>
      </c>
      <c r="T207" s="2">
        <v>2.0</v>
      </c>
      <c r="U207" s="2">
        <v>1.0</v>
      </c>
      <c r="V207" s="2">
        <v>0.0</v>
      </c>
      <c r="W207" s="2">
        <v>2.0</v>
      </c>
      <c r="X207" s="2">
        <v>2.0</v>
      </c>
      <c r="Y207" s="2">
        <v>0.0</v>
      </c>
      <c r="AE207" s="2" t="s">
        <v>22</v>
      </c>
      <c r="AF207" s="2">
        <v>3.0</v>
      </c>
      <c r="AG207" s="2">
        <v>0.0</v>
      </c>
      <c r="AH207" s="2" t="s">
        <v>22</v>
      </c>
      <c r="AI207" s="84" t="s">
        <v>299</v>
      </c>
      <c r="AJ207" s="82">
        <f t="shared" si="1"/>
        <v>17</v>
      </c>
      <c r="AK207" s="82">
        <f t="shared" si="2"/>
        <v>14</v>
      </c>
    </row>
    <row r="208">
      <c r="A208" s="6">
        <v>44997.44229450231</v>
      </c>
      <c r="B208" s="2" t="s">
        <v>60</v>
      </c>
      <c r="C208" s="2">
        <v>7.0</v>
      </c>
      <c r="D208" s="2">
        <v>5674.0</v>
      </c>
      <c r="E208" s="2" t="s">
        <v>34</v>
      </c>
      <c r="N208" s="2">
        <v>1.0</v>
      </c>
      <c r="O208" s="2">
        <v>1.0</v>
      </c>
      <c r="R208" s="2" t="s">
        <v>22</v>
      </c>
      <c r="U208" s="2">
        <v>1.0</v>
      </c>
      <c r="V208" s="2">
        <v>0.0</v>
      </c>
      <c r="W208" s="2">
        <v>1.0</v>
      </c>
      <c r="X208" s="2">
        <v>1.0</v>
      </c>
      <c r="Y208" s="2">
        <v>1.0</v>
      </c>
      <c r="Z208" s="2">
        <v>1.0</v>
      </c>
      <c r="AA208" s="2">
        <v>1.0</v>
      </c>
      <c r="AB208" s="2">
        <v>1.0</v>
      </c>
      <c r="AC208" s="2">
        <v>2.0</v>
      </c>
      <c r="AD208" s="2">
        <v>2.0</v>
      </c>
      <c r="AE208" s="2" t="s">
        <v>22</v>
      </c>
      <c r="AF208" s="2">
        <v>4.0</v>
      </c>
      <c r="AG208" s="2">
        <v>0.0</v>
      </c>
      <c r="AH208" s="2" t="s">
        <v>22</v>
      </c>
      <c r="AI208" s="84" t="s">
        <v>300</v>
      </c>
      <c r="AJ208" s="82">
        <f t="shared" si="1"/>
        <v>21</v>
      </c>
      <c r="AK208" s="82">
        <f t="shared" si="2"/>
        <v>18</v>
      </c>
    </row>
    <row r="209">
      <c r="A209" s="6">
        <v>44997.44503618055</v>
      </c>
      <c r="B209" s="2" t="s">
        <v>60</v>
      </c>
      <c r="C209" s="2">
        <v>15.0</v>
      </c>
      <c r="D209" s="2">
        <v>5674.0</v>
      </c>
      <c r="E209" s="2" t="s">
        <v>34</v>
      </c>
      <c r="L209" s="2">
        <v>0.0</v>
      </c>
      <c r="N209" s="2">
        <v>1.0</v>
      </c>
      <c r="O209" s="2">
        <v>1.0</v>
      </c>
      <c r="R209" s="2" t="s">
        <v>22</v>
      </c>
      <c r="Y209" s="2">
        <v>2.0</v>
      </c>
      <c r="Z209" s="2">
        <v>2.0</v>
      </c>
      <c r="AA209" s="2">
        <v>1.0</v>
      </c>
      <c r="AB209" s="2">
        <v>1.0</v>
      </c>
      <c r="AE209" s="2" t="s">
        <v>22</v>
      </c>
      <c r="AF209" s="2">
        <v>4.0</v>
      </c>
      <c r="AG209" s="2">
        <v>0.0</v>
      </c>
      <c r="AH209" s="2" t="s">
        <v>22</v>
      </c>
      <c r="AI209" s="83"/>
      <c r="AJ209" s="82">
        <f t="shared" si="1"/>
        <v>20</v>
      </c>
      <c r="AK209" s="82">
        <f t="shared" si="2"/>
        <v>17</v>
      </c>
    </row>
    <row r="210">
      <c r="A210" s="6">
        <v>44997.44822056713</v>
      </c>
      <c r="B210" s="2" t="s">
        <v>60</v>
      </c>
      <c r="C210" s="2">
        <v>20.0</v>
      </c>
      <c r="D210" s="2">
        <v>5674.0</v>
      </c>
      <c r="E210" s="2" t="s">
        <v>34</v>
      </c>
      <c r="N210" s="2">
        <v>1.0</v>
      </c>
      <c r="O210" s="2">
        <v>1.0</v>
      </c>
      <c r="R210" s="2" t="s">
        <v>22</v>
      </c>
      <c r="Y210" s="2">
        <v>2.0</v>
      </c>
      <c r="Z210" s="2">
        <v>2.0</v>
      </c>
      <c r="AA210" s="2">
        <v>1.0</v>
      </c>
      <c r="AB210" s="2">
        <v>1.0</v>
      </c>
      <c r="AE210" s="2" t="s">
        <v>22</v>
      </c>
      <c r="AF210" s="2">
        <v>3.0</v>
      </c>
      <c r="AG210" s="2">
        <v>0.0</v>
      </c>
      <c r="AH210" s="2" t="s">
        <v>22</v>
      </c>
      <c r="AI210" s="83"/>
      <c r="AJ210" s="82">
        <f t="shared" si="1"/>
        <v>20</v>
      </c>
      <c r="AK210" s="82">
        <f t="shared" si="2"/>
        <v>17</v>
      </c>
    </row>
    <row r="211">
      <c r="A211" s="6">
        <v>44997.45233075232</v>
      </c>
      <c r="B211" s="2" t="s">
        <v>60</v>
      </c>
      <c r="C211" s="2">
        <v>28.0</v>
      </c>
      <c r="D211" s="2">
        <v>5674.0</v>
      </c>
      <c r="E211" s="2" t="s">
        <v>34</v>
      </c>
      <c r="F211" s="2">
        <v>0.0</v>
      </c>
      <c r="G211" s="2">
        <v>0.0</v>
      </c>
      <c r="J211" s="2">
        <v>0.0</v>
      </c>
      <c r="K211" s="2">
        <v>0.0</v>
      </c>
      <c r="N211" s="2">
        <v>1.0</v>
      </c>
      <c r="O211" s="2">
        <v>0.0</v>
      </c>
      <c r="P211" s="2">
        <v>1.0</v>
      </c>
      <c r="Q211" s="2">
        <v>1.0</v>
      </c>
      <c r="R211" s="2" t="s">
        <v>22</v>
      </c>
      <c r="S211" s="2">
        <v>1.0</v>
      </c>
      <c r="T211" s="2">
        <v>0.0</v>
      </c>
      <c r="W211" s="2">
        <v>1.0</v>
      </c>
      <c r="X211" s="2">
        <v>1.0</v>
      </c>
      <c r="AE211" s="2" t="s">
        <v>22</v>
      </c>
      <c r="AF211" s="2">
        <v>2.0</v>
      </c>
      <c r="AG211" s="2">
        <v>0.0</v>
      </c>
      <c r="AH211" s="2" t="s">
        <v>22</v>
      </c>
      <c r="AI211" s="83"/>
      <c r="AJ211" s="82">
        <f t="shared" si="1"/>
        <v>8</v>
      </c>
      <c r="AK211" s="82">
        <f t="shared" si="2"/>
        <v>5</v>
      </c>
    </row>
    <row r="212">
      <c r="A212" s="6">
        <v>44997.45731217593</v>
      </c>
      <c r="B212" s="2" t="s">
        <v>60</v>
      </c>
      <c r="C212" s="2">
        <v>32.0</v>
      </c>
      <c r="D212" s="2">
        <v>5674.0</v>
      </c>
      <c r="E212" s="2" t="s">
        <v>34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  <c r="M212" s="2">
        <v>0.0</v>
      </c>
      <c r="N212" s="2">
        <v>1.0</v>
      </c>
      <c r="O212" s="2">
        <v>1.0</v>
      </c>
      <c r="P212" s="2">
        <v>0.0</v>
      </c>
      <c r="Q212" s="2">
        <v>0.0</v>
      </c>
      <c r="R212" s="2" t="s">
        <v>22</v>
      </c>
      <c r="S212" s="2">
        <v>2.0</v>
      </c>
      <c r="T212" s="2">
        <v>2.0</v>
      </c>
      <c r="Y212" s="2">
        <v>2.0</v>
      </c>
      <c r="Z212" s="2">
        <v>1.0</v>
      </c>
      <c r="AC212" s="2">
        <v>2.0</v>
      </c>
      <c r="AD212" s="2">
        <v>2.0</v>
      </c>
      <c r="AE212" s="2" t="s">
        <v>175</v>
      </c>
      <c r="AF212" s="2">
        <v>4.0</v>
      </c>
      <c r="AG212" s="2">
        <v>0.0</v>
      </c>
      <c r="AH212" s="2" t="s">
        <v>22</v>
      </c>
      <c r="AI212" s="83"/>
      <c r="AJ212" s="82">
        <f t="shared" si="1"/>
        <v>36</v>
      </c>
      <c r="AK212" s="82">
        <f t="shared" si="2"/>
        <v>23</v>
      </c>
    </row>
    <row r="213">
      <c r="A213" s="6">
        <v>44997.45960094908</v>
      </c>
      <c r="B213" s="2" t="s">
        <v>60</v>
      </c>
      <c r="C213" s="2">
        <v>37.0</v>
      </c>
      <c r="D213" s="2">
        <v>5674.0</v>
      </c>
      <c r="E213" s="2" t="s">
        <v>34</v>
      </c>
      <c r="P213" s="2">
        <v>1.0</v>
      </c>
      <c r="Q213" s="2">
        <v>1.0</v>
      </c>
      <c r="R213" s="2" t="s">
        <v>22</v>
      </c>
      <c r="S213" s="2">
        <v>2.0</v>
      </c>
      <c r="T213" s="2">
        <v>2.0</v>
      </c>
      <c r="U213" s="2">
        <v>1.0</v>
      </c>
      <c r="V213" s="2">
        <v>0.0</v>
      </c>
      <c r="W213" s="2">
        <v>1.0</v>
      </c>
      <c r="X213" s="2">
        <v>1.0</v>
      </c>
      <c r="AE213" s="2" t="s">
        <v>177</v>
      </c>
      <c r="AF213" s="2">
        <v>3.0</v>
      </c>
      <c r="AG213" s="2">
        <v>0.0</v>
      </c>
      <c r="AH213" s="2" t="s">
        <v>22</v>
      </c>
      <c r="AI213" s="84" t="s">
        <v>301</v>
      </c>
      <c r="AJ213" s="82">
        <f t="shared" si="1"/>
        <v>21</v>
      </c>
      <c r="AK213" s="82">
        <f t="shared" si="2"/>
        <v>15</v>
      </c>
    </row>
    <row r="214">
      <c r="A214" s="6">
        <v>44997.46177724537</v>
      </c>
      <c r="B214" s="2" t="s">
        <v>60</v>
      </c>
      <c r="C214" s="2">
        <v>46.0</v>
      </c>
      <c r="D214" s="2">
        <v>5674.0</v>
      </c>
      <c r="E214" s="2" t="s">
        <v>34</v>
      </c>
      <c r="P214" s="2">
        <v>1.0</v>
      </c>
      <c r="Q214" s="2">
        <v>1.0</v>
      </c>
      <c r="R214" s="2" t="s">
        <v>22</v>
      </c>
      <c r="S214" s="2">
        <v>1.0</v>
      </c>
      <c r="T214" s="2">
        <v>1.0</v>
      </c>
      <c r="W214" s="2">
        <v>1.0</v>
      </c>
      <c r="X214" s="2">
        <v>1.0</v>
      </c>
      <c r="AC214" s="2">
        <v>1.0</v>
      </c>
      <c r="AD214" s="2">
        <v>1.0</v>
      </c>
      <c r="AE214" s="2" t="s">
        <v>175</v>
      </c>
      <c r="AF214" s="2">
        <v>5.0</v>
      </c>
      <c r="AG214" s="2">
        <v>0.0</v>
      </c>
      <c r="AH214" s="2" t="s">
        <v>22</v>
      </c>
      <c r="AI214" s="83"/>
      <c r="AJ214" s="82">
        <f t="shared" si="1"/>
        <v>25</v>
      </c>
      <c r="AK214" s="82">
        <f t="shared" si="2"/>
        <v>12</v>
      </c>
    </row>
    <row r="215">
      <c r="A215" s="6">
        <v>44997.463907638885</v>
      </c>
      <c r="B215" s="2" t="s">
        <v>60</v>
      </c>
      <c r="C215" s="2">
        <v>53.0</v>
      </c>
      <c r="D215" s="2">
        <v>5674.0</v>
      </c>
      <c r="E215" s="2" t="s">
        <v>22</v>
      </c>
      <c r="F215" s="2">
        <v>0.0</v>
      </c>
      <c r="G215" s="2">
        <v>0.0</v>
      </c>
      <c r="P215" s="2">
        <v>1.0</v>
      </c>
      <c r="Q215" s="2">
        <v>0.0</v>
      </c>
      <c r="R215" s="2" t="s">
        <v>22</v>
      </c>
      <c r="S215" s="2">
        <v>1.0</v>
      </c>
      <c r="T215" s="2">
        <v>0.0</v>
      </c>
      <c r="U215" s="2">
        <v>1.0</v>
      </c>
      <c r="V215" s="2">
        <v>1.0</v>
      </c>
      <c r="W215" s="2">
        <v>1.0</v>
      </c>
      <c r="X215" s="2">
        <v>1.0</v>
      </c>
      <c r="AC215" s="2">
        <v>1.0</v>
      </c>
      <c r="AD215" s="2">
        <v>1.0</v>
      </c>
      <c r="AE215" s="2" t="s">
        <v>22</v>
      </c>
      <c r="AF215" s="2">
        <v>4.0</v>
      </c>
      <c r="AG215" s="2">
        <v>0.0</v>
      </c>
      <c r="AH215" s="2" t="s">
        <v>22</v>
      </c>
      <c r="AI215" s="83"/>
      <c r="AJ215" s="82">
        <f t="shared" si="1"/>
        <v>7</v>
      </c>
      <c r="AK215" s="82">
        <f t="shared" si="2"/>
        <v>7</v>
      </c>
    </row>
    <row r="216">
      <c r="A216" s="6">
        <v>44997.46641288194</v>
      </c>
      <c r="B216" s="2" t="s">
        <v>60</v>
      </c>
      <c r="C216" s="2">
        <v>60.0</v>
      </c>
      <c r="D216" s="2">
        <v>5674.0</v>
      </c>
      <c r="E216" s="2" t="s">
        <v>34</v>
      </c>
      <c r="H216" s="2">
        <v>1.0</v>
      </c>
      <c r="I216" s="2">
        <v>1.0</v>
      </c>
      <c r="R216" s="2" t="s">
        <v>175</v>
      </c>
      <c r="W216" s="2">
        <v>1.0</v>
      </c>
      <c r="X216" s="2">
        <v>1.0</v>
      </c>
      <c r="Y216" s="2">
        <v>2.0</v>
      </c>
      <c r="Z216" s="2">
        <v>2.0</v>
      </c>
      <c r="AE216" s="2" t="s">
        <v>22</v>
      </c>
      <c r="AF216" s="2">
        <v>4.0</v>
      </c>
      <c r="AG216" s="2">
        <v>0.0</v>
      </c>
      <c r="AH216" s="2" t="s">
        <v>22</v>
      </c>
      <c r="AI216" s="83"/>
      <c r="AJ216" s="82">
        <f t="shared" si="1"/>
        <v>31</v>
      </c>
      <c r="AK216" s="82">
        <f t="shared" si="2"/>
        <v>16</v>
      </c>
    </row>
    <row r="217">
      <c r="A217" s="6">
        <v>44997.4688819213</v>
      </c>
      <c r="B217" s="2" t="s">
        <v>60</v>
      </c>
      <c r="C217" s="2">
        <v>64.0</v>
      </c>
      <c r="D217" s="2">
        <v>5674.0</v>
      </c>
      <c r="E217" s="2" t="s">
        <v>34</v>
      </c>
      <c r="P217" s="2">
        <v>1.0</v>
      </c>
      <c r="Q217" s="2">
        <v>0.0</v>
      </c>
      <c r="R217" s="2" t="s">
        <v>22</v>
      </c>
      <c r="W217" s="2">
        <v>1.0</v>
      </c>
      <c r="X217" s="2">
        <v>1.0</v>
      </c>
      <c r="Y217" s="2">
        <v>2.0</v>
      </c>
      <c r="Z217" s="2">
        <v>2.0</v>
      </c>
      <c r="AA217" s="2">
        <v>1.0</v>
      </c>
      <c r="AB217" s="2">
        <v>1.0</v>
      </c>
      <c r="AE217" s="2" t="s">
        <v>22</v>
      </c>
      <c r="AF217" s="2">
        <v>4.0</v>
      </c>
      <c r="AG217" s="2">
        <v>0.0</v>
      </c>
      <c r="AH217" s="2" t="s">
        <v>22</v>
      </c>
      <c r="AI217" s="83"/>
      <c r="AJ217" s="82">
        <f t="shared" si="1"/>
        <v>18</v>
      </c>
      <c r="AK217" s="82">
        <f t="shared" si="2"/>
        <v>15</v>
      </c>
    </row>
    <row r="218">
      <c r="A218" s="6">
        <v>44997.47138309028</v>
      </c>
      <c r="B218" s="2" t="s">
        <v>60</v>
      </c>
      <c r="C218" s="2">
        <v>68.0</v>
      </c>
      <c r="D218" s="2">
        <v>5674.0</v>
      </c>
      <c r="E218" s="2" t="s">
        <v>34</v>
      </c>
      <c r="N218" s="2">
        <v>1.0</v>
      </c>
      <c r="O218" s="2">
        <v>1.0</v>
      </c>
      <c r="R218" s="2" t="s">
        <v>178</v>
      </c>
      <c r="W218" s="2">
        <v>2.0</v>
      </c>
      <c r="X218" s="2">
        <v>1.0</v>
      </c>
      <c r="AE218" s="2" t="s">
        <v>175</v>
      </c>
      <c r="AF218" s="2">
        <v>3.0</v>
      </c>
      <c r="AG218" s="2">
        <v>0.0</v>
      </c>
      <c r="AH218" s="2" t="s">
        <v>22</v>
      </c>
      <c r="AI218" s="83"/>
      <c r="AJ218" s="82">
        <f t="shared" si="1"/>
        <v>27</v>
      </c>
      <c r="AK218" s="82">
        <f t="shared" si="2"/>
        <v>6</v>
      </c>
    </row>
    <row r="219">
      <c r="A219" s="6">
        <v>44997.4729255787</v>
      </c>
      <c r="B219" s="2" t="s">
        <v>60</v>
      </c>
      <c r="C219" s="2" t="s">
        <v>302</v>
      </c>
      <c r="D219" s="2">
        <v>5674.0</v>
      </c>
      <c r="E219" s="2" t="s">
        <v>34</v>
      </c>
      <c r="N219" s="2">
        <v>1.0</v>
      </c>
      <c r="O219" s="2">
        <v>1.0</v>
      </c>
      <c r="R219" s="2" t="s">
        <v>175</v>
      </c>
      <c r="W219" s="2">
        <v>1.0</v>
      </c>
      <c r="X219" s="2">
        <v>1.0</v>
      </c>
      <c r="AE219" s="2" t="s">
        <v>22</v>
      </c>
      <c r="AF219" s="2">
        <v>3.0</v>
      </c>
      <c r="AG219" s="2">
        <v>0.0</v>
      </c>
      <c r="AH219" s="2" t="s">
        <v>34</v>
      </c>
      <c r="AI219" s="84" t="s">
        <v>303</v>
      </c>
      <c r="AJ219" s="82">
        <f t="shared" si="1"/>
        <v>21</v>
      </c>
      <c r="AK219" s="82">
        <f t="shared" si="2"/>
        <v>6</v>
      </c>
    </row>
    <row r="220">
      <c r="A220" s="6">
        <v>44997.476627129625</v>
      </c>
      <c r="B220" s="2" t="s">
        <v>60</v>
      </c>
      <c r="C220" s="2" t="s">
        <v>304</v>
      </c>
      <c r="D220" s="2">
        <v>5674.0</v>
      </c>
      <c r="E220" s="2" t="s">
        <v>34</v>
      </c>
      <c r="N220" s="2">
        <v>1.0</v>
      </c>
      <c r="O220" s="2">
        <v>1.0</v>
      </c>
      <c r="R220" s="2" t="s">
        <v>22</v>
      </c>
      <c r="W220" s="2">
        <v>1.0</v>
      </c>
      <c r="X220" s="2">
        <v>1.0</v>
      </c>
      <c r="AA220" s="2">
        <v>1.0</v>
      </c>
      <c r="AB220" s="2">
        <v>1.0</v>
      </c>
      <c r="AE220" s="2" t="s">
        <v>22</v>
      </c>
      <c r="AF220" s="2">
        <v>3.0</v>
      </c>
      <c r="AG220" s="2">
        <v>0.0</v>
      </c>
      <c r="AH220" s="2" t="s">
        <v>22</v>
      </c>
      <c r="AI220" s="83"/>
      <c r="AJ220" s="82">
        <f t="shared" si="1"/>
        <v>12</v>
      </c>
      <c r="AK220" s="82">
        <f t="shared" si="2"/>
        <v>9</v>
      </c>
    </row>
    <row r="221">
      <c r="A221" s="6">
        <v>44996.674841307875</v>
      </c>
      <c r="B221" s="2" t="s">
        <v>251</v>
      </c>
      <c r="C221" s="2">
        <v>6.0</v>
      </c>
      <c r="D221" s="2">
        <v>5708.0</v>
      </c>
      <c r="E221" s="2" t="s">
        <v>34</v>
      </c>
      <c r="R221" s="2" t="s">
        <v>22</v>
      </c>
      <c r="W221" s="2">
        <v>1.0</v>
      </c>
      <c r="X221" s="2">
        <v>1.0</v>
      </c>
      <c r="AE221" s="2" t="s">
        <v>22</v>
      </c>
      <c r="AF221" s="2">
        <v>0.0</v>
      </c>
      <c r="AG221" s="2">
        <v>1.0</v>
      </c>
      <c r="AH221" s="2" t="s">
        <v>22</v>
      </c>
      <c r="AI221" s="83"/>
      <c r="AJ221" s="82">
        <f t="shared" si="1"/>
        <v>5</v>
      </c>
      <c r="AK221" s="82">
        <f t="shared" si="2"/>
        <v>2</v>
      </c>
    </row>
    <row r="222">
      <c r="A222" s="6">
        <v>44996.67836583333</v>
      </c>
      <c r="B222" s="2" t="s">
        <v>251</v>
      </c>
      <c r="C222" s="2">
        <v>12.0</v>
      </c>
      <c r="D222" s="2">
        <v>5708.0</v>
      </c>
      <c r="E222" s="2" t="s">
        <v>22</v>
      </c>
      <c r="R222" s="2" t="s">
        <v>22</v>
      </c>
      <c r="Y222" s="2">
        <v>1.0</v>
      </c>
      <c r="Z222" s="2">
        <v>1.0</v>
      </c>
      <c r="AA222" s="2">
        <v>2.0</v>
      </c>
      <c r="AB222" s="2">
        <v>2.0</v>
      </c>
      <c r="AE222" s="2" t="s">
        <v>178</v>
      </c>
      <c r="AF222" s="2">
        <v>0.0</v>
      </c>
      <c r="AG222" s="2">
        <v>2.0</v>
      </c>
      <c r="AH222" s="2" t="s">
        <v>34</v>
      </c>
      <c r="AI222" s="84" t="s">
        <v>305</v>
      </c>
      <c r="AJ222" s="82">
        <f t="shared" si="1"/>
        <v>17</v>
      </c>
      <c r="AK222" s="82">
        <f t="shared" si="2"/>
        <v>11</v>
      </c>
    </row>
    <row r="223">
      <c r="A223" s="6">
        <v>44996.920756168984</v>
      </c>
      <c r="B223" s="2" t="s">
        <v>251</v>
      </c>
      <c r="C223" s="2">
        <v>16.0</v>
      </c>
      <c r="D223" s="2">
        <v>5708.0</v>
      </c>
      <c r="E223" s="2" t="s">
        <v>34</v>
      </c>
      <c r="R223" s="2" t="s">
        <v>22</v>
      </c>
      <c r="U223" s="2">
        <v>1.0</v>
      </c>
      <c r="V223" s="2">
        <v>1.0</v>
      </c>
      <c r="AE223" s="2" t="s">
        <v>22</v>
      </c>
      <c r="AF223" s="2">
        <v>1.0</v>
      </c>
      <c r="AG223" s="2">
        <v>0.0</v>
      </c>
      <c r="AH223" s="2" t="s">
        <v>34</v>
      </c>
      <c r="AI223" s="83"/>
      <c r="AJ223" s="82">
        <f t="shared" si="1"/>
        <v>6</v>
      </c>
      <c r="AK223" s="82">
        <f t="shared" si="2"/>
        <v>3</v>
      </c>
    </row>
    <row r="224">
      <c r="A224" s="6">
        <v>44996.92285299768</v>
      </c>
      <c r="B224" s="2" t="s">
        <v>251</v>
      </c>
      <c r="C224" s="2">
        <v>21.0</v>
      </c>
      <c r="D224" s="2">
        <v>5708.0</v>
      </c>
      <c r="E224" s="2" t="s">
        <v>34</v>
      </c>
      <c r="R224" s="2" t="s">
        <v>22</v>
      </c>
      <c r="Y224" s="2">
        <v>2.0</v>
      </c>
      <c r="Z224" s="2">
        <v>2.0</v>
      </c>
      <c r="AA224" s="2">
        <v>1.0</v>
      </c>
      <c r="AB224" s="2">
        <v>1.0</v>
      </c>
      <c r="AE224" s="2" t="s">
        <v>177</v>
      </c>
      <c r="AF224" s="2">
        <v>0.0</v>
      </c>
      <c r="AG224" s="2">
        <v>1.0</v>
      </c>
      <c r="AH224" s="2" t="s">
        <v>22</v>
      </c>
      <c r="AI224" s="83"/>
      <c r="AJ224" s="82">
        <f t="shared" si="1"/>
        <v>19</v>
      </c>
      <c r="AK224" s="82">
        <f t="shared" si="2"/>
        <v>13</v>
      </c>
    </row>
    <row r="225">
      <c r="A225" s="6">
        <v>44996.92454649306</v>
      </c>
      <c r="B225" s="2" t="s">
        <v>249</v>
      </c>
      <c r="C225" s="2">
        <v>25.0</v>
      </c>
      <c r="D225" s="2">
        <v>5708.0</v>
      </c>
      <c r="E225" s="2" t="s">
        <v>34</v>
      </c>
      <c r="R225" s="2" t="s">
        <v>22</v>
      </c>
      <c r="Y225" s="2">
        <v>2.0</v>
      </c>
      <c r="Z225" s="2">
        <v>2.0</v>
      </c>
      <c r="AE225" s="2" t="s">
        <v>22</v>
      </c>
      <c r="AF225" s="2">
        <v>0.0</v>
      </c>
      <c r="AG225" s="2">
        <v>1.0</v>
      </c>
      <c r="AH225" s="2" t="s">
        <v>34</v>
      </c>
      <c r="AI225" s="83"/>
      <c r="AJ225" s="82">
        <f t="shared" si="1"/>
        <v>13</v>
      </c>
      <c r="AK225" s="82">
        <f t="shared" si="2"/>
        <v>10</v>
      </c>
    </row>
    <row r="226">
      <c r="A226" s="6">
        <v>44996.94675446759</v>
      </c>
      <c r="B226" s="2" t="s">
        <v>288</v>
      </c>
      <c r="C226" s="2">
        <v>32.0</v>
      </c>
      <c r="D226" s="2">
        <v>5708.0</v>
      </c>
      <c r="E226" s="2" t="s">
        <v>34</v>
      </c>
      <c r="R226" s="2" t="s">
        <v>22</v>
      </c>
      <c r="Y226" s="2">
        <v>2.0</v>
      </c>
      <c r="Z226" s="2">
        <v>2.0</v>
      </c>
      <c r="AA226" s="2">
        <v>2.0</v>
      </c>
      <c r="AB226" s="2">
        <v>2.0</v>
      </c>
      <c r="AE226" s="2" t="s">
        <v>177</v>
      </c>
      <c r="AF226" s="2">
        <v>0.0</v>
      </c>
      <c r="AG226" s="2">
        <v>2.0</v>
      </c>
      <c r="AH226" s="2" t="s">
        <v>22</v>
      </c>
      <c r="AI226" s="83"/>
      <c r="AJ226" s="82">
        <f t="shared" si="1"/>
        <v>22</v>
      </c>
      <c r="AK226" s="82">
        <f t="shared" si="2"/>
        <v>16</v>
      </c>
    </row>
    <row r="227">
      <c r="A227" s="6">
        <v>45003.41823083333</v>
      </c>
      <c r="B227" s="2" t="s">
        <v>306</v>
      </c>
      <c r="C227" s="2">
        <v>42.0</v>
      </c>
      <c r="D227" s="2">
        <v>5708.0</v>
      </c>
      <c r="E227" s="2" t="s">
        <v>34</v>
      </c>
      <c r="R227" s="2" t="s">
        <v>22</v>
      </c>
      <c r="Y227" s="2">
        <v>2.0</v>
      </c>
      <c r="Z227" s="2">
        <v>2.0</v>
      </c>
      <c r="AE227" s="2" t="s">
        <v>175</v>
      </c>
      <c r="AF227" s="2">
        <v>2.0</v>
      </c>
      <c r="AG227" s="2">
        <v>1.0</v>
      </c>
      <c r="AH227" s="2" t="s">
        <v>22</v>
      </c>
      <c r="AI227" s="84" t="s">
        <v>307</v>
      </c>
      <c r="AJ227" s="82">
        <f t="shared" si="1"/>
        <v>23</v>
      </c>
      <c r="AK227" s="82">
        <f t="shared" si="2"/>
        <v>10</v>
      </c>
    </row>
    <row r="228">
      <c r="A228" s="6">
        <v>45003.420867974535</v>
      </c>
      <c r="B228" s="2" t="s">
        <v>306</v>
      </c>
      <c r="C228" s="2">
        <v>47.0</v>
      </c>
      <c r="D228" s="2">
        <v>5708.0</v>
      </c>
      <c r="E228" s="2" t="s">
        <v>34</v>
      </c>
      <c r="R228" s="2" t="s">
        <v>22</v>
      </c>
      <c r="S228" s="2">
        <v>1.0</v>
      </c>
      <c r="T228" s="2">
        <v>0.0</v>
      </c>
      <c r="Y228" s="2">
        <v>1.0</v>
      </c>
      <c r="Z228" s="2">
        <v>1.0</v>
      </c>
      <c r="AE228" s="2" t="s">
        <v>175</v>
      </c>
      <c r="AF228" s="2">
        <v>1.0</v>
      </c>
      <c r="AG228" s="2">
        <v>1.0</v>
      </c>
      <c r="AH228" s="2" t="s">
        <v>22</v>
      </c>
      <c r="AI228" s="84" t="s">
        <v>308</v>
      </c>
      <c r="AJ228" s="82">
        <f t="shared" si="1"/>
        <v>18</v>
      </c>
      <c r="AK228" s="82">
        <f t="shared" si="2"/>
        <v>5</v>
      </c>
    </row>
    <row r="229">
      <c r="A229" s="6">
        <v>45003.4242140625</v>
      </c>
      <c r="B229" s="2" t="s">
        <v>306</v>
      </c>
      <c r="C229" s="2">
        <v>53.0</v>
      </c>
      <c r="D229" s="2">
        <v>5708.0</v>
      </c>
      <c r="E229" s="2" t="s">
        <v>34</v>
      </c>
      <c r="R229" s="2" t="s">
        <v>22</v>
      </c>
      <c r="Y229" s="2">
        <v>3.0</v>
      </c>
      <c r="Z229" s="2">
        <v>2.0</v>
      </c>
      <c r="AA229" s="2">
        <v>1.0</v>
      </c>
      <c r="AB229" s="2">
        <v>1.0</v>
      </c>
      <c r="AE229" s="2" t="s">
        <v>22</v>
      </c>
      <c r="AF229" s="2">
        <v>2.0</v>
      </c>
      <c r="AG229" s="2">
        <v>1.0</v>
      </c>
      <c r="AH229" s="2" t="s">
        <v>34</v>
      </c>
      <c r="AI229" s="84" t="s">
        <v>309</v>
      </c>
      <c r="AJ229" s="82">
        <f t="shared" si="1"/>
        <v>16</v>
      </c>
      <c r="AK229" s="82">
        <f t="shared" si="2"/>
        <v>13</v>
      </c>
    </row>
    <row r="230">
      <c r="A230" s="6">
        <v>45003.426758842594</v>
      </c>
      <c r="B230" s="2" t="s">
        <v>306</v>
      </c>
      <c r="C230" s="2">
        <v>57.0</v>
      </c>
      <c r="D230" s="2">
        <v>5708.0</v>
      </c>
      <c r="E230" s="2" t="s">
        <v>34</v>
      </c>
      <c r="R230" s="2" t="s">
        <v>22</v>
      </c>
      <c r="Y230" s="2">
        <v>2.0</v>
      </c>
      <c r="Z230" s="2">
        <v>2.0</v>
      </c>
      <c r="AA230" s="2">
        <v>1.0</v>
      </c>
      <c r="AB230" s="2">
        <v>1.0</v>
      </c>
      <c r="AC230" s="2">
        <v>1.0</v>
      </c>
      <c r="AD230" s="2">
        <v>1.0</v>
      </c>
      <c r="AE230" s="2" t="s">
        <v>175</v>
      </c>
      <c r="AF230" s="2">
        <v>3.0</v>
      </c>
      <c r="AG230" s="2">
        <v>1.0</v>
      </c>
      <c r="AH230" s="2" t="s">
        <v>22</v>
      </c>
      <c r="AI230" s="84" t="s">
        <v>310</v>
      </c>
      <c r="AJ230" s="82">
        <f t="shared" si="1"/>
        <v>28</v>
      </c>
      <c r="AK230" s="82">
        <f t="shared" si="2"/>
        <v>15</v>
      </c>
    </row>
    <row r="231">
      <c r="A231" s="6">
        <v>45003.4292982176</v>
      </c>
      <c r="B231" s="2" t="s">
        <v>306</v>
      </c>
      <c r="C231" s="2">
        <v>61.0</v>
      </c>
      <c r="D231" s="2">
        <v>5708.0</v>
      </c>
      <c r="E231" s="2" t="s">
        <v>34</v>
      </c>
      <c r="R231" s="2" t="s">
        <v>22</v>
      </c>
      <c r="AC231" s="2">
        <v>5.0</v>
      </c>
      <c r="AD231" s="2">
        <v>4.0</v>
      </c>
      <c r="AE231" s="2" t="s">
        <v>175</v>
      </c>
      <c r="AF231" s="2">
        <v>2.0</v>
      </c>
      <c r="AG231" s="2">
        <v>1.0</v>
      </c>
      <c r="AH231" s="2" t="s">
        <v>22</v>
      </c>
      <c r="AI231" s="84" t="s">
        <v>311</v>
      </c>
      <c r="AJ231" s="82">
        <f t="shared" si="1"/>
        <v>21</v>
      </c>
      <c r="AK231" s="82">
        <f t="shared" si="2"/>
        <v>8</v>
      </c>
    </row>
    <row r="232">
      <c r="A232" s="6">
        <v>45003.43266278935</v>
      </c>
      <c r="B232" s="2" t="s">
        <v>306</v>
      </c>
      <c r="C232" s="2">
        <v>70.0</v>
      </c>
      <c r="D232" s="2">
        <v>5708.0</v>
      </c>
      <c r="E232" s="2" t="s">
        <v>34</v>
      </c>
      <c r="R232" s="2" t="s">
        <v>22</v>
      </c>
      <c r="Y232" s="2">
        <v>2.0</v>
      </c>
      <c r="Z232" s="2">
        <v>2.0</v>
      </c>
      <c r="AC232" s="2">
        <v>1.0</v>
      </c>
      <c r="AD232" s="2">
        <v>1.0</v>
      </c>
      <c r="AE232" s="2" t="s">
        <v>177</v>
      </c>
      <c r="AF232" s="2">
        <v>2.0</v>
      </c>
      <c r="AG232" s="2">
        <v>1.0</v>
      </c>
      <c r="AH232" s="2" t="s">
        <v>22</v>
      </c>
      <c r="AI232" s="83"/>
      <c r="AJ232" s="82">
        <f t="shared" si="1"/>
        <v>18</v>
      </c>
      <c r="AK232" s="82">
        <f t="shared" si="2"/>
        <v>12</v>
      </c>
    </row>
    <row r="233">
      <c r="A233" s="6">
        <v>44995.814717037036</v>
      </c>
      <c r="B233" s="2" t="s">
        <v>25</v>
      </c>
      <c r="C233" s="2">
        <v>8.0</v>
      </c>
      <c r="D233" s="2">
        <v>6081.0</v>
      </c>
      <c r="E233" s="2" t="s">
        <v>34</v>
      </c>
      <c r="F233" s="2">
        <v>1.0</v>
      </c>
      <c r="G233" s="2">
        <v>1.0</v>
      </c>
      <c r="R233" s="2" t="s">
        <v>22</v>
      </c>
      <c r="S233" s="2">
        <v>2.0</v>
      </c>
      <c r="T233" s="2">
        <v>1.0</v>
      </c>
      <c r="W233" s="2">
        <v>2.0</v>
      </c>
      <c r="X233" s="2">
        <v>2.0</v>
      </c>
      <c r="Y233" s="2">
        <v>2.0</v>
      </c>
      <c r="Z233" s="2">
        <v>2.0</v>
      </c>
      <c r="AA233" s="2">
        <v>1.0</v>
      </c>
      <c r="AB233" s="2">
        <v>1.0</v>
      </c>
      <c r="AE233" s="2" t="s">
        <v>177</v>
      </c>
      <c r="AF233" s="2">
        <v>5.0</v>
      </c>
      <c r="AG233" s="2">
        <v>0.0</v>
      </c>
      <c r="AH233" s="2" t="s">
        <v>22</v>
      </c>
      <c r="AI233" s="84" t="s">
        <v>312</v>
      </c>
      <c r="AJ233" s="82">
        <f t="shared" si="1"/>
        <v>34</v>
      </c>
      <c r="AK233" s="82">
        <f t="shared" si="2"/>
        <v>28</v>
      </c>
    </row>
    <row r="234">
      <c r="A234" s="6">
        <v>44995.81836081018</v>
      </c>
      <c r="B234" s="2" t="s">
        <v>25</v>
      </c>
      <c r="C234" s="2">
        <v>20.0</v>
      </c>
      <c r="D234" s="2">
        <v>6081.0</v>
      </c>
      <c r="E234" s="2" t="s">
        <v>34</v>
      </c>
      <c r="F234" s="2">
        <v>1.0</v>
      </c>
      <c r="G234" s="2">
        <v>1.0</v>
      </c>
      <c r="R234" s="2" t="s">
        <v>175</v>
      </c>
      <c r="S234" s="2">
        <v>2.0</v>
      </c>
      <c r="T234" s="2">
        <v>2.0</v>
      </c>
      <c r="U234" s="2">
        <v>1.0</v>
      </c>
      <c r="V234" s="2">
        <v>0.0</v>
      </c>
      <c r="W234" s="2">
        <v>1.0</v>
      </c>
      <c r="X234" s="2">
        <v>1.0</v>
      </c>
      <c r="Y234" s="2">
        <v>1.0</v>
      </c>
      <c r="Z234" s="2">
        <v>1.0</v>
      </c>
      <c r="AA234" s="2">
        <v>1.0</v>
      </c>
      <c r="AB234" s="2">
        <v>1.0</v>
      </c>
      <c r="AE234" s="2" t="s">
        <v>22</v>
      </c>
      <c r="AF234" s="2">
        <v>3.0</v>
      </c>
      <c r="AG234" s="2">
        <v>0.0</v>
      </c>
      <c r="AH234" s="2" t="s">
        <v>22</v>
      </c>
      <c r="AI234" s="84" t="s">
        <v>313</v>
      </c>
      <c r="AJ234" s="82">
        <f t="shared" si="1"/>
        <v>41</v>
      </c>
      <c r="AK234" s="82">
        <f t="shared" si="2"/>
        <v>26</v>
      </c>
    </row>
    <row r="235">
      <c r="A235" s="6">
        <v>44995.8229258912</v>
      </c>
      <c r="B235" s="2" t="s">
        <v>25</v>
      </c>
      <c r="C235" s="2">
        <v>27.0</v>
      </c>
      <c r="D235" s="2">
        <v>6081.0</v>
      </c>
      <c r="E235" s="2" t="s">
        <v>34</v>
      </c>
      <c r="F235" s="2">
        <v>1.0</v>
      </c>
      <c r="G235" s="2">
        <v>1.0</v>
      </c>
      <c r="L235" s="2">
        <v>1.0</v>
      </c>
      <c r="M235" s="2">
        <v>0.0</v>
      </c>
      <c r="R235" s="2" t="s">
        <v>22</v>
      </c>
      <c r="S235" s="2">
        <v>3.0</v>
      </c>
      <c r="T235" s="2">
        <v>1.0</v>
      </c>
      <c r="W235" s="2">
        <v>1.0</v>
      </c>
      <c r="X235" s="2">
        <v>1.0</v>
      </c>
      <c r="Y235" s="2">
        <v>1.0</v>
      </c>
      <c r="Z235" s="2">
        <v>1.0</v>
      </c>
      <c r="AA235" s="2">
        <v>1.0</v>
      </c>
      <c r="AB235" s="2">
        <v>1.0</v>
      </c>
      <c r="AC235" s="2">
        <v>1.0</v>
      </c>
      <c r="AD235" s="2">
        <v>1.0</v>
      </c>
      <c r="AE235" s="2" t="s">
        <v>178</v>
      </c>
      <c r="AF235" s="2">
        <v>3.0</v>
      </c>
      <c r="AG235" s="2">
        <v>0.0</v>
      </c>
      <c r="AH235" s="2" t="s">
        <v>22</v>
      </c>
      <c r="AI235" s="84" t="s">
        <v>314</v>
      </c>
      <c r="AJ235" s="82">
        <f t="shared" si="1"/>
        <v>32</v>
      </c>
      <c r="AK235" s="82">
        <f t="shared" si="2"/>
        <v>23</v>
      </c>
    </row>
    <row r="236">
      <c r="A236" s="6">
        <v>44995.82591809028</v>
      </c>
      <c r="B236" s="2" t="s">
        <v>25</v>
      </c>
      <c r="C236" s="2">
        <v>33.0</v>
      </c>
      <c r="D236" s="2">
        <v>6081.0</v>
      </c>
      <c r="E236" s="2" t="s">
        <v>34</v>
      </c>
      <c r="F236" s="2">
        <v>1.0</v>
      </c>
      <c r="G236" s="2">
        <v>0.0</v>
      </c>
      <c r="R236" s="2" t="s">
        <v>175</v>
      </c>
      <c r="W236" s="2">
        <v>1.0</v>
      </c>
      <c r="X236" s="2">
        <v>1.0</v>
      </c>
      <c r="Y236" s="2">
        <v>3.0</v>
      </c>
      <c r="Z236" s="2">
        <v>3.0</v>
      </c>
      <c r="AA236" s="2">
        <v>2.0</v>
      </c>
      <c r="AB236" s="2">
        <v>2.0</v>
      </c>
      <c r="AC236" s="2">
        <v>2.0</v>
      </c>
      <c r="AD236" s="2">
        <v>2.0</v>
      </c>
      <c r="AE236" s="2" t="s">
        <v>177</v>
      </c>
      <c r="AF236" s="2">
        <v>5.0</v>
      </c>
      <c r="AG236" s="2">
        <v>0.0</v>
      </c>
      <c r="AH236" s="2" t="s">
        <v>22</v>
      </c>
      <c r="AI236" s="84" t="s">
        <v>315</v>
      </c>
      <c r="AJ236" s="82">
        <f t="shared" si="1"/>
        <v>45</v>
      </c>
      <c r="AK236" s="82">
        <f t="shared" si="2"/>
        <v>27</v>
      </c>
    </row>
    <row r="237">
      <c r="A237" s="6">
        <v>44995.83075775463</v>
      </c>
      <c r="B237" s="2" t="s">
        <v>25</v>
      </c>
      <c r="C237" s="2">
        <v>37.0</v>
      </c>
      <c r="D237" s="2">
        <v>6081.0</v>
      </c>
      <c r="E237" s="2" t="s">
        <v>34</v>
      </c>
      <c r="F237" s="2">
        <v>1.0</v>
      </c>
      <c r="G237" s="2">
        <v>1.0</v>
      </c>
      <c r="R237" s="2" t="s">
        <v>175</v>
      </c>
      <c r="Y237" s="2">
        <v>1.0</v>
      </c>
      <c r="Z237" s="2">
        <v>1.0</v>
      </c>
      <c r="AE237" s="2" t="s">
        <v>177</v>
      </c>
      <c r="AF237" s="2">
        <v>2.0</v>
      </c>
      <c r="AG237" s="2">
        <v>0.0</v>
      </c>
      <c r="AH237" s="2" t="s">
        <v>34</v>
      </c>
      <c r="AI237" s="84" t="s">
        <v>316</v>
      </c>
      <c r="AJ237" s="82">
        <f t="shared" si="1"/>
        <v>29</v>
      </c>
      <c r="AK237" s="82">
        <f t="shared" si="2"/>
        <v>11</v>
      </c>
    </row>
    <row r="238">
      <c r="A238" s="6">
        <v>44995.83375090278</v>
      </c>
      <c r="B238" s="2" t="s">
        <v>25</v>
      </c>
      <c r="C238" s="2">
        <v>41.0</v>
      </c>
      <c r="D238" s="2">
        <v>6081.0</v>
      </c>
      <c r="E238" s="2" t="s">
        <v>34</v>
      </c>
      <c r="F238" s="2">
        <v>1.0</v>
      </c>
      <c r="G238" s="2">
        <v>0.0</v>
      </c>
      <c r="L238" s="2">
        <v>1.0</v>
      </c>
      <c r="M238" s="2">
        <v>1.0</v>
      </c>
      <c r="R238" s="2" t="s">
        <v>22</v>
      </c>
      <c r="S238" s="2">
        <v>3.0</v>
      </c>
      <c r="T238" s="2">
        <v>2.0</v>
      </c>
      <c r="Y238" s="2">
        <v>2.0</v>
      </c>
      <c r="Z238" s="2">
        <v>1.0</v>
      </c>
      <c r="AA238" s="2">
        <v>1.0</v>
      </c>
      <c r="AB238" s="2">
        <v>1.0</v>
      </c>
      <c r="AE238" s="2" t="s">
        <v>175</v>
      </c>
      <c r="AF238" s="2">
        <v>3.0</v>
      </c>
      <c r="AG238" s="2">
        <v>0.0</v>
      </c>
      <c r="AH238" s="2" t="s">
        <v>22</v>
      </c>
      <c r="AI238" s="84" t="s">
        <v>317</v>
      </c>
      <c r="AJ238" s="82">
        <f t="shared" si="1"/>
        <v>37</v>
      </c>
      <c r="AK238" s="82">
        <f t="shared" si="2"/>
        <v>24</v>
      </c>
    </row>
    <row r="239">
      <c r="A239" s="6">
        <v>44995.83819699074</v>
      </c>
      <c r="B239" s="2" t="s">
        <v>25</v>
      </c>
      <c r="C239" s="2">
        <v>53.0</v>
      </c>
      <c r="D239" s="2">
        <v>6081.0</v>
      </c>
      <c r="E239" s="2" t="s">
        <v>34</v>
      </c>
      <c r="F239" s="2">
        <v>1.0</v>
      </c>
      <c r="G239" s="2">
        <v>1.0</v>
      </c>
      <c r="R239" s="2" t="s">
        <v>175</v>
      </c>
      <c r="Y239" s="2">
        <v>2.0</v>
      </c>
      <c r="Z239" s="2">
        <v>2.0</v>
      </c>
      <c r="AA239" s="2">
        <v>1.0</v>
      </c>
      <c r="AB239" s="2">
        <v>0.0</v>
      </c>
      <c r="AC239" s="2">
        <v>1.0</v>
      </c>
      <c r="AD239" s="2">
        <v>1.0</v>
      </c>
      <c r="AE239" s="2" t="s">
        <v>175</v>
      </c>
      <c r="AF239" s="2">
        <v>4.0</v>
      </c>
      <c r="AG239" s="2">
        <v>0.0</v>
      </c>
      <c r="AH239" s="2" t="s">
        <v>22</v>
      </c>
      <c r="AI239" s="83"/>
      <c r="AJ239" s="82">
        <f t="shared" si="1"/>
        <v>43</v>
      </c>
      <c r="AK239" s="82">
        <f t="shared" si="2"/>
        <v>18</v>
      </c>
    </row>
    <row r="240">
      <c r="A240" s="6">
        <v>44995.84081724537</v>
      </c>
      <c r="B240" s="2" t="s">
        <v>25</v>
      </c>
      <c r="C240" s="2">
        <v>58.0</v>
      </c>
      <c r="D240" s="2">
        <v>6081.0</v>
      </c>
      <c r="E240" s="2" t="s">
        <v>34</v>
      </c>
      <c r="F240" s="2">
        <v>1.0</v>
      </c>
      <c r="G240" s="2">
        <v>0.0</v>
      </c>
      <c r="P240" s="2">
        <v>1.0</v>
      </c>
      <c r="Q240" s="2">
        <v>1.0</v>
      </c>
      <c r="R240" s="2" t="s">
        <v>22</v>
      </c>
      <c r="S240" s="2">
        <v>2.0</v>
      </c>
      <c r="T240" s="2">
        <v>2.0</v>
      </c>
      <c r="U240" s="2">
        <v>1.0</v>
      </c>
      <c r="V240" s="2">
        <v>1.0</v>
      </c>
      <c r="W240" s="2">
        <v>1.0</v>
      </c>
      <c r="X240" s="2">
        <v>1.0</v>
      </c>
      <c r="Y240" s="2">
        <v>1.0</v>
      </c>
      <c r="Z240" s="2">
        <v>1.0</v>
      </c>
      <c r="AA240" s="2">
        <v>1.0</v>
      </c>
      <c r="AB240" s="2">
        <v>1.0</v>
      </c>
      <c r="AE240" s="2" t="s">
        <v>175</v>
      </c>
      <c r="AF240" s="2">
        <v>4.0</v>
      </c>
      <c r="AG240" s="2">
        <v>0.0</v>
      </c>
      <c r="AH240" s="2" t="s">
        <v>22</v>
      </c>
      <c r="AI240" s="83"/>
      <c r="AJ240" s="82">
        <f t="shared" si="1"/>
        <v>39</v>
      </c>
      <c r="AK240" s="82">
        <f t="shared" si="2"/>
        <v>26</v>
      </c>
    </row>
    <row r="241">
      <c r="A241" s="6">
        <v>44995.84623685185</v>
      </c>
      <c r="B241" s="2" t="s">
        <v>25</v>
      </c>
      <c r="C241" s="2">
        <v>66.0</v>
      </c>
      <c r="D241" s="2">
        <v>6081.0</v>
      </c>
      <c r="E241" s="2" t="s">
        <v>34</v>
      </c>
      <c r="F241" s="2">
        <v>1.0</v>
      </c>
      <c r="G241" s="2">
        <v>1.0</v>
      </c>
      <c r="R241" s="2" t="s">
        <v>22</v>
      </c>
      <c r="S241" s="2">
        <v>1.0</v>
      </c>
      <c r="T241" s="2">
        <v>1.0</v>
      </c>
      <c r="U241" s="2">
        <v>1.0</v>
      </c>
      <c r="V241" s="2">
        <v>0.0</v>
      </c>
      <c r="W241" s="2">
        <v>1.0</v>
      </c>
      <c r="X241" s="2">
        <v>1.0</v>
      </c>
      <c r="Y241" s="2">
        <v>1.0</v>
      </c>
      <c r="Z241" s="2">
        <v>1.0</v>
      </c>
      <c r="AA241" s="2">
        <v>3.0</v>
      </c>
      <c r="AB241" s="2">
        <v>1.0</v>
      </c>
      <c r="AC241" s="2">
        <v>3.0</v>
      </c>
      <c r="AD241" s="2">
        <v>2.0</v>
      </c>
      <c r="AE241" s="2" t="s">
        <v>177</v>
      </c>
      <c r="AF241" s="2">
        <v>4.0</v>
      </c>
      <c r="AG241" s="2">
        <v>0.0</v>
      </c>
      <c r="AH241" s="2" t="s">
        <v>22</v>
      </c>
      <c r="AI241" s="83"/>
      <c r="AJ241" s="82">
        <f t="shared" si="1"/>
        <v>31</v>
      </c>
      <c r="AK241" s="82">
        <f t="shared" si="2"/>
        <v>25</v>
      </c>
    </row>
    <row r="242">
      <c r="A242" s="6">
        <v>44995.85008509259</v>
      </c>
      <c r="B242" s="2" t="s">
        <v>25</v>
      </c>
      <c r="C242" s="2">
        <v>73.0</v>
      </c>
      <c r="D242" s="2">
        <v>6081.0</v>
      </c>
      <c r="E242" s="2" t="s">
        <v>34</v>
      </c>
      <c r="F242" s="2">
        <v>1.0</v>
      </c>
      <c r="G242" s="2">
        <v>1.0</v>
      </c>
      <c r="R242" s="2" t="s">
        <v>175</v>
      </c>
      <c r="S242" s="2">
        <v>1.0</v>
      </c>
      <c r="T242" s="2">
        <v>1.0</v>
      </c>
      <c r="W242" s="2">
        <v>1.0</v>
      </c>
      <c r="X242" s="2">
        <v>1.0</v>
      </c>
      <c r="Y242" s="2">
        <v>2.0</v>
      </c>
      <c r="Z242" s="2">
        <v>2.0</v>
      </c>
      <c r="AA242" s="2">
        <v>1.0</v>
      </c>
      <c r="AB242" s="2">
        <v>1.0</v>
      </c>
      <c r="AC242" s="2">
        <v>1.0</v>
      </c>
      <c r="AD242" s="2">
        <v>1.0</v>
      </c>
      <c r="AE242" s="2" t="s">
        <v>175</v>
      </c>
      <c r="AF242" s="2">
        <v>4.0</v>
      </c>
      <c r="AG242" s="2">
        <v>0.0</v>
      </c>
      <c r="AH242" s="2" t="s">
        <v>22</v>
      </c>
      <c r="AI242" s="84" t="s">
        <v>318</v>
      </c>
      <c r="AJ242" s="82">
        <f t="shared" si="1"/>
        <v>53</v>
      </c>
      <c r="AK242" s="82">
        <f t="shared" si="2"/>
        <v>28</v>
      </c>
    </row>
    <row r="243">
      <c r="A243" s="6">
        <v>44995.85324674768</v>
      </c>
      <c r="B243" s="2" t="s">
        <v>25</v>
      </c>
      <c r="C243" s="2">
        <v>78.0</v>
      </c>
      <c r="D243" s="2">
        <v>6081.0</v>
      </c>
      <c r="E243" s="2" t="s">
        <v>34</v>
      </c>
      <c r="F243" s="2">
        <v>1.0</v>
      </c>
      <c r="G243" s="2">
        <v>1.0</v>
      </c>
      <c r="L243" s="2">
        <v>1.0</v>
      </c>
      <c r="M243" s="2">
        <v>1.0</v>
      </c>
      <c r="R243" s="2" t="s">
        <v>22</v>
      </c>
      <c r="S243" s="2">
        <v>2.0</v>
      </c>
      <c r="T243" s="2">
        <v>1.0</v>
      </c>
      <c r="U243" s="2">
        <v>1.0</v>
      </c>
      <c r="V243" s="2">
        <v>1.0</v>
      </c>
      <c r="W243" s="2">
        <v>1.0</v>
      </c>
      <c r="X243" s="2">
        <v>1.0</v>
      </c>
      <c r="AA243" s="2">
        <v>1.0</v>
      </c>
      <c r="AB243" s="2">
        <v>1.0</v>
      </c>
      <c r="AE243" s="2" t="s">
        <v>175</v>
      </c>
      <c r="AF243" s="2">
        <v>5.0</v>
      </c>
      <c r="AG243" s="2">
        <v>0.0</v>
      </c>
      <c r="AH243" s="2" t="s">
        <v>22</v>
      </c>
      <c r="AI243" s="84" t="s">
        <v>319</v>
      </c>
      <c r="AJ243" s="82">
        <f t="shared" si="1"/>
        <v>38</v>
      </c>
      <c r="AK243" s="82">
        <f t="shared" si="2"/>
        <v>25</v>
      </c>
    </row>
    <row r="244">
      <c r="A244" s="6">
        <v>44995.859153240744</v>
      </c>
      <c r="B244" s="2" t="s">
        <v>25</v>
      </c>
      <c r="C244" s="2" t="s">
        <v>204</v>
      </c>
      <c r="D244" s="2">
        <v>6081.0</v>
      </c>
      <c r="E244" s="2" t="s">
        <v>34</v>
      </c>
      <c r="F244" s="2">
        <v>1.0</v>
      </c>
      <c r="G244" s="2">
        <v>1.0</v>
      </c>
      <c r="L244" s="2">
        <v>1.0</v>
      </c>
      <c r="M244" s="2">
        <v>0.0</v>
      </c>
      <c r="P244" s="2">
        <v>1.0</v>
      </c>
      <c r="Q244" s="2">
        <v>1.0</v>
      </c>
      <c r="R244" s="2" t="s">
        <v>22</v>
      </c>
      <c r="U244" s="2">
        <v>1.0</v>
      </c>
      <c r="V244" s="2">
        <v>0.0</v>
      </c>
      <c r="W244" s="2">
        <v>2.0</v>
      </c>
      <c r="X244" s="2">
        <v>2.0</v>
      </c>
      <c r="Y244" s="2">
        <v>1.0</v>
      </c>
      <c r="Z244" s="2">
        <v>0.0</v>
      </c>
      <c r="AA244" s="2">
        <v>1.0</v>
      </c>
      <c r="AB244" s="2">
        <v>1.0</v>
      </c>
      <c r="AE244" s="2" t="s">
        <v>175</v>
      </c>
      <c r="AF244" s="2">
        <v>3.0</v>
      </c>
      <c r="AG244" s="2">
        <v>0.0</v>
      </c>
      <c r="AH244" s="2" t="s">
        <v>22</v>
      </c>
      <c r="AI244" s="84" t="s">
        <v>320</v>
      </c>
      <c r="AJ244" s="82">
        <f t="shared" si="1"/>
        <v>29</v>
      </c>
      <c r="AK244" s="82">
        <f t="shared" si="2"/>
        <v>16</v>
      </c>
    </row>
    <row r="245">
      <c r="A245" s="6">
        <v>44995.86518789352</v>
      </c>
      <c r="B245" s="2" t="s">
        <v>25</v>
      </c>
      <c r="C245" s="2" t="s">
        <v>205</v>
      </c>
      <c r="D245" s="2">
        <v>6081.0</v>
      </c>
      <c r="E245" s="2" t="s">
        <v>34</v>
      </c>
      <c r="F245" s="2">
        <v>1.0</v>
      </c>
      <c r="G245" s="2">
        <v>1.0</v>
      </c>
      <c r="L245" s="2">
        <v>1.0</v>
      </c>
      <c r="M245" s="2">
        <v>1.0</v>
      </c>
      <c r="R245" s="2" t="s">
        <v>22</v>
      </c>
      <c r="U245" s="2">
        <v>4.0</v>
      </c>
      <c r="V245" s="2">
        <v>2.0</v>
      </c>
      <c r="W245" s="2">
        <v>1.0</v>
      </c>
      <c r="X245" s="2">
        <v>0.0</v>
      </c>
      <c r="AE245" s="2" t="s">
        <v>175</v>
      </c>
      <c r="AF245" s="2">
        <v>3.0</v>
      </c>
      <c r="AG245" s="2">
        <v>0.0</v>
      </c>
      <c r="AH245" s="2" t="s">
        <v>22</v>
      </c>
      <c r="AI245" s="83"/>
      <c r="AJ245" s="82">
        <f t="shared" si="1"/>
        <v>31</v>
      </c>
      <c r="AK245" s="82">
        <f t="shared" si="2"/>
        <v>18</v>
      </c>
    </row>
    <row r="246">
      <c r="A246" s="6">
        <v>44995.869062928236</v>
      </c>
      <c r="B246" s="2" t="s">
        <v>25</v>
      </c>
      <c r="C246" s="2" t="s">
        <v>206</v>
      </c>
      <c r="D246" s="2">
        <v>6081.0</v>
      </c>
      <c r="E246" s="2" t="s">
        <v>34</v>
      </c>
      <c r="F246" s="2">
        <v>1.0</v>
      </c>
      <c r="G246" s="2">
        <v>1.0</v>
      </c>
      <c r="N246" s="2">
        <v>1.0</v>
      </c>
      <c r="O246" s="2">
        <v>0.0</v>
      </c>
      <c r="P246" s="2">
        <v>1.0</v>
      </c>
      <c r="Q246" s="2">
        <v>1.0</v>
      </c>
      <c r="R246" s="2" t="s">
        <v>22</v>
      </c>
      <c r="Y246" s="2">
        <v>1.0</v>
      </c>
      <c r="Z246" s="2">
        <v>1.0</v>
      </c>
      <c r="AA246" s="2">
        <v>1.0</v>
      </c>
      <c r="AB246" s="2">
        <v>1.0</v>
      </c>
      <c r="AE246" s="2" t="s">
        <v>175</v>
      </c>
      <c r="AF246" s="2">
        <v>3.0</v>
      </c>
      <c r="AG246" s="2">
        <v>3.0</v>
      </c>
      <c r="AH246" s="2" t="s">
        <v>22</v>
      </c>
      <c r="AI246" s="84" t="s">
        <v>321</v>
      </c>
      <c r="AJ246" s="82">
        <f t="shared" si="1"/>
        <v>30</v>
      </c>
      <c r="AK246" s="82">
        <f t="shared" si="2"/>
        <v>17</v>
      </c>
    </row>
    <row r="247">
      <c r="A247" s="6">
        <v>44995.96821386574</v>
      </c>
      <c r="B247" s="2" t="s">
        <v>25</v>
      </c>
      <c r="C247" s="2" t="s">
        <v>207</v>
      </c>
      <c r="D247" s="2">
        <v>6081.0</v>
      </c>
      <c r="E247" s="2" t="s">
        <v>34</v>
      </c>
      <c r="F247" s="2">
        <v>1.0</v>
      </c>
      <c r="G247" s="2">
        <v>1.0</v>
      </c>
      <c r="L247" s="2">
        <v>1.0</v>
      </c>
      <c r="M247" s="2">
        <v>1.0</v>
      </c>
      <c r="R247" s="2" t="s">
        <v>22</v>
      </c>
      <c r="S247" s="2">
        <v>1.0</v>
      </c>
      <c r="T247" s="2">
        <v>1.0</v>
      </c>
      <c r="W247" s="2">
        <v>3.0</v>
      </c>
      <c r="X247" s="2">
        <v>3.0</v>
      </c>
      <c r="Y247" s="2">
        <v>1.0</v>
      </c>
      <c r="Z247" s="2">
        <v>1.0</v>
      </c>
      <c r="AE247" s="2" t="s">
        <v>175</v>
      </c>
      <c r="AF247" s="2">
        <v>5.0</v>
      </c>
      <c r="AG247" s="2">
        <v>0.0</v>
      </c>
      <c r="AH247" s="2" t="s">
        <v>22</v>
      </c>
      <c r="AI247" s="83"/>
      <c r="AJ247" s="82">
        <f t="shared" si="1"/>
        <v>41</v>
      </c>
      <c r="AK247" s="82">
        <f t="shared" si="2"/>
        <v>28</v>
      </c>
    </row>
    <row r="248">
      <c r="A248" s="6">
        <v>44995.971892222224</v>
      </c>
      <c r="B248" s="2" t="s">
        <v>25</v>
      </c>
      <c r="C248" s="2" t="s">
        <v>208</v>
      </c>
      <c r="D248" s="2">
        <v>6081.0</v>
      </c>
      <c r="E248" s="2" t="s">
        <v>34</v>
      </c>
      <c r="F248" s="2">
        <v>1.0</v>
      </c>
      <c r="G248" s="2">
        <v>1.0</v>
      </c>
      <c r="L248" s="2">
        <v>1.0</v>
      </c>
      <c r="M248" s="2">
        <v>0.0</v>
      </c>
      <c r="R248" s="2" t="s">
        <v>22</v>
      </c>
      <c r="U248" s="2">
        <v>3.0</v>
      </c>
      <c r="V248" s="2">
        <v>2.0</v>
      </c>
      <c r="W248" s="2">
        <v>2.0</v>
      </c>
      <c r="X248" s="2">
        <v>2.0</v>
      </c>
      <c r="AA248" s="2">
        <v>1.0</v>
      </c>
      <c r="AB248" s="2">
        <v>1.0</v>
      </c>
      <c r="AE248" s="2" t="s">
        <v>175</v>
      </c>
      <c r="AF248" s="2">
        <v>5.0</v>
      </c>
      <c r="AG248" s="2">
        <v>0.0</v>
      </c>
      <c r="AH248" s="2" t="s">
        <v>22</v>
      </c>
      <c r="AI248" s="84" t="s">
        <v>322</v>
      </c>
      <c r="AJ248" s="82">
        <f t="shared" si="1"/>
        <v>32</v>
      </c>
      <c r="AK248" s="82">
        <f t="shared" si="2"/>
        <v>19</v>
      </c>
    </row>
    <row r="249">
      <c r="A249" s="6">
        <v>45004.625113159724</v>
      </c>
      <c r="B249" s="2" t="s">
        <v>259</v>
      </c>
      <c r="C249" s="2">
        <v>58.0</v>
      </c>
      <c r="D249" s="2">
        <v>6101.0</v>
      </c>
      <c r="E249" s="2" t="s">
        <v>34</v>
      </c>
      <c r="L249" s="2">
        <v>1.0</v>
      </c>
      <c r="M249" s="2">
        <v>1.0</v>
      </c>
      <c r="R249" s="2" t="s">
        <v>22</v>
      </c>
      <c r="AC249" s="2">
        <v>1.0</v>
      </c>
      <c r="AD249" s="2">
        <v>1.0</v>
      </c>
      <c r="AE249" s="2" t="s">
        <v>177</v>
      </c>
      <c r="AF249" s="2">
        <v>1.0</v>
      </c>
      <c r="AG249" s="2">
        <v>0.0</v>
      </c>
      <c r="AH249" s="2" t="s">
        <v>34</v>
      </c>
      <c r="AI249" s="84" t="s">
        <v>323</v>
      </c>
      <c r="AJ249" s="82">
        <f t="shared" si="1"/>
        <v>14</v>
      </c>
      <c r="AK249" s="82">
        <f t="shared" si="2"/>
        <v>8</v>
      </c>
    </row>
    <row r="250">
      <c r="A250" s="6">
        <v>45004.67037021991</v>
      </c>
      <c r="B250" s="2" t="s">
        <v>259</v>
      </c>
      <c r="C250" s="2">
        <v>63.0</v>
      </c>
      <c r="D250" s="2">
        <v>6101.0</v>
      </c>
      <c r="E250" s="2" t="s">
        <v>34</v>
      </c>
      <c r="L250" s="2">
        <v>1.0</v>
      </c>
      <c r="M250" s="2">
        <v>1.0</v>
      </c>
      <c r="R250" s="2" t="s">
        <v>22</v>
      </c>
      <c r="AC250" s="2">
        <v>1.0</v>
      </c>
      <c r="AD250" s="2">
        <v>1.0</v>
      </c>
      <c r="AE250" s="2" t="s">
        <v>175</v>
      </c>
      <c r="AF250" s="2">
        <v>2.0</v>
      </c>
      <c r="AG250" s="2">
        <v>1.0</v>
      </c>
      <c r="AH250" s="2" t="s">
        <v>22</v>
      </c>
      <c r="AI250" s="84" t="s">
        <v>324</v>
      </c>
      <c r="AJ250" s="82">
        <f t="shared" si="1"/>
        <v>21</v>
      </c>
      <c r="AK250" s="82">
        <f t="shared" si="2"/>
        <v>8</v>
      </c>
    </row>
    <row r="251">
      <c r="A251" s="6">
        <v>45004.881437916665</v>
      </c>
      <c r="B251" s="2" t="s">
        <v>259</v>
      </c>
      <c r="C251" s="2">
        <v>70.0</v>
      </c>
      <c r="D251" s="2">
        <v>6101.0</v>
      </c>
      <c r="E251" s="2" t="s">
        <v>34</v>
      </c>
      <c r="L251" s="2">
        <v>1.0</v>
      </c>
      <c r="M251" s="2">
        <v>0.0</v>
      </c>
      <c r="N251" s="2">
        <v>0.0</v>
      </c>
      <c r="O251" s="2">
        <v>1.0</v>
      </c>
      <c r="R251" s="2" t="s">
        <v>22</v>
      </c>
      <c r="Y251" s="2">
        <v>3.0</v>
      </c>
      <c r="Z251" s="2">
        <v>3.0</v>
      </c>
      <c r="AE251" s="2" t="s">
        <v>177</v>
      </c>
      <c r="AF251" s="2">
        <v>2.0</v>
      </c>
      <c r="AG251" s="2">
        <v>0.0</v>
      </c>
      <c r="AH251" s="2" t="s">
        <v>22</v>
      </c>
      <c r="AI251" s="84" t="s">
        <v>325</v>
      </c>
      <c r="AJ251" s="82">
        <f t="shared" si="1"/>
        <v>25</v>
      </c>
      <c r="AK251" s="82">
        <f t="shared" si="2"/>
        <v>19</v>
      </c>
    </row>
    <row r="252">
      <c r="A252" s="6">
        <v>45008.83319251158</v>
      </c>
      <c r="B252" s="2" t="s">
        <v>259</v>
      </c>
      <c r="C252" s="2">
        <v>58.0</v>
      </c>
      <c r="D252" s="2">
        <v>6101.0</v>
      </c>
      <c r="E252" s="2" t="s">
        <v>34</v>
      </c>
      <c r="L252" s="2">
        <v>1.0</v>
      </c>
      <c r="M252" s="2">
        <v>1.0</v>
      </c>
      <c r="R252" s="2" t="s">
        <v>22</v>
      </c>
      <c r="AC252" s="2">
        <v>1.0</v>
      </c>
      <c r="AD252" s="2">
        <v>1.0</v>
      </c>
      <c r="AE252" s="2" t="s">
        <v>177</v>
      </c>
      <c r="AF252" s="2">
        <v>2.0</v>
      </c>
      <c r="AG252" s="2">
        <v>0.0</v>
      </c>
      <c r="AH252" s="2" t="s">
        <v>22</v>
      </c>
      <c r="AI252" s="84" t="s">
        <v>326</v>
      </c>
      <c r="AJ252" s="82">
        <f t="shared" si="1"/>
        <v>14</v>
      </c>
      <c r="AK252" s="82">
        <f t="shared" si="2"/>
        <v>8</v>
      </c>
    </row>
    <row r="253">
      <c r="A253" s="6">
        <v>44997.47957081019</v>
      </c>
      <c r="B253" s="2" t="s">
        <v>60</v>
      </c>
      <c r="C253" s="2">
        <v>3.0</v>
      </c>
      <c r="D253" s="2">
        <v>6556.0</v>
      </c>
      <c r="E253" s="2" t="s">
        <v>34</v>
      </c>
      <c r="R253" s="2" t="s">
        <v>22</v>
      </c>
      <c r="AE253" s="2" t="s">
        <v>22</v>
      </c>
      <c r="AF253" s="2">
        <v>0.0</v>
      </c>
      <c r="AG253" s="2">
        <v>0.0</v>
      </c>
      <c r="AH253" s="2" t="s">
        <v>22</v>
      </c>
      <c r="AI253" s="83"/>
      <c r="AJ253" s="82">
        <f t="shared" si="1"/>
        <v>3</v>
      </c>
      <c r="AK253" s="82">
        <f t="shared" si="2"/>
        <v>0</v>
      </c>
    </row>
    <row r="254">
      <c r="A254" s="6">
        <v>44997.48143400463</v>
      </c>
      <c r="B254" s="2" t="s">
        <v>60</v>
      </c>
      <c r="C254" s="2">
        <v>9.0</v>
      </c>
      <c r="D254" s="2">
        <v>6556.0</v>
      </c>
      <c r="E254" s="2" t="s">
        <v>22</v>
      </c>
      <c r="R254" s="2" t="s">
        <v>22</v>
      </c>
      <c r="W254" s="2">
        <v>1.0</v>
      </c>
      <c r="X254" s="2">
        <v>1.0</v>
      </c>
      <c r="AE254" s="2" t="s">
        <v>22</v>
      </c>
      <c r="AF254" s="2">
        <v>1.0</v>
      </c>
      <c r="AG254" s="2">
        <v>1.0</v>
      </c>
      <c r="AH254" s="2" t="s">
        <v>22</v>
      </c>
      <c r="AI254" s="84" t="s">
        <v>327</v>
      </c>
      <c r="AJ254" s="82">
        <f t="shared" si="1"/>
        <v>2</v>
      </c>
      <c r="AK254" s="82">
        <f t="shared" si="2"/>
        <v>2</v>
      </c>
    </row>
    <row r="255">
      <c r="A255" s="6">
        <v>44997.48305784722</v>
      </c>
      <c r="B255" s="2" t="s">
        <v>60</v>
      </c>
      <c r="C255" s="2">
        <v>19.0</v>
      </c>
      <c r="D255" s="2">
        <v>6556.0</v>
      </c>
      <c r="E255" s="2" t="s">
        <v>22</v>
      </c>
      <c r="R255" s="2" t="s">
        <v>22</v>
      </c>
      <c r="AC255" s="2">
        <v>1.0</v>
      </c>
      <c r="AD255" s="2">
        <v>1.0</v>
      </c>
      <c r="AE255" s="2" t="s">
        <v>22</v>
      </c>
      <c r="AF255" s="2">
        <v>1.0</v>
      </c>
      <c r="AG255" s="2">
        <v>0.0</v>
      </c>
      <c r="AH255" s="2" t="s">
        <v>22</v>
      </c>
      <c r="AI255" s="83"/>
      <c r="AJ255" s="82">
        <f t="shared" si="1"/>
        <v>2</v>
      </c>
      <c r="AK255" s="82">
        <f t="shared" si="2"/>
        <v>2</v>
      </c>
    </row>
    <row r="256">
      <c r="A256" s="6">
        <v>44997.48451408565</v>
      </c>
      <c r="B256" s="2" t="s">
        <v>60</v>
      </c>
      <c r="C256" s="2">
        <v>24.0</v>
      </c>
      <c r="D256" s="2">
        <v>6556.0</v>
      </c>
      <c r="E256" s="2" t="s">
        <v>22</v>
      </c>
      <c r="R256" s="2" t="s">
        <v>22</v>
      </c>
      <c r="AE256" s="2" t="s">
        <v>22</v>
      </c>
      <c r="AF256" s="2">
        <v>0.0</v>
      </c>
      <c r="AG256" s="2">
        <v>2.0</v>
      </c>
      <c r="AH256" s="2" t="s">
        <v>22</v>
      </c>
      <c r="AI256" s="83"/>
      <c r="AJ256" s="82">
        <f t="shared" si="1"/>
        <v>0</v>
      </c>
      <c r="AK256" s="82">
        <f t="shared" si="2"/>
        <v>0</v>
      </c>
    </row>
    <row r="257">
      <c r="A257" s="6">
        <v>45004.89677121528</v>
      </c>
      <c r="B257" s="2" t="s">
        <v>259</v>
      </c>
      <c r="C257" s="2">
        <v>64.0</v>
      </c>
      <c r="D257" s="2">
        <v>6615.0</v>
      </c>
      <c r="E257" s="2" t="s">
        <v>34</v>
      </c>
      <c r="L257" s="2">
        <v>1.0</v>
      </c>
      <c r="M257" s="2">
        <v>1.0</v>
      </c>
      <c r="R257" s="2" t="s">
        <v>22</v>
      </c>
      <c r="Y257" s="2">
        <v>1.0</v>
      </c>
      <c r="Z257" s="2">
        <v>1.0</v>
      </c>
      <c r="AE257" s="2" t="s">
        <v>175</v>
      </c>
      <c r="AF257" s="2">
        <v>2.0</v>
      </c>
      <c r="AG257" s="2">
        <v>0.0</v>
      </c>
      <c r="AH257" s="2" t="s">
        <v>22</v>
      </c>
      <c r="AI257" s="84" t="s">
        <v>289</v>
      </c>
      <c r="AJ257" s="82">
        <f t="shared" si="1"/>
        <v>24</v>
      </c>
      <c r="AK257" s="82">
        <f t="shared" si="2"/>
        <v>11</v>
      </c>
    </row>
    <row r="258">
      <c r="A258" s="6">
        <v>45004.90062556713</v>
      </c>
      <c r="B258" s="2" t="s">
        <v>259</v>
      </c>
      <c r="C258" s="2">
        <v>69.0</v>
      </c>
      <c r="D258" s="2">
        <v>6615.0</v>
      </c>
      <c r="E258" s="2" t="s">
        <v>34</v>
      </c>
      <c r="L258" s="2">
        <v>1.0</v>
      </c>
      <c r="M258" s="2">
        <v>1.0</v>
      </c>
      <c r="N258" s="2">
        <v>0.0</v>
      </c>
      <c r="O258" s="2">
        <v>0.0</v>
      </c>
      <c r="R258" s="2" t="s">
        <v>22</v>
      </c>
      <c r="AE258" s="2" t="s">
        <v>177</v>
      </c>
      <c r="AF258" s="2">
        <v>1.0</v>
      </c>
      <c r="AG258" s="2">
        <v>0.0</v>
      </c>
      <c r="AH258" s="2" t="s">
        <v>34</v>
      </c>
      <c r="AI258" s="84" t="s">
        <v>328</v>
      </c>
      <c r="AJ258" s="82">
        <f t="shared" si="1"/>
        <v>12</v>
      </c>
      <c r="AK258" s="82">
        <f t="shared" si="2"/>
        <v>6</v>
      </c>
    </row>
    <row r="259">
      <c r="A259" s="6">
        <v>45004.93169048611</v>
      </c>
      <c r="B259" s="2" t="s">
        <v>259</v>
      </c>
      <c r="C259" s="2">
        <v>80.0</v>
      </c>
      <c r="D259" s="2">
        <v>6615.0</v>
      </c>
      <c r="E259" s="2" t="s">
        <v>22</v>
      </c>
      <c r="R259" s="2" t="s">
        <v>22</v>
      </c>
      <c r="Y259" s="2">
        <v>1.0</v>
      </c>
      <c r="Z259" s="2">
        <v>1.0</v>
      </c>
      <c r="AE259" s="2" t="s">
        <v>22</v>
      </c>
      <c r="AF259" s="2">
        <v>1.0</v>
      </c>
      <c r="AG259" s="2">
        <v>0.0</v>
      </c>
      <c r="AH259" s="2" t="s">
        <v>34</v>
      </c>
      <c r="AI259" s="84" t="s">
        <v>329</v>
      </c>
      <c r="AJ259" s="82">
        <f t="shared" si="1"/>
        <v>5</v>
      </c>
      <c r="AK259" s="82">
        <f t="shared" si="2"/>
        <v>5</v>
      </c>
    </row>
    <row r="260">
      <c r="A260" s="6">
        <v>45005.350323506944</v>
      </c>
      <c r="B260" s="2" t="s">
        <v>306</v>
      </c>
      <c r="C260" s="2">
        <v>2.0</v>
      </c>
      <c r="D260" s="2">
        <v>6616.0</v>
      </c>
      <c r="E260" s="2" t="s">
        <v>22</v>
      </c>
      <c r="R260" s="2" t="s">
        <v>22</v>
      </c>
      <c r="AE260" s="2" t="s">
        <v>22</v>
      </c>
      <c r="AF260" s="2">
        <v>0.0</v>
      </c>
      <c r="AG260" s="2">
        <v>0.0</v>
      </c>
      <c r="AH260" s="2" t="s">
        <v>34</v>
      </c>
      <c r="AI260" s="84" t="s">
        <v>330</v>
      </c>
      <c r="AJ260" s="82">
        <f t="shared" si="1"/>
        <v>0</v>
      </c>
      <c r="AK260" s="82">
        <f t="shared" si="2"/>
        <v>0</v>
      </c>
    </row>
    <row r="261">
      <c r="A261" s="6">
        <v>45005.35781577547</v>
      </c>
      <c r="B261" s="2" t="s">
        <v>306</v>
      </c>
      <c r="C261" s="2">
        <v>8.0</v>
      </c>
      <c r="D261" s="2">
        <v>6616.0</v>
      </c>
      <c r="E261" s="2" t="s">
        <v>22</v>
      </c>
      <c r="R261" s="2" t="s">
        <v>22</v>
      </c>
      <c r="AE261" s="2" t="s">
        <v>22</v>
      </c>
      <c r="AF261" s="2">
        <v>0.0</v>
      </c>
      <c r="AG261" s="2">
        <v>0.0</v>
      </c>
      <c r="AH261" s="2" t="s">
        <v>34</v>
      </c>
      <c r="AI261" s="84" t="s">
        <v>331</v>
      </c>
      <c r="AJ261" s="82">
        <f t="shared" si="1"/>
        <v>0</v>
      </c>
      <c r="AK261" s="82">
        <f t="shared" si="2"/>
        <v>0</v>
      </c>
    </row>
    <row r="262">
      <c r="A262" s="6">
        <v>45005.358766087964</v>
      </c>
      <c r="B262" s="2" t="s">
        <v>306</v>
      </c>
      <c r="C262" s="2">
        <v>15.0</v>
      </c>
      <c r="D262" s="2">
        <v>6616.0</v>
      </c>
      <c r="E262" s="2" t="s">
        <v>22</v>
      </c>
      <c r="R262" s="2" t="s">
        <v>22</v>
      </c>
      <c r="AE262" s="2" t="s">
        <v>22</v>
      </c>
      <c r="AF262" s="2">
        <v>0.0</v>
      </c>
      <c r="AG262" s="2">
        <v>0.0</v>
      </c>
      <c r="AH262" s="2" t="s">
        <v>34</v>
      </c>
      <c r="AI262" s="84" t="s">
        <v>332</v>
      </c>
      <c r="AJ262" s="82">
        <f t="shared" si="1"/>
        <v>0</v>
      </c>
      <c r="AK262" s="82">
        <f t="shared" si="2"/>
        <v>0</v>
      </c>
    </row>
    <row r="263">
      <c r="A263" s="6">
        <v>45005.359629398146</v>
      </c>
      <c r="B263" s="2" t="s">
        <v>306</v>
      </c>
      <c r="C263" s="2">
        <v>21.0</v>
      </c>
      <c r="D263" s="2">
        <v>6616.0</v>
      </c>
      <c r="E263" s="2" t="s">
        <v>22</v>
      </c>
      <c r="R263" s="2" t="s">
        <v>22</v>
      </c>
      <c r="AE263" s="2" t="s">
        <v>22</v>
      </c>
      <c r="AF263" s="2">
        <v>0.0</v>
      </c>
      <c r="AG263" s="2">
        <v>0.0</v>
      </c>
      <c r="AH263" s="2" t="s">
        <v>34</v>
      </c>
      <c r="AI263" s="84" t="s">
        <v>333</v>
      </c>
      <c r="AJ263" s="82">
        <f t="shared" si="1"/>
        <v>0</v>
      </c>
      <c r="AK263" s="82">
        <f t="shared" si="2"/>
        <v>0</v>
      </c>
    </row>
    <row r="264">
      <c r="A264" s="6">
        <v>45005.362232604166</v>
      </c>
      <c r="B264" s="2" t="s">
        <v>306</v>
      </c>
      <c r="C264" s="2">
        <v>27.0</v>
      </c>
      <c r="D264" s="2">
        <v>6616.0</v>
      </c>
      <c r="E264" s="2" t="s">
        <v>22</v>
      </c>
      <c r="R264" s="2" t="s">
        <v>22</v>
      </c>
      <c r="AE264" s="2" t="s">
        <v>22</v>
      </c>
      <c r="AF264" s="2">
        <v>0.0</v>
      </c>
      <c r="AG264" s="2">
        <v>0.0</v>
      </c>
      <c r="AH264" s="2" t="s">
        <v>22</v>
      </c>
      <c r="AI264" s="84" t="s">
        <v>334</v>
      </c>
      <c r="AJ264" s="82">
        <f t="shared" si="1"/>
        <v>0</v>
      </c>
      <c r="AK264" s="82">
        <f t="shared" si="2"/>
        <v>0</v>
      </c>
    </row>
    <row r="265">
      <c r="A265" s="6">
        <v>45005.364497476854</v>
      </c>
      <c r="B265" s="2" t="s">
        <v>306</v>
      </c>
      <c r="C265" s="2">
        <v>33.0</v>
      </c>
      <c r="D265" s="2">
        <v>6616.0</v>
      </c>
      <c r="E265" s="2" t="s">
        <v>22</v>
      </c>
      <c r="R265" s="2" t="s">
        <v>22</v>
      </c>
      <c r="AE265" s="2" t="s">
        <v>22</v>
      </c>
      <c r="AF265" s="2">
        <v>0.0</v>
      </c>
      <c r="AG265" s="2">
        <v>0.0</v>
      </c>
      <c r="AH265" s="2" t="s">
        <v>22</v>
      </c>
      <c r="AI265" s="84" t="s">
        <v>335</v>
      </c>
      <c r="AJ265" s="82">
        <f t="shared" si="1"/>
        <v>0</v>
      </c>
      <c r="AK265" s="82">
        <f t="shared" si="2"/>
        <v>0</v>
      </c>
    </row>
    <row r="266">
      <c r="A266" s="6">
        <v>45005.36641962963</v>
      </c>
      <c r="B266" s="2" t="s">
        <v>306</v>
      </c>
      <c r="C266" s="2">
        <v>40.0</v>
      </c>
      <c r="D266" s="2">
        <v>6616.0</v>
      </c>
      <c r="E266" s="2" t="s">
        <v>22</v>
      </c>
      <c r="R266" s="2" t="s">
        <v>22</v>
      </c>
      <c r="AE266" s="2" t="s">
        <v>22</v>
      </c>
      <c r="AF266" s="2">
        <v>0.0</v>
      </c>
      <c r="AG266" s="2">
        <v>0.0</v>
      </c>
      <c r="AH266" s="2" t="s">
        <v>22</v>
      </c>
      <c r="AI266" s="84" t="s">
        <v>336</v>
      </c>
      <c r="AJ266" s="82">
        <f t="shared" si="1"/>
        <v>0</v>
      </c>
      <c r="AK266" s="82">
        <f t="shared" si="2"/>
        <v>0</v>
      </c>
    </row>
    <row r="267">
      <c r="A267" s="6">
        <v>45005.36895509259</v>
      </c>
      <c r="B267" s="2" t="s">
        <v>306</v>
      </c>
      <c r="C267" s="2">
        <v>50.0</v>
      </c>
      <c r="D267" s="2">
        <v>6616.0</v>
      </c>
      <c r="E267" s="2" t="s">
        <v>22</v>
      </c>
      <c r="R267" s="2" t="s">
        <v>22</v>
      </c>
      <c r="AE267" s="2" t="s">
        <v>22</v>
      </c>
      <c r="AF267" s="2">
        <v>0.0</v>
      </c>
      <c r="AG267" s="2">
        <v>0.0</v>
      </c>
      <c r="AH267" s="2" t="s">
        <v>22</v>
      </c>
      <c r="AI267" s="84" t="s">
        <v>337</v>
      </c>
      <c r="AJ267" s="82">
        <f t="shared" si="1"/>
        <v>0</v>
      </c>
      <c r="AK267" s="82">
        <f t="shared" si="2"/>
        <v>0</v>
      </c>
    </row>
    <row r="268">
      <c r="A268" s="6">
        <v>44998.781323449075</v>
      </c>
      <c r="B268" s="2" t="s">
        <v>306</v>
      </c>
      <c r="C268" s="2">
        <v>1.0</v>
      </c>
      <c r="D268" s="2">
        <v>7221.0</v>
      </c>
      <c r="E268" s="2" t="s">
        <v>22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0.0</v>
      </c>
      <c r="M268" s="2">
        <v>0.0</v>
      </c>
      <c r="N268" s="2">
        <v>0.0</v>
      </c>
      <c r="O268" s="2">
        <v>0.0</v>
      </c>
      <c r="P268" s="2">
        <v>0.0</v>
      </c>
      <c r="Q268" s="2">
        <v>0.0</v>
      </c>
      <c r="R268" s="2" t="s">
        <v>22</v>
      </c>
      <c r="S268" s="2">
        <v>0.0</v>
      </c>
      <c r="T268" s="2">
        <v>0.0</v>
      </c>
      <c r="U268" s="2">
        <v>0.0</v>
      </c>
      <c r="V268" s="2">
        <v>0.0</v>
      </c>
      <c r="W268" s="2">
        <v>0.0</v>
      </c>
      <c r="X268" s="2">
        <v>0.0</v>
      </c>
      <c r="Y268" s="2">
        <v>0.0</v>
      </c>
      <c r="Z268" s="2">
        <v>0.0</v>
      </c>
      <c r="AA268" s="2">
        <v>0.0</v>
      </c>
      <c r="AB268" s="2">
        <v>0.0</v>
      </c>
      <c r="AC268" s="2">
        <v>0.0</v>
      </c>
      <c r="AD268" s="2">
        <v>0.0</v>
      </c>
      <c r="AE268" s="2" t="s">
        <v>22</v>
      </c>
      <c r="AF268" s="2">
        <v>0.0</v>
      </c>
      <c r="AG268" s="2">
        <v>0.0</v>
      </c>
      <c r="AH268" s="2" t="s">
        <v>34</v>
      </c>
      <c r="AI268" s="84" t="s">
        <v>338</v>
      </c>
      <c r="AJ268" s="82">
        <f t="shared" si="1"/>
        <v>0</v>
      </c>
      <c r="AK268" s="82">
        <f t="shared" si="2"/>
        <v>0</v>
      </c>
    </row>
    <row r="269">
      <c r="A269" s="6">
        <v>44998.78396747685</v>
      </c>
      <c r="B269" s="2" t="s">
        <v>306</v>
      </c>
      <c r="C269" s="2">
        <v>1.0</v>
      </c>
      <c r="D269" s="2">
        <v>7221.0</v>
      </c>
      <c r="E269" s="2" t="s">
        <v>22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  <c r="M269" s="2">
        <v>0.0</v>
      </c>
      <c r="N269" s="2">
        <v>0.0</v>
      </c>
      <c r="O269" s="2">
        <v>0.0</v>
      </c>
      <c r="P269" s="2">
        <v>0.0</v>
      </c>
      <c r="Q269" s="2">
        <v>0.0</v>
      </c>
      <c r="R269" s="2" t="s">
        <v>22</v>
      </c>
      <c r="S269" s="2">
        <v>0.0</v>
      </c>
      <c r="T269" s="2">
        <v>0.0</v>
      </c>
      <c r="U269" s="2">
        <v>0.0</v>
      </c>
      <c r="V269" s="2">
        <v>0.0</v>
      </c>
      <c r="W269" s="2">
        <v>2.0</v>
      </c>
      <c r="X269" s="2">
        <v>1.0</v>
      </c>
      <c r="Y269" s="2">
        <v>0.0</v>
      </c>
      <c r="Z269" s="2">
        <v>0.0</v>
      </c>
      <c r="AA269" s="2">
        <v>0.0</v>
      </c>
      <c r="AB269" s="2">
        <v>0.0</v>
      </c>
      <c r="AC269" s="2">
        <v>0.0</v>
      </c>
      <c r="AD269" s="2">
        <v>0.0</v>
      </c>
      <c r="AE269" s="2" t="s">
        <v>22</v>
      </c>
      <c r="AF269" s="2">
        <v>0.0</v>
      </c>
      <c r="AG269" s="2">
        <v>0.0</v>
      </c>
      <c r="AH269" s="2" t="s">
        <v>34</v>
      </c>
      <c r="AI269" s="83"/>
      <c r="AJ269" s="82">
        <f t="shared" si="1"/>
        <v>2</v>
      </c>
      <c r="AK269" s="82">
        <f t="shared" si="2"/>
        <v>2</v>
      </c>
    </row>
    <row r="270">
      <c r="A270" s="6">
        <v>44998.78708811343</v>
      </c>
      <c r="B270" s="2" t="s">
        <v>306</v>
      </c>
      <c r="C270" s="2">
        <v>8.0</v>
      </c>
      <c r="D270" s="2">
        <v>7221.0</v>
      </c>
      <c r="E270" s="2" t="s">
        <v>22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0.0</v>
      </c>
      <c r="M270" s="2">
        <v>0.0</v>
      </c>
      <c r="N270" s="2">
        <v>0.0</v>
      </c>
      <c r="O270" s="2">
        <v>0.0</v>
      </c>
      <c r="P270" s="2">
        <v>0.0</v>
      </c>
      <c r="Q270" s="2">
        <v>0.0</v>
      </c>
      <c r="R270" s="2" t="s">
        <v>22</v>
      </c>
      <c r="S270" s="2">
        <v>0.0</v>
      </c>
      <c r="T270" s="2">
        <v>0.0</v>
      </c>
      <c r="U270" s="2">
        <v>0.0</v>
      </c>
      <c r="V270" s="2">
        <v>0.0</v>
      </c>
      <c r="W270" s="2">
        <v>3.0</v>
      </c>
      <c r="X270" s="2">
        <v>3.0</v>
      </c>
      <c r="Y270" s="2">
        <v>0.0</v>
      </c>
      <c r="Z270" s="2">
        <v>0.0</v>
      </c>
      <c r="AA270" s="2">
        <v>0.0</v>
      </c>
      <c r="AB270" s="2">
        <v>0.0</v>
      </c>
      <c r="AC270" s="2">
        <v>0.0</v>
      </c>
      <c r="AD270" s="2">
        <v>0.0</v>
      </c>
      <c r="AE270" s="2" t="s">
        <v>177</v>
      </c>
      <c r="AF270" s="2">
        <v>0.0</v>
      </c>
      <c r="AG270" s="2">
        <v>0.0</v>
      </c>
      <c r="AH270" s="2" t="s">
        <v>22</v>
      </c>
      <c r="AI270" s="84" t="s">
        <v>339</v>
      </c>
      <c r="AJ270" s="82">
        <f t="shared" si="1"/>
        <v>9</v>
      </c>
      <c r="AK270" s="82">
        <f t="shared" si="2"/>
        <v>6</v>
      </c>
    </row>
    <row r="271">
      <c r="A271" s="6">
        <v>44998.78987032408</v>
      </c>
      <c r="B271" s="2" t="s">
        <v>306</v>
      </c>
      <c r="C271" s="2">
        <v>16.0</v>
      </c>
      <c r="D271" s="2">
        <v>7221.0</v>
      </c>
      <c r="E271" s="2" t="s">
        <v>22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0.0</v>
      </c>
      <c r="M271" s="2">
        <v>0.0</v>
      </c>
      <c r="N271" s="2">
        <v>0.0</v>
      </c>
      <c r="O271" s="2">
        <v>0.0</v>
      </c>
      <c r="P271" s="2">
        <v>0.0</v>
      </c>
      <c r="Q271" s="2">
        <v>0.0</v>
      </c>
      <c r="R271" s="2" t="s">
        <v>22</v>
      </c>
      <c r="S271" s="2">
        <v>0.0</v>
      </c>
      <c r="T271" s="2">
        <v>0.0</v>
      </c>
      <c r="U271" s="2">
        <v>1.0</v>
      </c>
      <c r="V271" s="2">
        <v>0.0</v>
      </c>
      <c r="W271" s="2">
        <v>1.0</v>
      </c>
      <c r="X271" s="2">
        <v>1.0</v>
      </c>
      <c r="Y271" s="2">
        <v>0.0</v>
      </c>
      <c r="Z271" s="2">
        <v>0.0</v>
      </c>
      <c r="AA271" s="2">
        <v>0.0</v>
      </c>
      <c r="AB271" s="2">
        <v>0.0</v>
      </c>
      <c r="AC271" s="2">
        <v>0.0</v>
      </c>
      <c r="AD271" s="2">
        <v>0.0</v>
      </c>
      <c r="AE271" s="2" t="s">
        <v>177</v>
      </c>
      <c r="AF271" s="2">
        <v>0.0</v>
      </c>
      <c r="AG271" s="2">
        <v>0.0</v>
      </c>
      <c r="AH271" s="2" t="s">
        <v>34</v>
      </c>
      <c r="AI271" s="83"/>
      <c r="AJ271" s="82">
        <f t="shared" si="1"/>
        <v>5</v>
      </c>
      <c r="AK271" s="82">
        <f t="shared" si="2"/>
        <v>2</v>
      </c>
    </row>
    <row r="272">
      <c r="A272" s="6">
        <v>44998.79223612268</v>
      </c>
      <c r="B272" s="2" t="s">
        <v>306</v>
      </c>
      <c r="C272" s="2">
        <v>22.0</v>
      </c>
      <c r="D272" s="2">
        <v>7221.0</v>
      </c>
      <c r="E272" s="2" t="s">
        <v>22</v>
      </c>
      <c r="R272" s="2" t="s">
        <v>22</v>
      </c>
      <c r="S272" s="2">
        <v>0.0</v>
      </c>
      <c r="T272" s="2">
        <v>0.0</v>
      </c>
      <c r="U272" s="2">
        <v>0.0</v>
      </c>
      <c r="V272" s="2">
        <v>0.0</v>
      </c>
      <c r="W272" s="2">
        <v>0.0</v>
      </c>
      <c r="X272" s="2">
        <v>0.0</v>
      </c>
      <c r="Y272" s="2">
        <v>0.0</v>
      </c>
      <c r="Z272" s="2">
        <v>0.0</v>
      </c>
      <c r="AA272" s="2">
        <v>0.0</v>
      </c>
      <c r="AB272" s="2">
        <v>0.0</v>
      </c>
      <c r="AC272" s="2">
        <v>0.0</v>
      </c>
      <c r="AD272" s="2">
        <v>0.0</v>
      </c>
      <c r="AE272" s="2" t="s">
        <v>177</v>
      </c>
      <c r="AF272" s="2">
        <v>0.0</v>
      </c>
      <c r="AG272" s="2">
        <v>0.0</v>
      </c>
      <c r="AH272" s="2" t="s">
        <v>34</v>
      </c>
      <c r="AI272" s="84" t="s">
        <v>340</v>
      </c>
      <c r="AJ272" s="82">
        <f t="shared" si="1"/>
        <v>3</v>
      </c>
      <c r="AK272" s="82">
        <f t="shared" si="2"/>
        <v>0</v>
      </c>
    </row>
    <row r="273">
      <c r="A273" s="6">
        <v>44998.79627180556</v>
      </c>
      <c r="B273" s="2" t="s">
        <v>306</v>
      </c>
      <c r="C273" s="2">
        <v>29.0</v>
      </c>
      <c r="D273" s="2">
        <v>7221.0</v>
      </c>
      <c r="E273" s="2" t="s">
        <v>34</v>
      </c>
      <c r="F273" s="2">
        <v>0.0</v>
      </c>
      <c r="G273" s="2">
        <v>0.0</v>
      </c>
      <c r="R273" s="2" t="s">
        <v>22</v>
      </c>
      <c r="S273" s="2">
        <v>0.0</v>
      </c>
      <c r="T273" s="2">
        <v>0.0</v>
      </c>
      <c r="U273" s="2">
        <v>0.0</v>
      </c>
      <c r="V273" s="2">
        <v>0.0</v>
      </c>
      <c r="W273" s="2">
        <v>2.0</v>
      </c>
      <c r="X273" s="2">
        <v>1.0</v>
      </c>
      <c r="Y273" s="2">
        <v>0.0</v>
      </c>
      <c r="Z273" s="2">
        <v>0.0</v>
      </c>
      <c r="AA273" s="2">
        <v>0.0</v>
      </c>
      <c r="AB273" s="2">
        <v>0.0</v>
      </c>
      <c r="AC273" s="2">
        <v>0.0</v>
      </c>
      <c r="AD273" s="2">
        <v>0.0</v>
      </c>
      <c r="AE273" s="2" t="s">
        <v>177</v>
      </c>
      <c r="AF273" s="2">
        <v>1.0</v>
      </c>
      <c r="AG273" s="2">
        <v>2.0</v>
      </c>
      <c r="AH273" s="2" t="s">
        <v>22</v>
      </c>
      <c r="AI273" s="83"/>
      <c r="AJ273" s="82">
        <f t="shared" si="1"/>
        <v>8</v>
      </c>
      <c r="AK273" s="82">
        <f t="shared" si="2"/>
        <v>2</v>
      </c>
    </row>
    <row r="274">
      <c r="A274" s="6">
        <v>44998.79965302083</v>
      </c>
      <c r="B274" s="2" t="s">
        <v>306</v>
      </c>
      <c r="C274" s="2">
        <v>33.0</v>
      </c>
      <c r="D274" s="2">
        <v>7221.0</v>
      </c>
      <c r="E274" s="2" t="s">
        <v>34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  <c r="M274" s="2">
        <v>0.0</v>
      </c>
      <c r="N274" s="2">
        <v>0.0</v>
      </c>
      <c r="O274" s="2">
        <v>0.0</v>
      </c>
      <c r="P274" s="2">
        <v>0.0</v>
      </c>
      <c r="Q274" s="2">
        <v>0.0</v>
      </c>
      <c r="R274" s="2" t="s">
        <v>22</v>
      </c>
      <c r="S274" s="2">
        <v>0.0</v>
      </c>
      <c r="T274" s="2">
        <v>0.0</v>
      </c>
      <c r="U274" s="2">
        <v>0.0</v>
      </c>
      <c r="V274" s="2">
        <v>0.0</v>
      </c>
      <c r="W274" s="2">
        <v>3.0</v>
      </c>
      <c r="X274" s="2">
        <v>1.0</v>
      </c>
      <c r="Y274" s="2">
        <v>0.0</v>
      </c>
      <c r="Z274" s="2">
        <v>0.0</v>
      </c>
      <c r="AA274" s="2">
        <v>0.0</v>
      </c>
      <c r="AB274" s="2">
        <v>0.0</v>
      </c>
      <c r="AC274" s="2">
        <v>2.0</v>
      </c>
      <c r="AD274" s="2">
        <v>1.0</v>
      </c>
      <c r="AE274" s="2" t="s">
        <v>177</v>
      </c>
      <c r="AF274" s="2">
        <v>0.0</v>
      </c>
      <c r="AG274" s="2">
        <v>0.0</v>
      </c>
      <c r="AH274" s="2" t="s">
        <v>22</v>
      </c>
      <c r="AI274" s="83"/>
      <c r="AJ274" s="82">
        <f t="shared" si="1"/>
        <v>10</v>
      </c>
      <c r="AK274" s="82">
        <f t="shared" si="2"/>
        <v>4</v>
      </c>
    </row>
    <row r="275">
      <c r="A275" s="6">
        <v>44998.80219805556</v>
      </c>
      <c r="B275" s="2" t="s">
        <v>306</v>
      </c>
      <c r="C275" s="2">
        <v>41.0</v>
      </c>
      <c r="D275" s="2">
        <v>7221.0</v>
      </c>
      <c r="E275" s="2" t="s">
        <v>34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0.0</v>
      </c>
      <c r="M275" s="2">
        <v>0.0</v>
      </c>
      <c r="N275" s="2">
        <v>0.0</v>
      </c>
      <c r="O275" s="2">
        <v>0.0</v>
      </c>
      <c r="P275" s="2">
        <v>0.0</v>
      </c>
      <c r="Q275" s="2">
        <v>0.0</v>
      </c>
      <c r="R275" s="2" t="s">
        <v>22</v>
      </c>
      <c r="S275" s="2">
        <v>0.0</v>
      </c>
      <c r="T275" s="2">
        <v>0.0</v>
      </c>
      <c r="U275" s="2">
        <v>0.0</v>
      </c>
      <c r="V275" s="2">
        <v>0.0</v>
      </c>
      <c r="W275" s="2">
        <v>3.0</v>
      </c>
      <c r="X275" s="2">
        <v>0.0</v>
      </c>
      <c r="Y275" s="2">
        <v>0.0</v>
      </c>
      <c r="Z275" s="2">
        <v>0.0</v>
      </c>
      <c r="AA275" s="2">
        <v>0.0</v>
      </c>
      <c r="AB275" s="2">
        <v>0.0</v>
      </c>
      <c r="AC275" s="2">
        <v>2.0</v>
      </c>
      <c r="AD275" s="2">
        <v>0.0</v>
      </c>
      <c r="AE275" s="2" t="s">
        <v>177</v>
      </c>
      <c r="AF275" s="2">
        <v>0.0</v>
      </c>
      <c r="AG275" s="2">
        <v>2.0</v>
      </c>
      <c r="AH275" s="2" t="s">
        <v>22</v>
      </c>
      <c r="AI275" s="84" t="s">
        <v>341</v>
      </c>
      <c r="AJ275" s="82">
        <f t="shared" si="1"/>
        <v>6</v>
      </c>
      <c r="AK275" s="82">
        <f t="shared" si="2"/>
        <v>0</v>
      </c>
    </row>
    <row r="276">
      <c r="A276" s="6">
        <v>44998.80777413194</v>
      </c>
      <c r="B276" s="2" t="s">
        <v>306</v>
      </c>
      <c r="C276" s="2">
        <v>51.0</v>
      </c>
      <c r="D276" s="2">
        <v>7221.0</v>
      </c>
      <c r="E276" s="2" t="s">
        <v>34</v>
      </c>
      <c r="F276" s="2">
        <v>0.0</v>
      </c>
      <c r="G276" s="2">
        <v>0.0</v>
      </c>
      <c r="R276" s="2" t="s">
        <v>22</v>
      </c>
      <c r="S276" s="2">
        <v>0.0</v>
      </c>
      <c r="T276" s="2">
        <v>0.0</v>
      </c>
      <c r="U276" s="2">
        <v>0.0</v>
      </c>
      <c r="V276" s="2">
        <v>0.0</v>
      </c>
      <c r="W276" s="2">
        <v>0.0</v>
      </c>
      <c r="X276" s="2">
        <v>0.0</v>
      </c>
      <c r="Y276" s="2">
        <v>0.0</v>
      </c>
      <c r="Z276" s="2">
        <v>0.0</v>
      </c>
      <c r="AA276" s="2">
        <v>0.0</v>
      </c>
      <c r="AB276" s="2">
        <v>0.0</v>
      </c>
      <c r="AC276" s="2">
        <v>3.0</v>
      </c>
      <c r="AD276" s="2">
        <v>1.0</v>
      </c>
      <c r="AE276" s="2" t="s">
        <v>177</v>
      </c>
      <c r="AF276" s="2">
        <v>0.0</v>
      </c>
      <c r="AG276" s="2">
        <v>0.0</v>
      </c>
      <c r="AH276" s="2" t="s">
        <v>22</v>
      </c>
      <c r="AI276" s="83"/>
      <c r="AJ276" s="82">
        <f t="shared" si="1"/>
        <v>8</v>
      </c>
      <c r="AK276" s="82">
        <f t="shared" si="2"/>
        <v>2</v>
      </c>
    </row>
    <row r="277">
      <c r="A277" s="6">
        <v>44998.81004123842</v>
      </c>
      <c r="B277" s="2" t="s">
        <v>306</v>
      </c>
      <c r="C277" s="2">
        <v>55.0</v>
      </c>
      <c r="D277" s="2">
        <v>7221.0</v>
      </c>
      <c r="E277" s="2" t="s">
        <v>22</v>
      </c>
      <c r="R277" s="2" t="s">
        <v>22</v>
      </c>
      <c r="S277" s="2">
        <v>0.0</v>
      </c>
      <c r="T277" s="2">
        <v>0.0</v>
      </c>
      <c r="AE277" s="2" t="s">
        <v>177</v>
      </c>
      <c r="AF277" s="2">
        <v>0.0</v>
      </c>
      <c r="AG277" s="2">
        <v>0.0</v>
      </c>
      <c r="AH277" s="2" t="s">
        <v>34</v>
      </c>
      <c r="AI277" s="84" t="s">
        <v>342</v>
      </c>
      <c r="AJ277" s="82">
        <f t="shared" si="1"/>
        <v>3</v>
      </c>
      <c r="AK277" s="82">
        <f t="shared" si="2"/>
        <v>0</v>
      </c>
    </row>
    <row r="278">
      <c r="A278" s="6">
        <v>44997.697029375</v>
      </c>
      <c r="B278" s="2" t="s">
        <v>25</v>
      </c>
      <c r="C278" s="2">
        <v>4.0</v>
      </c>
      <c r="D278" s="2">
        <v>7225.0</v>
      </c>
      <c r="E278" s="2" t="s">
        <v>34</v>
      </c>
      <c r="L278" s="2">
        <v>1.0</v>
      </c>
      <c r="M278" s="2">
        <v>1.0</v>
      </c>
      <c r="R278" s="2" t="s">
        <v>22</v>
      </c>
      <c r="S278" s="2">
        <v>4.0</v>
      </c>
      <c r="T278" s="2">
        <v>4.0</v>
      </c>
      <c r="AE278" s="2" t="s">
        <v>177</v>
      </c>
      <c r="AF278" s="2">
        <v>3.0</v>
      </c>
      <c r="AG278" s="2">
        <v>0.0</v>
      </c>
      <c r="AH278" s="2" t="s">
        <v>22</v>
      </c>
      <c r="AI278" s="83"/>
      <c r="AJ278" s="82">
        <f t="shared" si="1"/>
        <v>32</v>
      </c>
      <c r="AK278" s="82">
        <f t="shared" si="2"/>
        <v>26</v>
      </c>
    </row>
    <row r="279">
      <c r="A279" s="6">
        <v>44997.70175104166</v>
      </c>
      <c r="B279" s="2" t="s">
        <v>25</v>
      </c>
      <c r="C279" s="2">
        <v>11.0</v>
      </c>
      <c r="D279" s="2">
        <v>7225.0</v>
      </c>
      <c r="E279" s="2" t="s">
        <v>22</v>
      </c>
      <c r="L279" s="2">
        <v>1.0</v>
      </c>
      <c r="M279" s="2">
        <v>1.0</v>
      </c>
      <c r="R279" s="2" t="s">
        <v>22</v>
      </c>
      <c r="S279" s="2">
        <v>1.0</v>
      </c>
      <c r="T279" s="2">
        <v>1.0</v>
      </c>
      <c r="U279" s="2">
        <v>3.0</v>
      </c>
      <c r="V279" s="2">
        <v>3.0</v>
      </c>
      <c r="W279" s="2">
        <v>1.0</v>
      </c>
      <c r="X279" s="2">
        <v>1.0</v>
      </c>
      <c r="AE279" s="2" t="s">
        <v>177</v>
      </c>
      <c r="AF279" s="2">
        <v>4.0</v>
      </c>
      <c r="AG279" s="2">
        <v>0.0</v>
      </c>
      <c r="AH279" s="2" t="s">
        <v>22</v>
      </c>
      <c r="AI279" s="83"/>
      <c r="AJ279" s="82">
        <f t="shared" si="1"/>
        <v>25</v>
      </c>
      <c r="AK279" s="82">
        <f t="shared" si="2"/>
        <v>22</v>
      </c>
    </row>
    <row r="280">
      <c r="A280" s="6">
        <v>44997.704244560184</v>
      </c>
      <c r="B280" s="2" t="s">
        <v>25</v>
      </c>
      <c r="C280" s="2">
        <v>16.0</v>
      </c>
      <c r="D280" s="2">
        <v>7225.0</v>
      </c>
      <c r="E280" s="2" t="s">
        <v>34</v>
      </c>
      <c r="L280" s="2">
        <v>1.0</v>
      </c>
      <c r="M280" s="2">
        <v>1.0</v>
      </c>
      <c r="R280" s="2" t="s">
        <v>22</v>
      </c>
      <c r="U280" s="2">
        <v>1.0</v>
      </c>
      <c r="V280" s="2">
        <v>0.0</v>
      </c>
      <c r="W280" s="2">
        <v>1.0</v>
      </c>
      <c r="X280" s="2">
        <v>1.0</v>
      </c>
      <c r="AE280" s="2" t="s">
        <v>177</v>
      </c>
      <c r="AF280" s="2">
        <v>1.0</v>
      </c>
      <c r="AG280" s="2">
        <v>0.0</v>
      </c>
      <c r="AH280" s="2" t="s">
        <v>34</v>
      </c>
      <c r="AI280" s="84" t="s">
        <v>343</v>
      </c>
      <c r="AJ280" s="82">
        <f t="shared" si="1"/>
        <v>14</v>
      </c>
      <c r="AK280" s="82">
        <f t="shared" si="2"/>
        <v>8</v>
      </c>
    </row>
    <row r="281">
      <c r="A281" s="6">
        <v>44997.70991584491</v>
      </c>
      <c r="B281" s="2" t="s">
        <v>25</v>
      </c>
      <c r="C281" s="2">
        <v>20.0</v>
      </c>
      <c r="D281" s="2">
        <v>7225.0</v>
      </c>
      <c r="E281" s="2" t="s">
        <v>34</v>
      </c>
      <c r="L281" s="2">
        <v>1.0</v>
      </c>
      <c r="M281" s="2">
        <v>1.0</v>
      </c>
      <c r="R281" s="2" t="s">
        <v>22</v>
      </c>
      <c r="S281" s="2">
        <v>3.0</v>
      </c>
      <c r="T281" s="2">
        <v>2.0</v>
      </c>
      <c r="W281" s="2">
        <v>1.0</v>
      </c>
      <c r="X281" s="2">
        <v>1.0</v>
      </c>
      <c r="AE281" s="2" t="s">
        <v>177</v>
      </c>
      <c r="AF281" s="2">
        <v>3.0</v>
      </c>
      <c r="AG281" s="2">
        <v>0.0</v>
      </c>
      <c r="AH281" s="2" t="s">
        <v>22</v>
      </c>
      <c r="AI281" s="84" t="s">
        <v>344</v>
      </c>
      <c r="AJ281" s="82">
        <f t="shared" si="1"/>
        <v>24</v>
      </c>
      <c r="AK281" s="82">
        <f t="shared" si="2"/>
        <v>18</v>
      </c>
    </row>
    <row r="282">
      <c r="A282" s="6">
        <v>44997.715578206014</v>
      </c>
      <c r="B282" s="2" t="s">
        <v>25</v>
      </c>
      <c r="C282" s="2">
        <v>28.0</v>
      </c>
      <c r="D282" s="2">
        <v>7225.0</v>
      </c>
      <c r="E282" s="2" t="s">
        <v>34</v>
      </c>
      <c r="L282" s="2">
        <v>1.0</v>
      </c>
      <c r="M282" s="2">
        <v>1.0</v>
      </c>
      <c r="R282" s="2" t="s">
        <v>22</v>
      </c>
      <c r="S282" s="2">
        <v>3.0</v>
      </c>
      <c r="T282" s="2">
        <v>2.0</v>
      </c>
      <c r="W282" s="2">
        <v>1.0</v>
      </c>
      <c r="X282" s="2">
        <v>1.0</v>
      </c>
      <c r="AE282" s="2" t="s">
        <v>22</v>
      </c>
      <c r="AF282" s="2">
        <v>3.0</v>
      </c>
      <c r="AG282" s="2">
        <v>0.0</v>
      </c>
      <c r="AH282" s="2" t="s">
        <v>34</v>
      </c>
      <c r="AI282" s="84" t="s">
        <v>345</v>
      </c>
      <c r="AJ282" s="82">
        <f t="shared" si="1"/>
        <v>21</v>
      </c>
      <c r="AK282" s="82">
        <f t="shared" si="2"/>
        <v>18</v>
      </c>
    </row>
    <row r="283">
      <c r="A283" s="6">
        <v>44997.71917136574</v>
      </c>
      <c r="B283" s="2" t="s">
        <v>25</v>
      </c>
      <c r="C283" s="2">
        <v>33.0</v>
      </c>
      <c r="D283" s="2">
        <v>7225.0</v>
      </c>
      <c r="E283" s="2" t="s">
        <v>34</v>
      </c>
      <c r="L283" s="2">
        <v>1.0</v>
      </c>
      <c r="M283" s="2">
        <v>1.0</v>
      </c>
      <c r="R283" s="2" t="s">
        <v>22</v>
      </c>
      <c r="S283" s="2">
        <v>4.0</v>
      </c>
      <c r="T283" s="2">
        <v>4.0</v>
      </c>
      <c r="AE283" s="2" t="s">
        <v>177</v>
      </c>
      <c r="AF283" s="2">
        <v>3.0</v>
      </c>
      <c r="AG283" s="2">
        <v>0.0</v>
      </c>
      <c r="AH283" s="2" t="s">
        <v>22</v>
      </c>
      <c r="AI283" s="83"/>
      <c r="AJ283" s="82">
        <f t="shared" si="1"/>
        <v>32</v>
      </c>
      <c r="AK283" s="82">
        <f t="shared" si="2"/>
        <v>26</v>
      </c>
    </row>
    <row r="284">
      <c r="A284" s="6">
        <v>44997.72645641204</v>
      </c>
      <c r="B284" s="2" t="s">
        <v>25</v>
      </c>
      <c r="C284" s="2">
        <v>40.0</v>
      </c>
      <c r="D284" s="2">
        <v>7225.0</v>
      </c>
      <c r="E284" s="2" t="s">
        <v>34</v>
      </c>
      <c r="F284" s="2">
        <v>1.0</v>
      </c>
      <c r="G284" s="2">
        <v>0.0</v>
      </c>
      <c r="H284" s="2">
        <v>1.0</v>
      </c>
      <c r="I284" s="2">
        <v>1.0</v>
      </c>
      <c r="R284" s="2" t="s">
        <v>22</v>
      </c>
      <c r="S284" s="2">
        <v>2.0</v>
      </c>
      <c r="T284" s="2">
        <v>2.0</v>
      </c>
      <c r="U284" s="2">
        <v>1.0</v>
      </c>
      <c r="V284" s="2">
        <v>1.0</v>
      </c>
      <c r="W284" s="2">
        <v>1.0</v>
      </c>
      <c r="X284" s="2">
        <v>1.0</v>
      </c>
      <c r="AE284" s="2" t="s">
        <v>177</v>
      </c>
      <c r="AF284" s="2">
        <v>4.0</v>
      </c>
      <c r="AG284" s="2">
        <v>0.0</v>
      </c>
      <c r="AH284" s="2" t="s">
        <v>22</v>
      </c>
      <c r="AI284" s="83"/>
      <c r="AJ284" s="82">
        <f t="shared" si="1"/>
        <v>25</v>
      </c>
      <c r="AK284" s="82">
        <f t="shared" si="2"/>
        <v>19</v>
      </c>
    </row>
    <row r="285">
      <c r="A285" s="6">
        <v>44997.730709421296</v>
      </c>
      <c r="B285" s="2" t="s">
        <v>25</v>
      </c>
      <c r="C285" s="2">
        <v>45.0</v>
      </c>
      <c r="D285" s="2">
        <v>7225.0</v>
      </c>
      <c r="E285" s="2" t="s">
        <v>34</v>
      </c>
      <c r="L285" s="2">
        <v>1.0</v>
      </c>
      <c r="M285" s="2">
        <v>1.0</v>
      </c>
      <c r="R285" s="2" t="s">
        <v>22</v>
      </c>
      <c r="S285" s="2">
        <v>1.0</v>
      </c>
      <c r="T285" s="2">
        <v>1.0</v>
      </c>
      <c r="AE285" s="2" t="s">
        <v>177</v>
      </c>
      <c r="AF285" s="2">
        <v>1.0</v>
      </c>
      <c r="AG285" s="2">
        <v>0.0</v>
      </c>
      <c r="AH285" s="2" t="s">
        <v>22</v>
      </c>
      <c r="AI285" s="84" t="s">
        <v>346</v>
      </c>
      <c r="AJ285" s="82">
        <f t="shared" si="1"/>
        <v>17</v>
      </c>
      <c r="AK285" s="82">
        <f t="shared" si="2"/>
        <v>11</v>
      </c>
    </row>
    <row r="286">
      <c r="A286" s="6">
        <v>44997.73326097222</v>
      </c>
      <c r="B286" s="2" t="s">
        <v>25</v>
      </c>
      <c r="C286" s="2">
        <v>52.0</v>
      </c>
      <c r="D286" s="2">
        <v>7225.0</v>
      </c>
      <c r="E286" s="2" t="s">
        <v>34</v>
      </c>
      <c r="L286" s="2">
        <v>1.0</v>
      </c>
      <c r="M286" s="2">
        <v>1.0</v>
      </c>
      <c r="R286" s="2" t="s">
        <v>22</v>
      </c>
      <c r="S286" s="2">
        <v>2.0</v>
      </c>
      <c r="T286" s="2">
        <v>2.0</v>
      </c>
      <c r="U286" s="2">
        <v>1.0</v>
      </c>
      <c r="V286" s="2">
        <v>1.0</v>
      </c>
      <c r="AE286" s="2" t="s">
        <v>177</v>
      </c>
      <c r="AF286" s="2">
        <v>2.0</v>
      </c>
      <c r="AG286" s="2">
        <v>0.0</v>
      </c>
      <c r="AH286" s="2" t="s">
        <v>22</v>
      </c>
      <c r="AI286" s="83"/>
      <c r="AJ286" s="82">
        <f t="shared" si="1"/>
        <v>25</v>
      </c>
      <c r="AK286" s="82">
        <f t="shared" si="2"/>
        <v>19</v>
      </c>
    </row>
    <row r="287">
      <c r="A287" s="6">
        <v>44997.735494733795</v>
      </c>
      <c r="B287" s="2" t="s">
        <v>25</v>
      </c>
      <c r="C287" s="2">
        <v>59.0</v>
      </c>
      <c r="D287" s="2">
        <v>7225.0</v>
      </c>
      <c r="E287" s="2" t="s">
        <v>34</v>
      </c>
      <c r="L287" s="2">
        <v>1.0</v>
      </c>
      <c r="M287" s="2">
        <v>1.0</v>
      </c>
      <c r="R287" s="2" t="s">
        <v>22</v>
      </c>
      <c r="S287" s="2">
        <v>4.0</v>
      </c>
      <c r="T287" s="2">
        <v>3.0</v>
      </c>
      <c r="W287" s="2">
        <v>1.0</v>
      </c>
      <c r="X287" s="2">
        <v>1.0</v>
      </c>
      <c r="AE287" s="2" t="s">
        <v>178</v>
      </c>
      <c r="AF287" s="2">
        <v>3.0</v>
      </c>
      <c r="AG287" s="2">
        <v>0.0</v>
      </c>
      <c r="AH287" s="2" t="s">
        <v>22</v>
      </c>
      <c r="AI287" s="83"/>
      <c r="AJ287" s="82">
        <f t="shared" si="1"/>
        <v>32</v>
      </c>
      <c r="AK287" s="82">
        <f t="shared" si="2"/>
        <v>23</v>
      </c>
    </row>
    <row r="288">
      <c r="A288" s="6">
        <v>44997.74190793981</v>
      </c>
      <c r="B288" s="2" t="s">
        <v>25</v>
      </c>
      <c r="C288" s="2">
        <v>65.0</v>
      </c>
      <c r="D288" s="2">
        <v>7225.0</v>
      </c>
      <c r="E288" s="2" t="s">
        <v>34</v>
      </c>
      <c r="L288" s="2">
        <v>1.0</v>
      </c>
      <c r="M288" s="2">
        <v>1.0</v>
      </c>
      <c r="R288" s="2" t="s">
        <v>22</v>
      </c>
      <c r="S288" s="2">
        <v>1.0</v>
      </c>
      <c r="T288" s="2">
        <v>1.0</v>
      </c>
      <c r="U288" s="2">
        <v>2.0</v>
      </c>
      <c r="V288" s="2">
        <v>2.0</v>
      </c>
      <c r="W288" s="2">
        <v>1.0</v>
      </c>
      <c r="X288" s="2">
        <v>1.0</v>
      </c>
      <c r="AE288" s="2" t="s">
        <v>177</v>
      </c>
      <c r="AF288" s="2">
        <v>4.0</v>
      </c>
      <c r="AG288" s="2">
        <v>0.0</v>
      </c>
      <c r="AH288" s="2" t="s">
        <v>22</v>
      </c>
      <c r="AI288" s="83"/>
      <c r="AJ288" s="82">
        <f t="shared" si="1"/>
        <v>25</v>
      </c>
      <c r="AK288" s="82">
        <f t="shared" si="2"/>
        <v>19</v>
      </c>
    </row>
    <row r="289">
      <c r="A289" s="6">
        <v>44997.74662071759</v>
      </c>
      <c r="B289" s="2" t="s">
        <v>25</v>
      </c>
      <c r="C289" s="2">
        <v>75.0</v>
      </c>
      <c r="D289" s="2">
        <v>7225.0</v>
      </c>
      <c r="E289" s="2" t="s">
        <v>34</v>
      </c>
      <c r="L289" s="2">
        <v>1.0</v>
      </c>
      <c r="M289" s="2">
        <v>1.0</v>
      </c>
      <c r="R289" s="2" t="s">
        <v>22</v>
      </c>
      <c r="S289" s="2">
        <v>1.0</v>
      </c>
      <c r="T289" s="2">
        <v>1.0</v>
      </c>
      <c r="U289" s="2">
        <v>2.0</v>
      </c>
      <c r="V289" s="2">
        <v>2.0</v>
      </c>
      <c r="AA289" s="2">
        <v>1.0</v>
      </c>
      <c r="AB289" s="2">
        <v>1.0</v>
      </c>
      <c r="AE289" s="2" t="s">
        <v>177</v>
      </c>
      <c r="AF289" s="2">
        <v>5.0</v>
      </c>
      <c r="AG289" s="2">
        <v>0.0</v>
      </c>
      <c r="AH289" s="2" t="s">
        <v>22</v>
      </c>
      <c r="AI289" s="83"/>
      <c r="AJ289" s="82">
        <f t="shared" si="1"/>
        <v>26</v>
      </c>
      <c r="AK289" s="82">
        <f t="shared" si="2"/>
        <v>20</v>
      </c>
    </row>
    <row r="290">
      <c r="A290" s="6">
        <v>44998.40991508102</v>
      </c>
      <c r="B290" s="2" t="s">
        <v>25</v>
      </c>
      <c r="C290" s="2" t="s">
        <v>194</v>
      </c>
      <c r="D290" s="2">
        <v>7225.0</v>
      </c>
      <c r="E290" s="2" t="s">
        <v>34</v>
      </c>
      <c r="L290" s="2">
        <v>1.0</v>
      </c>
      <c r="M290" s="2">
        <v>1.0</v>
      </c>
      <c r="R290" s="2" t="s">
        <v>22</v>
      </c>
      <c r="S290" s="2">
        <v>4.0</v>
      </c>
      <c r="T290" s="2">
        <v>3.0</v>
      </c>
      <c r="AE290" s="2" t="s">
        <v>177</v>
      </c>
      <c r="AF290" s="2">
        <v>3.0</v>
      </c>
      <c r="AG290" s="2">
        <v>0.0</v>
      </c>
      <c r="AH290" s="2" t="s">
        <v>22</v>
      </c>
      <c r="AI290" s="83"/>
      <c r="AJ290" s="82">
        <f t="shared" si="1"/>
        <v>27</v>
      </c>
      <c r="AK290" s="82">
        <f t="shared" si="2"/>
        <v>21</v>
      </c>
    </row>
    <row r="291">
      <c r="A291" s="6">
        <v>44998.41239157408</v>
      </c>
      <c r="B291" s="2" t="s">
        <v>25</v>
      </c>
      <c r="C291" s="2" t="s">
        <v>205</v>
      </c>
      <c r="D291" s="2">
        <v>7225.0</v>
      </c>
      <c r="E291" s="2" t="s">
        <v>34</v>
      </c>
      <c r="L291" s="2">
        <v>1.0</v>
      </c>
      <c r="M291" s="2">
        <v>1.0</v>
      </c>
      <c r="R291" s="2" t="s">
        <v>22</v>
      </c>
      <c r="S291" s="2">
        <v>3.0</v>
      </c>
      <c r="T291" s="2">
        <v>3.0</v>
      </c>
      <c r="U291" s="2">
        <v>1.0</v>
      </c>
      <c r="V291" s="2">
        <v>1.0</v>
      </c>
      <c r="AE291" s="2" t="s">
        <v>177</v>
      </c>
      <c r="AF291" s="2">
        <v>4.0</v>
      </c>
      <c r="AG291" s="2">
        <v>0.0</v>
      </c>
      <c r="AH291" s="2" t="s">
        <v>22</v>
      </c>
      <c r="AI291" s="83"/>
      <c r="AJ291" s="82">
        <f t="shared" si="1"/>
        <v>30</v>
      </c>
      <c r="AK291" s="82">
        <f t="shared" si="2"/>
        <v>24</v>
      </c>
    </row>
    <row r="292">
      <c r="A292" s="6">
        <v>44998.414601701385</v>
      </c>
      <c r="B292" s="2" t="s">
        <v>25</v>
      </c>
      <c r="C292" s="2" t="s">
        <v>184</v>
      </c>
      <c r="D292" s="2">
        <v>7225.0</v>
      </c>
      <c r="E292" s="2" t="s">
        <v>34</v>
      </c>
      <c r="L292" s="2">
        <v>1.0</v>
      </c>
      <c r="M292" s="2">
        <v>1.0</v>
      </c>
      <c r="R292" s="2" t="s">
        <v>22</v>
      </c>
      <c r="S292" s="2">
        <v>3.0</v>
      </c>
      <c r="T292" s="2">
        <v>3.0</v>
      </c>
      <c r="U292" s="2">
        <v>2.0</v>
      </c>
      <c r="V292" s="2">
        <v>2.0</v>
      </c>
      <c r="AE292" s="2" t="s">
        <v>177</v>
      </c>
      <c r="AF292" s="2">
        <v>3.0</v>
      </c>
      <c r="AG292" s="2">
        <v>0.0</v>
      </c>
      <c r="AH292" s="2" t="s">
        <v>22</v>
      </c>
      <c r="AI292" s="83"/>
      <c r="AJ292" s="82">
        <f t="shared" si="1"/>
        <v>33</v>
      </c>
      <c r="AK292" s="82">
        <f t="shared" si="2"/>
        <v>27</v>
      </c>
    </row>
    <row r="293">
      <c r="A293" s="6">
        <v>44998.41736302083</v>
      </c>
      <c r="B293" s="2" t="s">
        <v>25</v>
      </c>
      <c r="C293" s="2" t="s">
        <v>186</v>
      </c>
      <c r="D293" s="2">
        <v>7225.0</v>
      </c>
      <c r="E293" s="2" t="s">
        <v>34</v>
      </c>
      <c r="L293" s="2">
        <v>1.0</v>
      </c>
      <c r="M293" s="2">
        <v>1.0</v>
      </c>
      <c r="R293" s="2" t="s">
        <v>22</v>
      </c>
      <c r="S293" s="2">
        <v>3.0</v>
      </c>
      <c r="T293" s="2">
        <v>2.0</v>
      </c>
      <c r="U293" s="2">
        <v>2.0</v>
      </c>
      <c r="V293" s="2">
        <v>2.0</v>
      </c>
      <c r="W293" s="2">
        <v>1.0</v>
      </c>
      <c r="X293" s="2">
        <v>1.0</v>
      </c>
      <c r="AE293" s="2" t="s">
        <v>177</v>
      </c>
      <c r="AF293" s="2">
        <v>4.0</v>
      </c>
      <c r="AG293" s="2">
        <v>0.0</v>
      </c>
      <c r="AH293" s="2" t="s">
        <v>22</v>
      </c>
      <c r="AI293" s="83"/>
      <c r="AJ293" s="82">
        <f t="shared" si="1"/>
        <v>30</v>
      </c>
      <c r="AK293" s="82">
        <f t="shared" si="2"/>
        <v>24</v>
      </c>
    </row>
    <row r="294">
      <c r="A294" s="6">
        <v>44998.41945498843</v>
      </c>
      <c r="B294" s="2" t="s">
        <v>25</v>
      </c>
      <c r="C294" s="2" t="s">
        <v>187</v>
      </c>
      <c r="D294" s="2">
        <v>7225.0</v>
      </c>
      <c r="E294" s="2" t="s">
        <v>34</v>
      </c>
      <c r="L294" s="2">
        <v>1.0</v>
      </c>
      <c r="M294" s="2">
        <v>1.0</v>
      </c>
      <c r="R294" s="2" t="s">
        <v>22</v>
      </c>
      <c r="S294" s="2">
        <v>3.0</v>
      </c>
      <c r="T294" s="2">
        <v>3.0</v>
      </c>
      <c r="U294" s="2">
        <v>2.0</v>
      </c>
      <c r="V294" s="2">
        <v>2.0</v>
      </c>
      <c r="AE294" s="2" t="s">
        <v>177</v>
      </c>
      <c r="AF294" s="2">
        <v>4.0</v>
      </c>
      <c r="AG294" s="2">
        <v>0.0</v>
      </c>
      <c r="AH294" s="2" t="s">
        <v>22</v>
      </c>
      <c r="AI294" s="83"/>
      <c r="AJ294" s="82">
        <f t="shared" si="1"/>
        <v>33</v>
      </c>
      <c r="AK294" s="82">
        <f t="shared" si="2"/>
        <v>27</v>
      </c>
    </row>
    <row r="295">
      <c r="A295" s="6">
        <v>44998.42224383102</v>
      </c>
      <c r="B295" s="2" t="s">
        <v>25</v>
      </c>
      <c r="C295" s="2" t="s">
        <v>207</v>
      </c>
      <c r="D295" s="2">
        <v>7225.0</v>
      </c>
      <c r="E295" s="2" t="s">
        <v>34</v>
      </c>
      <c r="L295" s="2">
        <v>1.0</v>
      </c>
      <c r="M295" s="2">
        <v>1.0</v>
      </c>
      <c r="R295" s="2" t="s">
        <v>22</v>
      </c>
      <c r="S295" s="2">
        <v>2.0</v>
      </c>
      <c r="T295" s="2">
        <v>2.0</v>
      </c>
      <c r="U295" s="2">
        <v>2.0</v>
      </c>
      <c r="V295" s="2">
        <v>2.0</v>
      </c>
      <c r="AE295" s="2" t="s">
        <v>177</v>
      </c>
      <c r="AF295" s="2">
        <v>4.0</v>
      </c>
      <c r="AG295" s="2">
        <v>0.0</v>
      </c>
      <c r="AH295" s="2" t="s">
        <v>22</v>
      </c>
      <c r="AI295" s="84" t="s">
        <v>347</v>
      </c>
      <c r="AJ295" s="82">
        <f t="shared" si="1"/>
        <v>28</v>
      </c>
      <c r="AK295" s="82">
        <f t="shared" si="2"/>
        <v>22</v>
      </c>
    </row>
    <row r="296">
      <c r="A296" s="6">
        <v>44998.42556740741</v>
      </c>
      <c r="B296" s="2" t="s">
        <v>25</v>
      </c>
      <c r="C296" s="2" t="s">
        <v>208</v>
      </c>
      <c r="D296" s="2">
        <v>7225.0</v>
      </c>
      <c r="E296" s="2" t="s">
        <v>34</v>
      </c>
      <c r="L296" s="2">
        <v>1.0</v>
      </c>
      <c r="M296" s="2">
        <v>1.0</v>
      </c>
      <c r="R296" s="2" t="s">
        <v>22</v>
      </c>
      <c r="S296" s="2">
        <v>3.0</v>
      </c>
      <c r="T296" s="2">
        <v>3.0</v>
      </c>
      <c r="U296" s="2">
        <v>1.0</v>
      </c>
      <c r="V296" s="2">
        <v>1.0</v>
      </c>
      <c r="AE296" s="2" t="s">
        <v>177</v>
      </c>
      <c r="AF296" s="2">
        <v>4.0</v>
      </c>
      <c r="AG296" s="2">
        <v>0.0</v>
      </c>
      <c r="AH296" s="2" t="s">
        <v>22</v>
      </c>
      <c r="AI296" s="83"/>
      <c r="AJ296" s="82">
        <f t="shared" si="1"/>
        <v>30</v>
      </c>
      <c r="AK296" s="82">
        <f t="shared" si="2"/>
        <v>24</v>
      </c>
    </row>
    <row r="297">
      <c r="A297" s="6">
        <v>44998.83822694444</v>
      </c>
      <c r="B297" s="2" t="s">
        <v>306</v>
      </c>
      <c r="C297" s="2">
        <v>5.0</v>
      </c>
      <c r="D297" s="2">
        <v>7598.0</v>
      </c>
      <c r="E297" s="2" t="s">
        <v>34</v>
      </c>
      <c r="R297" s="2" t="s">
        <v>22</v>
      </c>
      <c r="AE297" s="2" t="s">
        <v>175</v>
      </c>
      <c r="AF297" s="2">
        <v>1.0</v>
      </c>
      <c r="AG297" s="2">
        <v>0.0</v>
      </c>
      <c r="AH297" s="2" t="s">
        <v>22</v>
      </c>
      <c r="AI297" s="83"/>
      <c r="AJ297" s="82">
        <f t="shared" si="1"/>
        <v>13</v>
      </c>
      <c r="AK297" s="82">
        <f t="shared" si="2"/>
        <v>0</v>
      </c>
    </row>
    <row r="298">
      <c r="A298" s="6">
        <v>45000.791420740745</v>
      </c>
      <c r="B298" s="2" t="s">
        <v>306</v>
      </c>
      <c r="C298" s="2">
        <v>12.0</v>
      </c>
      <c r="D298" s="2">
        <v>7598.0</v>
      </c>
      <c r="E298" s="2" t="s">
        <v>34</v>
      </c>
      <c r="F298" s="2">
        <v>0.0</v>
      </c>
      <c r="G298" s="2">
        <v>0.0</v>
      </c>
      <c r="R298" s="2" t="s">
        <v>22</v>
      </c>
      <c r="S298" s="2">
        <v>0.0</v>
      </c>
      <c r="T298" s="2">
        <v>0.0</v>
      </c>
      <c r="U298" s="2">
        <v>0.0</v>
      </c>
      <c r="V298" s="2">
        <v>0.0</v>
      </c>
      <c r="W298" s="2">
        <v>0.0</v>
      </c>
      <c r="X298" s="2">
        <v>0.0</v>
      </c>
      <c r="Y298" s="2">
        <v>0.0</v>
      </c>
      <c r="Z298" s="2">
        <v>0.0</v>
      </c>
      <c r="AA298" s="2">
        <v>0.0</v>
      </c>
      <c r="AB298" s="2">
        <v>0.0</v>
      </c>
      <c r="AC298" s="2">
        <v>0.0</v>
      </c>
      <c r="AD298" s="2">
        <v>0.0</v>
      </c>
      <c r="AE298" s="2" t="s">
        <v>175</v>
      </c>
      <c r="AF298" s="2">
        <v>0.0</v>
      </c>
      <c r="AG298" s="2">
        <v>1.0</v>
      </c>
      <c r="AH298" s="2" t="s">
        <v>22</v>
      </c>
      <c r="AI298" s="84" t="s">
        <v>348</v>
      </c>
      <c r="AJ298" s="82">
        <f t="shared" si="1"/>
        <v>13</v>
      </c>
      <c r="AK298" s="82">
        <f t="shared" si="2"/>
        <v>0</v>
      </c>
    </row>
    <row r="299">
      <c r="A299" s="6">
        <v>45000.80162574074</v>
      </c>
      <c r="B299" s="2" t="s">
        <v>306</v>
      </c>
      <c r="C299" s="2">
        <v>16.0</v>
      </c>
      <c r="D299" s="2">
        <v>7598.0</v>
      </c>
      <c r="E299" s="2" t="s">
        <v>34</v>
      </c>
      <c r="R299" s="2" t="s">
        <v>22</v>
      </c>
      <c r="AE299" s="2" t="s">
        <v>175</v>
      </c>
      <c r="AF299" s="2">
        <v>0.0</v>
      </c>
      <c r="AG299" s="2">
        <v>0.0</v>
      </c>
      <c r="AH299" s="2" t="s">
        <v>22</v>
      </c>
      <c r="AI299" s="84" t="s">
        <v>349</v>
      </c>
      <c r="AJ299" s="82">
        <f t="shared" si="1"/>
        <v>13</v>
      </c>
      <c r="AK299" s="82">
        <f t="shared" si="2"/>
        <v>0</v>
      </c>
    </row>
    <row r="300">
      <c r="A300" s="6">
        <v>45000.806696087966</v>
      </c>
      <c r="B300" s="2" t="s">
        <v>306</v>
      </c>
      <c r="C300" s="2">
        <v>22.0</v>
      </c>
      <c r="D300" s="2">
        <v>7598.0</v>
      </c>
      <c r="E300" s="2" t="s">
        <v>34</v>
      </c>
      <c r="R300" s="2" t="s">
        <v>22</v>
      </c>
      <c r="AC300" s="2">
        <v>3.0</v>
      </c>
      <c r="AD300" s="2">
        <v>3.0</v>
      </c>
      <c r="AE300" s="2" t="s">
        <v>175</v>
      </c>
      <c r="AF300" s="2">
        <v>2.0</v>
      </c>
      <c r="AG300" s="2">
        <v>1.0</v>
      </c>
      <c r="AH300" s="2" t="s">
        <v>22</v>
      </c>
      <c r="AI300" s="83"/>
      <c r="AJ300" s="82">
        <f t="shared" si="1"/>
        <v>19</v>
      </c>
      <c r="AK300" s="82">
        <f t="shared" si="2"/>
        <v>6</v>
      </c>
    </row>
    <row r="301">
      <c r="A301" s="6">
        <v>45000.81416190972</v>
      </c>
      <c r="B301" s="2" t="s">
        <v>306</v>
      </c>
      <c r="C301" s="2">
        <v>26.0</v>
      </c>
      <c r="D301" s="2">
        <v>7598.0</v>
      </c>
      <c r="E301" s="2" t="s">
        <v>34</v>
      </c>
      <c r="R301" s="2" t="s">
        <v>22</v>
      </c>
      <c r="W301" s="2">
        <v>1.0</v>
      </c>
      <c r="X301" s="2">
        <v>0.0</v>
      </c>
      <c r="AC301" s="2">
        <v>1.0</v>
      </c>
      <c r="AD301" s="2">
        <v>1.0</v>
      </c>
      <c r="AE301" s="2" t="s">
        <v>175</v>
      </c>
      <c r="AF301" s="2">
        <v>0.0</v>
      </c>
      <c r="AG301" s="2">
        <v>0.0</v>
      </c>
      <c r="AH301" s="2" t="s">
        <v>22</v>
      </c>
      <c r="AI301" s="83"/>
      <c r="AJ301" s="82">
        <f t="shared" si="1"/>
        <v>15</v>
      </c>
      <c r="AK301" s="82">
        <f t="shared" si="2"/>
        <v>2</v>
      </c>
    </row>
    <row r="302">
      <c r="A302" s="6">
        <v>45000.816141539355</v>
      </c>
      <c r="B302" s="2" t="s">
        <v>306</v>
      </c>
      <c r="C302" s="2">
        <v>34.0</v>
      </c>
      <c r="D302" s="2">
        <v>7598.0</v>
      </c>
      <c r="E302" s="2" t="s">
        <v>34</v>
      </c>
      <c r="R302" s="2" t="s">
        <v>22</v>
      </c>
      <c r="AC302" s="2">
        <v>1.0</v>
      </c>
      <c r="AD302" s="2">
        <v>0.0</v>
      </c>
      <c r="AE302" s="2" t="s">
        <v>175</v>
      </c>
      <c r="AF302" s="2">
        <v>1.0</v>
      </c>
      <c r="AG302" s="2">
        <v>1.0</v>
      </c>
      <c r="AH302" s="2" t="s">
        <v>22</v>
      </c>
      <c r="AI302" s="83"/>
      <c r="AJ302" s="82">
        <f t="shared" si="1"/>
        <v>13</v>
      </c>
      <c r="AK302" s="82">
        <f t="shared" si="2"/>
        <v>0</v>
      </c>
    </row>
    <row r="303">
      <c r="A303" s="6">
        <v>45000.85533979167</v>
      </c>
      <c r="B303" s="2" t="s">
        <v>306</v>
      </c>
      <c r="C303" s="2">
        <v>40.0</v>
      </c>
      <c r="D303" s="2">
        <v>7598.0</v>
      </c>
      <c r="E303" s="2" t="s">
        <v>34</v>
      </c>
      <c r="R303" s="2" t="s">
        <v>22</v>
      </c>
      <c r="AE303" s="2" t="s">
        <v>175</v>
      </c>
      <c r="AF303" s="2">
        <v>0.0</v>
      </c>
      <c r="AG303" s="2">
        <v>0.0</v>
      </c>
      <c r="AH303" s="2" t="s">
        <v>22</v>
      </c>
      <c r="AI303" s="84" t="s">
        <v>350</v>
      </c>
      <c r="AJ303" s="82">
        <f t="shared" si="1"/>
        <v>13</v>
      </c>
      <c r="AK303" s="82">
        <f t="shared" si="2"/>
        <v>0</v>
      </c>
    </row>
    <row r="304">
      <c r="A304" s="6">
        <v>45000.860494699074</v>
      </c>
      <c r="B304" s="2" t="s">
        <v>306</v>
      </c>
      <c r="C304" s="2" t="s">
        <v>351</v>
      </c>
      <c r="D304" s="2">
        <v>7598.0</v>
      </c>
      <c r="E304" s="2" t="s">
        <v>34</v>
      </c>
      <c r="R304" s="2" t="s">
        <v>22</v>
      </c>
      <c r="AE304" s="2" t="s">
        <v>175</v>
      </c>
      <c r="AF304" s="2">
        <v>0.0</v>
      </c>
      <c r="AG304" s="2">
        <v>1.0</v>
      </c>
      <c r="AH304" s="2" t="s">
        <v>22</v>
      </c>
      <c r="AI304" s="84" t="s">
        <v>350</v>
      </c>
      <c r="AJ304" s="82">
        <f t="shared" si="1"/>
        <v>13</v>
      </c>
      <c r="AK304" s="82">
        <f t="shared" si="2"/>
        <v>0</v>
      </c>
    </row>
    <row r="305">
      <c r="A305" s="6">
        <v>45000.86228533565</v>
      </c>
      <c r="B305" s="2" t="s">
        <v>306</v>
      </c>
      <c r="C305" s="2" t="s">
        <v>352</v>
      </c>
      <c r="D305" s="2">
        <v>7598.0</v>
      </c>
      <c r="E305" s="2" t="s">
        <v>34</v>
      </c>
      <c r="R305" s="2" t="s">
        <v>22</v>
      </c>
      <c r="AE305" s="2" t="s">
        <v>175</v>
      </c>
      <c r="AF305" s="2">
        <v>0.0</v>
      </c>
      <c r="AG305" s="2">
        <v>2.0</v>
      </c>
      <c r="AH305" s="2" t="s">
        <v>22</v>
      </c>
      <c r="AI305" s="84" t="s">
        <v>353</v>
      </c>
      <c r="AJ305" s="82">
        <f t="shared" si="1"/>
        <v>13</v>
      </c>
      <c r="AK305" s="82">
        <f t="shared" si="2"/>
        <v>0</v>
      </c>
    </row>
    <row r="306">
      <c r="A306" s="6">
        <v>44998.92660313657</v>
      </c>
      <c r="B306" s="2" t="s">
        <v>354</v>
      </c>
      <c r="C306" s="2">
        <v>6.0</v>
      </c>
      <c r="D306" s="2">
        <v>8374.0</v>
      </c>
      <c r="E306" s="2" t="s">
        <v>34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2">
        <v>0.0</v>
      </c>
      <c r="N306" s="2">
        <v>0.0</v>
      </c>
      <c r="O306" s="2">
        <v>0.0</v>
      </c>
      <c r="P306" s="2">
        <v>0.0</v>
      </c>
      <c r="Q306" s="2">
        <v>0.0</v>
      </c>
      <c r="R306" s="2" t="s">
        <v>22</v>
      </c>
      <c r="Y306" s="2">
        <v>1.0</v>
      </c>
      <c r="Z306" s="2">
        <v>1.0</v>
      </c>
      <c r="AA306" s="2">
        <v>1.0</v>
      </c>
      <c r="AB306" s="2">
        <v>0.0</v>
      </c>
      <c r="AC306" s="2">
        <v>1.0</v>
      </c>
      <c r="AD306" s="2">
        <v>1.0</v>
      </c>
      <c r="AE306" s="2" t="s">
        <v>175</v>
      </c>
      <c r="AF306" s="2">
        <v>0.0</v>
      </c>
      <c r="AG306" s="2">
        <v>0.0</v>
      </c>
      <c r="AH306" s="2" t="s">
        <v>22</v>
      </c>
      <c r="AI306" s="84" t="s">
        <v>355</v>
      </c>
      <c r="AJ306" s="82">
        <f t="shared" si="1"/>
        <v>20</v>
      </c>
      <c r="AK306" s="82">
        <f t="shared" si="2"/>
        <v>7</v>
      </c>
    </row>
    <row r="307">
      <c r="A307" s="6">
        <v>44998.93109344908</v>
      </c>
      <c r="B307" s="2" t="s">
        <v>356</v>
      </c>
      <c r="C307" s="2">
        <v>11.0</v>
      </c>
      <c r="D307" s="2">
        <v>8374.0</v>
      </c>
      <c r="E307" s="2" t="s">
        <v>22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v>0.0</v>
      </c>
      <c r="N307" s="2">
        <v>0.0</v>
      </c>
      <c r="O307" s="2">
        <v>0.0</v>
      </c>
      <c r="P307" s="2">
        <v>0.0</v>
      </c>
      <c r="Q307" s="2">
        <v>0.0</v>
      </c>
      <c r="R307" s="2" t="s">
        <v>22</v>
      </c>
      <c r="S307" s="2">
        <v>0.0</v>
      </c>
      <c r="T307" s="2">
        <v>0.0</v>
      </c>
      <c r="U307" s="2">
        <v>0.0</v>
      </c>
      <c r="V307" s="2">
        <v>0.0</v>
      </c>
      <c r="W307" s="2">
        <v>0.0</v>
      </c>
      <c r="X307" s="2">
        <v>0.0</v>
      </c>
      <c r="Y307" s="2">
        <v>1.0</v>
      </c>
      <c r="Z307" s="2">
        <v>1.0</v>
      </c>
      <c r="AA307" s="2">
        <v>0.0</v>
      </c>
      <c r="AB307" s="2">
        <v>0.0</v>
      </c>
      <c r="AC307" s="2">
        <v>0.0</v>
      </c>
      <c r="AD307" s="2">
        <v>0.0</v>
      </c>
      <c r="AE307" s="2" t="s">
        <v>175</v>
      </c>
      <c r="AF307" s="2">
        <v>1.0</v>
      </c>
      <c r="AG307" s="2">
        <v>0.0</v>
      </c>
      <c r="AH307" s="2" t="s">
        <v>22</v>
      </c>
      <c r="AI307" s="83"/>
      <c r="AJ307" s="82">
        <f t="shared" si="1"/>
        <v>15</v>
      </c>
      <c r="AK307" s="82">
        <f t="shared" si="2"/>
        <v>5</v>
      </c>
    </row>
    <row r="308">
      <c r="A308" s="6">
        <v>44998.94111771991</v>
      </c>
      <c r="B308" s="2" t="s">
        <v>356</v>
      </c>
      <c r="C308" s="2">
        <v>66.0</v>
      </c>
      <c r="D308" s="2">
        <v>8374.0</v>
      </c>
      <c r="E308" s="2" t="s">
        <v>34</v>
      </c>
      <c r="L308" s="2">
        <v>0.0</v>
      </c>
      <c r="M308" s="2">
        <v>0.0</v>
      </c>
      <c r="R308" s="2" t="s">
        <v>22</v>
      </c>
      <c r="Y308" s="2">
        <v>2.0</v>
      </c>
      <c r="Z308" s="2">
        <v>2.0</v>
      </c>
      <c r="AE308" s="2" t="s">
        <v>175</v>
      </c>
      <c r="AF308" s="2">
        <v>1.0</v>
      </c>
      <c r="AG308" s="2">
        <v>0.0</v>
      </c>
      <c r="AH308" s="2" t="s">
        <v>22</v>
      </c>
      <c r="AI308" s="83"/>
      <c r="AJ308" s="82">
        <f t="shared" si="1"/>
        <v>23</v>
      </c>
      <c r="AK308" s="82">
        <f t="shared" si="2"/>
        <v>10</v>
      </c>
    </row>
    <row r="309">
      <c r="A309" s="6">
        <v>44998.94572699074</v>
      </c>
      <c r="B309" s="2" t="s">
        <v>354</v>
      </c>
      <c r="C309" s="2" t="s">
        <v>183</v>
      </c>
      <c r="D309" s="2">
        <v>8374.0</v>
      </c>
      <c r="E309" s="2" t="s">
        <v>22</v>
      </c>
      <c r="R309" s="2" t="s">
        <v>22</v>
      </c>
      <c r="Y309" s="2">
        <v>2.0</v>
      </c>
      <c r="Z309" s="2">
        <v>2.0</v>
      </c>
      <c r="AA309" s="2">
        <v>1.0</v>
      </c>
      <c r="AB309" s="2">
        <v>1.0</v>
      </c>
      <c r="AE309" s="2" t="s">
        <v>175</v>
      </c>
      <c r="AF309" s="2">
        <v>1.0</v>
      </c>
      <c r="AG309" s="2">
        <v>0.0</v>
      </c>
      <c r="AH309" s="2" t="s">
        <v>22</v>
      </c>
      <c r="AI309" s="83"/>
      <c r="AJ309" s="82">
        <f t="shared" si="1"/>
        <v>23</v>
      </c>
      <c r="AK309" s="82">
        <f t="shared" si="2"/>
        <v>13</v>
      </c>
    </row>
    <row r="310">
      <c r="A310" s="6">
        <v>44998.95182443287</v>
      </c>
      <c r="B310" s="2" t="s">
        <v>356</v>
      </c>
      <c r="C310" s="2">
        <v>54.0</v>
      </c>
      <c r="D310" s="2">
        <v>8374.0</v>
      </c>
      <c r="E310" s="2" t="s">
        <v>22</v>
      </c>
      <c r="R310" s="2" t="s">
        <v>22</v>
      </c>
      <c r="Y310" s="2">
        <v>2.0</v>
      </c>
      <c r="Z310" s="2">
        <v>2.0</v>
      </c>
      <c r="AE310" s="2" t="s">
        <v>177</v>
      </c>
      <c r="AF310" s="2">
        <v>1.0</v>
      </c>
      <c r="AG310" s="2">
        <v>0.0</v>
      </c>
      <c r="AH310" s="2" t="s">
        <v>22</v>
      </c>
      <c r="AI310" s="83"/>
      <c r="AJ310" s="82">
        <f t="shared" si="1"/>
        <v>13</v>
      </c>
      <c r="AK310" s="82">
        <f t="shared" si="2"/>
        <v>10</v>
      </c>
    </row>
    <row r="311">
      <c r="A311" s="6">
        <v>44998.7801315625</v>
      </c>
      <c r="B311" s="2" t="s">
        <v>357</v>
      </c>
      <c r="C311" s="2">
        <v>5.0</v>
      </c>
      <c r="D311" s="2">
        <v>8424.0</v>
      </c>
      <c r="E311" s="2" t="s">
        <v>22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1.0</v>
      </c>
      <c r="M311" s="2">
        <v>0.0</v>
      </c>
      <c r="N311" s="2">
        <v>0.0</v>
      </c>
      <c r="O311" s="2">
        <v>0.0</v>
      </c>
      <c r="P311" s="2">
        <v>0.0</v>
      </c>
      <c r="Q311" s="2">
        <v>0.0</v>
      </c>
      <c r="R311" s="2" t="s">
        <v>175</v>
      </c>
      <c r="S311" s="2">
        <v>0.0</v>
      </c>
      <c r="T311" s="2">
        <v>0.0</v>
      </c>
      <c r="U311" s="2">
        <v>0.0</v>
      </c>
      <c r="V311" s="2">
        <v>0.0</v>
      </c>
      <c r="W311" s="2">
        <v>1.0</v>
      </c>
      <c r="X311" s="2">
        <v>1.0</v>
      </c>
      <c r="Y311" s="2">
        <v>0.0</v>
      </c>
      <c r="AA311" s="2">
        <v>0.0</v>
      </c>
      <c r="AC311" s="2">
        <v>1.0</v>
      </c>
      <c r="AD311" s="2">
        <v>1.0</v>
      </c>
      <c r="AE311" s="2" t="s">
        <v>22</v>
      </c>
      <c r="AF311" s="2">
        <v>0.0</v>
      </c>
      <c r="AG311" s="2">
        <v>1.0</v>
      </c>
      <c r="AH311" s="2" t="s">
        <v>22</v>
      </c>
      <c r="AI311" s="84" t="s">
        <v>358</v>
      </c>
      <c r="AJ311" s="82">
        <f t="shared" si="1"/>
        <v>16</v>
      </c>
      <c r="AK311" s="82">
        <f t="shared" si="2"/>
        <v>4</v>
      </c>
    </row>
    <row r="312">
      <c r="A312" s="6">
        <v>44998.78423547454</v>
      </c>
      <c r="B312" s="2" t="s">
        <v>357</v>
      </c>
      <c r="C312" s="2">
        <v>9.0</v>
      </c>
      <c r="D312" s="2">
        <v>8424.0</v>
      </c>
      <c r="E312" s="2" t="s">
        <v>22</v>
      </c>
      <c r="F312" s="2">
        <v>1.0</v>
      </c>
      <c r="G312" s="2">
        <v>0.0</v>
      </c>
      <c r="J312" s="2">
        <v>1.0</v>
      </c>
      <c r="K312" s="2">
        <v>1.0</v>
      </c>
      <c r="R312" s="2" t="s">
        <v>175</v>
      </c>
      <c r="AE312" s="2" t="s">
        <v>175</v>
      </c>
      <c r="AF312" s="2">
        <v>2.0</v>
      </c>
      <c r="AG312" s="2">
        <v>2.0</v>
      </c>
      <c r="AH312" s="2" t="s">
        <v>22</v>
      </c>
      <c r="AI312" s="84" t="s">
        <v>359</v>
      </c>
      <c r="AJ312" s="82">
        <f t="shared" si="1"/>
        <v>25</v>
      </c>
      <c r="AK312" s="82">
        <f t="shared" si="2"/>
        <v>3</v>
      </c>
    </row>
    <row r="313">
      <c r="A313" s="6">
        <v>44998.79082780093</v>
      </c>
      <c r="B313" s="2" t="s">
        <v>357</v>
      </c>
      <c r="C313" s="2">
        <v>13.0</v>
      </c>
      <c r="D313" s="2">
        <v>8424.0</v>
      </c>
      <c r="E313" s="2" t="s">
        <v>34</v>
      </c>
      <c r="F313" s="2">
        <v>1.0</v>
      </c>
      <c r="G313" s="2">
        <v>0.0</v>
      </c>
      <c r="J313" s="2">
        <v>1.0</v>
      </c>
      <c r="K313" s="2">
        <v>1.0</v>
      </c>
      <c r="R313" s="2" t="s">
        <v>22</v>
      </c>
      <c r="AA313" s="2">
        <v>1.0</v>
      </c>
      <c r="AB313" s="2">
        <v>1.0</v>
      </c>
      <c r="AC313" s="2">
        <v>1.0</v>
      </c>
      <c r="AD313" s="2">
        <v>1.0</v>
      </c>
      <c r="AE313" s="2" t="s">
        <v>175</v>
      </c>
      <c r="AF313" s="2">
        <v>1.0</v>
      </c>
      <c r="AG313" s="2">
        <v>1.0</v>
      </c>
      <c r="AH313" s="2" t="s">
        <v>22</v>
      </c>
      <c r="AI313" s="84" t="s">
        <v>360</v>
      </c>
      <c r="AJ313" s="82">
        <f t="shared" si="1"/>
        <v>21</v>
      </c>
      <c r="AK313" s="82">
        <f t="shared" si="2"/>
        <v>8</v>
      </c>
    </row>
    <row r="314">
      <c r="A314" s="6">
        <v>44998.79704917824</v>
      </c>
      <c r="B314" s="2" t="s">
        <v>357</v>
      </c>
      <c r="C314" s="2">
        <v>20.0</v>
      </c>
      <c r="D314" s="2">
        <v>8424.0</v>
      </c>
      <c r="E314" s="2" t="s">
        <v>22</v>
      </c>
      <c r="F314" s="2">
        <v>1.0</v>
      </c>
      <c r="G314" s="2">
        <v>0.0</v>
      </c>
      <c r="J314" s="2">
        <v>1.0</v>
      </c>
      <c r="K314" s="2">
        <v>1.0</v>
      </c>
      <c r="R314" s="2" t="s">
        <v>175</v>
      </c>
      <c r="AE314" s="2" t="s">
        <v>178</v>
      </c>
      <c r="AF314" s="2">
        <v>0.0</v>
      </c>
      <c r="AG314" s="2">
        <v>3.0</v>
      </c>
      <c r="AH314" s="2" t="s">
        <v>22</v>
      </c>
      <c r="AI314" s="84" t="s">
        <v>361</v>
      </c>
      <c r="AJ314" s="82">
        <f t="shared" si="1"/>
        <v>21</v>
      </c>
      <c r="AK314" s="82">
        <f t="shared" si="2"/>
        <v>3</v>
      </c>
    </row>
    <row r="315">
      <c r="A315" s="6">
        <v>44998.79968984953</v>
      </c>
      <c r="B315" s="2" t="s">
        <v>357</v>
      </c>
      <c r="C315" s="2">
        <v>25.0</v>
      </c>
      <c r="D315" s="2">
        <v>8424.0</v>
      </c>
      <c r="E315" s="2" t="s">
        <v>22</v>
      </c>
      <c r="R315" s="2" t="s">
        <v>22</v>
      </c>
      <c r="AE315" s="2" t="s">
        <v>175</v>
      </c>
      <c r="AF315" s="2">
        <v>0.0</v>
      </c>
      <c r="AG315" s="2">
        <v>4.0</v>
      </c>
      <c r="AH315" s="2" t="s">
        <v>22</v>
      </c>
      <c r="AI315" s="84" t="s">
        <v>362</v>
      </c>
      <c r="AJ315" s="82">
        <f t="shared" si="1"/>
        <v>10</v>
      </c>
      <c r="AK315" s="82">
        <f t="shared" si="2"/>
        <v>0</v>
      </c>
    </row>
    <row r="316">
      <c r="A316" s="6">
        <v>44998.80298612268</v>
      </c>
      <c r="B316" s="2" t="s">
        <v>357</v>
      </c>
      <c r="C316" s="2">
        <v>31.0</v>
      </c>
      <c r="D316" s="2">
        <v>8424.0</v>
      </c>
      <c r="E316" s="2" t="s">
        <v>22</v>
      </c>
      <c r="J316" s="2">
        <v>1.0</v>
      </c>
      <c r="K316" s="2">
        <v>1.0</v>
      </c>
      <c r="R316" s="2" t="s">
        <v>175</v>
      </c>
      <c r="AE316" s="2" t="s">
        <v>175</v>
      </c>
      <c r="AF316" s="2">
        <v>1.0</v>
      </c>
      <c r="AG316" s="2">
        <v>1.0</v>
      </c>
      <c r="AH316" s="2" t="s">
        <v>22</v>
      </c>
      <c r="AI316" s="83"/>
      <c r="AJ316" s="82">
        <f t="shared" si="1"/>
        <v>25</v>
      </c>
      <c r="AK316" s="82">
        <f t="shared" si="2"/>
        <v>3</v>
      </c>
    </row>
    <row r="317">
      <c r="A317" s="6">
        <v>44998.80944997685</v>
      </c>
      <c r="B317" s="2" t="s">
        <v>357</v>
      </c>
      <c r="C317" s="2">
        <v>37.0</v>
      </c>
      <c r="D317" s="2">
        <v>8424.0</v>
      </c>
      <c r="E317" s="2" t="s">
        <v>22</v>
      </c>
      <c r="R317" s="2" t="s">
        <v>178</v>
      </c>
      <c r="AE317" s="2" t="s">
        <v>175</v>
      </c>
      <c r="AF317" s="2">
        <v>0.0</v>
      </c>
      <c r="AG317" s="2">
        <v>0.0</v>
      </c>
      <c r="AH317" s="2" t="s">
        <v>22</v>
      </c>
      <c r="AI317" s="83"/>
      <c r="AJ317" s="82">
        <f t="shared" si="1"/>
        <v>18</v>
      </c>
      <c r="AK317" s="82">
        <f t="shared" si="2"/>
        <v>0</v>
      </c>
    </row>
    <row r="318">
      <c r="A318" s="6">
        <v>44998.81282003473</v>
      </c>
      <c r="B318" s="2" t="s">
        <v>357</v>
      </c>
      <c r="C318" s="2">
        <v>43.0</v>
      </c>
      <c r="D318" s="2">
        <v>8424.0</v>
      </c>
      <c r="E318" s="2" t="s">
        <v>34</v>
      </c>
      <c r="F318" s="2">
        <v>1.0</v>
      </c>
      <c r="G318" s="2">
        <v>0.0</v>
      </c>
      <c r="J318" s="2">
        <v>1.0</v>
      </c>
      <c r="K318" s="2">
        <v>1.0</v>
      </c>
      <c r="R318" s="2" t="s">
        <v>22</v>
      </c>
      <c r="AE318" s="2" t="s">
        <v>177</v>
      </c>
      <c r="AF318" s="2">
        <v>0.0</v>
      </c>
      <c r="AG318" s="2">
        <v>0.0</v>
      </c>
      <c r="AH318" s="2" t="s">
        <v>34</v>
      </c>
      <c r="AI318" s="84" t="s">
        <v>363</v>
      </c>
      <c r="AJ318" s="82">
        <f t="shared" si="1"/>
        <v>9</v>
      </c>
      <c r="AK318" s="82">
        <f t="shared" si="2"/>
        <v>3</v>
      </c>
    </row>
    <row r="319">
      <c r="A319" s="6">
        <v>44998.818300486106</v>
      </c>
      <c r="B319" s="2" t="s">
        <v>357</v>
      </c>
      <c r="C319" s="2">
        <v>52.0</v>
      </c>
      <c r="D319" s="2">
        <v>8424.0</v>
      </c>
      <c r="E319" s="2" t="s">
        <v>22</v>
      </c>
      <c r="L319" s="2">
        <v>1.0</v>
      </c>
      <c r="M319" s="2">
        <v>1.0</v>
      </c>
      <c r="R319" s="2" t="s">
        <v>22</v>
      </c>
      <c r="AE319" s="2" t="s">
        <v>22</v>
      </c>
      <c r="AF319" s="2">
        <v>0.0</v>
      </c>
      <c r="AG319" s="2">
        <v>0.0</v>
      </c>
      <c r="AH319" s="2" t="s">
        <v>22</v>
      </c>
      <c r="AI319" s="84" t="s">
        <v>364</v>
      </c>
      <c r="AJ319" s="82">
        <f t="shared" si="1"/>
        <v>6</v>
      </c>
      <c r="AK319" s="82">
        <f t="shared" si="2"/>
        <v>6</v>
      </c>
    </row>
    <row r="320">
      <c r="A320" s="6">
        <v>45014.87599850695</v>
      </c>
      <c r="B320" s="2" t="s">
        <v>25</v>
      </c>
      <c r="C320" s="2">
        <v>11.0</v>
      </c>
      <c r="D320" s="2">
        <v>8832.0</v>
      </c>
      <c r="E320" s="2" t="s">
        <v>22</v>
      </c>
      <c r="R320" s="2" t="s">
        <v>22</v>
      </c>
      <c r="AC320" s="2">
        <v>1.0</v>
      </c>
      <c r="AD320" s="2">
        <v>1.0</v>
      </c>
      <c r="AE320" s="2" t="s">
        <v>175</v>
      </c>
      <c r="AF320" s="2">
        <v>0.0</v>
      </c>
      <c r="AG320" s="2">
        <v>1.0</v>
      </c>
      <c r="AH320" s="2" t="s">
        <v>22</v>
      </c>
      <c r="AI320" s="2" t="s">
        <v>365</v>
      </c>
      <c r="AJ320" s="82">
        <f t="shared" si="1"/>
        <v>12</v>
      </c>
      <c r="AK320" s="82">
        <f t="shared" si="2"/>
        <v>2</v>
      </c>
    </row>
    <row r="321">
      <c r="A321" s="6">
        <v>45014.878437858795</v>
      </c>
      <c r="B321" s="2" t="s">
        <v>25</v>
      </c>
      <c r="C321" s="2">
        <v>79.0</v>
      </c>
      <c r="D321" s="2">
        <v>8832.0</v>
      </c>
      <c r="E321" s="2" t="s">
        <v>34</v>
      </c>
      <c r="R321" s="2" t="s">
        <v>22</v>
      </c>
      <c r="AE321" s="2" t="s">
        <v>175</v>
      </c>
      <c r="AF321" s="2">
        <v>0.0</v>
      </c>
      <c r="AG321" s="2">
        <v>2.0</v>
      </c>
      <c r="AH321" s="2" t="s">
        <v>22</v>
      </c>
      <c r="AI321" s="2" t="s">
        <v>366</v>
      </c>
      <c r="AJ321" s="82">
        <f t="shared" si="1"/>
        <v>13</v>
      </c>
      <c r="AK321" s="82">
        <f t="shared" si="2"/>
        <v>0</v>
      </c>
    </row>
    <row r="322">
      <c r="A322" s="6">
        <v>45014.88392590277</v>
      </c>
      <c r="B322" s="2" t="s">
        <v>25</v>
      </c>
      <c r="C322" s="2">
        <v>33.0</v>
      </c>
      <c r="D322" s="2">
        <v>8832.0</v>
      </c>
      <c r="E322" s="2" t="s">
        <v>34</v>
      </c>
      <c r="R322" s="2" t="s">
        <v>22</v>
      </c>
      <c r="AC322" s="2">
        <v>1.0</v>
      </c>
      <c r="AD322" s="2">
        <v>1.0</v>
      </c>
      <c r="AE322" s="2" t="s">
        <v>22</v>
      </c>
      <c r="AF322" s="2">
        <v>0.0</v>
      </c>
      <c r="AG322" s="2">
        <v>1.0</v>
      </c>
      <c r="AH322" s="2" t="s">
        <v>22</v>
      </c>
      <c r="AJ322" s="82">
        <f t="shared" si="1"/>
        <v>5</v>
      </c>
      <c r="AK322" s="82">
        <f t="shared" si="2"/>
        <v>2</v>
      </c>
    </row>
    <row r="323">
      <c r="A323" s="6">
        <v>45014.88549962963</v>
      </c>
      <c r="B323" s="2" t="s">
        <v>25</v>
      </c>
      <c r="C323" s="2">
        <v>53.0</v>
      </c>
      <c r="D323" s="2">
        <v>8832.0</v>
      </c>
      <c r="E323" s="2" t="s">
        <v>34</v>
      </c>
      <c r="R323" s="2" t="s">
        <v>22</v>
      </c>
      <c r="AE323" s="2" t="s">
        <v>177</v>
      </c>
      <c r="AF323" s="2">
        <v>0.0</v>
      </c>
      <c r="AG323" s="2">
        <v>2.0</v>
      </c>
      <c r="AH323" s="2" t="s">
        <v>22</v>
      </c>
      <c r="AI323" s="2" t="s">
        <v>367</v>
      </c>
      <c r="AJ323" s="82">
        <f t="shared" si="1"/>
        <v>6</v>
      </c>
      <c r="AK323" s="82">
        <f t="shared" si="2"/>
        <v>0</v>
      </c>
    </row>
    <row r="324">
      <c r="A324" s="6">
        <v>45005.373935682874</v>
      </c>
      <c r="B324" s="2" t="s">
        <v>306</v>
      </c>
      <c r="C324" s="2">
        <v>4.0</v>
      </c>
      <c r="D324" s="2">
        <v>8895.0</v>
      </c>
      <c r="E324" s="2" t="s">
        <v>22</v>
      </c>
      <c r="R324" s="2" t="s">
        <v>22</v>
      </c>
      <c r="AE324" s="2" t="s">
        <v>22</v>
      </c>
      <c r="AF324" s="2">
        <v>0.0</v>
      </c>
      <c r="AG324" s="2">
        <v>0.0</v>
      </c>
      <c r="AH324" s="2" t="s">
        <v>22</v>
      </c>
      <c r="AI324" s="84" t="s">
        <v>368</v>
      </c>
      <c r="AJ324" s="82">
        <f t="shared" si="1"/>
        <v>0</v>
      </c>
      <c r="AK324" s="82">
        <f t="shared" si="2"/>
        <v>0</v>
      </c>
    </row>
    <row r="325">
      <c r="A325" s="6">
        <v>45005.37724428241</v>
      </c>
      <c r="B325" s="2" t="s">
        <v>306</v>
      </c>
      <c r="C325" s="2">
        <v>9.0</v>
      </c>
      <c r="D325" s="2">
        <v>8895.0</v>
      </c>
      <c r="E325" s="2" t="s">
        <v>22</v>
      </c>
      <c r="R325" s="2" t="s">
        <v>22</v>
      </c>
      <c r="W325" s="2">
        <v>2.0</v>
      </c>
      <c r="X325" s="2">
        <v>1.0</v>
      </c>
      <c r="AE325" s="2" t="s">
        <v>177</v>
      </c>
      <c r="AF325" s="2">
        <v>0.0</v>
      </c>
      <c r="AG325" s="2">
        <v>0.0</v>
      </c>
      <c r="AH325" s="2" t="s">
        <v>22</v>
      </c>
      <c r="AI325" s="84" t="s">
        <v>369</v>
      </c>
      <c r="AJ325" s="82">
        <f t="shared" si="1"/>
        <v>5</v>
      </c>
      <c r="AK325" s="82">
        <f t="shared" si="2"/>
        <v>2</v>
      </c>
    </row>
    <row r="326">
      <c r="A326" s="6">
        <v>45005.38155315972</v>
      </c>
      <c r="B326" s="2" t="s">
        <v>306</v>
      </c>
      <c r="C326" s="2">
        <v>15.0</v>
      </c>
      <c r="D326" s="2">
        <v>8895.0</v>
      </c>
      <c r="E326" s="2" t="s">
        <v>22</v>
      </c>
      <c r="R326" s="2" t="s">
        <v>22</v>
      </c>
      <c r="AE326" s="2" t="s">
        <v>22</v>
      </c>
      <c r="AF326" s="2">
        <v>0.0</v>
      </c>
      <c r="AG326" s="2">
        <v>0.0</v>
      </c>
      <c r="AH326" s="2" t="s">
        <v>22</v>
      </c>
      <c r="AI326" s="83"/>
      <c r="AJ326" s="82">
        <f t="shared" si="1"/>
        <v>0</v>
      </c>
      <c r="AK326" s="82">
        <f t="shared" si="2"/>
        <v>0</v>
      </c>
    </row>
    <row r="327">
      <c r="A327" s="6">
        <v>45005.81605820602</v>
      </c>
      <c r="B327" s="2" t="s">
        <v>306</v>
      </c>
      <c r="C327" s="2">
        <v>25.0</v>
      </c>
      <c r="D327" s="2">
        <v>8895.0</v>
      </c>
      <c r="E327" s="2" t="s">
        <v>22</v>
      </c>
      <c r="R327" s="2" t="s">
        <v>22</v>
      </c>
      <c r="AE327" s="2" t="s">
        <v>177</v>
      </c>
      <c r="AF327" s="2">
        <v>1.0</v>
      </c>
      <c r="AG327" s="2">
        <v>0.0</v>
      </c>
      <c r="AH327" s="2" t="s">
        <v>34</v>
      </c>
      <c r="AI327" s="84" t="s">
        <v>370</v>
      </c>
      <c r="AJ327" s="82">
        <f t="shared" si="1"/>
        <v>3</v>
      </c>
      <c r="AK327" s="82">
        <f t="shared" si="2"/>
        <v>0</v>
      </c>
    </row>
    <row r="328">
      <c r="A328" s="6">
        <v>45005.82131262732</v>
      </c>
      <c r="B328" s="2" t="s">
        <v>306</v>
      </c>
      <c r="C328" s="2">
        <v>30.0</v>
      </c>
      <c r="D328" s="2">
        <v>8895.0</v>
      </c>
      <c r="E328" s="2" t="s">
        <v>22</v>
      </c>
      <c r="R328" s="2" t="s">
        <v>22</v>
      </c>
      <c r="AE328" s="2" t="s">
        <v>22</v>
      </c>
      <c r="AF328" s="2">
        <v>0.0</v>
      </c>
      <c r="AG328" s="2">
        <v>0.0</v>
      </c>
      <c r="AH328" s="2" t="s">
        <v>34</v>
      </c>
      <c r="AI328" s="84" t="s">
        <v>371</v>
      </c>
      <c r="AJ328" s="82">
        <f t="shared" si="1"/>
        <v>0</v>
      </c>
      <c r="AK328" s="82">
        <f t="shared" si="2"/>
        <v>0</v>
      </c>
    </row>
    <row r="329">
      <c r="A329" s="6">
        <v>45005.8243200463</v>
      </c>
      <c r="B329" s="2" t="s">
        <v>306</v>
      </c>
      <c r="C329" s="2">
        <v>34.0</v>
      </c>
      <c r="D329" s="2">
        <v>8895.0</v>
      </c>
      <c r="E329" s="2" t="s">
        <v>22</v>
      </c>
      <c r="R329" s="2" t="s">
        <v>22</v>
      </c>
      <c r="AE329" s="2" t="s">
        <v>175</v>
      </c>
      <c r="AF329" s="2">
        <v>0.0</v>
      </c>
      <c r="AG329" s="2">
        <v>0.0</v>
      </c>
      <c r="AH329" s="2" t="s">
        <v>22</v>
      </c>
      <c r="AI329" s="84" t="s">
        <v>372</v>
      </c>
      <c r="AJ329" s="82">
        <f t="shared" si="1"/>
        <v>10</v>
      </c>
      <c r="AK329" s="82">
        <f t="shared" si="2"/>
        <v>0</v>
      </c>
    </row>
    <row r="330">
      <c r="A330" s="6">
        <v>45005.827041157405</v>
      </c>
      <c r="B330" s="2" t="s">
        <v>306</v>
      </c>
      <c r="C330" s="2">
        <v>42.0</v>
      </c>
      <c r="D330" s="2">
        <v>8895.0</v>
      </c>
      <c r="E330" s="2" t="s">
        <v>22</v>
      </c>
      <c r="R330" s="2" t="s">
        <v>22</v>
      </c>
      <c r="W330" s="2">
        <v>1.0</v>
      </c>
      <c r="X330" s="2">
        <v>1.0</v>
      </c>
      <c r="AE330" s="2" t="s">
        <v>175</v>
      </c>
      <c r="AF330" s="2">
        <v>1.0</v>
      </c>
      <c r="AG330" s="2">
        <v>0.0</v>
      </c>
      <c r="AH330" s="2" t="s">
        <v>22</v>
      </c>
      <c r="AI330" s="84" t="s">
        <v>373</v>
      </c>
      <c r="AJ330" s="82">
        <f t="shared" si="1"/>
        <v>12</v>
      </c>
      <c r="AK330" s="82">
        <f t="shared" si="2"/>
        <v>2</v>
      </c>
    </row>
    <row r="331">
      <c r="A331" s="6">
        <v>45006.35175072917</v>
      </c>
      <c r="B331" s="2" t="s">
        <v>306</v>
      </c>
      <c r="C331" s="2">
        <v>50.0</v>
      </c>
      <c r="D331" s="2">
        <v>8895.0</v>
      </c>
      <c r="E331" s="2" t="s">
        <v>22</v>
      </c>
      <c r="R331" s="2" t="s">
        <v>22</v>
      </c>
      <c r="W331" s="2">
        <v>1.0</v>
      </c>
      <c r="X331" s="2">
        <v>0.0</v>
      </c>
      <c r="AE331" s="2" t="s">
        <v>175</v>
      </c>
      <c r="AF331" s="2">
        <v>1.0</v>
      </c>
      <c r="AG331" s="2">
        <v>1.0</v>
      </c>
      <c r="AH331" s="2" t="s">
        <v>22</v>
      </c>
      <c r="AI331" s="83"/>
      <c r="AJ331" s="82">
        <f t="shared" si="1"/>
        <v>10</v>
      </c>
      <c r="AK331" s="82">
        <f t="shared" si="2"/>
        <v>0</v>
      </c>
    </row>
    <row r="332">
      <c r="A332" s="6">
        <v>45006.356058935184</v>
      </c>
      <c r="B332" s="2" t="s">
        <v>306</v>
      </c>
      <c r="C332" s="2">
        <v>60.0</v>
      </c>
      <c r="D332" s="2">
        <v>8895.0</v>
      </c>
      <c r="E332" s="2" t="s">
        <v>22</v>
      </c>
      <c r="R332" s="2" t="s">
        <v>22</v>
      </c>
      <c r="W332" s="2">
        <v>1.0</v>
      </c>
      <c r="X332" s="2">
        <v>0.0</v>
      </c>
      <c r="AE332" s="2" t="s">
        <v>22</v>
      </c>
      <c r="AF332" s="2">
        <v>0.0</v>
      </c>
      <c r="AG332" s="2">
        <v>0.0</v>
      </c>
      <c r="AH332" s="2" t="s">
        <v>34</v>
      </c>
      <c r="AI332" s="83"/>
      <c r="AJ332" s="82">
        <f t="shared" si="1"/>
        <v>0</v>
      </c>
      <c r="AK332" s="82">
        <f t="shared" si="2"/>
        <v>0</v>
      </c>
    </row>
    <row r="333">
      <c r="A333" s="6">
        <v>44996.582420266204</v>
      </c>
      <c r="B333" s="2" t="s">
        <v>25</v>
      </c>
      <c r="C333" s="2">
        <v>4.0</v>
      </c>
      <c r="D333" s="2">
        <v>9209.0</v>
      </c>
      <c r="E333" s="2" t="s">
        <v>34</v>
      </c>
      <c r="R333" s="2" t="s">
        <v>22</v>
      </c>
      <c r="W333" s="2">
        <v>1.0</v>
      </c>
      <c r="X333" s="2">
        <v>1.0</v>
      </c>
      <c r="AE333" s="2" t="s">
        <v>177</v>
      </c>
      <c r="AF333" s="2">
        <v>1.0</v>
      </c>
      <c r="AG333" s="2">
        <v>0.0</v>
      </c>
      <c r="AH333" s="2" t="s">
        <v>22</v>
      </c>
      <c r="AI333" s="83"/>
      <c r="AJ333" s="82">
        <f t="shared" si="1"/>
        <v>8</v>
      </c>
      <c r="AK333" s="82">
        <f t="shared" si="2"/>
        <v>2</v>
      </c>
    </row>
    <row r="334">
      <c r="A334" s="6">
        <v>44996.584017002315</v>
      </c>
      <c r="B334" s="2" t="s">
        <v>25</v>
      </c>
      <c r="C334" s="2">
        <v>23.0</v>
      </c>
      <c r="D334" s="2">
        <v>9209.0</v>
      </c>
      <c r="E334" s="2" t="s">
        <v>22</v>
      </c>
      <c r="J334" s="2">
        <v>1.0</v>
      </c>
      <c r="K334" s="2">
        <v>1.0</v>
      </c>
      <c r="R334" s="2" t="s">
        <v>22</v>
      </c>
      <c r="AE334" s="2" t="s">
        <v>22</v>
      </c>
      <c r="AF334" s="2">
        <v>0.0</v>
      </c>
      <c r="AG334" s="2">
        <v>0.0</v>
      </c>
      <c r="AH334" s="2" t="s">
        <v>34</v>
      </c>
      <c r="AI334" s="84" t="s">
        <v>374</v>
      </c>
      <c r="AJ334" s="82">
        <f t="shared" si="1"/>
        <v>3</v>
      </c>
      <c r="AK334" s="82">
        <f t="shared" si="2"/>
        <v>3</v>
      </c>
    </row>
    <row r="335">
      <c r="A335" s="6">
        <v>44998.42961905093</v>
      </c>
      <c r="B335" s="2" t="s">
        <v>25</v>
      </c>
      <c r="C335" s="2">
        <v>63.0</v>
      </c>
      <c r="D335" s="2">
        <v>9209.0</v>
      </c>
      <c r="E335" s="2" t="s">
        <v>34</v>
      </c>
      <c r="R335" s="2" t="s">
        <v>22</v>
      </c>
      <c r="AE335" s="2" t="s">
        <v>175</v>
      </c>
      <c r="AF335" s="2">
        <v>0.0</v>
      </c>
      <c r="AG335" s="2">
        <v>0.0</v>
      </c>
      <c r="AH335" s="2" t="s">
        <v>22</v>
      </c>
      <c r="AI335" s="83"/>
      <c r="AJ335" s="82">
        <f t="shared" si="1"/>
        <v>13</v>
      </c>
      <c r="AK335" s="82">
        <f t="shared" si="2"/>
        <v>0</v>
      </c>
    </row>
    <row r="336">
      <c r="A336" s="6">
        <v>44998.43137244213</v>
      </c>
      <c r="B336" s="2" t="s">
        <v>25</v>
      </c>
      <c r="C336" s="2">
        <v>75.0</v>
      </c>
      <c r="D336" s="2">
        <v>9209.0</v>
      </c>
      <c r="E336" s="2" t="s">
        <v>34</v>
      </c>
      <c r="R336" s="2" t="s">
        <v>22</v>
      </c>
      <c r="AE336" s="2" t="s">
        <v>175</v>
      </c>
      <c r="AF336" s="2">
        <v>0.0</v>
      </c>
      <c r="AG336" s="2">
        <v>0.0</v>
      </c>
      <c r="AH336" s="2" t="s">
        <v>22</v>
      </c>
      <c r="AI336" s="83"/>
      <c r="AJ336" s="82">
        <f t="shared" si="1"/>
        <v>13</v>
      </c>
      <c r="AK336" s="82">
        <f t="shared" si="2"/>
        <v>0</v>
      </c>
    </row>
    <row r="337">
      <c r="A337" s="6">
        <v>44998.816336909724</v>
      </c>
      <c r="B337" s="2" t="s">
        <v>306</v>
      </c>
      <c r="C337" s="2">
        <v>6.0</v>
      </c>
      <c r="D337" s="2">
        <v>9210.0</v>
      </c>
      <c r="E337" s="2" t="s">
        <v>34</v>
      </c>
      <c r="R337" s="2" t="s">
        <v>22</v>
      </c>
      <c r="AC337" s="2">
        <v>1.0</v>
      </c>
      <c r="AD337" s="2">
        <v>0.0</v>
      </c>
      <c r="AE337" s="2" t="s">
        <v>175</v>
      </c>
      <c r="AF337" s="2">
        <v>2.0</v>
      </c>
      <c r="AG337" s="2">
        <v>1.0</v>
      </c>
      <c r="AH337" s="2" t="s">
        <v>22</v>
      </c>
      <c r="AI337" s="83"/>
      <c r="AJ337" s="82">
        <f t="shared" si="1"/>
        <v>13</v>
      </c>
      <c r="AK337" s="82">
        <f t="shared" si="2"/>
        <v>0</v>
      </c>
    </row>
    <row r="338">
      <c r="A338" s="6">
        <v>44998.82066116898</v>
      </c>
      <c r="B338" s="2" t="s">
        <v>306</v>
      </c>
      <c r="C338" s="2">
        <v>12.0</v>
      </c>
      <c r="D338" s="2">
        <v>9210.0</v>
      </c>
      <c r="E338" s="2" t="s">
        <v>34</v>
      </c>
      <c r="R338" s="2" t="s">
        <v>22</v>
      </c>
      <c r="AC338" s="2">
        <v>2.0</v>
      </c>
      <c r="AD338" s="2">
        <v>2.0</v>
      </c>
      <c r="AE338" s="2" t="s">
        <v>175</v>
      </c>
      <c r="AF338" s="2">
        <v>2.0</v>
      </c>
      <c r="AG338" s="2">
        <v>1.0</v>
      </c>
      <c r="AH338" s="2" t="s">
        <v>22</v>
      </c>
      <c r="AI338" s="83"/>
      <c r="AJ338" s="82">
        <f t="shared" si="1"/>
        <v>17</v>
      </c>
      <c r="AK338" s="82">
        <f t="shared" si="2"/>
        <v>4</v>
      </c>
    </row>
    <row r="339">
      <c r="A339" s="6">
        <v>44998.824090891205</v>
      </c>
      <c r="B339" s="2" t="s">
        <v>306</v>
      </c>
      <c r="C339" s="2">
        <v>19.0</v>
      </c>
      <c r="D339" s="2">
        <v>9210.0</v>
      </c>
      <c r="E339" s="2" t="s">
        <v>34</v>
      </c>
      <c r="R339" s="2" t="s">
        <v>22</v>
      </c>
      <c r="AC339" s="2">
        <v>1.0</v>
      </c>
      <c r="AD339" s="2">
        <v>1.0</v>
      </c>
      <c r="AE339" s="2" t="s">
        <v>175</v>
      </c>
      <c r="AF339" s="2">
        <v>2.0</v>
      </c>
      <c r="AG339" s="2">
        <v>0.0</v>
      </c>
      <c r="AH339" s="2" t="s">
        <v>22</v>
      </c>
      <c r="AI339" s="84" t="s">
        <v>375</v>
      </c>
      <c r="AJ339" s="82">
        <f t="shared" si="1"/>
        <v>15</v>
      </c>
      <c r="AK339" s="82">
        <f t="shared" si="2"/>
        <v>2</v>
      </c>
    </row>
    <row r="340">
      <c r="A340" s="6">
        <v>44998.82672822916</v>
      </c>
      <c r="B340" s="2" t="s">
        <v>306</v>
      </c>
      <c r="C340" s="2" t="s">
        <v>376</v>
      </c>
      <c r="D340" s="2">
        <v>9210.0</v>
      </c>
      <c r="E340" s="2" t="s">
        <v>34</v>
      </c>
      <c r="R340" s="2" t="s">
        <v>22</v>
      </c>
      <c r="AC340" s="2">
        <v>1.0</v>
      </c>
      <c r="AD340" s="2">
        <v>1.0</v>
      </c>
      <c r="AE340" s="2" t="s">
        <v>175</v>
      </c>
      <c r="AF340" s="2">
        <v>1.0</v>
      </c>
      <c r="AG340" s="2">
        <v>1.0</v>
      </c>
      <c r="AH340" s="2" t="s">
        <v>22</v>
      </c>
      <c r="AI340" s="83"/>
      <c r="AJ340" s="82">
        <f t="shared" si="1"/>
        <v>15</v>
      </c>
      <c r="AK340" s="82">
        <f t="shared" si="2"/>
        <v>2</v>
      </c>
    </row>
    <row r="341">
      <c r="A341" s="6">
        <v>45006.36436258102</v>
      </c>
      <c r="B341" s="2" t="s">
        <v>306</v>
      </c>
      <c r="C341" s="2">
        <v>1.0</v>
      </c>
      <c r="D341" s="2">
        <v>9211.0</v>
      </c>
      <c r="E341" s="2" t="s">
        <v>22</v>
      </c>
      <c r="R341" s="2" t="s">
        <v>22</v>
      </c>
      <c r="W341" s="2">
        <v>1.0</v>
      </c>
      <c r="X341" s="2">
        <v>0.0</v>
      </c>
      <c r="AC341" s="2">
        <v>1.0</v>
      </c>
      <c r="AD341" s="2">
        <v>0.0</v>
      </c>
      <c r="AE341" s="2" t="s">
        <v>22</v>
      </c>
      <c r="AF341" s="2">
        <v>1.0</v>
      </c>
      <c r="AG341" s="2">
        <v>1.0</v>
      </c>
      <c r="AH341" s="2" t="s">
        <v>34</v>
      </c>
      <c r="AI341" s="83"/>
      <c r="AJ341" s="82">
        <f t="shared" si="1"/>
        <v>0</v>
      </c>
      <c r="AK341" s="82">
        <f t="shared" si="2"/>
        <v>0</v>
      </c>
    </row>
    <row r="342">
      <c r="A342" s="6">
        <v>45006.36759037037</v>
      </c>
      <c r="B342" s="2" t="s">
        <v>306</v>
      </c>
      <c r="C342" s="2">
        <v>11.0</v>
      </c>
      <c r="D342" s="2">
        <v>9211.0</v>
      </c>
      <c r="E342" s="2" t="s">
        <v>22</v>
      </c>
      <c r="R342" s="2" t="s">
        <v>22</v>
      </c>
      <c r="AE342" s="2" t="s">
        <v>175</v>
      </c>
      <c r="AF342" s="2">
        <v>1.0</v>
      </c>
      <c r="AG342" s="2">
        <v>1.0</v>
      </c>
      <c r="AH342" s="2" t="s">
        <v>22</v>
      </c>
      <c r="AI342" s="83"/>
      <c r="AJ342" s="82">
        <f t="shared" si="1"/>
        <v>10</v>
      </c>
      <c r="AK342" s="82">
        <f t="shared" si="2"/>
        <v>0</v>
      </c>
    </row>
    <row r="343">
      <c r="A343" s="6">
        <v>45006.37068782408</v>
      </c>
      <c r="B343" s="2" t="s">
        <v>306</v>
      </c>
      <c r="C343" s="2">
        <v>18.0</v>
      </c>
      <c r="D343" s="2">
        <v>9211.0</v>
      </c>
      <c r="E343" s="2" t="s">
        <v>22</v>
      </c>
      <c r="R343" s="2" t="s">
        <v>22</v>
      </c>
      <c r="AE343" s="2" t="s">
        <v>175</v>
      </c>
      <c r="AF343" s="2">
        <v>1.0</v>
      </c>
      <c r="AG343" s="2">
        <v>1.0</v>
      </c>
      <c r="AH343" s="2" t="s">
        <v>22</v>
      </c>
      <c r="AI343" s="83"/>
      <c r="AJ343" s="82">
        <f t="shared" si="1"/>
        <v>10</v>
      </c>
      <c r="AK343" s="82">
        <f t="shared" si="2"/>
        <v>0</v>
      </c>
    </row>
    <row r="344">
      <c r="A344" s="6">
        <v>45006.372778159726</v>
      </c>
      <c r="B344" s="2" t="s">
        <v>306</v>
      </c>
      <c r="C344" s="2">
        <v>26.0</v>
      </c>
      <c r="D344" s="2">
        <v>9211.0</v>
      </c>
      <c r="E344" s="2" t="s">
        <v>22</v>
      </c>
      <c r="R344" s="2" t="s">
        <v>22</v>
      </c>
      <c r="AE344" s="2" t="s">
        <v>22</v>
      </c>
      <c r="AF344" s="2">
        <v>0.0</v>
      </c>
      <c r="AG344" s="2">
        <v>2.0</v>
      </c>
      <c r="AH344" s="2" t="s">
        <v>34</v>
      </c>
      <c r="AI344" s="83"/>
      <c r="AJ344" s="82">
        <f t="shared" si="1"/>
        <v>0</v>
      </c>
      <c r="AK344" s="82">
        <f t="shared" si="2"/>
        <v>0</v>
      </c>
    </row>
    <row r="345">
      <c r="A345" s="6">
        <v>44998.82613002315</v>
      </c>
      <c r="B345" s="2" t="s">
        <v>357</v>
      </c>
      <c r="C345" s="2" t="s">
        <v>377</v>
      </c>
      <c r="D345" s="2">
        <v>9241.0</v>
      </c>
      <c r="E345" s="2" t="s">
        <v>34</v>
      </c>
      <c r="R345" s="2" t="s">
        <v>22</v>
      </c>
      <c r="W345" s="2">
        <v>1.0</v>
      </c>
      <c r="X345" s="2">
        <v>1.0</v>
      </c>
      <c r="AE345" s="2" t="s">
        <v>177</v>
      </c>
      <c r="AF345" s="2">
        <v>0.0</v>
      </c>
      <c r="AG345" s="2">
        <v>0.0</v>
      </c>
      <c r="AH345" s="2" t="s">
        <v>34</v>
      </c>
      <c r="AI345" s="84" t="s">
        <v>378</v>
      </c>
      <c r="AJ345" s="82">
        <f t="shared" si="1"/>
        <v>8</v>
      </c>
      <c r="AK345" s="82">
        <f t="shared" si="2"/>
        <v>2</v>
      </c>
    </row>
    <row r="346">
      <c r="A346" s="6">
        <v>44998.828914537036</v>
      </c>
      <c r="B346" s="2" t="s">
        <v>379</v>
      </c>
      <c r="C346" s="2">
        <v>58.0</v>
      </c>
      <c r="D346" s="2">
        <v>9241.0</v>
      </c>
      <c r="E346" s="2" t="s">
        <v>34</v>
      </c>
      <c r="R346" s="2" t="s">
        <v>22</v>
      </c>
      <c r="W346" s="2">
        <v>1.0</v>
      </c>
      <c r="X346" s="2">
        <v>1.0</v>
      </c>
      <c r="AC346" s="2">
        <v>2.0</v>
      </c>
      <c r="AD346" s="2">
        <v>2.0</v>
      </c>
      <c r="AE346" s="2" t="s">
        <v>175</v>
      </c>
      <c r="AF346" s="2">
        <v>1.0</v>
      </c>
      <c r="AG346" s="2">
        <v>1.0</v>
      </c>
      <c r="AH346" s="2" t="s">
        <v>22</v>
      </c>
      <c r="AI346" s="84" t="s">
        <v>380</v>
      </c>
      <c r="AJ346" s="82">
        <f t="shared" si="1"/>
        <v>19</v>
      </c>
      <c r="AK346" s="82">
        <f t="shared" si="2"/>
        <v>6</v>
      </c>
    </row>
    <row r="347">
      <c r="A347" s="6">
        <v>44998.830626145835</v>
      </c>
      <c r="B347" s="2" t="s">
        <v>357</v>
      </c>
      <c r="C347" s="2">
        <v>36.0</v>
      </c>
      <c r="D347" s="2">
        <v>9241.0</v>
      </c>
      <c r="E347" s="2" t="s">
        <v>34</v>
      </c>
      <c r="R347" s="2" t="s">
        <v>22</v>
      </c>
      <c r="W347" s="2">
        <v>2.0</v>
      </c>
      <c r="X347" s="2">
        <v>2.0</v>
      </c>
      <c r="AC347" s="2">
        <v>1.0</v>
      </c>
      <c r="AD347" s="2">
        <v>1.0</v>
      </c>
      <c r="AE347" s="2" t="s">
        <v>175</v>
      </c>
      <c r="AF347" s="2">
        <v>1.0</v>
      </c>
      <c r="AG347" s="2">
        <v>0.0</v>
      </c>
      <c r="AH347" s="2" t="s">
        <v>22</v>
      </c>
      <c r="AI347" s="83"/>
      <c r="AJ347" s="82">
        <f t="shared" si="1"/>
        <v>19</v>
      </c>
      <c r="AK347" s="82">
        <f t="shared" si="2"/>
        <v>6</v>
      </c>
    </row>
    <row r="348">
      <c r="A348" s="6">
        <v>44998.8238094213</v>
      </c>
      <c r="B348" s="2" t="s">
        <v>357</v>
      </c>
      <c r="C348" s="2">
        <v>58.0</v>
      </c>
      <c r="D348" s="2">
        <v>9242.0</v>
      </c>
      <c r="E348" s="2" t="s">
        <v>34</v>
      </c>
      <c r="R348" s="2" t="s">
        <v>22</v>
      </c>
      <c r="W348" s="2">
        <v>1.0</v>
      </c>
      <c r="X348" s="2">
        <v>1.0</v>
      </c>
      <c r="AC348" s="2">
        <v>2.0</v>
      </c>
      <c r="AD348" s="2">
        <v>2.0</v>
      </c>
      <c r="AE348" s="2" t="s">
        <v>175</v>
      </c>
      <c r="AF348" s="2">
        <v>2.0</v>
      </c>
      <c r="AG348" s="2">
        <v>0.0</v>
      </c>
      <c r="AH348" s="2" t="s">
        <v>22</v>
      </c>
      <c r="AI348" s="84" t="s">
        <v>381</v>
      </c>
      <c r="AJ348" s="82">
        <f t="shared" si="1"/>
        <v>19</v>
      </c>
      <c r="AK348" s="82">
        <f t="shared" si="2"/>
        <v>6</v>
      </c>
    </row>
    <row r="349">
      <c r="AI349" s="83"/>
      <c r="AJ349" s="82">
        <f t="shared" si="1"/>
        <v>0</v>
      </c>
      <c r="AK349" s="82">
        <f t="shared" si="2"/>
        <v>0</v>
      </c>
    </row>
    <row r="350">
      <c r="AI350" s="83"/>
      <c r="AJ350" s="82">
        <f t="shared" si="1"/>
        <v>0</v>
      </c>
      <c r="AK350" s="82">
        <f t="shared" si="2"/>
        <v>0</v>
      </c>
    </row>
    <row r="351">
      <c r="AI351" s="83"/>
      <c r="AJ351" s="82">
        <f t="shared" si="1"/>
        <v>0</v>
      </c>
      <c r="AK351" s="82">
        <f t="shared" si="2"/>
        <v>0</v>
      </c>
    </row>
    <row r="352">
      <c r="AI352" s="83"/>
      <c r="AJ352" s="82">
        <f t="shared" si="1"/>
        <v>0</v>
      </c>
      <c r="AK352" s="82">
        <f t="shared" si="2"/>
        <v>0</v>
      </c>
    </row>
    <row r="353">
      <c r="AI353" s="83"/>
      <c r="AJ353" s="82">
        <f t="shared" si="1"/>
        <v>0</v>
      </c>
      <c r="AK353" s="82">
        <f t="shared" si="2"/>
        <v>0</v>
      </c>
    </row>
    <row r="354">
      <c r="AI354" s="83"/>
      <c r="AJ354" s="82">
        <f t="shared" si="1"/>
        <v>0</v>
      </c>
      <c r="AK354" s="82">
        <f t="shared" si="2"/>
        <v>0</v>
      </c>
    </row>
    <row r="355">
      <c r="AI355" s="83"/>
      <c r="AJ355" s="82">
        <f t="shared" si="1"/>
        <v>0</v>
      </c>
      <c r="AK355" s="82">
        <f t="shared" si="2"/>
        <v>0</v>
      </c>
    </row>
    <row r="356">
      <c r="AI356" s="83"/>
      <c r="AJ356" s="82">
        <f t="shared" si="1"/>
        <v>0</v>
      </c>
      <c r="AK356" s="82">
        <f t="shared" si="2"/>
        <v>0</v>
      </c>
    </row>
    <row r="357">
      <c r="AI357" s="83"/>
      <c r="AJ357" s="82">
        <f t="shared" si="1"/>
        <v>0</v>
      </c>
      <c r="AK357" s="82">
        <f t="shared" si="2"/>
        <v>0</v>
      </c>
    </row>
    <row r="358">
      <c r="AI358" s="83"/>
      <c r="AJ358" s="82">
        <f t="shared" si="1"/>
        <v>0</v>
      </c>
      <c r="AK358" s="82">
        <f t="shared" si="2"/>
        <v>0</v>
      </c>
    </row>
    <row r="359">
      <c r="AI359" s="83"/>
      <c r="AJ359" s="82">
        <f t="shared" si="1"/>
        <v>0</v>
      </c>
      <c r="AK359" s="82">
        <f t="shared" si="2"/>
        <v>0</v>
      </c>
    </row>
    <row r="360">
      <c r="AI360" s="83"/>
      <c r="AJ360" s="82">
        <f t="shared" si="1"/>
        <v>0</v>
      </c>
      <c r="AK360" s="82">
        <f t="shared" si="2"/>
        <v>0</v>
      </c>
    </row>
    <row r="361">
      <c r="AI361" s="83"/>
      <c r="AJ361" s="82">
        <f t="shared" si="1"/>
        <v>0</v>
      </c>
      <c r="AK361" s="82">
        <f t="shared" si="2"/>
        <v>0</v>
      </c>
    </row>
    <row r="362">
      <c r="AI362" s="83"/>
      <c r="AJ362" s="82">
        <f t="shared" si="1"/>
        <v>0</v>
      </c>
      <c r="AK362" s="82">
        <f t="shared" si="2"/>
        <v>0</v>
      </c>
    </row>
    <row r="363">
      <c r="AI363" s="83"/>
      <c r="AJ363" s="82">
        <f t="shared" si="1"/>
        <v>0</v>
      </c>
      <c r="AK363" s="82">
        <f t="shared" si="2"/>
        <v>0</v>
      </c>
    </row>
    <row r="364">
      <c r="AI364" s="83"/>
      <c r="AJ364" s="82">
        <f t="shared" si="1"/>
        <v>0</v>
      </c>
      <c r="AK364" s="82">
        <f t="shared" si="2"/>
        <v>0</v>
      </c>
    </row>
    <row r="365">
      <c r="AI365" s="83"/>
      <c r="AJ365" s="82">
        <f t="shared" si="1"/>
        <v>0</v>
      </c>
      <c r="AK365" s="82">
        <f t="shared" si="2"/>
        <v>0</v>
      </c>
    </row>
    <row r="366">
      <c r="AI366" s="83"/>
      <c r="AJ366" s="82">
        <f t="shared" si="1"/>
        <v>0</v>
      </c>
      <c r="AK366" s="82">
        <f t="shared" si="2"/>
        <v>0</v>
      </c>
    </row>
    <row r="367">
      <c r="AI367" s="83"/>
      <c r="AJ367" s="82">
        <f t="shared" si="1"/>
        <v>0</v>
      </c>
      <c r="AK367" s="82">
        <f t="shared" si="2"/>
        <v>0</v>
      </c>
    </row>
    <row r="368">
      <c r="AI368" s="83"/>
      <c r="AJ368" s="82">
        <f t="shared" si="1"/>
        <v>0</v>
      </c>
      <c r="AK368" s="82">
        <f t="shared" si="2"/>
        <v>0</v>
      </c>
    </row>
    <row r="369">
      <c r="AI369" s="83"/>
      <c r="AJ369" s="82">
        <f t="shared" si="1"/>
        <v>0</v>
      </c>
      <c r="AK369" s="82">
        <f t="shared" si="2"/>
        <v>0</v>
      </c>
    </row>
    <row r="370">
      <c r="AI370" s="83"/>
      <c r="AJ370" s="82">
        <f t="shared" si="1"/>
        <v>0</v>
      </c>
      <c r="AK370" s="82">
        <f t="shared" si="2"/>
        <v>0</v>
      </c>
    </row>
    <row r="371">
      <c r="AI371" s="83"/>
      <c r="AJ371" s="82">
        <f t="shared" si="1"/>
        <v>0</v>
      </c>
      <c r="AK371" s="82">
        <f t="shared" si="2"/>
        <v>0</v>
      </c>
    </row>
    <row r="372">
      <c r="AI372" s="83"/>
      <c r="AJ372" s="82">
        <f t="shared" si="1"/>
        <v>0</v>
      </c>
      <c r="AK372" s="82">
        <f t="shared" si="2"/>
        <v>0</v>
      </c>
    </row>
    <row r="373">
      <c r="AI373" s="83"/>
      <c r="AJ373" s="82">
        <f t="shared" si="1"/>
        <v>0</v>
      </c>
      <c r="AK373" s="82">
        <f t="shared" si="2"/>
        <v>0</v>
      </c>
    </row>
    <row r="374">
      <c r="AI374" s="83"/>
      <c r="AJ374" s="82">
        <f t="shared" si="1"/>
        <v>0</v>
      </c>
      <c r="AK374" s="82">
        <f t="shared" si="2"/>
        <v>0</v>
      </c>
    </row>
    <row r="375">
      <c r="AI375" s="83"/>
      <c r="AJ375" s="82">
        <f t="shared" si="1"/>
        <v>0</v>
      </c>
      <c r="AK375" s="82">
        <f t="shared" si="2"/>
        <v>0</v>
      </c>
    </row>
    <row r="376">
      <c r="AI376" s="83"/>
      <c r="AJ376" s="82">
        <f t="shared" si="1"/>
        <v>0</v>
      </c>
      <c r="AK376" s="82">
        <f t="shared" si="2"/>
        <v>0</v>
      </c>
    </row>
    <row r="377">
      <c r="AI377" s="83"/>
      <c r="AJ377" s="82">
        <f t="shared" si="1"/>
        <v>0</v>
      </c>
      <c r="AK377" s="82">
        <f t="shared" si="2"/>
        <v>0</v>
      </c>
    </row>
    <row r="378">
      <c r="AI378" s="83"/>
      <c r="AJ378" s="82">
        <f t="shared" si="1"/>
        <v>0</v>
      </c>
      <c r="AK378" s="82">
        <f t="shared" si="2"/>
        <v>0</v>
      </c>
    </row>
    <row r="379">
      <c r="AI379" s="83"/>
      <c r="AJ379" s="82">
        <f t="shared" si="1"/>
        <v>0</v>
      </c>
      <c r="AK379" s="82">
        <f t="shared" si="2"/>
        <v>0</v>
      </c>
    </row>
    <row r="380">
      <c r="AI380" s="83"/>
      <c r="AJ380" s="82">
        <f t="shared" si="1"/>
        <v>0</v>
      </c>
      <c r="AK380" s="82">
        <f t="shared" si="2"/>
        <v>0</v>
      </c>
    </row>
    <row r="381">
      <c r="AI381" s="83"/>
      <c r="AJ381" s="82">
        <f t="shared" si="1"/>
        <v>0</v>
      </c>
      <c r="AK381" s="82">
        <f t="shared" si="2"/>
        <v>0</v>
      </c>
    </row>
    <row r="382">
      <c r="AI382" s="83"/>
      <c r="AJ382" s="82">
        <f t="shared" si="1"/>
        <v>0</v>
      </c>
      <c r="AK382" s="82">
        <f t="shared" si="2"/>
        <v>0</v>
      </c>
    </row>
    <row r="383">
      <c r="AI383" s="83"/>
      <c r="AJ383" s="82">
        <f t="shared" si="1"/>
        <v>0</v>
      </c>
      <c r="AK383" s="82">
        <f t="shared" si="2"/>
        <v>0</v>
      </c>
    </row>
    <row r="384">
      <c r="AI384" s="83"/>
      <c r="AJ384" s="82">
        <f t="shared" si="1"/>
        <v>0</v>
      </c>
      <c r="AK384" s="82">
        <f t="shared" si="2"/>
        <v>0</v>
      </c>
    </row>
    <row r="385">
      <c r="AI385" s="83"/>
      <c r="AJ385" s="82">
        <f t="shared" si="1"/>
        <v>0</v>
      </c>
      <c r="AK385" s="82">
        <f t="shared" si="2"/>
        <v>0</v>
      </c>
    </row>
    <row r="386">
      <c r="AI386" s="83"/>
      <c r="AJ386" s="82">
        <f t="shared" si="1"/>
        <v>0</v>
      </c>
      <c r="AK386" s="82">
        <f t="shared" si="2"/>
        <v>0</v>
      </c>
    </row>
    <row r="387">
      <c r="AI387" s="83"/>
      <c r="AJ387" s="82">
        <f t="shared" si="1"/>
        <v>0</v>
      </c>
      <c r="AK387" s="82">
        <f t="shared" si="2"/>
        <v>0</v>
      </c>
    </row>
    <row r="388">
      <c r="AI388" s="83"/>
      <c r="AJ388" s="82">
        <f t="shared" si="1"/>
        <v>0</v>
      </c>
      <c r="AK388" s="82">
        <f t="shared" si="2"/>
        <v>0</v>
      </c>
    </row>
    <row r="389">
      <c r="AI389" s="83"/>
      <c r="AJ389" s="82">
        <f t="shared" si="1"/>
        <v>0</v>
      </c>
      <c r="AK389" s="82">
        <f t="shared" si="2"/>
        <v>0</v>
      </c>
    </row>
    <row r="390">
      <c r="AI390" s="83"/>
      <c r="AJ390" s="82">
        <f t="shared" si="1"/>
        <v>0</v>
      </c>
      <c r="AK390" s="82">
        <f t="shared" si="2"/>
        <v>0</v>
      </c>
    </row>
    <row r="391">
      <c r="AI391" s="83"/>
      <c r="AJ391" s="82">
        <f t="shared" si="1"/>
        <v>0</v>
      </c>
      <c r="AK391" s="82">
        <f t="shared" si="2"/>
        <v>0</v>
      </c>
    </row>
    <row r="392">
      <c r="AI392" s="83"/>
      <c r="AJ392" s="82">
        <f t="shared" si="1"/>
        <v>0</v>
      </c>
      <c r="AK392" s="82">
        <f t="shared" si="2"/>
        <v>0</v>
      </c>
    </row>
    <row r="393">
      <c r="AI393" s="83"/>
      <c r="AJ393" s="82">
        <f t="shared" si="1"/>
        <v>0</v>
      </c>
      <c r="AK393" s="82">
        <f t="shared" si="2"/>
        <v>0</v>
      </c>
    </row>
    <row r="394">
      <c r="AI394" s="83"/>
      <c r="AJ394" s="82">
        <f t="shared" si="1"/>
        <v>0</v>
      </c>
      <c r="AK394" s="82">
        <f t="shared" si="2"/>
        <v>0</v>
      </c>
    </row>
    <row r="395">
      <c r="AI395" s="83"/>
      <c r="AJ395" s="82">
        <f t="shared" si="1"/>
        <v>0</v>
      </c>
      <c r="AK395" s="82">
        <f t="shared" si="2"/>
        <v>0</v>
      </c>
    </row>
    <row r="396">
      <c r="AI396" s="83"/>
      <c r="AJ396" s="82">
        <f t="shared" si="1"/>
        <v>0</v>
      </c>
      <c r="AK396" s="82">
        <f t="shared" si="2"/>
        <v>0</v>
      </c>
    </row>
    <row r="397">
      <c r="AI397" s="83"/>
      <c r="AJ397" s="82">
        <f t="shared" si="1"/>
        <v>0</v>
      </c>
      <c r="AK397" s="82">
        <f t="shared" si="2"/>
        <v>0</v>
      </c>
    </row>
    <row r="398">
      <c r="AI398" s="83"/>
      <c r="AJ398" s="82">
        <f t="shared" si="1"/>
        <v>0</v>
      </c>
      <c r="AK398" s="82">
        <f t="shared" si="2"/>
        <v>0</v>
      </c>
    </row>
    <row r="399">
      <c r="AI399" s="83"/>
      <c r="AJ399" s="82">
        <f t="shared" si="1"/>
        <v>0</v>
      </c>
      <c r="AK399" s="82">
        <f t="shared" si="2"/>
        <v>0</v>
      </c>
    </row>
    <row r="400">
      <c r="AI400" s="83"/>
      <c r="AJ400" s="82">
        <f t="shared" si="1"/>
        <v>0</v>
      </c>
      <c r="AK400" s="82">
        <f t="shared" si="2"/>
        <v>0</v>
      </c>
    </row>
    <row r="401">
      <c r="AI401" s="83"/>
      <c r="AJ401" s="82">
        <f t="shared" si="1"/>
        <v>0</v>
      </c>
      <c r="AK401" s="82">
        <f t="shared" si="2"/>
        <v>0</v>
      </c>
    </row>
    <row r="402">
      <c r="AI402" s="83"/>
      <c r="AJ402" s="82">
        <f t="shared" si="1"/>
        <v>0</v>
      </c>
      <c r="AK402" s="82">
        <f t="shared" si="2"/>
        <v>0</v>
      </c>
    </row>
    <row r="403">
      <c r="AI403" s="83"/>
      <c r="AJ403" s="82">
        <f t="shared" si="1"/>
        <v>0</v>
      </c>
      <c r="AK403" s="82">
        <f t="shared" si="2"/>
        <v>0</v>
      </c>
    </row>
    <row r="404">
      <c r="AI404" s="83"/>
      <c r="AJ404" s="82">
        <f t="shared" si="1"/>
        <v>0</v>
      </c>
      <c r="AK404" s="82">
        <f t="shared" si="2"/>
        <v>0</v>
      </c>
    </row>
    <row r="405">
      <c r="AI405" s="83"/>
      <c r="AJ405" s="82">
        <f t="shared" si="1"/>
        <v>0</v>
      </c>
      <c r="AK405" s="82">
        <f t="shared" si="2"/>
        <v>0</v>
      </c>
    </row>
    <row r="406">
      <c r="AI406" s="83"/>
      <c r="AJ406" s="82">
        <f t="shared" si="1"/>
        <v>0</v>
      </c>
      <c r="AK406" s="82">
        <f t="shared" si="2"/>
        <v>0</v>
      </c>
    </row>
    <row r="407">
      <c r="AI407" s="83"/>
      <c r="AJ407" s="82">
        <f t="shared" si="1"/>
        <v>0</v>
      </c>
      <c r="AK407" s="82">
        <f t="shared" si="2"/>
        <v>0</v>
      </c>
    </row>
    <row r="408">
      <c r="AI408" s="83"/>
      <c r="AJ408" s="82">
        <f t="shared" si="1"/>
        <v>0</v>
      </c>
      <c r="AK408" s="82">
        <f t="shared" si="2"/>
        <v>0</v>
      </c>
    </row>
    <row r="409">
      <c r="AI409" s="83"/>
      <c r="AJ409" s="82">
        <f t="shared" si="1"/>
        <v>0</v>
      </c>
      <c r="AK409" s="82">
        <f t="shared" si="2"/>
        <v>0</v>
      </c>
    </row>
    <row r="410">
      <c r="AI410" s="83"/>
      <c r="AJ410" s="82">
        <f t="shared" si="1"/>
        <v>0</v>
      </c>
      <c r="AK410" s="82">
        <f t="shared" si="2"/>
        <v>0</v>
      </c>
    </row>
    <row r="411">
      <c r="AI411" s="83"/>
      <c r="AJ411" s="82">
        <f t="shared" si="1"/>
        <v>0</v>
      </c>
      <c r="AK411" s="82">
        <f t="shared" si="2"/>
        <v>0</v>
      </c>
    </row>
    <row r="412">
      <c r="AI412" s="83"/>
      <c r="AJ412" s="82">
        <f t="shared" si="1"/>
        <v>0</v>
      </c>
      <c r="AK412" s="82">
        <f t="shared" si="2"/>
        <v>0</v>
      </c>
    </row>
    <row r="413">
      <c r="AI413" s="83"/>
      <c r="AJ413" s="82">
        <f t="shared" si="1"/>
        <v>0</v>
      </c>
      <c r="AK413" s="82">
        <f t="shared" si="2"/>
        <v>0</v>
      </c>
    </row>
    <row r="414">
      <c r="AI414" s="83"/>
      <c r="AJ414" s="82">
        <f t="shared" si="1"/>
        <v>0</v>
      </c>
      <c r="AK414" s="82">
        <f t="shared" si="2"/>
        <v>0</v>
      </c>
    </row>
    <row r="415">
      <c r="AI415" s="83"/>
      <c r="AJ415" s="82">
        <f t="shared" si="1"/>
        <v>0</v>
      </c>
      <c r="AK415" s="82">
        <f t="shared" si="2"/>
        <v>0</v>
      </c>
    </row>
    <row r="416">
      <c r="AI416" s="83"/>
      <c r="AJ416" s="82">
        <f t="shared" si="1"/>
        <v>0</v>
      </c>
      <c r="AK416" s="82">
        <f t="shared" si="2"/>
        <v>0</v>
      </c>
    </row>
    <row r="417">
      <c r="AI417" s="83"/>
      <c r="AJ417" s="82">
        <f t="shared" si="1"/>
        <v>0</v>
      </c>
      <c r="AK417" s="82">
        <f t="shared" si="2"/>
        <v>0</v>
      </c>
    </row>
    <row r="418">
      <c r="AI418" s="83"/>
      <c r="AJ418" s="82">
        <f t="shared" si="1"/>
        <v>0</v>
      </c>
      <c r="AK418" s="82">
        <f t="shared" si="2"/>
        <v>0</v>
      </c>
    </row>
    <row r="419">
      <c r="AI419" s="83"/>
      <c r="AJ419" s="82">
        <f t="shared" si="1"/>
        <v>0</v>
      </c>
      <c r="AK419" s="82">
        <f t="shared" si="2"/>
        <v>0</v>
      </c>
    </row>
    <row r="420">
      <c r="AI420" s="83"/>
      <c r="AJ420" s="82">
        <f t="shared" si="1"/>
        <v>0</v>
      </c>
      <c r="AK420" s="82">
        <f t="shared" si="2"/>
        <v>0</v>
      </c>
    </row>
    <row r="421">
      <c r="AI421" s="83"/>
      <c r="AJ421" s="82">
        <f t="shared" si="1"/>
        <v>0</v>
      </c>
      <c r="AK421" s="82">
        <f t="shared" si="2"/>
        <v>0</v>
      </c>
    </row>
    <row r="422">
      <c r="AI422" s="83"/>
      <c r="AJ422" s="82">
        <f t="shared" si="1"/>
        <v>0</v>
      </c>
      <c r="AK422" s="82">
        <f t="shared" si="2"/>
        <v>0</v>
      </c>
    </row>
    <row r="423">
      <c r="AI423" s="83"/>
      <c r="AJ423" s="82">
        <f t="shared" si="1"/>
        <v>0</v>
      </c>
      <c r="AK423" s="82">
        <f t="shared" si="2"/>
        <v>0</v>
      </c>
    </row>
    <row r="424">
      <c r="AI424" s="83"/>
      <c r="AJ424" s="82">
        <f t="shared" si="1"/>
        <v>0</v>
      </c>
      <c r="AK424" s="82">
        <f t="shared" si="2"/>
        <v>0</v>
      </c>
    </row>
    <row r="425">
      <c r="AI425" s="83"/>
      <c r="AJ425" s="82">
        <f t="shared" si="1"/>
        <v>0</v>
      </c>
      <c r="AK425" s="82">
        <f t="shared" si="2"/>
        <v>0</v>
      </c>
    </row>
    <row r="426">
      <c r="AI426" s="83"/>
      <c r="AJ426" s="82">
        <f t="shared" si="1"/>
        <v>0</v>
      </c>
      <c r="AK426" s="82">
        <f t="shared" si="2"/>
        <v>0</v>
      </c>
    </row>
    <row r="427">
      <c r="AI427" s="83"/>
      <c r="AJ427" s="82">
        <f t="shared" si="1"/>
        <v>0</v>
      </c>
      <c r="AK427" s="82">
        <f t="shared" si="2"/>
        <v>0</v>
      </c>
    </row>
    <row r="428">
      <c r="AI428" s="83"/>
      <c r="AJ428" s="82">
        <f t="shared" si="1"/>
        <v>0</v>
      </c>
      <c r="AK428" s="82">
        <f t="shared" si="2"/>
        <v>0</v>
      </c>
    </row>
    <row r="429">
      <c r="AI429" s="83"/>
      <c r="AJ429" s="82">
        <f t="shared" si="1"/>
        <v>0</v>
      </c>
      <c r="AK429" s="82">
        <f t="shared" si="2"/>
        <v>0</v>
      </c>
    </row>
    <row r="430">
      <c r="AI430" s="83"/>
      <c r="AJ430" s="82">
        <f t="shared" si="1"/>
        <v>0</v>
      </c>
      <c r="AK430" s="82">
        <f t="shared" si="2"/>
        <v>0</v>
      </c>
    </row>
    <row r="431">
      <c r="AI431" s="83"/>
      <c r="AJ431" s="82">
        <f t="shared" si="1"/>
        <v>0</v>
      </c>
      <c r="AK431" s="82">
        <f t="shared" si="2"/>
        <v>0</v>
      </c>
    </row>
    <row r="432">
      <c r="AI432" s="83"/>
      <c r="AJ432" s="82">
        <f t="shared" si="1"/>
        <v>0</v>
      </c>
      <c r="AK432" s="82">
        <f t="shared" si="2"/>
        <v>0</v>
      </c>
    </row>
    <row r="433">
      <c r="AI433" s="83"/>
      <c r="AJ433" s="82">
        <f t="shared" si="1"/>
        <v>0</v>
      </c>
      <c r="AK433" s="82">
        <f t="shared" si="2"/>
        <v>0</v>
      </c>
    </row>
    <row r="434">
      <c r="AI434" s="83"/>
      <c r="AJ434" s="82">
        <f t="shared" si="1"/>
        <v>0</v>
      </c>
      <c r="AK434" s="82">
        <f t="shared" si="2"/>
        <v>0</v>
      </c>
    </row>
    <row r="435">
      <c r="AI435" s="83"/>
      <c r="AJ435" s="82">
        <f t="shared" si="1"/>
        <v>0</v>
      </c>
      <c r="AK435" s="82">
        <f t="shared" si="2"/>
        <v>0</v>
      </c>
    </row>
    <row r="436">
      <c r="AI436" s="83"/>
      <c r="AJ436" s="82">
        <f t="shared" si="1"/>
        <v>0</v>
      </c>
      <c r="AK436" s="82">
        <f t="shared" si="2"/>
        <v>0</v>
      </c>
    </row>
    <row r="437">
      <c r="AI437" s="83"/>
      <c r="AJ437" s="82">
        <f t="shared" si="1"/>
        <v>0</v>
      </c>
      <c r="AK437" s="82">
        <f t="shared" si="2"/>
        <v>0</v>
      </c>
    </row>
    <row r="438">
      <c r="AI438" s="83"/>
      <c r="AJ438" s="82">
        <f t="shared" si="1"/>
        <v>0</v>
      </c>
      <c r="AK438" s="82">
        <f t="shared" si="2"/>
        <v>0</v>
      </c>
    </row>
    <row r="439">
      <c r="AI439" s="83"/>
      <c r="AJ439" s="82">
        <f t="shared" si="1"/>
        <v>0</v>
      </c>
      <c r="AK439" s="82">
        <f t="shared" si="2"/>
        <v>0</v>
      </c>
    </row>
    <row r="440">
      <c r="AI440" s="83"/>
      <c r="AJ440" s="82">
        <f t="shared" si="1"/>
        <v>0</v>
      </c>
      <c r="AK440" s="82">
        <f t="shared" si="2"/>
        <v>0</v>
      </c>
    </row>
    <row r="441">
      <c r="AI441" s="83"/>
      <c r="AJ441" s="82">
        <f t="shared" si="1"/>
        <v>0</v>
      </c>
      <c r="AK441" s="82">
        <f t="shared" si="2"/>
        <v>0</v>
      </c>
    </row>
    <row r="442">
      <c r="AI442" s="83"/>
      <c r="AJ442" s="82">
        <f t="shared" si="1"/>
        <v>0</v>
      </c>
      <c r="AK442" s="82">
        <f t="shared" si="2"/>
        <v>0</v>
      </c>
    </row>
    <row r="443">
      <c r="AI443" s="83"/>
      <c r="AJ443" s="82">
        <f t="shared" si="1"/>
        <v>0</v>
      </c>
      <c r="AK443" s="82">
        <f t="shared" si="2"/>
        <v>0</v>
      </c>
    </row>
    <row r="444">
      <c r="AI444" s="83"/>
      <c r="AJ444" s="82">
        <f t="shared" si="1"/>
        <v>0</v>
      </c>
      <c r="AK444" s="82">
        <f t="shared" si="2"/>
        <v>0</v>
      </c>
    </row>
    <row r="445">
      <c r="AI445" s="83"/>
      <c r="AJ445" s="82">
        <f t="shared" si="1"/>
        <v>0</v>
      </c>
      <c r="AK445" s="82">
        <f t="shared" si="2"/>
        <v>0</v>
      </c>
    </row>
    <row r="446">
      <c r="AI446" s="83"/>
      <c r="AJ446" s="82">
        <f t="shared" si="1"/>
        <v>0</v>
      </c>
      <c r="AK446" s="82">
        <f t="shared" si="2"/>
        <v>0</v>
      </c>
    </row>
    <row r="447">
      <c r="AI447" s="83"/>
      <c r="AJ447" s="82">
        <f t="shared" si="1"/>
        <v>0</v>
      </c>
      <c r="AK447" s="82">
        <f t="shared" si="2"/>
        <v>0</v>
      </c>
    </row>
    <row r="448">
      <c r="AI448" s="83"/>
      <c r="AJ448" s="82">
        <f t="shared" si="1"/>
        <v>0</v>
      </c>
      <c r="AK448" s="82">
        <f t="shared" si="2"/>
        <v>0</v>
      </c>
    </row>
  </sheetData>
  <autoFilter ref="$A$1:$AK$448">
    <sortState ref="A1:AK448">
      <sortCondition ref="D1:D448"/>
      <sortCondition ref="A1:A448"/>
      <sortCondition descending="1" ref="AJ1:AJ44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4.88"/>
    <col customWidth="1" min="4" max="4" width="22.88"/>
  </cols>
  <sheetData>
    <row r="1">
      <c r="A1" s="86" t="s">
        <v>155</v>
      </c>
      <c r="B1" s="87" t="s">
        <v>382</v>
      </c>
      <c r="C1" s="87" t="s">
        <v>383</v>
      </c>
      <c r="D1" s="88" t="s">
        <v>384</v>
      </c>
    </row>
    <row r="2">
      <c r="A2" s="89">
        <v>107.0</v>
      </c>
      <c r="B2" s="90" t="s">
        <v>385</v>
      </c>
      <c r="C2" s="91" t="s">
        <v>25</v>
      </c>
      <c r="D2" s="92" t="s">
        <v>386</v>
      </c>
    </row>
    <row r="3">
      <c r="A3" s="89">
        <v>815.0</v>
      </c>
      <c r="B3" s="90" t="s">
        <v>387</v>
      </c>
      <c r="C3" s="91" t="s">
        <v>25</v>
      </c>
      <c r="D3" s="93" t="s">
        <v>388</v>
      </c>
    </row>
    <row r="4">
      <c r="A4" s="89">
        <v>862.0</v>
      </c>
      <c r="B4" s="90" t="s">
        <v>389</v>
      </c>
      <c r="C4" s="91" t="s">
        <v>25</v>
      </c>
      <c r="D4" s="94" t="s">
        <v>390</v>
      </c>
    </row>
    <row r="5">
      <c r="A5" s="95">
        <v>904.0</v>
      </c>
      <c r="B5" s="96" t="s">
        <v>391</v>
      </c>
      <c r="C5" s="91" t="s">
        <v>25</v>
      </c>
      <c r="D5" s="97" t="s">
        <v>392</v>
      </c>
    </row>
    <row r="6">
      <c r="A6" s="89">
        <v>1076.0</v>
      </c>
      <c r="B6" s="90" t="s">
        <v>393</v>
      </c>
      <c r="C6" s="91" t="s">
        <v>60</v>
      </c>
    </row>
    <row r="7">
      <c r="A7" s="98">
        <v>1502.0</v>
      </c>
      <c r="B7" s="99" t="s">
        <v>394</v>
      </c>
      <c r="C7" s="100" t="s">
        <v>27</v>
      </c>
      <c r="D7" s="86"/>
    </row>
    <row r="8">
      <c r="A8" s="89">
        <v>1504.0</v>
      </c>
      <c r="B8" s="90" t="s">
        <v>395</v>
      </c>
      <c r="C8" s="91" t="s">
        <v>232</v>
      </c>
      <c r="D8" s="86"/>
    </row>
    <row r="9">
      <c r="A9" s="89">
        <v>3322.0</v>
      </c>
      <c r="B9" s="90" t="s">
        <v>394</v>
      </c>
      <c r="C9" s="90" t="s">
        <v>25</v>
      </c>
      <c r="D9" s="86"/>
    </row>
    <row r="10">
      <c r="A10" s="89">
        <v>3568.0</v>
      </c>
      <c r="B10" s="90" t="s">
        <v>393</v>
      </c>
      <c r="C10" s="91" t="s">
        <v>396</v>
      </c>
      <c r="D10" s="86"/>
    </row>
    <row r="11">
      <c r="A11" s="89">
        <v>3707.0</v>
      </c>
      <c r="B11" s="90" t="s">
        <v>397</v>
      </c>
      <c r="C11" s="91" t="s">
        <v>288</v>
      </c>
      <c r="D11" s="86"/>
    </row>
    <row r="12">
      <c r="A12" s="89">
        <v>3773.0</v>
      </c>
      <c r="B12" s="90" t="s">
        <v>389</v>
      </c>
      <c r="C12" s="91" t="s">
        <v>288</v>
      </c>
      <c r="D12" s="86"/>
    </row>
    <row r="13">
      <c r="A13" s="89">
        <v>4395.0</v>
      </c>
      <c r="B13" s="90" t="s">
        <v>385</v>
      </c>
      <c r="C13" s="91" t="s">
        <v>255</v>
      </c>
      <c r="D13" s="86"/>
    </row>
    <row r="14">
      <c r="A14" s="89">
        <v>4405.0</v>
      </c>
      <c r="B14" s="90" t="s">
        <v>398</v>
      </c>
      <c r="C14" s="91" t="s">
        <v>259</v>
      </c>
      <c r="D14" s="86"/>
    </row>
    <row r="15">
      <c r="A15" s="89">
        <v>5050.0</v>
      </c>
      <c r="B15" s="90" t="s">
        <v>398</v>
      </c>
      <c r="C15" s="91" t="s">
        <v>25</v>
      </c>
      <c r="D15" s="86"/>
    </row>
    <row r="16">
      <c r="A16" s="98">
        <v>5066.0</v>
      </c>
      <c r="B16" s="99" t="s">
        <v>394</v>
      </c>
      <c r="C16" s="100" t="s">
        <v>25</v>
      </c>
      <c r="D16" s="86"/>
    </row>
    <row r="17">
      <c r="A17" s="89">
        <v>5067.0</v>
      </c>
      <c r="B17" s="90" t="s">
        <v>395</v>
      </c>
      <c r="C17" s="91" t="s">
        <v>259</v>
      </c>
      <c r="D17" s="86"/>
    </row>
    <row r="18">
      <c r="A18" s="89">
        <v>5205.0</v>
      </c>
      <c r="B18" s="90" t="s">
        <v>394</v>
      </c>
      <c r="C18" s="91" t="s">
        <v>288</v>
      </c>
      <c r="D18" s="86"/>
    </row>
    <row r="19">
      <c r="A19" s="89">
        <v>5509.0</v>
      </c>
      <c r="B19" s="90" t="s">
        <v>399</v>
      </c>
      <c r="C19" s="91" t="s">
        <v>259</v>
      </c>
      <c r="D19" s="86"/>
    </row>
    <row r="20">
      <c r="A20" s="89">
        <v>5641.0</v>
      </c>
      <c r="B20" s="90" t="s">
        <v>400</v>
      </c>
      <c r="C20" s="91" t="s">
        <v>288</v>
      </c>
      <c r="D20" s="86"/>
    </row>
    <row r="21">
      <c r="A21" s="98">
        <v>5674.0</v>
      </c>
      <c r="B21" s="99" t="s">
        <v>389</v>
      </c>
      <c r="C21" s="100" t="s">
        <v>60</v>
      </c>
      <c r="D21" s="86"/>
    </row>
    <row r="22">
      <c r="A22" s="98">
        <v>5708.0</v>
      </c>
      <c r="B22" s="99" t="s">
        <v>389</v>
      </c>
      <c r="C22" s="100" t="s">
        <v>306</v>
      </c>
      <c r="D22" s="86"/>
    </row>
    <row r="23">
      <c r="A23" s="89">
        <v>6081.0</v>
      </c>
      <c r="B23" s="90" t="s">
        <v>401</v>
      </c>
      <c r="C23" s="91" t="s">
        <v>25</v>
      </c>
      <c r="D23" s="86"/>
    </row>
    <row r="24">
      <c r="A24" s="95">
        <v>6089.0</v>
      </c>
      <c r="B24" s="91" t="s">
        <v>402</v>
      </c>
      <c r="C24" s="91" t="s">
        <v>403</v>
      </c>
      <c r="D24" s="86"/>
    </row>
    <row r="25">
      <c r="A25" s="89">
        <v>6101.0</v>
      </c>
      <c r="B25" s="90" t="s">
        <v>398</v>
      </c>
      <c r="C25" s="91" t="s">
        <v>259</v>
      </c>
      <c r="D25" s="86"/>
    </row>
    <row r="26">
      <c r="A26" s="89">
        <v>6556.0</v>
      </c>
      <c r="B26" s="90" t="s">
        <v>394</v>
      </c>
      <c r="C26" s="91" t="s">
        <v>60</v>
      </c>
      <c r="D26" s="101"/>
    </row>
    <row r="27">
      <c r="A27" s="89">
        <v>6615.0</v>
      </c>
      <c r="B27" s="90" t="s">
        <v>398</v>
      </c>
      <c r="C27" s="91" t="s">
        <v>259</v>
      </c>
      <c r="D27" s="86"/>
    </row>
    <row r="28">
      <c r="A28" s="98">
        <v>6616.0</v>
      </c>
      <c r="B28" s="99" t="s">
        <v>387</v>
      </c>
      <c r="C28" s="100" t="s">
        <v>306</v>
      </c>
      <c r="D28" s="86"/>
    </row>
    <row r="29">
      <c r="A29" s="89">
        <v>7221.0</v>
      </c>
      <c r="B29" s="90" t="s">
        <v>394</v>
      </c>
      <c r="C29" s="91" t="s">
        <v>306</v>
      </c>
      <c r="D29" s="86"/>
    </row>
    <row r="30">
      <c r="A30" s="89">
        <v>7225.0</v>
      </c>
      <c r="B30" s="90" t="s">
        <v>397</v>
      </c>
      <c r="C30" s="91" t="s">
        <v>25</v>
      </c>
      <c r="D30" s="86"/>
    </row>
    <row r="31">
      <c r="A31" s="98">
        <v>7598.0</v>
      </c>
      <c r="B31" s="99" t="s">
        <v>397</v>
      </c>
      <c r="C31" s="100" t="s">
        <v>306</v>
      </c>
      <c r="D31" s="86"/>
    </row>
    <row r="32">
      <c r="A32" s="102">
        <v>8628.0</v>
      </c>
      <c r="B32" s="100" t="s">
        <v>404</v>
      </c>
      <c r="C32" s="100"/>
      <c r="D32" s="86"/>
    </row>
    <row r="33">
      <c r="A33" s="89">
        <v>8374.0</v>
      </c>
      <c r="B33" s="90" t="s">
        <v>389</v>
      </c>
      <c r="C33" s="91" t="s">
        <v>354</v>
      </c>
      <c r="D33" s="86"/>
    </row>
    <row r="34">
      <c r="A34" s="95">
        <v>8424.0</v>
      </c>
      <c r="B34" s="90" t="s">
        <v>389</v>
      </c>
      <c r="C34" s="91" t="s">
        <v>357</v>
      </c>
      <c r="D34" s="86"/>
    </row>
    <row r="35">
      <c r="A35" s="89">
        <v>8832.0</v>
      </c>
      <c r="B35" s="91" t="s">
        <v>405</v>
      </c>
      <c r="C35" s="91" t="s">
        <v>25</v>
      </c>
      <c r="D35" s="86"/>
    </row>
    <row r="36">
      <c r="A36" s="98">
        <v>8895.0</v>
      </c>
      <c r="B36" s="99" t="s">
        <v>398</v>
      </c>
      <c r="C36" s="100" t="s">
        <v>306</v>
      </c>
      <c r="D36" s="86"/>
    </row>
    <row r="37">
      <c r="A37" s="89">
        <v>9209.0</v>
      </c>
      <c r="B37" s="90" t="s">
        <v>394</v>
      </c>
      <c r="C37" s="91" t="s">
        <v>25</v>
      </c>
      <c r="D37" s="86"/>
    </row>
    <row r="38">
      <c r="A38" s="98">
        <v>9210.0</v>
      </c>
      <c r="B38" s="99" t="s">
        <v>394</v>
      </c>
      <c r="C38" s="100" t="s">
        <v>306</v>
      </c>
      <c r="D38" s="86"/>
    </row>
    <row r="39">
      <c r="A39" s="98">
        <v>9211.0</v>
      </c>
      <c r="B39" s="99" t="s">
        <v>398</v>
      </c>
      <c r="C39" s="100" t="s">
        <v>306</v>
      </c>
      <c r="D39" s="86"/>
    </row>
    <row r="40">
      <c r="A40" s="89">
        <v>9241.0</v>
      </c>
      <c r="B40" s="90" t="s">
        <v>389</v>
      </c>
      <c r="C40" s="91" t="s">
        <v>406</v>
      </c>
      <c r="D40" s="8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24.5"/>
    <col customWidth="1" min="3" max="3" width="15.88"/>
    <col customWidth="1" min="7" max="7" width="12.63"/>
    <col customWidth="1" min="13" max="13" width="13.63"/>
    <col customWidth="1" min="28" max="28" width="15.38"/>
    <col customWidth="1" min="29" max="29" width="14.25"/>
    <col customWidth="1" min="30" max="30" width="17.63"/>
    <col customWidth="1" min="31" max="31" width="15.25"/>
    <col customWidth="1" min="32" max="33" width="17.75"/>
    <col customWidth="1" min="34" max="35" width="14.25"/>
  </cols>
  <sheetData>
    <row r="1">
      <c r="A1" s="7" t="s">
        <v>76</v>
      </c>
      <c r="C1" s="8" t="s">
        <v>77</v>
      </c>
      <c r="J1" s="9"/>
      <c r="K1" s="10" t="s">
        <v>78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2"/>
      <c r="AB1" s="103" t="s">
        <v>84</v>
      </c>
      <c r="AC1" s="34" t="s">
        <v>85</v>
      </c>
      <c r="AI1" s="33"/>
    </row>
    <row r="2">
      <c r="C2" s="18" t="s">
        <v>77</v>
      </c>
      <c r="D2" s="104" t="s">
        <v>407</v>
      </c>
      <c r="E2" s="20"/>
      <c r="F2" s="37"/>
      <c r="G2" s="105" t="s">
        <v>408</v>
      </c>
      <c r="H2" s="37"/>
      <c r="I2" s="104" t="s">
        <v>409</v>
      </c>
      <c r="J2" s="24"/>
      <c r="K2" s="106" t="s">
        <v>407</v>
      </c>
      <c r="L2" s="107"/>
      <c r="M2" s="107"/>
      <c r="N2" s="107"/>
      <c r="O2" s="107"/>
      <c r="P2" s="28" t="s">
        <v>408</v>
      </c>
      <c r="Q2" s="26"/>
      <c r="R2" s="26"/>
      <c r="S2" s="26"/>
      <c r="T2" s="26"/>
      <c r="U2" s="26"/>
      <c r="V2" s="26"/>
      <c r="W2" s="27"/>
      <c r="X2" s="108" t="s">
        <v>21</v>
      </c>
      <c r="Y2" s="107"/>
      <c r="Z2" s="109"/>
      <c r="AA2" s="110" t="s">
        <v>99</v>
      </c>
      <c r="AB2" s="33"/>
      <c r="AC2" s="44"/>
      <c r="AI2" s="33"/>
    </row>
    <row r="3">
      <c r="C3" s="35"/>
      <c r="F3" s="35"/>
      <c r="G3" s="39"/>
      <c r="H3" s="35"/>
      <c r="J3" s="9"/>
      <c r="K3" s="111"/>
      <c r="L3" s="11"/>
      <c r="M3" s="11"/>
      <c r="N3" s="11"/>
      <c r="O3" s="11"/>
      <c r="P3" s="40" t="s">
        <v>410</v>
      </c>
      <c r="S3" s="40" t="s">
        <v>411</v>
      </c>
      <c r="X3" s="112"/>
      <c r="Y3" s="11"/>
      <c r="Z3" s="113"/>
      <c r="AA3" s="9"/>
      <c r="AB3" s="33"/>
      <c r="AC3" s="44"/>
      <c r="AI3" s="33"/>
    </row>
    <row r="4">
      <c r="A4" s="45" t="s">
        <v>89</v>
      </c>
      <c r="B4" s="45" t="s">
        <v>153</v>
      </c>
      <c r="C4" s="46" t="s">
        <v>91</v>
      </c>
      <c r="D4" s="47" t="s">
        <v>412</v>
      </c>
      <c r="E4" s="47" t="s">
        <v>95</v>
      </c>
      <c r="F4" s="47" t="s">
        <v>96</v>
      </c>
      <c r="G4" s="48" t="s">
        <v>413</v>
      </c>
      <c r="H4" s="47" t="s">
        <v>414</v>
      </c>
      <c r="I4" s="48" t="s">
        <v>415</v>
      </c>
      <c r="J4" s="50" t="s">
        <v>414</v>
      </c>
      <c r="K4" s="51" t="s">
        <v>92</v>
      </c>
      <c r="L4" s="51" t="s">
        <v>93</v>
      </c>
      <c r="M4" s="51" t="s">
        <v>94</v>
      </c>
      <c r="N4" s="51" t="s">
        <v>95</v>
      </c>
      <c r="O4" s="52" t="s">
        <v>96</v>
      </c>
      <c r="P4" s="51" t="s">
        <v>410</v>
      </c>
      <c r="Q4" s="51" t="s">
        <v>95</v>
      </c>
      <c r="R4" s="52" t="s">
        <v>96</v>
      </c>
      <c r="S4" s="51" t="s">
        <v>92</v>
      </c>
      <c r="T4" s="51" t="s">
        <v>411</v>
      </c>
      <c r="U4" s="51" t="s">
        <v>94</v>
      </c>
      <c r="V4" s="51" t="s">
        <v>95</v>
      </c>
      <c r="W4" s="52" t="s">
        <v>96</v>
      </c>
      <c r="X4" s="51" t="s">
        <v>415</v>
      </c>
      <c r="Y4" s="51" t="s">
        <v>95</v>
      </c>
      <c r="Z4" s="52" t="s">
        <v>96</v>
      </c>
      <c r="AA4" s="31" t="s">
        <v>99</v>
      </c>
      <c r="AB4" s="54" t="s">
        <v>101</v>
      </c>
      <c r="AC4" s="55" t="s">
        <v>104</v>
      </c>
      <c r="AD4" s="55" t="s">
        <v>416</v>
      </c>
      <c r="AE4" s="55" t="s">
        <v>417</v>
      </c>
      <c r="AF4" s="55" t="s">
        <v>418</v>
      </c>
      <c r="AG4" s="55" t="s">
        <v>419</v>
      </c>
      <c r="AH4" s="55" t="s">
        <v>107</v>
      </c>
      <c r="AI4" s="55" t="s">
        <v>108</v>
      </c>
    </row>
    <row r="5">
      <c r="A5" s="2">
        <v>3322.0</v>
      </c>
      <c r="B5" s="2" t="s">
        <v>38</v>
      </c>
      <c r="C5" s="57" t="str">
        <f>IFERROR(__xludf.DUMMYFUNCTION("if(countif(query(filter(DATA!B:B,DATA!O:O=B5), ""Select Col1""),""TRUE"")=0,""0"",countif(query(filter(DATA!B:B,DATA!O:O=B5), ""Select Col1""),""TRUE"")) &amp; ""/"" &amp; if(COUNTA(query(ifna(filter(DATA!B:B,DATA!O:O=B5),""""), ""Select Col1""))=0,""0"",COUNTA(q"&amp;"uery(ifna(filter(DATA!B:B,DATA!O:O=B5),""""), ""Select Col1"")))"),"5/5")</f>
        <v>5/5</v>
      </c>
      <c r="D5" s="58">
        <f>IFERROR(__xludf.DUMMYFUNCTION("iferror(SUM(query(filter(DATA!C:C,DATA!O:O=B5), ""Select Col1"")),""-"")"),51.0)</f>
        <v>51</v>
      </c>
      <c r="E5" s="60">
        <f>IFERROR(__xludf.DUMMYFUNCTION("iferror(AVERAGE(query(filter(DATA!C:C,DATA!O:O=B5), ""Select Col1"")),""0.00"")"),10.2)</f>
        <v>10.2</v>
      </c>
      <c r="F5" s="58">
        <f>IFERROR(__xludf.DUMMYFUNCTION("iferror(MAX(query(filter(DATA!C:C,DATA!O:O=B5), ""Select Col1"")),""-"")"),14.0)</f>
        <v>14</v>
      </c>
      <c r="G5" s="61" t="str">
        <f>IFERROR(__xludf.DUMMYFUNCTION("if(countif(query(filter(DATA!D:D,DATA!O:O=B5), ""Select Col1""),""TRUE"")=0,""0"",countif(query(filter(DATA!D:D,DATA!O:O=B5), ""Select Col1""),""TRUE"")) &amp; ""/"" &amp; if(COUNTA(query(ifna(filter(DATA!D:D,DATA!O:O=B5),""""), ""Select Col1""))=0,""0"",COUNTA(q"&amp;"uery(ifna(filter(DATA!D:D,DATA!O:O=B5),""""), ""Select Col1"")))"),"4/5")</f>
        <v>4/5</v>
      </c>
      <c r="H5" s="59">
        <f>IFERROR(__xludf.DUMMYFUNCTION("iferror(DIVIDE(if(countif(query(filter(DATA!D:D,DATA!O:O=B5), ""Select Col1""),""TRUE"")=0,""0"",countif(query(filter(DATA!D:D,DATA!O:O=B5), ""Select Col1""),""TRUE"")), if(COUNTA(query(ifna(filter(DATA!D:D,DATA!O:O=B5),""""), ""Select Col1""))=0,""0"",CO"&amp;"UNTA(query(ifna(filter(DATA!D:D,DATA!O:O=B5),""""), ""Select Col1"")))),""0.00%"")"),0.8)</f>
        <v>0.8</v>
      </c>
      <c r="I5" s="63" t="str">
        <f>IFERROR(__xludf.DUMMYFUNCTION("if(countif(query(filter(DATA!E:E,DATA!O:O=B5), ""Select Col1""),""TRUE"")=0,""0"",countif(query(filter(DATA!E:E,DATA!O:O=B5), ""Select Col1""),""TRUE"")) &amp; ""/"" &amp; if(COUNTA(query(ifna(filter(DATA!E:E,DATA!O:O=B5),""""), ""Select Col1""))=0,""0"",COUNTA(q"&amp;"uery(ifna(filter(DATA!E:E,DATA!O:O=B5),""""), ""Select Col1"")))"),"0/5")</f>
        <v>0/5</v>
      </c>
      <c r="J5" s="81">
        <f>IFERROR(__xludf.DUMMYFUNCTION("iferror(DIVIDE(if(countif(query(filter(DATA!E:E,DATA!O:O=B5), ""Select Col1""),""TRUE"")=0,""0"",countif(query(filter(DATA!E:E,DATA!O:O=B5), ""Select Col1""),""TRUE"")), if(COUNTA(query(ifna(filter(DATA!E:E,DATA!O:O=B5),""""), ""Select Col1""))=0,""0"",CO"&amp;"UNTA(query(ifna(filter(DATA!E:E,DATA!O:O=B5),""""), ""Select Col1"")))),""0.00%"")"),0.0)</f>
        <v>0</v>
      </c>
      <c r="K5" s="5">
        <f>IFERROR(__xludf.DUMMYFUNCTION("iferror(SUM(query(filter(DATA!F:F,DATA!O:O=B5), ""Select Col1"")),""-"")"),27.0)</f>
        <v>27</v>
      </c>
      <c r="L5" s="5">
        <f>IFERROR(__xludf.DUMMYFUNCTION("iferror(SUM(query(filter(DATA!G:G,DATA!O:O=B5), ""Select Col1"")),""-"")"),23.0)</f>
        <v>23</v>
      </c>
      <c r="M5" s="59">
        <f t="shared" ref="M5:M16" si="1">iferror(L5/K5,"-")</f>
        <v>0.8518518519</v>
      </c>
      <c r="N5" s="60">
        <f>IFERROR(__xludf.DUMMYFUNCTION("iferror(AVERAGE(query(filter(DATA!G:G,DATA!O:O=B5), ""Select Col1"")),""0.00"")"),4.6)</f>
        <v>4.6</v>
      </c>
      <c r="O5" s="65">
        <f>IFERROR(__xludf.DUMMYFUNCTION("iferror(MAX(query(filter(DATA!G:G,DATA!O:O=B5), ""Select Col1"")),""-"")"),8.0)</f>
        <v>8</v>
      </c>
      <c r="P5" s="66">
        <f>IFERROR(__xludf.DUMMYFUNCTION("iferror(SUM(query(filter(DATA!H:H,DATA!O:O=B5), ""Select Col1"")),""-"")"),7.0)</f>
        <v>7</v>
      </c>
      <c r="Q5" s="68">
        <f>IFERROR(__xludf.DUMMYFUNCTION("iferror(AVERAGE(query(filter(DATA!H:H,DATA!O:O=B5), ""Select Col1"")),""0.00"")"),1.75)</f>
        <v>1.75</v>
      </c>
      <c r="R5" s="69">
        <f>IFERROR(__xludf.DUMMYFUNCTION("iferror(MAX(query(filter(DATA!H:H,DATA!O:O=B5), ""Select Col1"")),""-"")"),4.0)</f>
        <v>4</v>
      </c>
      <c r="S5" s="66">
        <f>IFERROR(__xludf.DUMMYFUNCTION("iferror(SUM(query(filter(DATA!I:I,DATA!O:O=B5), ""Select Col1"")),""-"")"),1.0)</f>
        <v>1</v>
      </c>
      <c r="T5" s="66">
        <f>IFERROR(__xludf.DUMMYFUNCTION("iferror(SUM(query(filter(DATA!J:J,DATA!O:O=B5), ""Select Col1"")),""-"")"),1.0)</f>
        <v>1</v>
      </c>
      <c r="U5" s="67">
        <f t="shared" ref="U5:U16" si="2">iferror(T5/S5,"-")</f>
        <v>1</v>
      </c>
      <c r="V5" s="68">
        <f>IFERROR(__xludf.DUMMYFUNCTION("iferror(AVERAGE(query(filter(DATA!J:J,DATA!O:O=B5), ""Select Col1"")),""0.00"")"),0.2)</f>
        <v>0.2</v>
      </c>
      <c r="W5" s="69">
        <f>IFERROR(__xludf.DUMMYFUNCTION("iferror(MAX(query(filter(DATA!J:J,DATA!O:O=B5), ""Select Col1"")),""-"")"),1.0)</f>
        <v>1</v>
      </c>
      <c r="X5" s="66">
        <f>IFERROR(__xludf.DUMMYFUNCTION("iferror(SUM(query(filter(DATA!K:K,DATA!O:O=B5), ""Select Col1"")),""-"")"),0.0)</f>
        <v>0</v>
      </c>
      <c r="Y5" s="66">
        <f>IFERROR(__xludf.DUMMYFUNCTION("iferror(AVERAGE(query(filter(DATA!K:K,DATA!O:O=B5), ""Select Col1"")),""-"")"),0.0)</f>
        <v>0</v>
      </c>
      <c r="Z5" s="69">
        <f>IFERROR(__xludf.DUMMYFUNCTION("iferror(MAX(query(filter(DATA!K:K,DATA!O:O=B5), ""Select Col1"")),""-"")"),0.0)</f>
        <v>0</v>
      </c>
      <c r="AA5" s="64" t="str">
        <f>IFERROR(__xludf.DUMMYFUNCTION("if(countif(query(filter(DATA!L:L,DATA!O:O=B5), ""Select Col1""),""Yes"")=0,""0"",countif(query(filter(DATA!L:L,DATA!O:O=B5), ""Select Col1""),""Yes"")) &amp; ""/"" &amp; if(COUNTA(query(ifna(filter(DATA!L:L,DATA!O:O=B5),""""), ""Select Col1""))=0,""0"",COUNTA(que"&amp;"ry(ifna(filter(DATA!L:L,DATA!O:O=B5),""""), ""Select Col1"")))"),"0/5")</f>
        <v>0/5</v>
      </c>
      <c r="AB5" s="114">
        <f>IFERROR(__xludf.DUMMYFUNCTION("iferror(average(query(filter(DATA!M:M,DATA!O:O=B5), ""Select Col1"")),""-"")"),4.0)</f>
        <v>4</v>
      </c>
      <c r="AC5" s="74">
        <f>IFERROR(__xludf.DUMMYFUNCTION("iferror(AVERAGE(query(filter(DATA!S:S,DATA!O:O=B5), ""Select Col1"")),""-"")"),18.4)</f>
        <v>18.4</v>
      </c>
      <c r="AD5" s="74">
        <f>IFERROR(__xludf.DUMMYFUNCTION("iferror(AVERAGE(query(filter(DATA!T:T,DATA!O:O=B5), ""Select Col1"")),""-"")"),12.0)</f>
        <v>12</v>
      </c>
      <c r="AE5" s="74">
        <f>IFERROR(__xludf.DUMMYFUNCTION("iferror(AVERAGE(query(filter(DATA!U:U,DATA!O:O=B5), ""Select Col1"")),""-"")"),1.8)</f>
        <v>1.8</v>
      </c>
      <c r="AF5" s="74">
        <f>IFERROR(__xludf.DUMMYFUNCTION("iferror(AVERAGE(query(filter(DATA!V:V,DATA!O:O=B5), ""Select Col1"")),""-"")"),4.6)</f>
        <v>4.6</v>
      </c>
      <c r="AG5" s="74">
        <f>IFERROR(__xludf.DUMMYFUNCTION("iferror(AVERAGE(query(filter(DATA!W:W,DATA!O:O=B5), ""Select Col1"")),""-"")"),0.0)</f>
        <v>0</v>
      </c>
      <c r="AH5" s="75">
        <f>IFERROR(__xludf.DUMMYFUNCTION("iferror(max(query(filter(DATA!S:S,DATA!O:O=B5), ""Select Col1"")),""-"")"),22.0)</f>
        <v>22</v>
      </c>
      <c r="AI5" s="76">
        <f>IFERROR(__xludf.DUMMYFUNCTION("iferror(MIN(query(filter(DATA!S:S,DATA!O:O=B5), ""Select Col1"")),""-"")"),15.0)</f>
        <v>15</v>
      </c>
    </row>
    <row r="6">
      <c r="A6" s="2">
        <v>5067.0</v>
      </c>
      <c r="B6" s="2" t="s">
        <v>37</v>
      </c>
      <c r="C6" s="57" t="str">
        <f>IFERROR(__xludf.DUMMYFUNCTION("if(countif(query(filter(DATA!B:B,DATA!O:O=B6), ""Select Col1""),""TRUE"")=0,""0"",countif(query(filter(DATA!B:B,DATA!O:O=B6), ""Select Col1""),""TRUE"")) &amp; ""/"" &amp; if(COUNTA(query(ifna(filter(DATA!B:B,DATA!O:O=B6),""""), ""Select Col1""))=0,""0"",COUNTA(q"&amp;"uery(ifna(filter(DATA!B:B,DATA!O:O=B6),""""), ""Select Col1"")))"),"4/5")</f>
        <v>4/5</v>
      </c>
      <c r="D6" s="58">
        <f>IFERROR(__xludf.DUMMYFUNCTION("iferror(SUM(query(filter(DATA!C:C,DATA!O:O=B6), ""Select Col1"")),""-"")"),39.0)</f>
        <v>39</v>
      </c>
      <c r="E6" s="60">
        <f>IFERROR(__xludf.DUMMYFUNCTION("iferror(AVERAGE(query(filter(DATA!C:C,DATA!O:O=B6), ""Select Col1"")),""0.00"")"),9.75)</f>
        <v>9.75</v>
      </c>
      <c r="F6" s="58">
        <f>IFERROR(__xludf.DUMMYFUNCTION("iferror(MAX(query(filter(DATA!C:C,DATA!O:O=B6), ""Select Col1"")),""-"")"),11.0)</f>
        <v>11</v>
      </c>
      <c r="G6" s="61" t="str">
        <f>IFERROR(__xludf.DUMMYFUNCTION("if(countif(query(filter(DATA!D:D,DATA!O:O=B6), ""Select Col1""),""TRUE"")=0,""0"",countif(query(filter(DATA!D:D,DATA!O:O=B6), ""Select Col1""),""TRUE"")) &amp; ""/"" &amp; if(COUNTA(query(ifna(filter(DATA!D:D,DATA!O:O=B6),""""), ""Select Col1""))=0,""0"",COUNTA(q"&amp;"uery(ifna(filter(DATA!D:D,DATA!O:O=B6),""""), ""Select Col1"")))"),"0/5")</f>
        <v>0/5</v>
      </c>
      <c r="H6" s="59">
        <f>IFERROR(__xludf.DUMMYFUNCTION("iferror(DIVIDE(if(countif(query(filter(DATA!D:D,DATA!O:O=B6), ""Select Col1""),""TRUE"")=0,""0"",countif(query(filter(DATA!D:D,DATA!O:O=B6), ""Select Col1""),""TRUE"")), if(COUNTA(query(ifna(filter(DATA!D:D,DATA!O:O=B6),""""), ""Select Col1""))=0,""0"",CO"&amp;"UNTA(query(ifna(filter(DATA!D:D,DATA!O:O=B6),""""), ""Select Col1"")))),""0.00%"")"),0.0)</f>
        <v>0</v>
      </c>
      <c r="I6" s="63" t="str">
        <f>IFERROR(__xludf.DUMMYFUNCTION("if(countif(query(filter(DATA!E:E,DATA!O:O=B6), ""Select Col1""),""TRUE"")=0,""0"",countif(query(filter(DATA!E:E,DATA!O:O=B6), ""Select Col1""),""TRUE"")) &amp; ""/"" &amp; if(COUNTA(query(ifna(filter(DATA!E:E,DATA!O:O=B6),""""), ""Select Col1""))=0,""0"",COUNTA(q"&amp;"uery(ifna(filter(DATA!E:E,DATA!O:O=B6),""""), ""Select Col1"")))"),"0/5")</f>
        <v>0/5</v>
      </c>
      <c r="J6" s="81">
        <f>IFERROR(__xludf.DUMMYFUNCTION("iferror(DIVIDE(if(countif(query(filter(DATA!E:E,DATA!O:O=B6), ""Select Col1""),""TRUE"")=0,""0"",countif(query(filter(DATA!E:E,DATA!O:O=B6), ""Select Col1""),""TRUE"")), if(COUNTA(query(ifna(filter(DATA!E:E,DATA!O:O=B6),""""), ""Select Col1""))=0,""0"",CO"&amp;"UNTA(query(ifna(filter(DATA!E:E,DATA!O:O=B6),""""), ""Select Col1"")))),""0.00%"")"),0.0)</f>
        <v>0</v>
      </c>
      <c r="K6" s="5">
        <f>IFERROR(__xludf.DUMMYFUNCTION("iferror(SUM(query(filter(DATA!F:F,DATA!O:O=B6), ""Select Col1"")),""-"")"),40.0)</f>
        <v>40</v>
      </c>
      <c r="L6" s="5">
        <f>IFERROR(__xludf.DUMMYFUNCTION("iferror(SUM(query(filter(DATA!G:G,DATA!O:O=B6), ""Select Col1"")),""-"")"),26.0)</f>
        <v>26</v>
      </c>
      <c r="M6" s="59">
        <f t="shared" si="1"/>
        <v>0.65</v>
      </c>
      <c r="N6" s="60">
        <f>IFERROR(__xludf.DUMMYFUNCTION("iferror(AVERAGE(query(filter(DATA!G:G,DATA!O:O=B6), ""Select Col1"")),""0.00"")"),6.5)</f>
        <v>6.5</v>
      </c>
      <c r="O6" s="65">
        <f>IFERROR(__xludf.DUMMYFUNCTION("iferror(MAX(query(filter(DATA!G:G,DATA!O:O=B6), ""Select Col1"")),""-"")"),10.0)</f>
        <v>10</v>
      </c>
      <c r="P6" s="66">
        <f>IFERROR(__xludf.DUMMYFUNCTION("iferror(SUM(query(filter(DATA!H:H,DATA!O:O=B6), ""Select Col1"")),""-"")"),2.0)</f>
        <v>2</v>
      </c>
      <c r="Q6" s="68">
        <f>IFERROR(__xludf.DUMMYFUNCTION("iferror(AVERAGE(query(filter(DATA!H:H,DATA!O:O=B6), ""Select Col1"")),""0.00"")"),0.5)</f>
        <v>0.5</v>
      </c>
      <c r="R6" s="69">
        <f>IFERROR(__xludf.DUMMYFUNCTION("iferror(MAX(query(filter(DATA!H:H,DATA!O:O=B6), ""Select Col1"")),""-"")"),1.0)</f>
        <v>1</v>
      </c>
      <c r="S6" s="66">
        <f>IFERROR(__xludf.DUMMYFUNCTION("iferror(SUM(query(filter(DATA!I:I,DATA!O:O=B6), ""Select Col1"")),""-"")"),0.0)</f>
        <v>0</v>
      </c>
      <c r="T6" s="66">
        <f>IFERROR(__xludf.DUMMYFUNCTION("iferror(SUM(query(filter(DATA!J:J,DATA!O:O=B6), ""Select Col1"")),""-"")"),0.0)</f>
        <v>0</v>
      </c>
      <c r="U6" s="67" t="str">
        <f t="shared" si="2"/>
        <v>-</v>
      </c>
      <c r="V6" s="68">
        <f>IFERROR(__xludf.DUMMYFUNCTION("iferror(AVERAGE(query(filter(DATA!J:J,DATA!O:O=B6), ""Select Col1"")),""0.00"")"),0.0)</f>
        <v>0</v>
      </c>
      <c r="W6" s="69">
        <f>IFERROR(__xludf.DUMMYFUNCTION("iferror(MAX(query(filter(DATA!J:J,DATA!O:O=B6), ""Select Col1"")),""-"")"),0.0)</f>
        <v>0</v>
      </c>
      <c r="X6" s="66">
        <f>IFERROR(__xludf.DUMMYFUNCTION("iferror(SUM(query(filter(DATA!K:K,DATA!O:O=B6), ""Select Col1"")),""-"")"),0.0)</f>
        <v>0</v>
      </c>
      <c r="Y6" s="66">
        <f>IFERROR(__xludf.DUMMYFUNCTION("iferror(AVERAGE(query(filter(DATA!K:K,DATA!O:O=B6), ""Select Col1"")),""-"")"),0.0)</f>
        <v>0</v>
      </c>
      <c r="Z6" s="69">
        <f>IFERROR(__xludf.DUMMYFUNCTION("iferror(MAX(query(filter(DATA!K:K,DATA!O:O=B6), ""Select Col1"")),""-"")"),0.0)</f>
        <v>0</v>
      </c>
      <c r="AA6" s="64" t="str">
        <f>IFERROR(__xludf.DUMMYFUNCTION("if(countif(query(filter(DATA!L:L,DATA!O:O=B6), ""Select Col1""),""Yes"")=0,""0"",countif(query(filter(DATA!L:L,DATA!O:O=B6), ""Select Col1""),""Yes"")) &amp; ""/"" &amp; if(COUNTA(query(ifna(filter(DATA!L:L,DATA!O:O=B6),""""), ""Select Col1""))=0,""0"",COUNTA(que"&amp;"ry(ifna(filter(DATA!L:L,DATA!O:O=B6),""""), ""Select Col1"")))"),"0/5")</f>
        <v>0/5</v>
      </c>
      <c r="AB6" s="114">
        <f>IFERROR(__xludf.DUMMYFUNCTION("iferror(average(query(filter(DATA!M:M,DATA!O:O=B6), ""Select Col1"")),""-"")"),2.8)</f>
        <v>2.8</v>
      </c>
      <c r="AC6" s="74">
        <f>IFERROR(__xludf.DUMMYFUNCTION("iferror(AVERAGE(query(filter(DATA!S:S,DATA!O:O=B6), ""Select Col1"")),""-"")"),14.2)</f>
        <v>14.2</v>
      </c>
      <c r="AD6" s="74">
        <f>IFERROR(__xludf.DUMMYFUNCTION("iferror(AVERAGE(query(filter(DATA!T:T,DATA!O:O=B6), ""Select Col1"")),""-"")"),8.6)</f>
        <v>8.6</v>
      </c>
      <c r="AE6" s="74">
        <f>IFERROR(__xludf.DUMMYFUNCTION("iferror(AVERAGE(query(filter(DATA!U:U,DATA!O:O=B6), ""Select Col1"")),""-"")"),0.4)</f>
        <v>0.4</v>
      </c>
      <c r="AF6" s="74">
        <f>IFERROR(__xludf.DUMMYFUNCTION("iferror(AVERAGE(query(filter(DATA!V:V,DATA!O:O=B6), ""Select Col1"")),""-"")"),5.2)</f>
        <v>5.2</v>
      </c>
      <c r="AG6" s="74">
        <f>IFERROR(__xludf.DUMMYFUNCTION("iferror(AVERAGE(query(filter(DATA!W:W,DATA!O:O=B6), ""Select Col1"")),""-"")"),0.0)</f>
        <v>0</v>
      </c>
      <c r="AH6" s="75">
        <f>IFERROR(__xludf.DUMMYFUNCTION("iferror(max(query(filter(DATA!S:S,DATA!O:O=B6), ""Select Col1"")),""-"")"),23.0)</f>
        <v>23</v>
      </c>
      <c r="AI6" s="76">
        <f>IFERROR(__xludf.DUMMYFUNCTION("iferror(MIN(query(filter(DATA!S:S,DATA!O:O=B6), ""Select Col1"")),""-"")"),0.0)</f>
        <v>0</v>
      </c>
    </row>
    <row r="7">
      <c r="A7" s="2">
        <v>7660.0</v>
      </c>
      <c r="B7" s="2" t="s">
        <v>32</v>
      </c>
      <c r="C7" s="57" t="str">
        <f>IFERROR(__xludf.DUMMYFUNCTION("if(countif(query(filter(DATA!B:B,DATA!O:O=B7), ""Select Col1""),""TRUE"")=0,""0"",countif(query(filter(DATA!B:B,DATA!O:O=B7), ""Select Col1""),""TRUE"")) &amp; ""/"" &amp; if(COUNTA(query(ifna(filter(DATA!B:B,DATA!O:O=B7),""""), ""Select Col1""))=0,""0"",COUNTA(q"&amp;"uery(ifna(filter(DATA!B:B,DATA!O:O=B7),""""), ""Select Col1"")))"),"5/5")</f>
        <v>5/5</v>
      </c>
      <c r="D7" s="58">
        <f>IFERROR(__xludf.DUMMYFUNCTION("iferror(SUM(query(filter(DATA!C:C,DATA!O:O=B7), ""Select Col1"")),""-"")"),41.0)</f>
        <v>41</v>
      </c>
      <c r="E7" s="60">
        <f>IFERROR(__xludf.DUMMYFUNCTION("iferror(AVERAGE(query(filter(DATA!C:C,DATA!O:O=B7), ""Select Col1"")),""0.00"")"),8.2)</f>
        <v>8.2</v>
      </c>
      <c r="F7" s="58">
        <f>IFERROR(__xludf.DUMMYFUNCTION("iferror(MAX(query(filter(DATA!C:C,DATA!O:O=B7), ""Select Col1"")),""-"")"),11.0)</f>
        <v>11</v>
      </c>
      <c r="G7" s="61" t="str">
        <f>IFERROR(__xludf.DUMMYFUNCTION("if(countif(query(filter(DATA!D:D,DATA!O:O=B7), ""Select Col1""),""TRUE"")=0,""0"",countif(query(filter(DATA!D:D,DATA!O:O=B7), ""Select Col1""),""TRUE"")) &amp; ""/"" &amp; if(COUNTA(query(ifna(filter(DATA!D:D,DATA!O:O=B7),""""), ""Select Col1""))=0,""0"",COUNTA(q"&amp;"uery(ifna(filter(DATA!D:D,DATA!O:O=B7),""""), ""Select Col1"")))"),"5/5")</f>
        <v>5/5</v>
      </c>
      <c r="H7" s="59">
        <f>IFERROR(__xludf.DUMMYFUNCTION("iferror(DIVIDE(if(countif(query(filter(DATA!D:D,DATA!O:O=B7), ""Select Col1""),""TRUE"")=0,""0"",countif(query(filter(DATA!D:D,DATA!O:O=B7), ""Select Col1""),""TRUE"")), if(COUNTA(query(ifna(filter(DATA!D:D,DATA!O:O=B7),""""), ""Select Col1""))=0,""0"",CO"&amp;"UNTA(query(ifna(filter(DATA!D:D,DATA!O:O=B7),""""), ""Select Col1"")))),""0.00%"")"),1.0)</f>
        <v>1</v>
      </c>
      <c r="I7" s="63" t="str">
        <f>IFERROR(__xludf.DUMMYFUNCTION("if(countif(query(filter(DATA!E:E,DATA!O:O=B7), ""Select Col1""),""TRUE"")=0,""0"",countif(query(filter(DATA!E:E,DATA!O:O=B7), ""Select Col1""),""TRUE"")) &amp; ""/"" &amp; if(COUNTA(query(ifna(filter(DATA!E:E,DATA!O:O=B7),""""), ""Select Col1""))=0,""0"",COUNTA(q"&amp;"uery(ifna(filter(DATA!E:E,DATA!O:O=B7),""""), ""Select Col1"")))"),"0/5")</f>
        <v>0/5</v>
      </c>
      <c r="J7" s="81">
        <f>IFERROR(__xludf.DUMMYFUNCTION("iferror(DIVIDE(if(countif(query(filter(DATA!E:E,DATA!O:O=B7), ""Select Col1""),""TRUE"")=0,""0"",countif(query(filter(DATA!E:E,DATA!O:O=B7), ""Select Col1""),""TRUE"")), if(COUNTA(query(ifna(filter(DATA!E:E,DATA!O:O=B7),""""), ""Select Col1""))=0,""0"",CO"&amp;"UNTA(query(ifna(filter(DATA!E:E,DATA!O:O=B7),""""), ""Select Col1"")))),""0.00%"")"),0.0)</f>
        <v>0</v>
      </c>
      <c r="K7" s="5">
        <f>IFERROR(__xludf.DUMMYFUNCTION("iferror(SUM(query(filter(DATA!F:F,DATA!O:O=B7), ""Select Col1"")),""-"")"),5.0)</f>
        <v>5</v>
      </c>
      <c r="L7" s="5">
        <f>IFERROR(__xludf.DUMMYFUNCTION("iferror(SUM(query(filter(DATA!G:G,DATA!O:O=B7), ""Select Col1"")),""-"")"),4.0)</f>
        <v>4</v>
      </c>
      <c r="M7" s="59">
        <f t="shared" si="1"/>
        <v>0.8</v>
      </c>
      <c r="N7" s="60">
        <f>IFERROR(__xludf.DUMMYFUNCTION("iferror(AVERAGE(query(filter(DATA!G:G,DATA!O:O=B7), ""Select Col1"")),""0.00"")"),0.8)</f>
        <v>0.8</v>
      </c>
      <c r="O7" s="65">
        <f>IFERROR(__xludf.DUMMYFUNCTION("iferror(MAX(query(filter(DATA!G:G,DATA!O:O=B7), ""Select Col1"")),""-"")"),2.0)</f>
        <v>2</v>
      </c>
      <c r="P7" s="66">
        <f>IFERROR(__xludf.DUMMYFUNCTION("iferror(SUM(query(filter(DATA!H:H,DATA!O:O=B7), ""Select Col1"")),""-"")"),12.0)</f>
        <v>12</v>
      </c>
      <c r="Q7" s="68">
        <f>IFERROR(__xludf.DUMMYFUNCTION("iferror(AVERAGE(query(filter(DATA!H:H,DATA!O:O=B7), ""Select Col1"")),""0.00"")"),3.0)</f>
        <v>3</v>
      </c>
      <c r="R7" s="69">
        <f>IFERROR(__xludf.DUMMYFUNCTION("iferror(MAX(query(filter(DATA!H:H,DATA!O:O=B7), ""Select Col1"")),""-"")"),5.0)</f>
        <v>5</v>
      </c>
      <c r="S7" s="66">
        <f>IFERROR(__xludf.DUMMYFUNCTION("iferror(SUM(query(filter(DATA!I:I,DATA!O:O=B7), ""Select Col1"")),""-"")"),0.0)</f>
        <v>0</v>
      </c>
      <c r="T7" s="66">
        <f>IFERROR(__xludf.DUMMYFUNCTION("iferror(SUM(query(filter(DATA!J:J,DATA!O:O=B7), ""Select Col1"")),""-"")"),0.0)</f>
        <v>0</v>
      </c>
      <c r="U7" s="67" t="str">
        <f t="shared" si="2"/>
        <v>-</v>
      </c>
      <c r="V7" s="68">
        <f>IFERROR(__xludf.DUMMYFUNCTION("iferror(AVERAGE(query(filter(DATA!J:J,DATA!O:O=B7), ""Select Col1"")),""0.00"")"),0.0)</f>
        <v>0</v>
      </c>
      <c r="W7" s="69">
        <f>IFERROR(__xludf.DUMMYFUNCTION("iferror(MAX(query(filter(DATA!J:J,DATA!O:O=B7), ""Select Col1"")),""-"")"),0.0)</f>
        <v>0</v>
      </c>
      <c r="X7" s="66">
        <f>IFERROR(__xludf.DUMMYFUNCTION("iferror(SUM(query(filter(DATA!K:K,DATA!O:O=B7), ""Select Col1"")),""-"")"),0.0)</f>
        <v>0</v>
      </c>
      <c r="Y7" s="66">
        <f>IFERROR(__xludf.DUMMYFUNCTION("iferror(AVERAGE(query(filter(DATA!K:K,DATA!O:O=B7), ""Select Col1"")),""-"")"),0.0)</f>
        <v>0</v>
      </c>
      <c r="Z7" s="69">
        <f>IFERROR(__xludf.DUMMYFUNCTION("iferror(MAX(query(filter(DATA!K:K,DATA!O:O=B7), ""Select Col1"")),""-"")"),0.0)</f>
        <v>0</v>
      </c>
      <c r="AA7" s="64" t="str">
        <f>IFERROR(__xludf.DUMMYFUNCTION("if(countif(query(filter(DATA!L:L,DATA!O:O=B7), ""Select Col1""),""Yes"")=0,""0"",countif(query(filter(DATA!L:L,DATA!O:O=B7), ""Select Col1""),""Yes"")) &amp; ""/"" &amp; if(COUNTA(query(ifna(filter(DATA!L:L,DATA!O:O=B7),""""), ""Select Col1""))=0,""0"",COUNTA(que"&amp;"ry(ifna(filter(DATA!L:L,DATA!O:O=B7),""""), ""Select Col1"")))"),"0/5")</f>
        <v>0/5</v>
      </c>
      <c r="AB7" s="114">
        <f>IFERROR(__xludf.DUMMYFUNCTION("iferror(average(query(filter(DATA!M:M,DATA!O:O=B7), ""Select Col1"")),""-"")"),3.0)</f>
        <v>3</v>
      </c>
      <c r="AC7" s="74">
        <f>IFERROR(__xludf.DUMMYFUNCTION("iferror(AVERAGE(query(filter(DATA!S:S,DATA!O:O=B7), ""Select Col1"")),""-"")"),13.4)</f>
        <v>13.4</v>
      </c>
      <c r="AD7" s="74">
        <f>IFERROR(__xludf.DUMMYFUNCTION("iferror(AVERAGE(query(filter(DATA!T:T,DATA!O:O=B7), ""Select Col1"")),""-"")"),10.2)</f>
        <v>10.2</v>
      </c>
      <c r="AE7" s="74">
        <f>IFERROR(__xludf.DUMMYFUNCTION("iferror(AVERAGE(query(filter(DATA!U:U,DATA!O:O=B7), ""Select Col1"")),""-"")"),2.4)</f>
        <v>2.4</v>
      </c>
      <c r="AF7" s="74">
        <f>IFERROR(__xludf.DUMMYFUNCTION("iferror(AVERAGE(query(filter(DATA!V:V,DATA!O:O=B7), ""Select Col1"")),""-"")"),0.8)</f>
        <v>0.8</v>
      </c>
      <c r="AG7" s="74">
        <f>IFERROR(__xludf.DUMMYFUNCTION("iferror(AVERAGE(query(filter(DATA!W:W,DATA!O:O=B7), ""Select Col1"")),""-"")"),0.0)</f>
        <v>0</v>
      </c>
      <c r="AH7" s="75">
        <f>IFERROR(__xludf.DUMMYFUNCTION("iferror(max(query(filter(DATA!S:S,DATA!O:O=B7), ""Select Col1"")),""-"")"),16.0)</f>
        <v>16</v>
      </c>
      <c r="AI7" s="76">
        <f>IFERROR(__xludf.DUMMYFUNCTION("iferror(MIN(query(filter(DATA!S:S,DATA!O:O=B7), ""Select Col1"")),""-"")"),9.0)</f>
        <v>9</v>
      </c>
    </row>
    <row r="8">
      <c r="A8" s="2">
        <v>1076.0</v>
      </c>
      <c r="B8" s="2" t="s">
        <v>42</v>
      </c>
      <c r="C8" s="57" t="str">
        <f>IFERROR(__xludf.DUMMYFUNCTION("if(countif(query(filter(DATA!B:B,DATA!O:O=B8), ""Select Col1""),""TRUE"")=0,""0"",countif(query(filter(DATA!B:B,DATA!O:O=B8), ""Select Col1""),""TRUE"")) &amp; ""/"" &amp; if(COUNTA(query(ifna(filter(DATA!B:B,DATA!O:O=B8),""""), ""Select Col1""))=0,""0"",COUNTA(q"&amp;"uery(ifna(filter(DATA!B:B,DATA!O:O=B8),""""), ""Select Col1"")))"),"5/5")</f>
        <v>5/5</v>
      </c>
      <c r="D8" s="58">
        <f>IFERROR(__xludf.DUMMYFUNCTION("iferror(SUM(query(filter(DATA!C:C,DATA!O:O=B8), ""Select Col1"")),""-"")"),30.0)</f>
        <v>30</v>
      </c>
      <c r="E8" s="60">
        <f>IFERROR(__xludf.DUMMYFUNCTION("iferror(AVERAGE(query(filter(DATA!C:C,DATA!O:O=B8), ""Select Col1"")),""0.00"")"),6.0)</f>
        <v>6</v>
      </c>
      <c r="F8" s="58">
        <f>IFERROR(__xludf.DUMMYFUNCTION("iferror(MAX(query(filter(DATA!C:C,DATA!O:O=B8), ""Select Col1"")),""-"")"),11.0)</f>
        <v>11</v>
      </c>
      <c r="G8" s="61" t="str">
        <f>IFERROR(__xludf.DUMMYFUNCTION("if(countif(query(filter(DATA!D:D,DATA!O:O=B8), ""Select Col1""),""TRUE"")=0,""0"",countif(query(filter(DATA!D:D,DATA!O:O=B8), ""Select Col1""),""TRUE"")) &amp; ""/"" &amp; if(COUNTA(query(ifna(filter(DATA!D:D,DATA!O:O=B8),""""), ""Select Col1""))=0,""0"",COUNTA(q"&amp;"uery(ifna(filter(DATA!D:D,DATA!O:O=B8),""""), ""Select Col1"")))"),"5/5")</f>
        <v>5/5</v>
      </c>
      <c r="H8" s="59">
        <f>IFERROR(__xludf.DUMMYFUNCTION("iferror(DIVIDE(if(countif(query(filter(DATA!D:D,DATA!O:O=B8), ""Select Col1""),""TRUE"")=0,""0"",countif(query(filter(DATA!D:D,DATA!O:O=B8), ""Select Col1""),""TRUE"")), if(COUNTA(query(ifna(filter(DATA!D:D,DATA!O:O=B8),""""), ""Select Col1""))=0,""0"",CO"&amp;"UNTA(query(ifna(filter(DATA!D:D,DATA!O:O=B8),""""), ""Select Col1"")))),""0.00%"")"),1.0)</f>
        <v>1</v>
      </c>
      <c r="I8" s="63" t="str">
        <f>IFERROR(__xludf.DUMMYFUNCTION("if(countif(query(filter(DATA!E:E,DATA!O:O=B8), ""Select Col1""),""TRUE"")=0,""0"",countif(query(filter(DATA!E:E,DATA!O:O=B8), ""Select Col1""),""TRUE"")) &amp; ""/"" &amp; if(COUNTA(query(ifna(filter(DATA!E:E,DATA!O:O=B8),""""), ""Select Col1""))=0,""0"",COUNTA(q"&amp;"uery(ifna(filter(DATA!E:E,DATA!O:O=B8),""""), ""Select Col1"")))"),"2/5")</f>
        <v>2/5</v>
      </c>
      <c r="J8" s="81">
        <f>IFERROR(__xludf.DUMMYFUNCTION("iferror(DIVIDE(if(countif(query(filter(DATA!E:E,DATA!O:O=B8), ""Select Col1""),""TRUE"")=0,""0"",countif(query(filter(DATA!E:E,DATA!O:O=B8), ""Select Col1""),""TRUE"")), if(COUNTA(query(ifna(filter(DATA!E:E,DATA!O:O=B8),""""), ""Select Col1""))=0,""0"",CO"&amp;"UNTA(query(ifna(filter(DATA!E:E,DATA!O:O=B8),""""), ""Select Col1"")))),""0.00%"")"),0.4)</f>
        <v>0.4</v>
      </c>
      <c r="K8" s="5">
        <f>IFERROR(__xludf.DUMMYFUNCTION("iferror(SUM(query(filter(DATA!F:F,DATA!O:O=B8), ""Select Col1"")),""-"")"),8.0)</f>
        <v>8</v>
      </c>
      <c r="L8" s="5">
        <f>IFERROR(__xludf.DUMMYFUNCTION("iferror(SUM(query(filter(DATA!G:G,DATA!O:O=B8), ""Select Col1"")),""-"")"),6.0)</f>
        <v>6</v>
      </c>
      <c r="M8" s="59">
        <f t="shared" si="1"/>
        <v>0.75</v>
      </c>
      <c r="N8" s="60">
        <f>IFERROR(__xludf.DUMMYFUNCTION("iferror(AVERAGE(query(filter(DATA!G:G,DATA!O:O=B8), ""Select Col1"")),""0.00"")"),1.5)</f>
        <v>1.5</v>
      </c>
      <c r="O8" s="65">
        <f>IFERROR(__xludf.DUMMYFUNCTION("iferror(MAX(query(filter(DATA!G:G,DATA!O:O=B8), ""Select Col1"")),""-"")"),2.0)</f>
        <v>2</v>
      </c>
      <c r="P8" s="66">
        <f>IFERROR(__xludf.DUMMYFUNCTION("iferror(SUM(query(filter(DATA!H:H,DATA!O:O=B8), ""Select Col1"")),""-"")"),2.0)</f>
        <v>2</v>
      </c>
      <c r="Q8" s="68">
        <f>IFERROR(__xludf.DUMMYFUNCTION("iferror(AVERAGE(query(filter(DATA!H:H,DATA!O:O=B8), ""Select Col1"")),""0.00"")"),0.6666666666666666)</f>
        <v>0.6666666667</v>
      </c>
      <c r="R8" s="69">
        <f>IFERROR(__xludf.DUMMYFUNCTION("iferror(MAX(query(filter(DATA!H:H,DATA!O:O=B8), ""Select Col1"")),""-"")"),2.0)</f>
        <v>2</v>
      </c>
      <c r="S8" s="66">
        <f>IFERROR(__xludf.DUMMYFUNCTION("iferror(SUM(query(filter(DATA!I:I,DATA!O:O=B8), ""Select Col1"")),""-"")"),9.0)</f>
        <v>9</v>
      </c>
      <c r="T8" s="66">
        <f>IFERROR(__xludf.DUMMYFUNCTION("iferror(SUM(query(filter(DATA!J:J,DATA!O:O=B8), ""Select Col1"")),""-"")"),7.0)</f>
        <v>7</v>
      </c>
      <c r="U8" s="67">
        <f t="shared" si="2"/>
        <v>0.7777777778</v>
      </c>
      <c r="V8" s="68">
        <f>IFERROR(__xludf.DUMMYFUNCTION("iferror(AVERAGE(query(filter(DATA!J:J,DATA!O:O=B8), ""Select Col1"")),""0.00"")"),1.4)</f>
        <v>1.4</v>
      </c>
      <c r="W8" s="69">
        <f>IFERROR(__xludf.DUMMYFUNCTION("iferror(MAX(query(filter(DATA!J:J,DATA!O:O=B8), ""Select Col1"")),""-"")"),3.0)</f>
        <v>3</v>
      </c>
      <c r="X8" s="66">
        <f>IFERROR(__xludf.DUMMYFUNCTION("iferror(SUM(query(filter(DATA!K:K,DATA!O:O=B8), ""Select Col1"")),""-"")"),0.0)</f>
        <v>0</v>
      </c>
      <c r="Y8" s="66">
        <f>IFERROR(__xludf.DUMMYFUNCTION("iferror(AVERAGE(query(filter(DATA!K:K,DATA!O:O=B8), ""Select Col1"")),""-"")"),0.0)</f>
        <v>0</v>
      </c>
      <c r="Z8" s="69">
        <f>IFERROR(__xludf.DUMMYFUNCTION("iferror(MAX(query(filter(DATA!K:K,DATA!O:O=B8), ""Select Col1"")),""-"")"),0.0)</f>
        <v>0</v>
      </c>
      <c r="AA8" s="64" t="str">
        <f>IFERROR(__xludf.DUMMYFUNCTION("if(countif(query(filter(DATA!L:L,DATA!O:O=B8), ""Select Col1""),""Yes"")=0,""0"",countif(query(filter(DATA!L:L,DATA!O:O=B8), ""Select Col1""),""Yes"")) &amp; ""/"" &amp; if(COUNTA(query(ifna(filter(DATA!L:L,DATA!O:O=B8),""""), ""Select Col1""))=0,""0"",COUNTA(que"&amp;"ry(ifna(filter(DATA!L:L,DATA!O:O=B8),""""), ""Select Col1"")))"),"1/5")</f>
        <v>1/5</v>
      </c>
      <c r="AB8" s="114">
        <f>IFERROR(__xludf.DUMMYFUNCTION("iferror(average(query(filter(DATA!M:M,DATA!O:O=B8), ""Select Col1"")),""-"")"),3.2)</f>
        <v>3.2</v>
      </c>
      <c r="AC8" s="74">
        <f>IFERROR(__xludf.DUMMYFUNCTION("iferror(AVERAGE(query(filter(DATA!S:S,DATA!O:O=B8), ""Select Col1"")),""-"")"),10.4)</f>
        <v>10.4</v>
      </c>
      <c r="AD8" s="74">
        <f>IFERROR(__xludf.DUMMYFUNCTION("iferror(AVERAGE(query(filter(DATA!T:T,DATA!O:O=B8), ""Select Col1"")),""-"")"),6.0)</f>
        <v>6</v>
      </c>
      <c r="AE8" s="74">
        <f>IFERROR(__xludf.DUMMYFUNCTION("iferror(AVERAGE(query(filter(DATA!U:U,DATA!O:O=B8), ""Select Col1"")),""-"")"),3.2)</f>
        <v>3.2</v>
      </c>
      <c r="AF8" s="74">
        <f>IFERROR(__xludf.DUMMYFUNCTION("iferror(AVERAGE(query(filter(DATA!V:V,DATA!O:O=B8), ""Select Col1"")),""-"")"),1.2)</f>
        <v>1.2</v>
      </c>
      <c r="AG8" s="74">
        <f>IFERROR(__xludf.DUMMYFUNCTION("iferror(AVERAGE(query(filter(DATA!W:W,DATA!O:O=B8), ""Select Col1"")),""-"")"),0.0)</f>
        <v>0</v>
      </c>
      <c r="AH8" s="75">
        <f>IFERROR(__xludf.DUMMYFUNCTION("iferror(max(query(filter(DATA!S:S,DATA!O:O=B8), ""Select Col1"")),""-"")"),19.0)</f>
        <v>19</v>
      </c>
      <c r="AI8" s="76">
        <f>IFERROR(__xludf.DUMMYFUNCTION("iferror(MIN(query(filter(DATA!S:S,DATA!O:O=B8), ""Select Col1"")),""-"")"),7.0)</f>
        <v>7</v>
      </c>
    </row>
    <row r="9">
      <c r="A9" s="2">
        <v>3322.0</v>
      </c>
      <c r="B9" s="2" t="s">
        <v>36</v>
      </c>
      <c r="C9" s="57" t="str">
        <f>IFERROR(__xludf.DUMMYFUNCTION("if(countif(query(filter(DATA!B:B,DATA!O:O=B9), ""Select Col1""),""TRUE"")=0,""0"",countif(query(filter(DATA!B:B,DATA!O:O=B9), ""Select Col1""),""TRUE"")) &amp; ""/"" &amp; if(COUNTA(query(ifna(filter(DATA!B:B,DATA!O:O=B9),""""), ""Select Col1""))=0,""0"",COUNTA(q"&amp;"uery(ifna(filter(DATA!B:B,DATA!O:O=B9),""""), ""Select Col1"")))"),"4/5")</f>
        <v>4/5</v>
      </c>
      <c r="D9" s="58">
        <f>IFERROR(__xludf.DUMMYFUNCTION("iferror(SUM(query(filter(DATA!C:C,DATA!O:O=B9), ""Select Col1"")),""-"")"),32.0)</f>
        <v>32</v>
      </c>
      <c r="E9" s="60">
        <f>IFERROR(__xludf.DUMMYFUNCTION("iferror(AVERAGE(query(filter(DATA!C:C,DATA!O:O=B9), ""Select Col1"")),""0.00"")"),6.4)</f>
        <v>6.4</v>
      </c>
      <c r="F9" s="58">
        <f>IFERROR(__xludf.DUMMYFUNCTION("iferror(MAX(query(filter(DATA!C:C,DATA!O:O=B9), ""Select Col1"")),""-"")"),8.0)</f>
        <v>8</v>
      </c>
      <c r="G9" s="61" t="str">
        <f>IFERROR(__xludf.DUMMYFUNCTION("if(countif(query(filter(DATA!D:D,DATA!O:O=B9), ""Select Col1""),""TRUE"")=0,""0"",countif(query(filter(DATA!D:D,DATA!O:O=B9), ""Select Col1""),""TRUE"")) &amp; ""/"" &amp; if(COUNTA(query(ifna(filter(DATA!D:D,DATA!O:O=B9),""""), ""Select Col1""))=0,""0"",COUNTA(q"&amp;"uery(ifna(filter(DATA!D:D,DATA!O:O=B9),""""), ""Select Col1"")))"),"0/5")</f>
        <v>0/5</v>
      </c>
      <c r="H9" s="59">
        <f>IFERROR(__xludf.DUMMYFUNCTION("iferror(DIVIDE(if(countif(query(filter(DATA!D:D,DATA!O:O=B9), ""Select Col1""),""TRUE"")=0,""0"",countif(query(filter(DATA!D:D,DATA!O:O=B9), ""Select Col1""),""TRUE"")), if(COUNTA(query(ifna(filter(DATA!D:D,DATA!O:O=B9),""""), ""Select Col1""))=0,""0"",CO"&amp;"UNTA(query(ifna(filter(DATA!D:D,DATA!O:O=B9),""""), ""Select Col1"")))),""0.00%"")"),0.0)</f>
        <v>0</v>
      </c>
      <c r="I9" s="63" t="str">
        <f>IFERROR(__xludf.DUMMYFUNCTION("if(countif(query(filter(DATA!E:E,DATA!O:O=B9), ""Select Col1""),""TRUE"")=0,""0"",countif(query(filter(DATA!E:E,DATA!O:O=B9), ""Select Col1""),""TRUE"")) &amp; ""/"" &amp; if(COUNTA(query(ifna(filter(DATA!E:E,DATA!O:O=B9),""""), ""Select Col1""))=0,""0"",COUNTA(q"&amp;"uery(ifna(filter(DATA!E:E,DATA!O:O=B9),""""), ""Select Col1"")))"),"0/5")</f>
        <v>0/5</v>
      </c>
      <c r="J9" s="81">
        <f>IFERROR(__xludf.DUMMYFUNCTION("iferror(DIVIDE(if(countif(query(filter(DATA!E:E,DATA!O:O=B9), ""Select Col1""),""TRUE"")=0,""0"",countif(query(filter(DATA!E:E,DATA!O:O=B9), ""Select Col1""),""TRUE"")), if(COUNTA(query(ifna(filter(DATA!E:E,DATA!O:O=B9),""""), ""Select Col1""))=0,""0"",CO"&amp;"UNTA(query(ifna(filter(DATA!E:E,DATA!O:O=B9),""""), ""Select Col1"")))),""0.00%"")"),0.0)</f>
        <v>0</v>
      </c>
      <c r="K9" s="5">
        <f>IFERROR(__xludf.DUMMYFUNCTION("iferror(SUM(query(filter(DATA!F:F,DATA!O:O=B9), ""Select Col1"")),""-"")"),28.0)</f>
        <v>28</v>
      </c>
      <c r="L9" s="5">
        <f>IFERROR(__xludf.DUMMYFUNCTION("iferror(SUM(query(filter(DATA!G:G,DATA!O:O=B9), ""Select Col1"")),""-"")"),12.0)</f>
        <v>12</v>
      </c>
      <c r="M9" s="59">
        <f t="shared" si="1"/>
        <v>0.4285714286</v>
      </c>
      <c r="N9" s="60">
        <f>IFERROR(__xludf.DUMMYFUNCTION("iferror(AVERAGE(query(filter(DATA!G:G,DATA!O:O=B9), ""Select Col1"")),""0.00"")"),2.4)</f>
        <v>2.4</v>
      </c>
      <c r="O9" s="65">
        <f>IFERROR(__xludf.DUMMYFUNCTION("iferror(MAX(query(filter(DATA!G:G,DATA!O:O=B9), ""Select Col1"")),""-"")"),5.0)</f>
        <v>5</v>
      </c>
      <c r="P9" s="66">
        <f>IFERROR(__xludf.DUMMYFUNCTION("iferror(SUM(query(filter(DATA!H:H,DATA!O:O=B9), ""Select Col1"")),""-"")"),4.0)</f>
        <v>4</v>
      </c>
      <c r="Q9" s="68">
        <f>IFERROR(__xludf.DUMMYFUNCTION("iferror(AVERAGE(query(filter(DATA!H:H,DATA!O:O=B9), ""Select Col1"")),""0.00"")"),1.0)</f>
        <v>1</v>
      </c>
      <c r="R9" s="69">
        <f>IFERROR(__xludf.DUMMYFUNCTION("iferror(MAX(query(filter(DATA!H:H,DATA!O:O=B9), ""Select Col1"")),""-"")"),2.0)</f>
        <v>2</v>
      </c>
      <c r="S9" s="66">
        <f>IFERROR(__xludf.DUMMYFUNCTION("iferror(SUM(query(filter(DATA!I:I,DATA!O:O=B9), ""Select Col1"")),""-"")"),0.0)</f>
        <v>0</v>
      </c>
      <c r="T9" s="66">
        <f>IFERROR(__xludf.DUMMYFUNCTION("iferror(SUM(query(filter(DATA!J:J,DATA!O:O=B9), ""Select Col1"")),""-"")"),0.0)</f>
        <v>0</v>
      </c>
      <c r="U9" s="67" t="str">
        <f t="shared" si="2"/>
        <v>-</v>
      </c>
      <c r="V9" s="68">
        <f>IFERROR(__xludf.DUMMYFUNCTION("iferror(AVERAGE(query(filter(DATA!J:J,DATA!O:O=B9), ""Select Col1"")),""0.00"")"),0.0)</f>
        <v>0</v>
      </c>
      <c r="W9" s="69">
        <f>IFERROR(__xludf.DUMMYFUNCTION("iferror(MAX(query(filter(DATA!J:J,DATA!O:O=B9), ""Select Col1"")),""-"")"),0.0)</f>
        <v>0</v>
      </c>
      <c r="X9" s="66">
        <f>IFERROR(__xludf.DUMMYFUNCTION("iferror(SUM(query(filter(DATA!K:K,DATA!O:O=B9), ""Select Col1"")),""-"")"),1.0)</f>
        <v>1</v>
      </c>
      <c r="Y9" s="66">
        <f>IFERROR(__xludf.DUMMYFUNCTION("iferror(AVERAGE(query(filter(DATA!K:K,DATA!O:O=B9), ""Select Col1"")),""-"")"),0.25)</f>
        <v>0.25</v>
      </c>
      <c r="Z9" s="69">
        <f>IFERROR(__xludf.DUMMYFUNCTION("iferror(MAX(query(filter(DATA!K:K,DATA!O:O=B9), ""Select Col1"")),""-"")"),1.0)</f>
        <v>1</v>
      </c>
      <c r="AA9" s="64" t="str">
        <f>IFERROR(__xludf.DUMMYFUNCTION("if(countif(query(filter(DATA!L:L,DATA!O:O=B9), ""Select Col1""),""Yes"")=0,""0"",countif(query(filter(DATA!L:L,DATA!O:O=B9), ""Select Col1""),""Yes"")) &amp; ""/"" &amp; if(COUNTA(query(ifna(filter(DATA!L:L,DATA!O:O=B9),""""), ""Select Col1""))=0,""0"",COUNTA(que"&amp;"ry(ifna(filter(DATA!L:L,DATA!O:O=B9),""""), ""Select Col1"")))"),"3/5")</f>
        <v>3/5</v>
      </c>
      <c r="AB9" s="114">
        <f>IFERROR(__xludf.DUMMYFUNCTION("iferror(average(query(filter(DATA!M:M,DATA!O:O=B9), ""Select Col1"")),""-"")"),3.0)</f>
        <v>3</v>
      </c>
      <c r="AC9" s="74">
        <f>IFERROR(__xludf.DUMMYFUNCTION("iferror(AVERAGE(query(filter(DATA!S:S,DATA!O:O=B9), ""Select Col1"")),""-"")"),10.4)</f>
        <v>10.4</v>
      </c>
      <c r="AD9" s="74">
        <f>IFERROR(__xludf.DUMMYFUNCTION("iferror(AVERAGE(query(filter(DATA!T:T,DATA!O:O=B9), ""Select Col1"")),""-"")"),7.2)</f>
        <v>7.2</v>
      </c>
      <c r="AE9" s="74">
        <f>IFERROR(__xludf.DUMMYFUNCTION("iferror(AVERAGE(query(filter(DATA!U:U,DATA!O:O=B9), ""Select Col1"")),""-"")"),0.8)</f>
        <v>0.8</v>
      </c>
      <c r="AF9" s="74">
        <f>IFERROR(__xludf.DUMMYFUNCTION("iferror(AVERAGE(query(filter(DATA!V:V,DATA!O:O=B9), ""Select Col1"")),""-"")"),2.4)</f>
        <v>2.4</v>
      </c>
      <c r="AG9" s="74">
        <f>IFERROR(__xludf.DUMMYFUNCTION("iferror(AVERAGE(query(filter(DATA!W:W,DATA!O:O=B9), ""Select Col1"")),""-"")"),-2.0)</f>
        <v>-2</v>
      </c>
      <c r="AH9" s="75">
        <f>IFERROR(__xludf.DUMMYFUNCTION("iferror(max(query(filter(DATA!S:S,DATA!O:O=B9), ""Select Col1"")),""-"")"),16.0)</f>
        <v>16</v>
      </c>
      <c r="AI9" s="76">
        <f>IFERROR(__xludf.DUMMYFUNCTION("iferror(MIN(query(filter(DATA!S:S,DATA!O:O=B9), ""Select Col1"")),""-"")"),5.0)</f>
        <v>5</v>
      </c>
    </row>
    <row r="10">
      <c r="A10" s="2">
        <v>5530.0</v>
      </c>
      <c r="B10" s="2" t="s">
        <v>24</v>
      </c>
      <c r="C10" s="57" t="str">
        <f>IFERROR(__xludf.DUMMYFUNCTION("if(countif(query(filter(DATA!B:B,DATA!O:O=B10), ""Select Col1""),""TRUE"")=0,""0"",countif(query(filter(DATA!B:B,DATA!O:O=B10), ""Select Col1""),""TRUE"")) &amp; ""/"" &amp; if(COUNTA(query(ifna(filter(DATA!B:B,DATA!O:O=B10),""""), ""Select Col1""))=0,""0"",COUNT"&amp;"A(query(ifna(filter(DATA!B:B,DATA!O:O=B10),""""), ""Select Col1"")))"),"3/5")</f>
        <v>3/5</v>
      </c>
      <c r="D10" s="58">
        <f>IFERROR(__xludf.DUMMYFUNCTION("iferror(SUM(query(filter(DATA!C:C,DATA!O:O=B10), ""Select Col1"")),""-"")"),25.0)</f>
        <v>25</v>
      </c>
      <c r="E10" s="60">
        <f>IFERROR(__xludf.DUMMYFUNCTION("iferror(AVERAGE(query(filter(DATA!C:C,DATA!O:O=B10), ""Select Col1"")),""0.00"")"),5.0)</f>
        <v>5</v>
      </c>
      <c r="F10" s="58">
        <f>IFERROR(__xludf.DUMMYFUNCTION("iferror(MAX(query(filter(DATA!C:C,DATA!O:O=B10), ""Select Col1"")),""-"")"),12.0)</f>
        <v>12</v>
      </c>
      <c r="G10" s="61" t="str">
        <f>IFERROR(__xludf.DUMMYFUNCTION("if(countif(query(filter(DATA!D:D,DATA!O:O=B10), ""Select Col1""),""TRUE"")=0,""0"",countif(query(filter(DATA!D:D,DATA!O:O=B10), ""Select Col1""),""TRUE"")) &amp; ""/"" &amp; if(COUNTA(query(ifna(filter(DATA!D:D,DATA!O:O=B10),""""), ""Select Col1""))=0,""0"",COUNT"&amp;"A(query(ifna(filter(DATA!D:D,DATA!O:O=B10),""""), ""Select Col1"")))"),"0/5")</f>
        <v>0/5</v>
      </c>
      <c r="H10" s="59">
        <f>IFERROR(__xludf.DUMMYFUNCTION("iferror(DIVIDE(if(countif(query(filter(DATA!D:D,DATA!O:O=B10), ""Select Col1""),""TRUE"")=0,""0"",countif(query(filter(DATA!D:D,DATA!O:O=B10), ""Select Col1""),""TRUE"")), if(COUNTA(query(ifna(filter(DATA!D:D,DATA!O:O=B10),""""), ""Select Col1""))=0,""0"""&amp;",COUNTA(query(ifna(filter(DATA!D:D,DATA!O:O=B10),""""), ""Select Col1"")))),""0.00%"")"),0.0)</f>
        <v>0</v>
      </c>
      <c r="I10" s="63" t="str">
        <f>IFERROR(__xludf.DUMMYFUNCTION("if(countif(query(filter(DATA!E:E,DATA!O:O=B10), ""Select Col1""),""TRUE"")=0,""0"",countif(query(filter(DATA!E:E,DATA!O:O=B10), ""Select Col1""),""TRUE"")) &amp; ""/"" &amp; if(COUNTA(query(ifna(filter(DATA!E:E,DATA!O:O=B10),""""), ""Select Col1""))=0,""0"",COUNT"&amp;"A(query(ifna(filter(DATA!E:E,DATA!O:O=B10),""""), ""Select Col1"")))"),"0/5")</f>
        <v>0/5</v>
      </c>
      <c r="J10" s="81">
        <f>IFERROR(__xludf.DUMMYFUNCTION("iferror(DIVIDE(if(countif(query(filter(DATA!E:E,DATA!O:O=B10), ""Select Col1""),""TRUE"")=0,""0"",countif(query(filter(DATA!E:E,DATA!O:O=B10), ""Select Col1""),""TRUE"")), if(COUNTA(query(ifna(filter(DATA!E:E,DATA!O:O=B10),""""), ""Select Col1""))=0,""0"""&amp;",COUNTA(query(ifna(filter(DATA!E:E,DATA!O:O=B10),""""), ""Select Col1"")))),""0.00%"")"),0.0)</f>
        <v>0</v>
      </c>
      <c r="K10" s="5">
        <f>IFERROR(__xludf.DUMMYFUNCTION("iferror(SUM(query(filter(DATA!F:F,DATA!O:O=B10), ""Select Col1"")),""-"")"),9.0)</f>
        <v>9</v>
      </c>
      <c r="L10" s="5">
        <f>IFERROR(__xludf.DUMMYFUNCTION("iferror(SUM(query(filter(DATA!G:G,DATA!O:O=B10), ""Select Col1"")),""-"")"),9.0)</f>
        <v>9</v>
      </c>
      <c r="M10" s="59">
        <f t="shared" si="1"/>
        <v>1</v>
      </c>
      <c r="N10" s="60">
        <f>IFERROR(__xludf.DUMMYFUNCTION("iferror(AVERAGE(query(filter(DATA!G:G,DATA!O:O=B10), ""Select Col1"")),""0.00"")"),1.8)</f>
        <v>1.8</v>
      </c>
      <c r="O10" s="65">
        <f>IFERROR(__xludf.DUMMYFUNCTION("iferror(MAX(query(filter(DATA!G:G,DATA!O:O=B10), ""Select Col1"")),""-"")"),3.0)</f>
        <v>3</v>
      </c>
      <c r="P10" s="66">
        <f>IFERROR(__xludf.DUMMYFUNCTION("iferror(SUM(query(filter(DATA!H:H,DATA!O:O=B10), ""Select Col1"")),""-"")"),6.0)</f>
        <v>6</v>
      </c>
      <c r="Q10" s="68">
        <f>IFERROR(__xludf.DUMMYFUNCTION("iferror(AVERAGE(query(filter(DATA!H:H,DATA!O:O=B10), ""Select Col1"")),""0.00"")"),1.2)</f>
        <v>1.2</v>
      </c>
      <c r="R10" s="69">
        <f>IFERROR(__xludf.DUMMYFUNCTION("iferror(MAX(query(filter(DATA!H:H,DATA!O:O=B10), ""Select Col1"")),""-"")"),4.0)</f>
        <v>4</v>
      </c>
      <c r="S10" s="66">
        <f>IFERROR(__xludf.DUMMYFUNCTION("iferror(SUM(query(filter(DATA!I:I,DATA!O:O=B10), ""Select Col1"")),""-"")"),0.0)</f>
        <v>0</v>
      </c>
      <c r="T10" s="66">
        <f>IFERROR(__xludf.DUMMYFUNCTION("iferror(SUM(query(filter(DATA!J:J,DATA!O:O=B10), ""Select Col1"")),""-"")"),0.0)</f>
        <v>0</v>
      </c>
      <c r="U10" s="67" t="str">
        <f t="shared" si="2"/>
        <v>-</v>
      </c>
      <c r="V10" s="68">
        <f>IFERROR(__xludf.DUMMYFUNCTION("iferror(AVERAGE(query(filter(DATA!J:J,DATA!O:O=B10), ""Select Col1"")),""0.00"")"),0.0)</f>
        <v>0</v>
      </c>
      <c r="W10" s="69">
        <f>IFERROR(__xludf.DUMMYFUNCTION("iferror(MAX(query(filter(DATA!J:J,DATA!O:O=B10), ""Select Col1"")),""-"")"),0.0)</f>
        <v>0</v>
      </c>
      <c r="X10" s="66">
        <f>IFERROR(__xludf.DUMMYFUNCTION("iferror(SUM(query(filter(DATA!K:K,DATA!O:O=B10), ""Select Col1"")),""-"")"),0.0)</f>
        <v>0</v>
      </c>
      <c r="Y10" s="66">
        <f>IFERROR(__xludf.DUMMYFUNCTION("iferror(AVERAGE(query(filter(DATA!K:K,DATA!O:O=B10), ""Select Col1"")),""-"")"),0.0)</f>
        <v>0</v>
      </c>
      <c r="Z10" s="69">
        <f>IFERROR(__xludf.DUMMYFUNCTION("iferror(MAX(query(filter(DATA!K:K,DATA!O:O=B10), ""Select Col1"")),""-"")"),0.0)</f>
        <v>0</v>
      </c>
      <c r="AA10" s="64" t="str">
        <f>IFERROR(__xludf.DUMMYFUNCTION("if(countif(query(filter(DATA!L:L,DATA!O:O=B10), ""Select Col1""),""Yes"")=0,""0"",countif(query(filter(DATA!L:L,DATA!O:O=B10), ""Select Col1""),""Yes"")) &amp; ""/"" &amp; if(COUNTA(query(ifna(filter(DATA!L:L,DATA!O:O=B10),""""), ""Select Col1""))=0,""0"",COUNTA("&amp;"query(ifna(filter(DATA!L:L,DATA!O:O=B10),""""), ""Select Col1"")))"),"0/5")</f>
        <v>0/5</v>
      </c>
      <c r="AB10" s="114">
        <f>IFERROR(__xludf.DUMMYFUNCTION("iferror(average(query(filter(DATA!M:M,DATA!O:O=B10), ""Select Col1"")),""-"")"),2.0)</f>
        <v>2</v>
      </c>
      <c r="AC10" s="74">
        <f>IFERROR(__xludf.DUMMYFUNCTION("iferror(AVERAGE(query(filter(DATA!S:S,DATA!O:O=B10), ""Select Col1"")),""-"")"),8.6)</f>
        <v>8.6</v>
      </c>
      <c r="AD10" s="74">
        <f>IFERROR(__xludf.DUMMYFUNCTION("iferror(AVERAGE(query(filter(DATA!T:T,DATA!O:O=B10), ""Select Col1"")),""-"")"),5.6)</f>
        <v>5.6</v>
      </c>
      <c r="AE10" s="74">
        <f>IFERROR(__xludf.DUMMYFUNCTION("iferror(AVERAGE(query(filter(DATA!U:U,DATA!O:O=B10), ""Select Col1"")),""-"")"),1.2)</f>
        <v>1.2</v>
      </c>
      <c r="AF10" s="74">
        <f>IFERROR(__xludf.DUMMYFUNCTION("iferror(AVERAGE(query(filter(DATA!V:V,DATA!O:O=B10), ""Select Col1"")),""-"")"),1.8)</f>
        <v>1.8</v>
      </c>
      <c r="AG10" s="74">
        <f>IFERROR(__xludf.DUMMYFUNCTION("iferror(AVERAGE(query(filter(DATA!W:W,DATA!O:O=B10), ""Select Col1"")),""-"")"),0.0)</f>
        <v>0</v>
      </c>
      <c r="AH10" s="75">
        <f>IFERROR(__xludf.DUMMYFUNCTION("iferror(max(query(filter(DATA!S:S,DATA!O:O=B10), ""Select Col1"")),""-"")"),15.0)</f>
        <v>15</v>
      </c>
      <c r="AI10" s="76">
        <f>IFERROR(__xludf.DUMMYFUNCTION("iferror(MIN(query(filter(DATA!S:S,DATA!O:O=B10), ""Select Col1"")),""-"")"),0.0)</f>
        <v>0</v>
      </c>
    </row>
    <row r="11">
      <c r="A11" s="2">
        <v>1076.0</v>
      </c>
      <c r="B11" s="2" t="s">
        <v>44</v>
      </c>
      <c r="C11" s="57" t="str">
        <f>IFERROR(__xludf.DUMMYFUNCTION("if(countif(query(filter(DATA!B:B,DATA!O:O=B11), ""Select Col1""),""TRUE"")=0,""0"",countif(query(filter(DATA!B:B,DATA!O:O=B11), ""Select Col1""),""TRUE"")) &amp; ""/"" &amp; if(COUNTA(query(ifna(filter(DATA!B:B,DATA!O:O=B11),""""), ""Select Col1""))=0,""0"",COUNT"&amp;"A(query(ifna(filter(DATA!B:B,DATA!O:O=B11),""""), ""Select Col1"")))"),"4/5")</f>
        <v>4/5</v>
      </c>
      <c r="D11" s="58">
        <f>IFERROR(__xludf.DUMMYFUNCTION("iferror(SUM(query(filter(DATA!C:C,DATA!O:O=B11), ""Select Col1"")),""-"")"),20.0)</f>
        <v>20</v>
      </c>
      <c r="E11" s="60">
        <f>IFERROR(__xludf.DUMMYFUNCTION("iferror(AVERAGE(query(filter(DATA!C:C,DATA!O:O=B11), ""Select Col1"")),""0.00"")"),4.0)</f>
        <v>4</v>
      </c>
      <c r="F11" s="58">
        <f>IFERROR(__xludf.DUMMYFUNCTION("iferror(MAX(query(filter(DATA!C:C,DATA!O:O=B11), ""Select Col1"")),""-"")"),9.0)</f>
        <v>9</v>
      </c>
      <c r="G11" s="61" t="str">
        <f>IFERROR(__xludf.DUMMYFUNCTION("if(countif(query(filter(DATA!D:D,DATA!O:O=B11), ""Select Col1""),""TRUE"")=0,""0"",countif(query(filter(DATA!D:D,DATA!O:O=B11), ""Select Col1""),""TRUE"")) &amp; ""/"" &amp; if(COUNTA(query(ifna(filter(DATA!D:D,DATA!O:O=B11),""""), ""Select Col1""))=0,""0"",COUNT"&amp;"A(query(ifna(filter(DATA!D:D,DATA!O:O=B11),""""), ""Select Col1"")))"),"0/5")</f>
        <v>0/5</v>
      </c>
      <c r="H11" s="59">
        <f>IFERROR(__xludf.DUMMYFUNCTION("iferror(DIVIDE(if(countif(query(filter(DATA!D:D,DATA!O:O=B11), ""Select Col1""),""TRUE"")=0,""0"",countif(query(filter(DATA!D:D,DATA!O:O=B11), ""Select Col1""),""TRUE"")), if(COUNTA(query(ifna(filter(DATA!D:D,DATA!O:O=B11),""""), ""Select Col1""))=0,""0"""&amp;",COUNTA(query(ifna(filter(DATA!D:D,DATA!O:O=B11),""""), ""Select Col1"")))),""0.00%"")"),0.0)</f>
        <v>0</v>
      </c>
      <c r="I11" s="63" t="str">
        <f>IFERROR(__xludf.DUMMYFUNCTION("if(countif(query(filter(DATA!E:E,DATA!O:O=B11), ""Select Col1""),""TRUE"")=0,""0"",countif(query(filter(DATA!E:E,DATA!O:O=B11), ""Select Col1""),""TRUE"")) &amp; ""/"" &amp; if(COUNTA(query(ifna(filter(DATA!E:E,DATA!O:O=B11),""""), ""Select Col1""))=0,""0"",COUNT"&amp;"A(query(ifna(filter(DATA!E:E,DATA!O:O=B11),""""), ""Select Col1"")))"),"0/5")</f>
        <v>0/5</v>
      </c>
      <c r="J11" s="81">
        <f>IFERROR(__xludf.DUMMYFUNCTION("iferror(DIVIDE(if(countif(query(filter(DATA!E:E,DATA!O:O=B11), ""Select Col1""),""TRUE"")=0,""0"",countif(query(filter(DATA!E:E,DATA!O:O=B11), ""Select Col1""),""TRUE"")), if(COUNTA(query(ifna(filter(DATA!E:E,DATA!O:O=B11),""""), ""Select Col1""))=0,""0"""&amp;",COUNTA(query(ifna(filter(DATA!E:E,DATA!O:O=B11),""""), ""Select Col1"")))),""0.00%"")"),0.0)</f>
        <v>0</v>
      </c>
      <c r="K11" s="5">
        <f>IFERROR(__xludf.DUMMYFUNCTION("iferror(SUM(query(filter(DATA!F:F,DATA!O:O=B11), ""Select Col1"")),""-"")"),21.0)</f>
        <v>21</v>
      </c>
      <c r="L11" s="5">
        <f>IFERROR(__xludf.DUMMYFUNCTION("iferror(SUM(query(filter(DATA!G:G,DATA!O:O=B11), ""Select Col1"")),""-"")"),14.0)</f>
        <v>14</v>
      </c>
      <c r="M11" s="59">
        <f t="shared" si="1"/>
        <v>0.6666666667</v>
      </c>
      <c r="N11" s="60">
        <f>IFERROR(__xludf.DUMMYFUNCTION("iferror(AVERAGE(query(filter(DATA!G:G,DATA!O:O=B11), ""Select Col1"")),""0.00"")"),2.8)</f>
        <v>2.8</v>
      </c>
      <c r="O11" s="65">
        <f>IFERROR(__xludf.DUMMYFUNCTION("iferror(MAX(query(filter(DATA!G:G,DATA!O:O=B11), ""Select Col1"")),""-"")"),4.0)</f>
        <v>4</v>
      </c>
      <c r="P11" s="66">
        <f>IFERROR(__xludf.DUMMYFUNCTION("iferror(SUM(query(filter(DATA!H:H,DATA!O:O=B11), ""Select Col1"")),""-"")"),2.0)</f>
        <v>2</v>
      </c>
      <c r="Q11" s="68">
        <f>IFERROR(__xludf.DUMMYFUNCTION("iferror(AVERAGE(query(filter(DATA!H:H,DATA!O:O=B11), ""Select Col1"")),""0.00"")"),0.6666666666666666)</f>
        <v>0.6666666667</v>
      </c>
      <c r="R11" s="69">
        <f>IFERROR(__xludf.DUMMYFUNCTION("iferror(MAX(query(filter(DATA!H:H,DATA!O:O=B11), ""Select Col1"")),""-"")"),2.0)</f>
        <v>2</v>
      </c>
      <c r="S11" s="66">
        <f>IFERROR(__xludf.DUMMYFUNCTION("iferror(SUM(query(filter(DATA!I:I,DATA!O:O=B11), ""Select Col1"")),""-"")"),0.0)</f>
        <v>0</v>
      </c>
      <c r="T11" s="66">
        <f>IFERROR(__xludf.DUMMYFUNCTION("iferror(SUM(query(filter(DATA!J:J,DATA!O:O=B11), ""Select Col1"")),""-"")"),0.0)</f>
        <v>0</v>
      </c>
      <c r="U11" s="67" t="str">
        <f t="shared" si="2"/>
        <v>-</v>
      </c>
      <c r="V11" s="68">
        <f>IFERROR(__xludf.DUMMYFUNCTION("iferror(AVERAGE(query(filter(DATA!J:J,DATA!O:O=B11), ""Select Col1"")),""0.00"")"),0.0)</f>
        <v>0</v>
      </c>
      <c r="W11" s="69">
        <f>IFERROR(__xludf.DUMMYFUNCTION("iferror(MAX(query(filter(DATA!J:J,DATA!O:O=B11), ""Select Col1"")),""-"")"),0.0)</f>
        <v>0</v>
      </c>
      <c r="X11" s="66">
        <f>IFERROR(__xludf.DUMMYFUNCTION("iferror(SUM(query(filter(DATA!K:K,DATA!O:O=B11), ""Select Col1"")),""-"")"),2.0)</f>
        <v>2</v>
      </c>
      <c r="Y11" s="66">
        <f>IFERROR(__xludf.DUMMYFUNCTION("iferror(AVERAGE(query(filter(DATA!K:K,DATA!O:O=B11), ""Select Col1"")),""-"")"),0.5)</f>
        <v>0.5</v>
      </c>
      <c r="Z11" s="69">
        <f>IFERROR(__xludf.DUMMYFUNCTION("iferror(MAX(query(filter(DATA!K:K,DATA!O:O=B11), ""Select Col1"")),""-"")"),2.0)</f>
        <v>2</v>
      </c>
      <c r="AA11" s="64" t="str">
        <f>IFERROR(__xludf.DUMMYFUNCTION("if(countif(query(filter(DATA!L:L,DATA!O:O=B11), ""Select Col1""),""Yes"")=0,""0"",countif(query(filter(DATA!L:L,DATA!O:O=B11), ""Select Col1""),""Yes"")) &amp; ""/"" &amp; if(COUNTA(query(ifna(filter(DATA!L:L,DATA!O:O=B11),""""), ""Select Col1""))=0,""0"",COUNTA("&amp;"query(ifna(filter(DATA!L:L,DATA!O:O=B11),""""), ""Select Col1"")))"),"0/5")</f>
        <v>0/5</v>
      </c>
      <c r="AB11" s="114">
        <f>IFERROR(__xludf.DUMMYFUNCTION("iferror(average(query(filter(DATA!M:M,DATA!O:O=B11), ""Select Col1"")),""-"")"),3.4)</f>
        <v>3.4</v>
      </c>
      <c r="AC11" s="74">
        <f>IFERROR(__xludf.DUMMYFUNCTION("iferror(AVERAGE(query(filter(DATA!S:S,DATA!O:O=B11), ""Select Col1"")),""-"")"),8.0)</f>
        <v>8</v>
      </c>
      <c r="AD11" s="74">
        <f>IFERROR(__xludf.DUMMYFUNCTION("iferror(AVERAGE(query(filter(DATA!T:T,DATA!O:O=B11), ""Select Col1"")),""-"")"),4.8)</f>
        <v>4.8</v>
      </c>
      <c r="AE11" s="74">
        <f>IFERROR(__xludf.DUMMYFUNCTION("iferror(AVERAGE(query(filter(DATA!U:U,DATA!O:O=B11), ""Select Col1"")),""-"")"),0.4)</f>
        <v>0.4</v>
      </c>
      <c r="AF11" s="74">
        <f>IFERROR(__xludf.DUMMYFUNCTION("iferror(AVERAGE(query(filter(DATA!V:V,DATA!O:O=B11), ""Select Col1"")),""-"")"),2.8)</f>
        <v>2.8</v>
      </c>
      <c r="AG11" s="74">
        <f>IFERROR(__xludf.DUMMYFUNCTION("iferror(AVERAGE(query(filter(DATA!W:W,DATA!O:O=B11), ""Select Col1"")),""-"")"),-4.0)</f>
        <v>-4</v>
      </c>
      <c r="AH11" s="75">
        <f>IFERROR(__xludf.DUMMYFUNCTION("iferror(max(query(filter(DATA!S:S,DATA!O:O=B11), ""Select Col1"")),""-"")"),12.0)</f>
        <v>12</v>
      </c>
      <c r="AI11" s="76">
        <f>IFERROR(__xludf.DUMMYFUNCTION("iferror(MIN(query(filter(DATA!S:S,DATA!O:O=B11), ""Select Col1"")),""-"")"),3.0)</f>
        <v>3</v>
      </c>
    </row>
    <row r="12">
      <c r="A12" s="2">
        <v>6101.0</v>
      </c>
      <c r="B12" s="2" t="s">
        <v>40</v>
      </c>
      <c r="C12" s="57" t="str">
        <f>IFERROR(__xludf.DUMMYFUNCTION("if(countif(query(filter(DATA!B:B,DATA!O:O=B12), ""Select Col1""),""TRUE"")=0,""0"",countif(query(filter(DATA!B:B,DATA!O:O=B12), ""Select Col1""),""TRUE"")) &amp; ""/"" &amp; if(COUNTA(query(ifna(filter(DATA!B:B,DATA!O:O=B12),""""), ""Select Col1""))=0,""0"",COUNT"&amp;"A(query(ifna(filter(DATA!B:B,DATA!O:O=B12),""""), ""Select Col1"")))"),"4/4")</f>
        <v>4/4</v>
      </c>
      <c r="D12" s="58">
        <f>IFERROR(__xludf.DUMMYFUNCTION("iferror(SUM(query(filter(DATA!C:C,DATA!O:O=B12), ""Select Col1"")),""-"")"),20.0)</f>
        <v>20</v>
      </c>
      <c r="E12" s="60">
        <f>IFERROR(__xludf.DUMMYFUNCTION("iferror(AVERAGE(query(filter(DATA!C:C,DATA!O:O=B12), ""Select Col1"")),""0.00"")"),5.0)</f>
        <v>5</v>
      </c>
      <c r="F12" s="58">
        <f>IFERROR(__xludf.DUMMYFUNCTION("iferror(MAX(query(filter(DATA!C:C,DATA!O:O=B12), ""Select Col1"")),""-"")"),6.0)</f>
        <v>6</v>
      </c>
      <c r="G12" s="61" t="str">
        <f>IFERROR(__xludf.DUMMYFUNCTION("if(countif(query(filter(DATA!D:D,DATA!O:O=B12), ""Select Col1""),""TRUE"")=0,""0"",countif(query(filter(DATA!D:D,DATA!O:O=B12), ""Select Col1""),""TRUE"")) &amp; ""/"" &amp; if(COUNTA(query(ifna(filter(DATA!D:D,DATA!O:O=B12),""""), ""Select Col1""))=0,""0"",COUNT"&amp;"A(query(ifna(filter(DATA!D:D,DATA!O:O=B12),""""), ""Select Col1"")))"),"0/4")</f>
        <v>0/4</v>
      </c>
      <c r="H12" s="59">
        <f>IFERROR(__xludf.DUMMYFUNCTION("iferror(DIVIDE(if(countif(query(filter(DATA!D:D,DATA!O:O=B12), ""Select Col1""),""TRUE"")=0,""0"",countif(query(filter(DATA!D:D,DATA!O:O=B12), ""Select Col1""),""TRUE"")), if(COUNTA(query(ifna(filter(DATA!D:D,DATA!O:O=B12),""""), ""Select Col1""))=0,""0"""&amp;",COUNTA(query(ifna(filter(DATA!D:D,DATA!O:O=B12),""""), ""Select Col1"")))),""0.00%"")"),0.0)</f>
        <v>0</v>
      </c>
      <c r="I12" s="63" t="str">
        <f>IFERROR(__xludf.DUMMYFUNCTION("if(countif(query(filter(DATA!E:E,DATA!O:O=B12), ""Select Col1""),""TRUE"")=0,""0"",countif(query(filter(DATA!E:E,DATA!O:O=B12), ""Select Col1""),""TRUE"")) &amp; ""/"" &amp; if(COUNTA(query(ifna(filter(DATA!E:E,DATA!O:O=B12),""""), ""Select Col1""))=0,""0"",COUNT"&amp;"A(query(ifna(filter(DATA!E:E,DATA!O:O=B12),""""), ""Select Col1"")))"),"0/4")</f>
        <v>0/4</v>
      </c>
      <c r="J12" s="81">
        <f>IFERROR(__xludf.DUMMYFUNCTION("iferror(DIVIDE(if(countif(query(filter(DATA!E:E,DATA!O:O=B12), ""Select Col1""),""TRUE"")=0,""0"",countif(query(filter(DATA!E:E,DATA!O:O=B12), ""Select Col1""),""TRUE"")), if(COUNTA(query(ifna(filter(DATA!E:E,DATA!O:O=B12),""""), ""Select Col1""))=0,""0"""&amp;",COUNTA(query(ifna(filter(DATA!E:E,DATA!O:O=B12),""""), ""Select Col1"")))),""0.00%"")"),0.0)</f>
        <v>0</v>
      </c>
      <c r="K12" s="5">
        <f>IFERROR(__xludf.DUMMYFUNCTION("iferror(SUM(query(filter(DATA!F:F,DATA!O:O=B12), ""Select Col1"")),""-"")"),7.0)</f>
        <v>7</v>
      </c>
      <c r="L12" s="5">
        <f>IFERROR(__xludf.DUMMYFUNCTION("iferror(SUM(query(filter(DATA!G:G,DATA!O:O=B12), ""Select Col1"")),""-"")"),4.0)</f>
        <v>4</v>
      </c>
      <c r="M12" s="59">
        <f t="shared" si="1"/>
        <v>0.5714285714</v>
      </c>
      <c r="N12" s="60">
        <f>IFERROR(__xludf.DUMMYFUNCTION("iferror(AVERAGE(query(filter(DATA!G:G,DATA!O:O=B12), ""Select Col1"")),""0.00"")"),1.3333333333333333)</f>
        <v>1.333333333</v>
      </c>
      <c r="O12" s="65">
        <f>IFERROR(__xludf.DUMMYFUNCTION("iferror(MAX(query(filter(DATA!G:G,DATA!O:O=B12), ""Select Col1"")),""-"")"),2.0)</f>
        <v>2</v>
      </c>
      <c r="P12" s="66">
        <f>IFERROR(__xludf.DUMMYFUNCTION("iferror(SUM(query(filter(DATA!H:H,DATA!O:O=B12), ""Select Col1"")),""-"")"),0.0)</f>
        <v>0</v>
      </c>
      <c r="Q12" s="68">
        <f>IFERROR(__xludf.DUMMYFUNCTION("iferror(AVERAGE(query(filter(DATA!H:H,DATA!O:O=B12), ""Select Col1"")),""0.00"")"),0.0)</f>
        <v>0</v>
      </c>
      <c r="R12" s="69">
        <f>IFERROR(__xludf.DUMMYFUNCTION("iferror(MAX(query(filter(DATA!H:H,DATA!O:O=B12), ""Select Col1"")),""-"")"),0.0)</f>
        <v>0</v>
      </c>
      <c r="S12" s="66">
        <f>IFERROR(__xludf.DUMMYFUNCTION("iferror(SUM(query(filter(DATA!I:I,DATA!O:O=B12), ""Select Col1"")),""-"")"),1.0)</f>
        <v>1</v>
      </c>
      <c r="T12" s="66">
        <f>IFERROR(__xludf.DUMMYFUNCTION("iferror(SUM(query(filter(DATA!J:J,DATA!O:O=B12), ""Select Col1"")),""-"")"),1.0)</f>
        <v>1</v>
      </c>
      <c r="U12" s="67">
        <f t="shared" si="2"/>
        <v>1</v>
      </c>
      <c r="V12" s="68">
        <f>IFERROR(__xludf.DUMMYFUNCTION("iferror(AVERAGE(query(filter(DATA!J:J,DATA!O:O=B12), ""Select Col1"")),""0.00"")"),0.3333333333333333)</f>
        <v>0.3333333333</v>
      </c>
      <c r="W12" s="69">
        <f>IFERROR(__xludf.DUMMYFUNCTION("iferror(MAX(query(filter(DATA!J:J,DATA!O:O=B12), ""Select Col1"")),""-"")"),1.0)</f>
        <v>1</v>
      </c>
      <c r="X12" s="66">
        <f>IFERROR(__xludf.DUMMYFUNCTION("iferror(SUM(query(filter(DATA!K:K,DATA!O:O=B12), ""Select Col1"")),""-"")"),2.0)</f>
        <v>2</v>
      </c>
      <c r="Y12" s="66">
        <f>IFERROR(__xludf.DUMMYFUNCTION("iferror(AVERAGE(query(filter(DATA!K:K,DATA!O:O=B12), ""Select Col1"")),""-"")"),0.6666666666666666)</f>
        <v>0.6666666667</v>
      </c>
      <c r="Z12" s="69">
        <f>IFERROR(__xludf.DUMMYFUNCTION("iferror(MAX(query(filter(DATA!K:K,DATA!O:O=B12), ""Select Col1"")),""-"")"),2.0)</f>
        <v>2</v>
      </c>
      <c r="AA12" s="64" t="str">
        <f>IFERROR(__xludf.DUMMYFUNCTION("if(countif(query(filter(DATA!L:L,DATA!O:O=B12), ""Select Col1""),""Yes"")=0,""0"",countif(query(filter(DATA!L:L,DATA!O:O=B12), ""Select Col1""),""Yes"")) &amp; ""/"" &amp; if(COUNTA(query(ifna(filter(DATA!L:L,DATA!O:O=B12),""""), ""Select Col1""))=0,""0"",COUNTA("&amp;"query(ifna(filter(DATA!L:L,DATA!O:O=B12),""""), ""Select Col1"")))"),"0/4")</f>
        <v>0/4</v>
      </c>
      <c r="AB12" s="114">
        <f>IFERROR(__xludf.DUMMYFUNCTION("iferror(average(query(filter(DATA!M:M,DATA!O:O=B12), ""Select Col1"")),""-"")"),2.0)</f>
        <v>2</v>
      </c>
      <c r="AC12" s="74">
        <f>IFERROR(__xludf.DUMMYFUNCTION("iferror(AVERAGE(query(filter(DATA!S:S,DATA!O:O=B12), ""Select Col1"")),""-"")"),7.5)</f>
        <v>7.5</v>
      </c>
      <c r="AD12" s="74">
        <f>IFERROR(__xludf.DUMMYFUNCTION("iferror(AVERAGE(query(filter(DATA!T:T,DATA!O:O=B12), ""Select Col1"")),""-"")"),6.0)</f>
        <v>6</v>
      </c>
      <c r="AE12" s="74">
        <f>IFERROR(__xludf.DUMMYFUNCTION("iferror(AVERAGE(query(filter(DATA!U:U,DATA!O:O=B12), ""Select Col1"")),""-"")"),0.5)</f>
        <v>0.5</v>
      </c>
      <c r="AF12" s="74">
        <f>IFERROR(__xludf.DUMMYFUNCTION("iferror(AVERAGE(query(filter(DATA!V:V,DATA!O:O=B12), ""Select Col1"")),""-"")"),1.0)</f>
        <v>1</v>
      </c>
      <c r="AG12" s="74">
        <f>IFERROR(__xludf.DUMMYFUNCTION("iferror(AVERAGE(query(filter(DATA!W:W,DATA!O:O=B12), ""Select Col1"")),""-"")"),-5.0)</f>
        <v>-5</v>
      </c>
      <c r="AH12" s="75">
        <f>IFERROR(__xludf.DUMMYFUNCTION("iferror(max(query(filter(DATA!S:S,DATA!O:O=B12), ""Select Col1"")),""-"")"),9.0)</f>
        <v>9</v>
      </c>
      <c r="AI12" s="76">
        <f>IFERROR(__xludf.DUMMYFUNCTION("iferror(MIN(query(filter(DATA!S:S,DATA!O:O=B12), ""Select Col1"")),""-"")"),6.0)</f>
        <v>6</v>
      </c>
    </row>
    <row r="13">
      <c r="A13" s="2">
        <v>5708.0</v>
      </c>
      <c r="B13" s="2" t="s">
        <v>26</v>
      </c>
      <c r="C13" s="57" t="str">
        <f>IFERROR(__xludf.DUMMYFUNCTION("if(countif(query(filter(DATA!B:B,DATA!O:O=B13), ""Select Col1""),""TRUE"")=0,""0"",countif(query(filter(DATA!B:B,DATA!O:O=B13), ""Select Col1""),""TRUE"")) &amp; ""/"" &amp; if(COUNTA(query(ifna(filter(DATA!B:B,DATA!O:O=B13),""""), ""Select Col1""))=0,""0"",COUNT"&amp;"A(query(ifna(filter(DATA!B:B,DATA!O:O=B13),""""), ""Select Col1"")))"),"3/4")</f>
        <v>3/4</v>
      </c>
      <c r="D13" s="58">
        <f>IFERROR(__xludf.DUMMYFUNCTION("iferror(SUM(query(filter(DATA!C:C,DATA!O:O=B13), ""Select Col1"")),""-"")"),14.0)</f>
        <v>14</v>
      </c>
      <c r="E13" s="60">
        <f>IFERROR(__xludf.DUMMYFUNCTION("iferror(AVERAGE(query(filter(DATA!C:C,DATA!O:O=B13), ""Select Col1"")),""0.00"")"),3.5)</f>
        <v>3.5</v>
      </c>
      <c r="F13" s="58">
        <f>IFERROR(__xludf.DUMMYFUNCTION("iferror(MAX(query(filter(DATA!C:C,DATA!O:O=B13), ""Select Col1"")),""-"")"),5.0)</f>
        <v>5</v>
      </c>
      <c r="G13" s="61" t="str">
        <f>IFERROR(__xludf.DUMMYFUNCTION("if(countif(query(filter(DATA!D:D,DATA!O:O=B13), ""Select Col1""),""TRUE"")=0,""0"",countif(query(filter(DATA!D:D,DATA!O:O=B13), ""Select Col1""),""TRUE"")) &amp; ""/"" &amp; if(COUNTA(query(ifna(filter(DATA!D:D,DATA!O:O=B13),""""), ""Select Col1""))=0,""0"",COUNT"&amp;"A(query(ifna(filter(DATA!D:D,DATA!O:O=B13),""""), ""Select Col1"")))"),"3/4")</f>
        <v>3/4</v>
      </c>
      <c r="H13" s="59">
        <f>IFERROR(__xludf.DUMMYFUNCTION("iferror(DIVIDE(if(countif(query(filter(DATA!D:D,DATA!O:O=B13), ""Select Col1""),""TRUE"")=0,""0"",countif(query(filter(DATA!D:D,DATA!O:O=B13), ""Select Col1""),""TRUE"")), if(COUNTA(query(ifna(filter(DATA!D:D,DATA!O:O=B13),""""), ""Select Col1""))=0,""0"""&amp;",COUNTA(query(ifna(filter(DATA!D:D,DATA!O:O=B13),""""), ""Select Col1"")))),""0.00%"")"),0.75)</f>
        <v>0.75</v>
      </c>
      <c r="I13" s="63" t="str">
        <f>IFERROR(__xludf.DUMMYFUNCTION("if(countif(query(filter(DATA!E:E,DATA!O:O=B13), ""Select Col1""),""TRUE"")=0,""0"",countif(query(filter(DATA!E:E,DATA!O:O=B13), ""Select Col1""),""TRUE"")) &amp; ""/"" &amp; if(COUNTA(query(ifna(filter(DATA!E:E,DATA!O:O=B13),""""), ""Select Col1""))=0,""0"",COUNT"&amp;"A(query(ifna(filter(DATA!E:E,DATA!O:O=B13),""""), ""Select Col1"")))"),"0/4")</f>
        <v>0/4</v>
      </c>
      <c r="J13" s="81">
        <f>IFERROR(__xludf.DUMMYFUNCTION("iferror(DIVIDE(if(countif(query(filter(DATA!E:E,DATA!O:O=B13), ""Select Col1""),""TRUE"")=0,""0"",countif(query(filter(DATA!E:E,DATA!O:O=B13), ""Select Col1""),""TRUE"")), if(COUNTA(query(ifna(filter(DATA!E:E,DATA!O:O=B13),""""), ""Select Col1""))=0,""0"""&amp;",COUNTA(query(ifna(filter(DATA!E:E,DATA!O:O=B13),""""), ""Select Col1"")))),""0.00%"")"),0.0)</f>
        <v>0</v>
      </c>
      <c r="K13" s="5">
        <f>IFERROR(__xludf.DUMMYFUNCTION("iferror(SUM(query(filter(DATA!F:F,DATA!O:O=B13), ""Select Col1"")),""-"")"),10.0)</f>
        <v>10</v>
      </c>
      <c r="L13" s="5">
        <f>IFERROR(__xludf.DUMMYFUNCTION("iferror(SUM(query(filter(DATA!G:G,DATA!O:O=B13), ""Select Col1"")),""-"")"),9.0)</f>
        <v>9</v>
      </c>
      <c r="M13" s="59">
        <f t="shared" si="1"/>
        <v>0.9</v>
      </c>
      <c r="N13" s="60">
        <f>IFERROR(__xludf.DUMMYFUNCTION("iferror(AVERAGE(query(filter(DATA!G:G,DATA!O:O=B13), ""Select Col1"")),""0.00"")"),2.25)</f>
        <v>2.25</v>
      </c>
      <c r="O13" s="65">
        <f>IFERROR(__xludf.DUMMYFUNCTION("iferror(MAX(query(filter(DATA!G:G,DATA!O:O=B13), ""Select Col1"")),""-"")"),3.0)</f>
        <v>3</v>
      </c>
      <c r="P13" s="66">
        <f>IFERROR(__xludf.DUMMYFUNCTION("iferror(SUM(query(filter(DATA!H:H,DATA!O:O=B13), ""Select Col1"")),""-"")"),0.0)</f>
        <v>0</v>
      </c>
      <c r="Q13" s="68">
        <f>IFERROR(__xludf.DUMMYFUNCTION("iferror(AVERAGE(query(filter(DATA!H:H,DATA!O:O=B13), ""Select Col1"")),""0.00"")"),0.0)</f>
        <v>0</v>
      </c>
      <c r="R13" s="69">
        <f>IFERROR(__xludf.DUMMYFUNCTION("iferror(MAX(query(filter(DATA!H:H,DATA!O:O=B13), ""Select Col1"")),""-"")"),0.0)</f>
        <v>0</v>
      </c>
      <c r="S13" s="66">
        <f>IFERROR(__xludf.DUMMYFUNCTION("iferror(SUM(query(filter(DATA!I:I,DATA!O:O=B13), ""Select Col1"")),""-"")"),0.0)</f>
        <v>0</v>
      </c>
      <c r="T13" s="66">
        <f>IFERROR(__xludf.DUMMYFUNCTION("iferror(SUM(query(filter(DATA!J:J,DATA!O:O=B13), ""Select Col1"")),""-"")"),0.0)</f>
        <v>0</v>
      </c>
      <c r="U13" s="67" t="str">
        <f t="shared" si="2"/>
        <v>-</v>
      </c>
      <c r="V13" s="68">
        <f>IFERROR(__xludf.DUMMYFUNCTION("iferror(AVERAGE(query(filter(DATA!J:J,DATA!O:O=B13), ""Select Col1"")),""0.00"")"),0.0)</f>
        <v>0</v>
      </c>
      <c r="W13" s="69">
        <f>IFERROR(__xludf.DUMMYFUNCTION("iferror(MAX(query(filter(DATA!J:J,DATA!O:O=B13), ""Select Col1"")),""-"")"),0.0)</f>
        <v>0</v>
      </c>
      <c r="X13" s="66">
        <f>IFERROR(__xludf.DUMMYFUNCTION("iferror(SUM(query(filter(DATA!K:K,DATA!O:O=B13), ""Select Col1"")),""-"")"),2.0)</f>
        <v>2</v>
      </c>
      <c r="Y13" s="66">
        <f>IFERROR(__xludf.DUMMYFUNCTION("iferror(AVERAGE(query(filter(DATA!K:K,DATA!O:O=B13), ""Select Col1"")),""-"")"),0.5)</f>
        <v>0.5</v>
      </c>
      <c r="Z13" s="69">
        <f>IFERROR(__xludf.DUMMYFUNCTION("iferror(MAX(query(filter(DATA!K:K,DATA!O:O=B13), ""Select Col1"")),""-"")"),2.0)</f>
        <v>2</v>
      </c>
      <c r="AA13" s="64" t="str">
        <f>IFERROR(__xludf.DUMMYFUNCTION("if(countif(query(filter(DATA!L:L,DATA!O:O=B13), ""Select Col1""),""Yes"")=0,""0"",countif(query(filter(DATA!L:L,DATA!O:O=B13), ""Select Col1""),""Yes"")) &amp; ""/"" &amp; if(COUNTA(query(ifna(filter(DATA!L:L,DATA!O:O=B13),""""), ""Select Col1""))=0,""0"",COUNTA("&amp;"query(ifna(filter(DATA!L:L,DATA!O:O=B13),""""), ""Select Col1"")))"),"1/4")</f>
        <v>1/4</v>
      </c>
      <c r="AB13" s="114">
        <f>IFERROR(__xludf.DUMMYFUNCTION("iferror(average(query(filter(DATA!M:M,DATA!O:O=B13), ""Select Col1"")),""-"")"),1.5)</f>
        <v>1.5</v>
      </c>
      <c r="AC13" s="74">
        <f>IFERROR(__xludf.DUMMYFUNCTION("iferror(AVERAGE(query(filter(DATA!S:S,DATA!O:O=B13), ""Select Col1"")),""-"")"),7.25)</f>
        <v>7.25</v>
      </c>
      <c r="AD13" s="74">
        <f>IFERROR(__xludf.DUMMYFUNCTION("iferror(AVERAGE(query(filter(DATA!T:T,DATA!O:O=B13), ""Select Col1"")),""-"")"),5.0)</f>
        <v>5</v>
      </c>
      <c r="AE13" s="74">
        <f>IFERROR(__xludf.DUMMYFUNCTION("iferror(AVERAGE(query(filter(DATA!U:U,DATA!O:O=B13), ""Select Col1"")),""-"")"),0.0)</f>
        <v>0</v>
      </c>
      <c r="AF13" s="74">
        <f>IFERROR(__xludf.DUMMYFUNCTION("iferror(AVERAGE(query(filter(DATA!V:V,DATA!O:O=B13), ""Select Col1"")),""-"")"),2.25)</f>
        <v>2.25</v>
      </c>
      <c r="AG13" s="74">
        <f>IFERROR(__xludf.DUMMYFUNCTION("iferror(AVERAGE(query(filter(DATA!W:W,DATA!O:O=B13), ""Select Col1"")),""-"")"),-5.0)</f>
        <v>-5</v>
      </c>
      <c r="AH13" s="75">
        <f>IFERROR(__xludf.DUMMYFUNCTION("iferror(max(query(filter(DATA!S:S,DATA!O:O=B13), ""Select Col1"")),""-"")"),9.0)</f>
        <v>9</v>
      </c>
      <c r="AI13" s="76">
        <f>IFERROR(__xludf.DUMMYFUNCTION("iferror(MIN(query(filter(DATA!S:S,DATA!O:O=B13), ""Select Col1"")),""-"")"),3.0)</f>
        <v>3</v>
      </c>
    </row>
    <row r="14">
      <c r="A14" s="2">
        <v>5067.0</v>
      </c>
      <c r="B14" s="2" t="s">
        <v>39</v>
      </c>
      <c r="C14" s="57" t="str">
        <f>IFERROR(__xludf.DUMMYFUNCTION("if(countif(query(filter(DATA!B:B,DATA!O:O=B14), ""Select Col1""),""TRUE"")=0,""0"",countif(query(filter(DATA!B:B,DATA!O:O=B14), ""Select Col1""),""TRUE"")) &amp; ""/"" &amp; if(COUNTA(query(ifna(filter(DATA!B:B,DATA!O:O=B14),""""), ""Select Col1""))=0,""0"",COUNT"&amp;"A(query(ifna(filter(DATA!B:B,DATA!O:O=B14),""""), ""Select Col1"")))"),"1/4")</f>
        <v>1/4</v>
      </c>
      <c r="D14" s="58">
        <f>IFERROR(__xludf.DUMMYFUNCTION("iferror(SUM(query(filter(DATA!C:C,DATA!O:O=B14), ""Select Col1"")),""-"")"),14.0)</f>
        <v>14</v>
      </c>
      <c r="E14" s="60">
        <f>IFERROR(__xludf.DUMMYFUNCTION("iferror(AVERAGE(query(filter(DATA!C:C,DATA!O:O=B14), ""Select Col1"")),""0.00"")"),3.5)</f>
        <v>3.5</v>
      </c>
      <c r="F14" s="58">
        <f>IFERROR(__xludf.DUMMYFUNCTION("iferror(MAX(query(filter(DATA!C:C,DATA!O:O=B14), ""Select Col1"")),""-"")"),4.0)</f>
        <v>4</v>
      </c>
      <c r="G14" s="61" t="str">
        <f>IFERROR(__xludf.DUMMYFUNCTION("if(countif(query(filter(DATA!D:D,DATA!O:O=B14), ""Select Col1""),""TRUE"")=0,""0"",countif(query(filter(DATA!D:D,DATA!O:O=B14), ""Select Col1""),""TRUE"")) &amp; ""/"" &amp; if(COUNTA(query(ifna(filter(DATA!D:D,DATA!O:O=B14),""""), ""Select Col1""))=0,""0"",COUNT"&amp;"A(query(ifna(filter(DATA!D:D,DATA!O:O=B14),""""), ""Select Col1"")))"),"1/4")</f>
        <v>1/4</v>
      </c>
      <c r="H14" s="59">
        <f>IFERROR(__xludf.DUMMYFUNCTION("iferror(DIVIDE(if(countif(query(filter(DATA!D:D,DATA!O:O=B14), ""Select Col1""),""TRUE"")=0,""0"",countif(query(filter(DATA!D:D,DATA!O:O=B14), ""Select Col1""),""TRUE"")), if(COUNTA(query(ifna(filter(DATA!D:D,DATA!O:O=B14),""""), ""Select Col1""))=0,""0"""&amp;",COUNTA(query(ifna(filter(DATA!D:D,DATA!O:O=B14),""""), ""Select Col1"")))),""0.00%"")"),0.25)</f>
        <v>0.25</v>
      </c>
      <c r="I14" s="63" t="str">
        <f>IFERROR(__xludf.DUMMYFUNCTION("if(countif(query(filter(DATA!E:E,DATA!O:O=B14), ""Select Col1""),""TRUE"")=0,""0"",countif(query(filter(DATA!E:E,DATA!O:O=B14), ""Select Col1""),""TRUE"")) &amp; ""/"" &amp; if(COUNTA(query(ifna(filter(DATA!E:E,DATA!O:O=B14),""""), ""Select Col1""))=0,""0"",COUNT"&amp;"A(query(ifna(filter(DATA!E:E,DATA!O:O=B14),""""), ""Select Col1"")))"),"1/4")</f>
        <v>1/4</v>
      </c>
      <c r="J14" s="81">
        <f>IFERROR(__xludf.DUMMYFUNCTION("iferror(DIVIDE(if(countif(query(filter(DATA!E:E,DATA!O:O=B14), ""Select Col1""),""TRUE"")=0,""0"",countif(query(filter(DATA!E:E,DATA!O:O=B14), ""Select Col1""),""TRUE"")), if(COUNTA(query(ifna(filter(DATA!E:E,DATA!O:O=B14),""""), ""Select Col1""))=0,""0"""&amp;",COUNTA(query(ifna(filter(DATA!E:E,DATA!O:O=B14),""""), ""Select Col1"")))),""0.00%"")"),0.25)</f>
        <v>0.25</v>
      </c>
      <c r="K14" s="5">
        <f>IFERROR(__xludf.DUMMYFUNCTION("iferror(SUM(query(filter(DATA!F:F,DATA!O:O=B14), ""Select Col1"")),""-"")"),2.0)</f>
        <v>2</v>
      </c>
      <c r="L14" s="5">
        <f>IFERROR(__xludf.DUMMYFUNCTION("iferror(SUM(query(filter(DATA!G:G,DATA!O:O=B14), ""Select Col1"")),""-"")"),2.0)</f>
        <v>2</v>
      </c>
      <c r="M14" s="59">
        <f t="shared" si="1"/>
        <v>1</v>
      </c>
      <c r="N14" s="60">
        <f>IFERROR(__xludf.DUMMYFUNCTION("iferror(AVERAGE(query(filter(DATA!G:G,DATA!O:O=B14), ""Select Col1"")),""0.00"")"),0.5)</f>
        <v>0.5</v>
      </c>
      <c r="O14" s="65">
        <f>IFERROR(__xludf.DUMMYFUNCTION("iferror(MAX(query(filter(DATA!G:G,DATA!O:O=B14), ""Select Col1"")),""-"")"),2.0)</f>
        <v>2</v>
      </c>
      <c r="P14" s="66">
        <f>IFERROR(__xludf.DUMMYFUNCTION("iferror(SUM(query(filter(DATA!H:H,DATA!O:O=B14), ""Select Col1"")),""-"")"),5.0)</f>
        <v>5</v>
      </c>
      <c r="Q14" s="68">
        <f>IFERROR(__xludf.DUMMYFUNCTION("iferror(AVERAGE(query(filter(DATA!H:H,DATA!O:O=B14), ""Select Col1"")),""0.00"")"),1.6666666666666667)</f>
        <v>1.666666667</v>
      </c>
      <c r="R14" s="69">
        <f>IFERROR(__xludf.DUMMYFUNCTION("iferror(MAX(query(filter(DATA!H:H,DATA!O:O=B14), ""Select Col1"")),""-"")"),3.0)</f>
        <v>3</v>
      </c>
      <c r="S14" s="66">
        <f>IFERROR(__xludf.DUMMYFUNCTION("iferror(SUM(query(filter(DATA!I:I,DATA!O:O=B14), ""Select Col1"")),""-"")"),3.0)</f>
        <v>3</v>
      </c>
      <c r="T14" s="66">
        <f>IFERROR(__xludf.DUMMYFUNCTION("iferror(SUM(query(filter(DATA!J:J,DATA!O:O=B14), ""Select Col1"")),""-"")"),2.0)</f>
        <v>2</v>
      </c>
      <c r="U14" s="67">
        <f t="shared" si="2"/>
        <v>0.6666666667</v>
      </c>
      <c r="V14" s="68">
        <f>IFERROR(__xludf.DUMMYFUNCTION("iferror(AVERAGE(query(filter(DATA!J:J,DATA!O:O=B14), ""Select Col1"")),""0.00"")"),0.5)</f>
        <v>0.5</v>
      </c>
      <c r="W14" s="69">
        <f>IFERROR(__xludf.DUMMYFUNCTION("iferror(MAX(query(filter(DATA!J:J,DATA!O:O=B14), ""Select Col1"")),""-"")"),1.0)</f>
        <v>1</v>
      </c>
      <c r="X14" s="66">
        <f>IFERROR(__xludf.DUMMYFUNCTION("iferror(SUM(query(filter(DATA!K:K,DATA!O:O=B14), ""Select Col1"")),""-"")"),2.0)</f>
        <v>2</v>
      </c>
      <c r="Y14" s="66">
        <f>IFERROR(__xludf.DUMMYFUNCTION("iferror(AVERAGE(query(filter(DATA!K:K,DATA!O:O=B14), ""Select Col1"")),""-"")"),0.6666666666666666)</f>
        <v>0.6666666667</v>
      </c>
      <c r="Z14" s="69">
        <f>IFERROR(__xludf.DUMMYFUNCTION("iferror(MAX(query(filter(DATA!K:K,DATA!O:O=B14), ""Select Col1"")),""-"")"),2.0)</f>
        <v>2</v>
      </c>
      <c r="AA14" s="64" t="str">
        <f>IFERROR(__xludf.DUMMYFUNCTION("if(countif(query(filter(DATA!L:L,DATA!O:O=B14), ""Select Col1""),""Yes"")=0,""0"",countif(query(filter(DATA!L:L,DATA!O:O=B14), ""Select Col1""),""Yes"")) &amp; ""/"" &amp; if(COUNTA(query(ifna(filter(DATA!L:L,DATA!O:O=B14),""""), ""Select Col1""))=0,""0"",COUNTA("&amp;"query(ifna(filter(DATA!L:L,DATA!O:O=B14),""""), ""Select Col1"")))"),"0/4")</f>
        <v>0/4</v>
      </c>
      <c r="AB14" s="114">
        <f>IFERROR(__xludf.DUMMYFUNCTION("iferror(average(query(filter(DATA!M:M,DATA!O:O=B14), ""Select Col1"")),""-"")"),2.25)</f>
        <v>2.25</v>
      </c>
      <c r="AC14" s="74">
        <f>IFERROR(__xludf.DUMMYFUNCTION("iferror(AVERAGE(query(filter(DATA!S:S,DATA!O:O=B14), ""Select Col1"")),""-"")"),5.5)</f>
        <v>5.5</v>
      </c>
      <c r="AD14" s="74">
        <f>IFERROR(__xludf.DUMMYFUNCTION("iferror(AVERAGE(query(filter(DATA!T:T,DATA!O:O=B14), ""Select Col1"")),""-"")"),2.75)</f>
        <v>2.75</v>
      </c>
      <c r="AE14" s="74">
        <f>IFERROR(__xludf.DUMMYFUNCTION("iferror(AVERAGE(query(filter(DATA!U:U,DATA!O:O=B14), ""Select Col1"")),""-"")"),2.25)</f>
        <v>2.25</v>
      </c>
      <c r="AF14" s="74">
        <f>IFERROR(__xludf.DUMMYFUNCTION("iferror(AVERAGE(query(filter(DATA!V:V,DATA!O:O=B14), ""Select Col1"")),""-"")"),0.5)</f>
        <v>0.5</v>
      </c>
      <c r="AG14" s="74">
        <f>IFERROR(__xludf.DUMMYFUNCTION("iferror(AVERAGE(query(filter(DATA!W:W,DATA!O:O=B14), ""Select Col1"")),""-"")"),-5.0)</f>
        <v>-5</v>
      </c>
      <c r="AH14" s="75">
        <f>IFERROR(__xludf.DUMMYFUNCTION("iferror(max(query(filter(DATA!S:S,DATA!O:O=B14), ""Select Col1"")),""-"")"),7.0)</f>
        <v>7</v>
      </c>
      <c r="AI14" s="76">
        <f>IFERROR(__xludf.DUMMYFUNCTION("iferror(MIN(query(filter(DATA!S:S,DATA!O:O=B14), ""Select Col1"")),""-"")"),4.0)</f>
        <v>4</v>
      </c>
    </row>
    <row r="15">
      <c r="A15" s="2">
        <v>830.0</v>
      </c>
      <c r="B15" s="2" t="s">
        <v>28</v>
      </c>
      <c r="C15" s="57" t="str">
        <f>IFERROR(__xludf.DUMMYFUNCTION("if(countif(query(filter(DATA!B:B,DATA!O:O=B15), ""Select Col1""),""TRUE"")=0,""0"",countif(query(filter(DATA!B:B,DATA!O:O=B15), ""Select Col1""),""TRUE"")) &amp; ""/"" &amp; if(COUNTA(query(ifna(filter(DATA!B:B,DATA!O:O=B15),""""), ""Select Col1""))=0,""0"",COUNT"&amp;"A(query(ifna(filter(DATA!B:B,DATA!O:O=B15),""""), ""Select Col1"")))"),"5/5")</f>
        <v>5/5</v>
      </c>
      <c r="D15" s="58">
        <f>IFERROR(__xludf.DUMMYFUNCTION("iferror(SUM(query(filter(DATA!C:C,DATA!O:O=B15), ""Select Col1"")),""-"")"),6.0)</f>
        <v>6</v>
      </c>
      <c r="E15" s="60">
        <f>IFERROR(__xludf.DUMMYFUNCTION("iferror(AVERAGE(query(filter(DATA!C:C,DATA!O:O=B15), ""Select Col1"")),""0.00"")"),1.2)</f>
        <v>1.2</v>
      </c>
      <c r="F15" s="58">
        <f>IFERROR(__xludf.DUMMYFUNCTION("iferror(MAX(query(filter(DATA!C:C,DATA!O:O=B15), ""Select Col1"")),""-"")"),3.0)</f>
        <v>3</v>
      </c>
      <c r="G15" s="61" t="str">
        <f>IFERROR(__xludf.DUMMYFUNCTION("if(countif(query(filter(DATA!D:D,DATA!O:O=B15), ""Select Col1""),""TRUE"")=0,""0"",countif(query(filter(DATA!D:D,DATA!O:O=B15), ""Select Col1""),""TRUE"")) &amp; ""/"" &amp; if(COUNTA(query(ifna(filter(DATA!D:D,DATA!O:O=B15),""""), ""Select Col1""))=0,""0"",COUNT"&amp;"A(query(ifna(filter(DATA!D:D,DATA!O:O=B15),""""), ""Select Col1"")))"),"2/5")</f>
        <v>2/5</v>
      </c>
      <c r="H15" s="59">
        <f>IFERROR(__xludf.DUMMYFUNCTION("iferror(DIVIDE(if(countif(query(filter(DATA!D:D,DATA!O:O=B15), ""Select Col1""),""TRUE"")=0,""0"",countif(query(filter(DATA!D:D,DATA!O:O=B15), ""Select Col1""),""TRUE"")), if(COUNTA(query(ifna(filter(DATA!D:D,DATA!O:O=B15),""""), ""Select Col1""))=0,""0"""&amp;",COUNTA(query(ifna(filter(DATA!D:D,DATA!O:O=B15),""""), ""Select Col1"")))),""0.00%"")"),0.4)</f>
        <v>0.4</v>
      </c>
      <c r="I15" s="63" t="str">
        <f>IFERROR(__xludf.DUMMYFUNCTION("if(countif(query(filter(DATA!E:E,DATA!O:O=B15), ""Select Col1""),""TRUE"")=0,""0"",countif(query(filter(DATA!E:E,DATA!O:O=B15), ""Select Col1""),""TRUE"")) &amp; ""/"" &amp; if(COUNTA(query(ifna(filter(DATA!E:E,DATA!O:O=B15),""""), ""Select Col1""))=0,""0"",COUNT"&amp;"A(query(ifna(filter(DATA!E:E,DATA!O:O=B15),""""), ""Select Col1"")))"),"0/5")</f>
        <v>0/5</v>
      </c>
      <c r="J15" s="81">
        <f>IFERROR(__xludf.DUMMYFUNCTION("iferror(DIVIDE(if(countif(query(filter(DATA!E:E,DATA!O:O=B15), ""Select Col1""),""TRUE"")=0,""0"",countif(query(filter(DATA!E:E,DATA!O:O=B15), ""Select Col1""),""TRUE"")), if(COUNTA(query(ifna(filter(DATA!E:E,DATA!O:O=B15),""""), ""Select Col1""))=0,""0"""&amp;",COUNTA(query(ifna(filter(DATA!E:E,DATA!O:O=B15),""""), ""Select Col1"")))),""0.00%"")"),0.0)</f>
        <v>0</v>
      </c>
      <c r="K15" s="5">
        <f>IFERROR(__xludf.DUMMYFUNCTION("iferror(SUM(query(filter(DATA!F:F,DATA!O:O=B15), ""Select Col1"")),""-"")"),11.0)</f>
        <v>11</v>
      </c>
      <c r="L15" s="5">
        <f>IFERROR(__xludf.DUMMYFUNCTION("iferror(SUM(query(filter(DATA!G:G,DATA!O:O=B15), ""Select Col1"")),""-"")"),10.0)</f>
        <v>10</v>
      </c>
      <c r="M15" s="59">
        <f t="shared" si="1"/>
        <v>0.9090909091</v>
      </c>
      <c r="N15" s="60">
        <f>IFERROR(__xludf.DUMMYFUNCTION("iferror(AVERAGE(query(filter(DATA!G:G,DATA!O:O=B15), ""Select Col1"")),""0.00"")"),2.0)</f>
        <v>2</v>
      </c>
      <c r="O15" s="65">
        <f>IFERROR(__xludf.DUMMYFUNCTION("iferror(MAX(query(filter(DATA!G:G,DATA!O:O=B15), ""Select Col1"")),""-"")"),4.0)</f>
        <v>4</v>
      </c>
      <c r="P15" s="66">
        <f>IFERROR(__xludf.DUMMYFUNCTION("iferror(SUM(query(filter(DATA!H:H,DATA!O:O=B15), ""Select Col1"")),""-"")"),0.0)</f>
        <v>0</v>
      </c>
      <c r="Q15" s="68">
        <f>IFERROR(__xludf.DUMMYFUNCTION("iferror(AVERAGE(query(filter(DATA!H:H,DATA!O:O=B15), ""Select Col1"")),""0.00"")"),0.0)</f>
        <v>0</v>
      </c>
      <c r="R15" s="69">
        <f>IFERROR(__xludf.DUMMYFUNCTION("iferror(MAX(query(filter(DATA!H:H,DATA!O:O=B15), ""Select Col1"")),""-"")"),0.0)</f>
        <v>0</v>
      </c>
      <c r="S15" s="66">
        <f>IFERROR(__xludf.DUMMYFUNCTION("iferror(SUM(query(filter(DATA!I:I,DATA!O:O=B15), ""Select Col1"")),""-"")"),0.0)</f>
        <v>0</v>
      </c>
      <c r="T15" s="66">
        <f>IFERROR(__xludf.DUMMYFUNCTION("iferror(SUM(query(filter(DATA!J:J,DATA!O:O=B15), ""Select Col1"")),""-"")"),0.0)</f>
        <v>0</v>
      </c>
      <c r="U15" s="67" t="str">
        <f t="shared" si="2"/>
        <v>-</v>
      </c>
      <c r="V15" s="68">
        <f>IFERROR(__xludf.DUMMYFUNCTION("iferror(AVERAGE(query(filter(DATA!J:J,DATA!O:O=B15), ""Select Col1"")),""0.00"")"),0.0)</f>
        <v>0</v>
      </c>
      <c r="W15" s="69">
        <f>IFERROR(__xludf.DUMMYFUNCTION("iferror(MAX(query(filter(DATA!J:J,DATA!O:O=B15), ""Select Col1"")),""-"")"),0.0)</f>
        <v>0</v>
      </c>
      <c r="X15" s="66">
        <f>IFERROR(__xludf.DUMMYFUNCTION("iferror(SUM(query(filter(DATA!K:K,DATA!O:O=B15), ""Select Col1"")),""-"")"),0.0)</f>
        <v>0</v>
      </c>
      <c r="Y15" s="66">
        <f>IFERROR(__xludf.DUMMYFUNCTION("iferror(AVERAGE(query(filter(DATA!K:K,DATA!O:O=B15), ""Select Col1"")),""-"")"),0.0)</f>
        <v>0</v>
      </c>
      <c r="Z15" s="69">
        <f>IFERROR(__xludf.DUMMYFUNCTION("iferror(MAX(query(filter(DATA!K:K,DATA!O:O=B15), ""Select Col1"")),""-"")"),0.0)</f>
        <v>0</v>
      </c>
      <c r="AA15" s="64" t="str">
        <f>IFERROR(__xludf.DUMMYFUNCTION("if(countif(query(filter(DATA!L:L,DATA!O:O=B15), ""Select Col1""),""Yes"")=0,""0"",countif(query(filter(DATA!L:L,DATA!O:O=B15), ""Select Col1""),""Yes"")) &amp; ""/"" &amp; if(COUNTA(query(ifna(filter(DATA!L:L,DATA!O:O=B15),""""), ""Select Col1""))=0,""0"",COUNTA("&amp;"query(ifna(filter(DATA!L:L,DATA!O:O=B15),""""), ""Select Col1"")))"),"0/5")</f>
        <v>0/5</v>
      </c>
      <c r="AB15" s="114">
        <f>IFERROR(__xludf.DUMMYFUNCTION("iferror(average(query(filter(DATA!M:M,DATA!O:O=B15), ""Select Col1"")),""-"")"),2.2)</f>
        <v>2.2</v>
      </c>
      <c r="AC15" s="74">
        <f>IFERROR(__xludf.DUMMYFUNCTION("iferror(AVERAGE(query(filter(DATA!S:S,DATA!O:O=B15), ""Select Col1"")),""-"")"),4.6)</f>
        <v>4.6</v>
      </c>
      <c r="AD15" s="74">
        <f>IFERROR(__xludf.DUMMYFUNCTION("iferror(AVERAGE(query(filter(DATA!T:T,DATA!O:O=B15), ""Select Col1"")),""-"")"),2.6)</f>
        <v>2.6</v>
      </c>
      <c r="AE15" s="74">
        <f>IFERROR(__xludf.DUMMYFUNCTION("iferror(AVERAGE(query(filter(DATA!U:U,DATA!O:O=B15), ""Select Col1"")),""-"")"),0.0)</f>
        <v>0</v>
      </c>
      <c r="AF15" s="74">
        <f>IFERROR(__xludf.DUMMYFUNCTION("iferror(AVERAGE(query(filter(DATA!V:V,DATA!O:O=B15), ""Select Col1"")),""-"")"),2.0)</f>
        <v>2</v>
      </c>
      <c r="AG15" s="74">
        <f>IFERROR(__xludf.DUMMYFUNCTION("iferror(AVERAGE(query(filter(DATA!W:W,DATA!O:O=B15), ""Select Col1"")),""-"")"),0.0)</f>
        <v>0</v>
      </c>
      <c r="AH15" s="75">
        <f>IFERROR(__xludf.DUMMYFUNCTION("iferror(max(query(filter(DATA!S:S,DATA!O:O=B15), ""Select Col1"")),""-"")"),7.0)</f>
        <v>7</v>
      </c>
      <c r="AI15" s="76">
        <f>IFERROR(__xludf.DUMMYFUNCTION("iferror(MIN(query(filter(DATA!S:S,DATA!O:O=B15), ""Select Col1"")),""-"")"),2.0)</f>
        <v>2</v>
      </c>
    </row>
    <row r="16">
      <c r="A16" s="2">
        <v>830.0</v>
      </c>
      <c r="B16" s="2" t="s">
        <v>30</v>
      </c>
      <c r="C16" s="57" t="str">
        <f>IFERROR(__xludf.DUMMYFUNCTION("if(countif(query(filter(DATA!B:B,DATA!O:O=B16), ""Select Col1""),""TRUE"")=0,""0"",countif(query(filter(DATA!B:B,DATA!O:O=B16), ""Select Col1""),""TRUE"")) &amp; ""/"" &amp; if(COUNTA(query(ifna(filter(DATA!B:B,DATA!O:O=B16),""""), ""Select Col1""))=0,""0"",COUNT"&amp;"A(query(ifna(filter(DATA!B:B,DATA!O:O=B16),""""), ""Select Col1"")))"),"1/4")</f>
        <v>1/4</v>
      </c>
      <c r="D16" s="58">
        <f>IFERROR(__xludf.DUMMYFUNCTION("iferror(SUM(query(filter(DATA!C:C,DATA!O:O=B16), ""Select Col1"")),""-"")"),0.0)</f>
        <v>0</v>
      </c>
      <c r="E16" s="60">
        <f>IFERROR(__xludf.DUMMYFUNCTION("iferror(AVERAGE(query(filter(DATA!C:C,DATA!O:O=B16), ""Select Col1"")),""0.00"")"),0.0)</f>
        <v>0</v>
      </c>
      <c r="F16" s="58">
        <f>IFERROR(__xludf.DUMMYFUNCTION("iferror(MAX(query(filter(DATA!C:C,DATA!O:O=B16), ""Select Col1"")),""-"")"),0.0)</f>
        <v>0</v>
      </c>
      <c r="G16" s="61" t="str">
        <f>IFERROR(__xludf.DUMMYFUNCTION("if(countif(query(filter(DATA!D:D,DATA!O:O=B16), ""Select Col1""),""TRUE"")=0,""0"",countif(query(filter(DATA!D:D,DATA!O:O=B16), ""Select Col1""),""TRUE"")) &amp; ""/"" &amp; if(COUNTA(query(ifna(filter(DATA!D:D,DATA!O:O=B16),""""), ""Select Col1""))=0,""0"",COUNT"&amp;"A(query(ifna(filter(DATA!D:D,DATA!O:O=B16),""""), ""Select Col1"")))"),"0/4")</f>
        <v>0/4</v>
      </c>
      <c r="H16" s="59">
        <f>IFERROR(__xludf.DUMMYFUNCTION("iferror(DIVIDE(if(countif(query(filter(DATA!D:D,DATA!O:O=B16), ""Select Col1""),""TRUE"")=0,""0"",countif(query(filter(DATA!D:D,DATA!O:O=B16), ""Select Col1""),""TRUE"")), if(COUNTA(query(ifna(filter(DATA!D:D,DATA!O:O=B16),""""), ""Select Col1""))=0,""0"""&amp;",COUNTA(query(ifna(filter(DATA!D:D,DATA!O:O=B16),""""), ""Select Col1"")))),""0.00%"")"),0.0)</f>
        <v>0</v>
      </c>
      <c r="I16" s="63" t="str">
        <f>IFERROR(__xludf.DUMMYFUNCTION("if(countif(query(filter(DATA!E:E,DATA!O:O=B16), ""Select Col1""),""TRUE"")=0,""0"",countif(query(filter(DATA!E:E,DATA!O:O=B16), ""Select Col1""),""TRUE"")) &amp; ""/"" &amp; if(COUNTA(query(ifna(filter(DATA!E:E,DATA!O:O=B16),""""), ""Select Col1""))=0,""0"",COUNT"&amp;"A(query(ifna(filter(DATA!E:E,DATA!O:O=B16),""""), ""Select Col1"")))"),"0/4")</f>
        <v>0/4</v>
      </c>
      <c r="J16" s="81">
        <f>IFERROR(__xludf.DUMMYFUNCTION("iferror(DIVIDE(if(countif(query(filter(DATA!E:E,DATA!O:O=B16), ""Select Col1""),""TRUE"")=0,""0"",countif(query(filter(DATA!E:E,DATA!O:O=B16), ""Select Col1""),""TRUE"")), if(COUNTA(query(ifna(filter(DATA!E:E,DATA!O:O=B16),""""), ""Select Col1""))=0,""0"""&amp;",COUNTA(query(ifna(filter(DATA!E:E,DATA!O:O=B16),""""), ""Select Col1"")))),""0.00%"")"),0.0)</f>
        <v>0</v>
      </c>
      <c r="K16" s="5">
        <f>IFERROR(__xludf.DUMMYFUNCTION("iferror(SUM(query(filter(DATA!F:F,DATA!O:O=B16), ""Select Col1"")),""-"")"),8.0)</f>
        <v>8</v>
      </c>
      <c r="L16" s="5">
        <f>IFERROR(__xludf.DUMMYFUNCTION("iferror(SUM(query(filter(DATA!G:G,DATA!O:O=B16), ""Select Col1"")),""-"")"),7.0)</f>
        <v>7</v>
      </c>
      <c r="M16" s="59">
        <f t="shared" si="1"/>
        <v>0.875</v>
      </c>
      <c r="N16" s="60">
        <f>IFERROR(__xludf.DUMMYFUNCTION("iferror(AVERAGE(query(filter(DATA!G:G,DATA!O:O=B16), ""Select Col1"")),""0.00"")"),1.75)</f>
        <v>1.75</v>
      </c>
      <c r="O16" s="65">
        <f>IFERROR(__xludf.DUMMYFUNCTION("iferror(MAX(query(filter(DATA!G:G,DATA!O:O=B16), ""Select Col1"")),""-"")"),4.0)</f>
        <v>4</v>
      </c>
      <c r="P16" s="66">
        <f>IFERROR(__xludf.DUMMYFUNCTION("iferror(SUM(query(filter(DATA!H:H,DATA!O:O=B16), ""Select Col1"")),""-"")"),0.0)</f>
        <v>0</v>
      </c>
      <c r="Q16" s="68">
        <f>IFERROR(__xludf.DUMMYFUNCTION("iferror(AVERAGE(query(filter(DATA!H:H,DATA!O:O=B16), ""Select Col1"")),""0.00"")"),0.0)</f>
        <v>0</v>
      </c>
      <c r="R16" s="69">
        <f>IFERROR(__xludf.DUMMYFUNCTION("iferror(MAX(query(filter(DATA!H:H,DATA!O:O=B16), ""Select Col1"")),""-"")"),0.0)</f>
        <v>0</v>
      </c>
      <c r="S16" s="66">
        <f>IFERROR(__xludf.DUMMYFUNCTION("iferror(SUM(query(filter(DATA!I:I,DATA!O:O=B16), ""Select Col1"")),""-"")"),0.0)</f>
        <v>0</v>
      </c>
      <c r="T16" s="66">
        <f>IFERROR(__xludf.DUMMYFUNCTION("iferror(SUM(query(filter(DATA!J:J,DATA!O:O=B16), ""Select Col1"")),""-"")"),0.0)</f>
        <v>0</v>
      </c>
      <c r="U16" s="67" t="str">
        <f t="shared" si="2"/>
        <v>-</v>
      </c>
      <c r="V16" s="68">
        <f>IFERROR(__xludf.DUMMYFUNCTION("iferror(AVERAGE(query(filter(DATA!J:J,DATA!O:O=B16), ""Select Col1"")),""0.00"")"),0.0)</f>
        <v>0</v>
      </c>
      <c r="W16" s="69">
        <f>IFERROR(__xludf.DUMMYFUNCTION("iferror(MAX(query(filter(DATA!J:J,DATA!O:O=B16), ""Select Col1"")),""-"")"),0.0)</f>
        <v>0</v>
      </c>
      <c r="X16" s="66">
        <f>IFERROR(__xludf.DUMMYFUNCTION("iferror(SUM(query(filter(DATA!K:K,DATA!O:O=B16), ""Select Col1"")),""-"")"),1.0)</f>
        <v>1</v>
      </c>
      <c r="Y16" s="66">
        <f>IFERROR(__xludf.DUMMYFUNCTION("iferror(AVERAGE(query(filter(DATA!K:K,DATA!O:O=B16), ""Select Col1"")),""-"")"),0.25)</f>
        <v>0.25</v>
      </c>
      <c r="Z16" s="69">
        <f>IFERROR(__xludf.DUMMYFUNCTION("iferror(MAX(query(filter(DATA!K:K,DATA!O:O=B16), ""Select Col1"")),""-"")"),1.0)</f>
        <v>1</v>
      </c>
      <c r="AA16" s="64" t="str">
        <f>IFERROR(__xludf.DUMMYFUNCTION("if(countif(query(filter(DATA!L:L,DATA!O:O=B16), ""Select Col1""),""Yes"")=0,""0"",countif(query(filter(DATA!L:L,DATA!O:O=B16), ""Select Col1""),""Yes"")) &amp; ""/"" &amp; if(COUNTA(query(ifna(filter(DATA!L:L,DATA!O:O=B16),""""), ""Select Col1""))=0,""0"",COUNTA("&amp;"query(ifna(filter(DATA!L:L,DATA!O:O=B16),""""), ""Select Col1"")))"),"1/4")</f>
        <v>1/4</v>
      </c>
      <c r="AB16" s="114">
        <f>IFERROR(__xludf.DUMMYFUNCTION("iferror(average(query(filter(DATA!M:M,DATA!O:O=B16), ""Select Col1"")),""-"")"),2.0)</f>
        <v>2</v>
      </c>
      <c r="AC16" s="74">
        <f>IFERROR(__xludf.DUMMYFUNCTION("iferror(AVERAGE(query(filter(DATA!S:S,DATA!O:O=B16), ""Select Col1"")),""-"")"),2.0)</f>
        <v>2</v>
      </c>
      <c r="AD16" s="74">
        <f>IFERROR(__xludf.DUMMYFUNCTION("iferror(AVERAGE(query(filter(DATA!T:T,DATA!O:O=B16), ""Select Col1"")),""-"")"),0.25)</f>
        <v>0.25</v>
      </c>
      <c r="AE16" s="74">
        <f>IFERROR(__xludf.DUMMYFUNCTION("iferror(AVERAGE(query(filter(DATA!U:U,DATA!O:O=B16), ""Select Col1"")),""-"")"),0.0)</f>
        <v>0</v>
      </c>
      <c r="AF16" s="74">
        <f>IFERROR(__xludf.DUMMYFUNCTION("iferror(AVERAGE(query(filter(DATA!V:V,DATA!O:O=B16), ""Select Col1"")),""-"")"),1.75)</f>
        <v>1.75</v>
      </c>
      <c r="AG16" s="74">
        <f>IFERROR(__xludf.DUMMYFUNCTION("iferror(AVERAGE(query(filter(DATA!W:W,DATA!O:O=B16), ""Select Col1"")),""-"")"),-2.5)</f>
        <v>-2.5</v>
      </c>
      <c r="AH16" s="75">
        <f>IFERROR(__xludf.DUMMYFUNCTION("iferror(max(query(filter(DATA!S:S,DATA!O:O=B16), ""Select Col1"")),""-"")"),4.0)</f>
        <v>4</v>
      </c>
      <c r="AI16" s="76">
        <f>IFERROR(__xludf.DUMMYFUNCTION("iferror(MIN(query(filter(DATA!S:S,DATA!O:O=B16), ""Select Col1"")),""-"")"),0.0)</f>
        <v>0</v>
      </c>
    </row>
  </sheetData>
  <autoFilter ref="$A$4:$AI$16">
    <sortState ref="A4:AI16">
      <sortCondition descending="1" ref="AC4:AC16"/>
      <sortCondition descending="1" ref="AE4:AE16"/>
      <sortCondition descending="1" ref="AF4:AF16"/>
      <sortCondition descending="1" ref="Q4:Q16"/>
      <sortCondition ref="A4:A16"/>
    </sortState>
  </autoFilter>
  <mergeCells count="15">
    <mergeCell ref="G2:H3"/>
    <mergeCell ref="I2:J3"/>
    <mergeCell ref="K2:O3"/>
    <mergeCell ref="P2:W2"/>
    <mergeCell ref="P3:R3"/>
    <mergeCell ref="S3:W3"/>
    <mergeCell ref="X2:Z3"/>
    <mergeCell ref="AA2:AA3"/>
    <mergeCell ref="A1:B3"/>
    <mergeCell ref="C1:J1"/>
    <mergeCell ref="K1:AA1"/>
    <mergeCell ref="AB1:AB3"/>
    <mergeCell ref="AC1:AI3"/>
    <mergeCell ref="C2:C3"/>
    <mergeCell ref="D2:F3"/>
  </mergeCells>
  <conditionalFormatting sqref="AC5:A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E5:AE1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D5:AD16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5:AF16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5:AG16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115" t="s">
        <v>420</v>
      </c>
      <c r="B1" s="115" t="s">
        <v>421</v>
      </c>
      <c r="C1" s="115" t="s">
        <v>422</v>
      </c>
      <c r="D1" s="115" t="s">
        <v>423</v>
      </c>
      <c r="E1" s="115" t="s">
        <v>424</v>
      </c>
      <c r="F1" s="115"/>
      <c r="G1" s="115" t="s">
        <v>425</v>
      </c>
    </row>
    <row r="2">
      <c r="A2" s="115">
        <v>1.0</v>
      </c>
      <c r="B2" s="116">
        <v>5050.0</v>
      </c>
      <c r="C2" s="117" t="str">
        <f>IFERROR(__xludf.DUMMYFUNCTION("FILTER('Comp Scouting - WAPUR'!AC:AC,'Comp Scouting - WAPUR'!B:B=B2)"),"#N/A")</f>
        <v>#N/A</v>
      </c>
      <c r="D2" s="117" t="str">
        <f>IFERROR(__xludf.DUMMYFUNCTION("FILTER('Comp Scouting - WAPUR'!AE:AE,'Comp Scouting - WAPUR'!B:B=B2)"),"#N/A")</f>
        <v>#N/A</v>
      </c>
      <c r="E2" s="117" t="str">
        <f>IFERROR(__xludf.DUMMYFUNCTION("if(countif(query(filter(DATA!AI:AI,DATA!C:C=B2), ""Select Col1""),""TRUE"")=0,""0"",countif(query(filter(DATA!AI:AI,DATA!C:C=B2), ""Select Col1""),""TRUE"")) &amp; ""/"" &amp; if(COUNTA(query(ifna(filter(DATA!AI:AI,DATA!C:C=B5),""""), ""Select Col1""))=0,""0"",CO"&amp;"UNTA(query(ifna(filter(DATA!AI:AI,DATA!C:C=B2),""""), ""Select Col1"")))"),"#REF!")</f>
        <v>#REF!</v>
      </c>
      <c r="F2" s="117"/>
      <c r="G2" s="115" t="s">
        <v>426</v>
      </c>
    </row>
    <row r="3">
      <c r="A3" s="115">
        <v>2.0</v>
      </c>
      <c r="B3" s="118">
        <v>107.0</v>
      </c>
      <c r="C3" s="117" t="str">
        <f>IFERROR(__xludf.DUMMYFUNCTION("FILTER('Comp Scouting - WAPUR'!AC:AC,'Comp Scouting - WAPUR'!B:B=B3)"),"#N/A")</f>
        <v>#N/A</v>
      </c>
      <c r="D3" s="117" t="str">
        <f>IFERROR(__xludf.DUMMYFUNCTION("FILTER('Comp Scouting - WAPUR'!AE:AE,'Comp Scouting - WAPUR'!B:B=B3)"),"#N/A")</f>
        <v>#N/A</v>
      </c>
      <c r="E3" s="117" t="str">
        <f>IFERROR(__xludf.DUMMYFUNCTION("if(countif(query(filter(DATA!AI:AI,DATA!C:C=B3), ""Select Col1""),""TRUE"")=0,""0"",countif(query(filter(DATA!AI:AI,DATA!C:C=B3), ""Select Col1""),""TRUE"")) &amp; ""/"" &amp; if(COUNTA(query(ifna(filter(DATA!AI:AI,DATA!C:C=B6),""""), ""Select Col1""))=0,""0"",CO"&amp;"UNTA(query(ifna(filter(DATA!AI:AI,DATA!C:C=B3),""""), ""Select Col1"")))"),"#REF!")</f>
        <v>#REF!</v>
      </c>
      <c r="F3" s="117"/>
      <c r="G3" s="115" t="s">
        <v>426</v>
      </c>
    </row>
    <row r="4">
      <c r="A4" s="115">
        <v>3.0</v>
      </c>
      <c r="B4" s="116">
        <v>4405.0</v>
      </c>
      <c r="C4" s="117" t="str">
        <f>IFERROR(__xludf.DUMMYFUNCTION("FILTER('Comp Scouting - WAPUR'!AC:AC,'Comp Scouting - WAPUR'!B:B=B4)"),"#N/A")</f>
        <v>#N/A</v>
      </c>
      <c r="D4" s="117" t="str">
        <f>IFERROR(__xludf.DUMMYFUNCTION("FILTER('Comp Scouting - WAPUR'!AE:AE,'Comp Scouting - WAPUR'!B:B=B4)"),"#N/A")</f>
        <v>#N/A</v>
      </c>
      <c r="E4" s="117" t="str">
        <f>IFERROR(__xludf.DUMMYFUNCTION("if(countif(query(filter(DATA!AI:AI,DATA!C:C=B4), ""Select Col1""),""TRUE"")=0,""0"",countif(query(filter(DATA!AI:AI,DATA!C:C=B4), ""Select Col1""),""TRUE"")) &amp; ""/"" &amp; if(COUNTA(query(ifna(filter(DATA!AI:AI,DATA!C:C=B7),""""), ""Select Col1""))=0,""0"",CO"&amp;"UNTA(query(ifna(filter(DATA!AI:AI,DATA!C:C=B4),""""), ""Select Col1"")))"),"#REF!")</f>
        <v>#REF!</v>
      </c>
      <c r="F4" s="117"/>
      <c r="G4" s="115" t="s">
        <v>426</v>
      </c>
    </row>
    <row r="5">
      <c r="A5" s="115">
        <v>4.0</v>
      </c>
      <c r="B5" s="116">
        <v>862.0</v>
      </c>
      <c r="C5" s="117" t="str">
        <f>IFERROR(__xludf.DUMMYFUNCTION("FILTER('Comp Scouting - WAPUR'!AC:AC,'Comp Scouting - WAPUR'!B:B=B5)"),"#N/A")</f>
        <v>#N/A</v>
      </c>
      <c r="D5" s="117" t="str">
        <f>IFERROR(__xludf.DUMMYFUNCTION("FILTER('Comp Scouting - WAPUR'!AE:AE,'Comp Scouting - WAPUR'!B:B=B5)"),"#N/A")</f>
        <v>#N/A</v>
      </c>
      <c r="E5" s="117" t="str">
        <f>IFERROR(__xludf.DUMMYFUNCTION("if(countif(query(filter(DATA!AI:AI,DATA!C:C=B5), ""Select Col1""),""TRUE"")=0,""0"",countif(query(filter(DATA!AI:AI,DATA!C:C=B5), ""Select Col1""),""TRUE"")) &amp; ""/"" &amp; if(COUNTA(query(ifna(filter(DATA!AI:AI,DATA!C:C=B8),""""), ""Select Col1""))=0,""0"",CO"&amp;"UNTA(query(ifna(filter(DATA!AI:AI,DATA!C:C=B5),""""), ""Select Col1"")))"),"#REF!")</f>
        <v>#REF!</v>
      </c>
      <c r="F5" s="117"/>
      <c r="G5" s="115" t="s">
        <v>426</v>
      </c>
    </row>
    <row r="6">
      <c r="A6" s="115">
        <v>5.0</v>
      </c>
      <c r="B6" s="118">
        <v>6081.0</v>
      </c>
      <c r="C6" s="117" t="str">
        <f>IFERROR(__xludf.DUMMYFUNCTION("FILTER('Comp Scouting - WAPUR'!AC:AC,'Comp Scouting - WAPUR'!B:B=B6)"),"#N/A")</f>
        <v>#N/A</v>
      </c>
      <c r="D6" s="117" t="str">
        <f>IFERROR(__xludf.DUMMYFUNCTION("FILTER('Comp Scouting - WAPUR'!AE:AE,'Comp Scouting - WAPUR'!B:B=B6)"),"#N/A")</f>
        <v>#N/A</v>
      </c>
      <c r="E6" s="117" t="str">
        <f>IFERROR(__xludf.DUMMYFUNCTION("if(countif(query(filter(DATA!AI:AI,DATA!C:C=B6), ""Select Col1""),""TRUE"")=0,""0"",countif(query(filter(DATA!AI:AI,DATA!C:C=B6), ""Select Col1""),""TRUE"")) &amp; ""/"" &amp; if(COUNTA(query(ifna(filter(DATA!AI:AI,DATA!C:C=B9),""""), ""Select Col1""))=0,""0"",CO"&amp;"UNTA(query(ifna(filter(DATA!AI:AI,DATA!C:C=B6),""""), ""Select Col1"")))"),"#REF!")</f>
        <v>#REF!</v>
      </c>
      <c r="F6" s="117"/>
      <c r="G6" s="115" t="s">
        <v>426</v>
      </c>
    </row>
    <row r="7">
      <c r="A7" s="115">
        <v>6.0</v>
      </c>
      <c r="B7" s="119">
        <v>3322.0</v>
      </c>
      <c r="C7" s="117" t="str">
        <f>IFERROR(__xludf.DUMMYFUNCTION("FILTER('Comp Scouting - WAPUR'!AC:AC,'Comp Scouting - WAPUR'!B:B=B7)"),"#N/A")</f>
        <v>#N/A</v>
      </c>
      <c r="D7" s="117" t="str">
        <f>IFERROR(__xludf.DUMMYFUNCTION("FILTER('Comp Scouting - WAPUR'!AE:AE,'Comp Scouting - WAPUR'!B:B=B7)"),"#N/A")</f>
        <v>#N/A</v>
      </c>
      <c r="E7" s="117" t="str">
        <f>IFERROR(__xludf.DUMMYFUNCTION("if(countif(query(filter(DATA!AI:AI,DATA!C:C=B7), ""Select Col1""),""TRUE"")=0,""0"",countif(query(filter(DATA!AI:AI,DATA!C:C=B7), ""Select Col1""),""TRUE"")) &amp; ""/"" &amp; if(COUNTA(query(ifna(filter(DATA!AI:AI,DATA!C:C=B10),""""), ""Select Col1""))=0,""0"",C"&amp;"OUNTA(query(ifna(filter(DATA!AI:AI,DATA!C:C=B7),""""), ""Select Col1"")))"),"#REF!")</f>
        <v>#REF!</v>
      </c>
      <c r="F7" s="117"/>
      <c r="G7" s="115"/>
    </row>
    <row r="8">
      <c r="A8" s="115">
        <v>7.0</v>
      </c>
      <c r="B8" s="120">
        <v>5674.0</v>
      </c>
      <c r="C8" s="117" t="str">
        <f>IFERROR(__xludf.DUMMYFUNCTION("FILTER('Comp Scouting - WAPUR'!AC:AC,'Comp Scouting - WAPUR'!B:B=B8)"),"#N/A")</f>
        <v>#N/A</v>
      </c>
      <c r="D8" s="117" t="str">
        <f>IFERROR(__xludf.DUMMYFUNCTION("FILTER('Comp Scouting - WAPUR'!AE:AE,'Comp Scouting - WAPUR'!B:B=B8)"),"#N/A")</f>
        <v>#N/A</v>
      </c>
      <c r="E8" s="117" t="str">
        <f>IFERROR(__xludf.DUMMYFUNCTION("if(countif(query(filter(DATA!AI:AI,DATA!C:C=B8), ""Select Col1""),""TRUE"")=0,""0"",countif(query(filter(DATA!AI:AI,DATA!C:C=B8), ""Select Col1""),""TRUE"")) &amp; ""/"" &amp; if(COUNTA(query(ifna(filter(DATA!AI:AI,DATA!C:C=B11),""""), ""Select Col1""))=0,""0"",C"&amp;"OUNTA(query(ifna(filter(DATA!AI:AI,DATA!C:C=B8),""""), ""Select Col1"")))"),"#REF!")</f>
        <v>#REF!</v>
      </c>
      <c r="F8" s="117"/>
      <c r="G8" s="115" t="s">
        <v>427</v>
      </c>
    </row>
    <row r="9">
      <c r="A9" s="115">
        <v>8.0</v>
      </c>
      <c r="B9" s="121">
        <v>1076.0</v>
      </c>
      <c r="C9" s="117" t="str">
        <f>IFERROR(__xludf.DUMMYFUNCTION("FILTER('Comp Scouting - WAPUR'!AC:AC,'Comp Scouting - WAPUR'!B:B=B9)"),"#N/A")</f>
        <v>#N/A</v>
      </c>
      <c r="D9" s="117" t="str">
        <f>IFERROR(__xludf.DUMMYFUNCTION("FILTER('Comp Scouting - WAPUR'!AE:AE,'Comp Scouting - WAPUR'!B:B=B9)"),"#N/A")</f>
        <v>#N/A</v>
      </c>
      <c r="E9" s="117" t="str">
        <f>IFERROR(__xludf.DUMMYFUNCTION("if(countif(query(filter(DATA!AI:AI,DATA!C:C=B9), ""Select Col1""),""TRUE"")=0,""0"",countif(query(filter(DATA!AI:AI,DATA!C:C=B9), ""Select Col1""),""TRUE"")) &amp; ""/"" &amp; if(COUNTA(query(ifna(filter(DATA!AI:AI,DATA!C:C=B12),""""), ""Select Col1""))=0,""0"",C"&amp;"OUNTA(query(ifna(filter(DATA!AI:AI,DATA!C:C=B9),""""), ""Select Col1"")))"),"#REF!")</f>
        <v>#REF!</v>
      </c>
      <c r="F9" s="117"/>
      <c r="G9" s="115" t="s">
        <v>428</v>
      </c>
    </row>
    <row r="10">
      <c r="A10" s="115">
        <v>9.0</v>
      </c>
      <c r="B10" s="122">
        <v>9209.0</v>
      </c>
      <c r="C10" s="117" t="str">
        <f>IFERROR(__xludf.DUMMYFUNCTION("FILTER('Comp Scouting - WAPUR'!AC:AC,'Comp Scouting - WAPUR'!B:B=B10)"),"#N/A")</f>
        <v>#N/A</v>
      </c>
      <c r="D10" s="117" t="str">
        <f>IFERROR(__xludf.DUMMYFUNCTION("FILTER('Comp Scouting - WAPUR'!AE:AE,'Comp Scouting - WAPUR'!B:B=B10)"),"#N/A")</f>
        <v>#N/A</v>
      </c>
      <c r="E10" s="117" t="str">
        <f>IFERROR(__xludf.DUMMYFUNCTION("if(countif(query(filter(DATA!AI:AI,DATA!C:C=B10), ""Select Col1""),""TRUE"")=0,""0"",countif(query(filter(DATA!AI:AI,DATA!C:C=B10), ""Select Col1""),""TRUE"")) &amp; ""/"" &amp; if(COUNTA(query(ifna(filter(DATA!AI:AI,DATA!C:C=B13),""""), ""Select Col1""))=0,""0"""&amp;",COUNTA(query(ifna(filter(DATA!AI:AI,DATA!C:C=B10),""""), ""Select Col1"")))"),"#REF!")</f>
        <v>#REF!</v>
      </c>
      <c r="F10" s="117"/>
      <c r="G10" s="115" t="s">
        <v>429</v>
      </c>
    </row>
    <row r="11">
      <c r="A11" s="115">
        <v>10.0</v>
      </c>
      <c r="B11" s="123">
        <v>904.0</v>
      </c>
      <c r="C11" s="117" t="str">
        <f>IFERROR(__xludf.DUMMYFUNCTION("FILTER('Comp Scouting - WAPUR'!AC:AC,'Comp Scouting - WAPUR'!B:B=B11)"),"#N/A")</f>
        <v>#N/A</v>
      </c>
      <c r="D11" s="117" t="str">
        <f>IFERROR(__xludf.DUMMYFUNCTION("FILTER('Comp Scouting - WAPUR'!AE:AE,'Comp Scouting - WAPUR'!B:B=B11)"),"#N/A")</f>
        <v>#N/A</v>
      </c>
      <c r="E11" s="117" t="str">
        <f>IFERROR(__xludf.DUMMYFUNCTION("if(countif(query(filter(DATA!AI:AI,DATA!C:C=B11), ""Select Col1""),""TRUE"")=0,""0"",countif(query(filter(DATA!AI:AI,DATA!C:C=B11), ""Select Col1""),""TRUE"")) &amp; ""/"" &amp; if(COUNTA(query(ifna(filter(DATA!AI:AI,DATA!C:C=B14),""""), ""Select Col1""))=0,""0"""&amp;",COUNTA(query(ifna(filter(DATA!AI:AI,DATA!C:C=B11),""""), ""Select Col1"")))"),"#REF!")</f>
        <v>#REF!</v>
      </c>
      <c r="F11" s="117"/>
      <c r="G11" s="115"/>
    </row>
    <row r="12">
      <c r="A12" s="115">
        <v>11.0</v>
      </c>
      <c r="B12" s="120">
        <v>8374.0</v>
      </c>
      <c r="C12" s="117" t="str">
        <f>IFERROR(__xludf.DUMMYFUNCTION("FILTER('Comp Scouting - WAPUR'!AC:AC,'Comp Scouting - WAPUR'!B:B=B12)"),"#N/A")</f>
        <v>#N/A</v>
      </c>
      <c r="D12" s="117" t="str">
        <f>IFERROR(__xludf.DUMMYFUNCTION("FILTER('Comp Scouting - WAPUR'!AE:AE,'Comp Scouting - WAPUR'!B:B=B12)"),"#N/A")</f>
        <v>#N/A</v>
      </c>
      <c r="E12" s="117" t="str">
        <f>IFERROR(__xludf.DUMMYFUNCTION("if(countif(query(filter(DATA!AI:AI,DATA!C:C=B12), ""Select Col1""),""TRUE"")=0,""0"",countif(query(filter(DATA!AI:AI,DATA!C:C=B12), ""Select Col1""),""TRUE"")) &amp; ""/"" &amp; if(COUNTA(query(ifna(filter(DATA!AI:AI,DATA!C:C=B15),""""), ""Select Col1""))=0,""0"""&amp;",COUNTA(query(ifna(filter(DATA!AI:AI,DATA!C:C=B12),""""), ""Select Col1"")))"),"#REF!")</f>
        <v>#REF!</v>
      </c>
      <c r="F12" s="117"/>
      <c r="G12" s="115" t="s">
        <v>430</v>
      </c>
    </row>
    <row r="13">
      <c r="A13" s="115">
        <v>12.0</v>
      </c>
      <c r="B13" s="122">
        <v>6556.0</v>
      </c>
      <c r="C13" s="117" t="str">
        <f>IFERROR(__xludf.DUMMYFUNCTION("FILTER('Comp Scouting - WAPUR'!AC:AC,'Comp Scouting - WAPUR'!B:B=B13)"),"#N/A")</f>
        <v>#N/A</v>
      </c>
      <c r="D13" s="117" t="str">
        <f>IFERROR(__xludf.DUMMYFUNCTION("FILTER('Comp Scouting - WAPUR'!AE:AE,'Comp Scouting - WAPUR'!B:B=B13)"),"#N/A")</f>
        <v>#N/A</v>
      </c>
      <c r="E13" s="117" t="str">
        <f>IFERROR(__xludf.DUMMYFUNCTION("if(countif(query(filter(DATA!AI:AI,DATA!C:C=B13), ""Select Col1""),""TRUE"")=0,""0"",countif(query(filter(DATA!AI:AI,DATA!C:C=B13), ""Select Col1""),""TRUE"")) &amp; ""/"" &amp; if(COUNTA(query(ifna(filter(DATA!AI:AI,DATA!C:C=B16),""""), ""Select Col1""))=0,""0"""&amp;",COUNTA(query(ifna(filter(DATA!AI:AI,DATA!C:C=B13),""""), ""Select Col1"")))"),"#REF!")</f>
        <v>#REF!</v>
      </c>
      <c r="F13" s="117"/>
      <c r="G13" s="117"/>
    </row>
    <row r="14">
      <c r="A14" s="115">
        <v>13.0</v>
      </c>
      <c r="B14" s="124">
        <v>815.0</v>
      </c>
      <c r="C14" s="117" t="str">
        <f>IFERROR(__xludf.DUMMYFUNCTION("FILTER('Comp Scouting - WAPUR'!AC:AC,'Comp Scouting - WAPUR'!B:B=B14)"),"#N/A")</f>
        <v>#N/A</v>
      </c>
      <c r="D14" s="117" t="str">
        <f>IFERROR(__xludf.DUMMYFUNCTION("FILTER('Comp Scouting - WAPUR'!AE:AE,'Comp Scouting - WAPUR'!B:B=B14)"),"#N/A")</f>
        <v>#N/A</v>
      </c>
      <c r="E14" s="117" t="str">
        <f>IFERROR(__xludf.DUMMYFUNCTION("if(countif(query(filter(DATA!AI:AI,DATA!C:C=B14), ""Select Col1""),""TRUE"")=0,""0"",countif(query(filter(DATA!AI:AI,DATA!C:C=B14), ""Select Col1""),""TRUE"")) &amp; ""/"" &amp; if(COUNTA(query(ifna(filter(DATA!AI:AI,DATA!C:C=B17),""""), ""Select Col1""))=0,""0"""&amp;",COUNTA(query(ifna(filter(DATA!AI:AI,DATA!C:C=B14),""""), ""Select Col1"")))"),"#REF!")</f>
        <v>#REF!</v>
      </c>
      <c r="F14" s="117"/>
      <c r="G14" s="117"/>
    </row>
    <row r="15">
      <c r="A15" s="115">
        <v>14.0</v>
      </c>
      <c r="B15" s="125">
        <v>5066.0</v>
      </c>
      <c r="C15" s="117" t="str">
        <f>IFERROR(__xludf.DUMMYFUNCTION("FILTER('Comp Scouting - WAPUR'!AC:AC,'Comp Scouting - WAPUR'!B:B=B15)"),"#N/A")</f>
        <v>#N/A</v>
      </c>
      <c r="D15" s="117" t="str">
        <f>IFERROR(__xludf.DUMMYFUNCTION("FILTER('Comp Scouting - WAPUR'!AE:AE,'Comp Scouting - WAPUR'!B:B=B15)"),"#N/A")</f>
        <v>#N/A</v>
      </c>
      <c r="E15" s="117" t="str">
        <f>IFERROR(__xludf.DUMMYFUNCTION("if(countif(query(filter(DATA!AI:AI,DATA!C:C=B15), ""Select Col1""),""TRUE"")=0,""0"",countif(query(filter(DATA!AI:AI,DATA!C:C=B15), ""Select Col1""),""TRUE"")) &amp; ""/"" &amp; if(COUNTA(query(ifna(filter(DATA!AI:AI,DATA!C:C=B18),""""), ""Select Col1""))=0,""0"""&amp;",COUNTA(query(ifna(filter(DATA!AI:AI,DATA!C:C=B15),""""), ""Select Col1"")))"),"#REF!")</f>
        <v>#REF!</v>
      </c>
      <c r="F15" s="117"/>
      <c r="G15" s="115" t="s">
        <v>431</v>
      </c>
    </row>
    <row r="16">
      <c r="A16" s="115">
        <v>15.0</v>
      </c>
      <c r="B16" s="122">
        <v>9241.0</v>
      </c>
      <c r="C16" s="117" t="str">
        <f>IFERROR(__xludf.DUMMYFUNCTION("FILTER('Comp Scouting - WAPUR'!AC:AC,'Comp Scouting - WAPUR'!B:B=B16)"),"#N/A")</f>
        <v>#N/A</v>
      </c>
      <c r="D16" s="117" t="str">
        <f>IFERROR(__xludf.DUMMYFUNCTION("FILTER('Comp Scouting - WAPUR'!AE:AE,'Comp Scouting - WAPUR'!B:B=B16)"),"#N/A")</f>
        <v>#N/A</v>
      </c>
      <c r="E16" s="117" t="str">
        <f>IFERROR(__xludf.DUMMYFUNCTION("if(countif(query(filter(DATA!AI:AI,DATA!C:C=B16), ""Select Col1""),""TRUE"")=0,""0"",countif(query(filter(DATA!AI:AI,DATA!C:C=B16), ""Select Col1""),""TRUE"")) &amp; ""/"" &amp; if(COUNTA(query(ifna(filter(DATA!AI:AI,DATA!C:C=B19),""""), ""Select Col1""))=0,""0"""&amp;",COUNTA(query(ifna(filter(DATA!AI:AI,DATA!C:C=B16),""""), ""Select Col1"")))"),"#REF!")</f>
        <v>#REF!</v>
      </c>
      <c r="F16" s="117"/>
      <c r="G16" s="117"/>
    </row>
    <row r="17">
      <c r="A17" s="115">
        <v>16.0</v>
      </c>
      <c r="B17" s="125">
        <v>5067.0</v>
      </c>
      <c r="C17" s="117" t="str">
        <f>IFERROR(__xludf.DUMMYFUNCTION("FILTER('Comp Scouting - WAPUR'!AC:AC,'Comp Scouting - WAPUR'!B:B=B17)"),"#N/A")</f>
        <v>#N/A</v>
      </c>
      <c r="D17" s="117" t="str">
        <f>IFERROR(__xludf.DUMMYFUNCTION("FILTER('Comp Scouting - WAPUR'!AE:AE,'Comp Scouting - WAPUR'!B:B=B17)"),"#N/A")</f>
        <v>#N/A</v>
      </c>
      <c r="E17" s="117" t="str">
        <f>IFERROR(__xludf.DUMMYFUNCTION("if(countif(query(filter(DATA!AI:AI,DATA!C:C=B17), ""Select Col1""),""TRUE"")=0,""0"",countif(query(filter(DATA!AI:AI,DATA!C:C=B17), ""Select Col1""),""TRUE"")) &amp; ""/"" &amp; if(COUNTA(query(ifna(filter(DATA!AI:AI,DATA!C:C=B20),""""), ""Select Col1""))=0,""0"""&amp;",COUNTA(query(ifna(filter(DATA!AI:AI,DATA!C:C=B17),""""), ""Select Col1"")))"),"#REF!")</f>
        <v>#REF!</v>
      </c>
      <c r="F17" s="117"/>
      <c r="G17" s="115" t="s">
        <v>432</v>
      </c>
    </row>
    <row r="18">
      <c r="A18" s="115">
        <v>17.0</v>
      </c>
      <c r="B18" s="122">
        <v>8832.0</v>
      </c>
      <c r="C18" s="117" t="str">
        <f>IFERROR(__xludf.DUMMYFUNCTION("FILTER('Comp Scouting - WAPUR'!AC:AC,'Comp Scouting - WAPUR'!B:B=B18)"),"#N/A")</f>
        <v>#N/A</v>
      </c>
      <c r="D18" s="117" t="str">
        <f>IFERROR(__xludf.DUMMYFUNCTION("FILTER('Comp Scouting - WAPUR'!AE:AE,'Comp Scouting - WAPUR'!B:B=B18)"),"#N/A")</f>
        <v>#N/A</v>
      </c>
      <c r="E18" s="117" t="str">
        <f>IFERROR(__xludf.DUMMYFUNCTION("if(countif(query(filter(DATA!AI:AI,DATA!C:C=B18), ""Select Col1""),""TRUE"")=0,""0"",countif(query(filter(DATA!AI:AI,DATA!C:C=B18), ""Select Col1""),""TRUE"")) &amp; ""/"" &amp; if(COUNTA(query(ifna(filter(DATA!AI:AI,DATA!C:C=B21),""""), ""Select Col1""))=0,""0"""&amp;",COUNTA(query(ifna(filter(DATA!AI:AI,DATA!C:C=B18),""""), ""Select Col1"")))"),"#REF!")</f>
        <v>#REF!</v>
      </c>
      <c r="F18" s="117"/>
      <c r="G18" s="117"/>
    </row>
    <row r="19">
      <c r="A19" s="115">
        <v>18.0</v>
      </c>
      <c r="B19" s="123">
        <v>5641.0</v>
      </c>
      <c r="C19" s="117" t="str">
        <f>IFERROR(__xludf.DUMMYFUNCTION("FILTER('Comp Scouting - WAPUR'!AC:AC,'Comp Scouting - WAPUR'!B:B=B19)"),"#N/A")</f>
        <v>#N/A</v>
      </c>
      <c r="D19" s="117" t="str">
        <f>IFERROR(__xludf.DUMMYFUNCTION("FILTER('Comp Scouting - WAPUR'!AE:AE,'Comp Scouting - WAPUR'!B:B=B19)"),"#N/A")</f>
        <v>#N/A</v>
      </c>
      <c r="E19" s="117" t="str">
        <f>IFERROR(__xludf.DUMMYFUNCTION("if(countif(query(filter(DATA!AI:AI,DATA!C:C=B19), ""Select Col1""),""TRUE"")=0,""0"",countif(query(filter(DATA!AI:AI,DATA!C:C=B19), ""Select Col1""),""TRUE"")) &amp; ""/"" &amp; if(COUNTA(query(ifna(filter(DATA!AI:AI,DATA!C:C=B22),""""), ""Select Col1""))=0,""0"""&amp;",COUNTA(query(ifna(filter(DATA!AI:AI,DATA!C:C=B19),""""), ""Select Col1"")))"),"#REF!")</f>
        <v>#REF!</v>
      </c>
      <c r="F19" s="117"/>
      <c r="G19" s="117"/>
    </row>
    <row r="20">
      <c r="A20" s="115">
        <v>19.0</v>
      </c>
      <c r="B20" s="123">
        <v>1504.0</v>
      </c>
      <c r="C20" s="117" t="str">
        <f>IFERROR(__xludf.DUMMYFUNCTION("FILTER('Comp Scouting - WAPUR'!AC:AC,'Comp Scouting - WAPUR'!B:B=B20)"),"#N/A")</f>
        <v>#N/A</v>
      </c>
      <c r="D20" s="117" t="str">
        <f>IFERROR(__xludf.DUMMYFUNCTION("FILTER('Comp Scouting - WAPUR'!AE:AE,'Comp Scouting - WAPUR'!B:B=B20)"),"#N/A")</f>
        <v>#N/A</v>
      </c>
      <c r="E20" s="117" t="str">
        <f>IFERROR(__xludf.DUMMYFUNCTION("if(countif(query(filter(DATA!AI:AI,DATA!C:C=B20), ""Select Col1""),""TRUE"")=0,""0"",countif(query(filter(DATA!AI:AI,DATA!C:C=B20), ""Select Col1""),""TRUE"")) &amp; ""/"" &amp; if(COUNTA(query(ifna(filter(DATA!AI:AI,DATA!C:C=B23),""""), ""Select Col1""))=0,""0"""&amp;",COUNTA(query(ifna(filter(DATA!AI:AI,DATA!C:C=B20),""""), ""Select Col1"")))"),"#REF!")</f>
        <v>#REF!</v>
      </c>
      <c r="F20" s="117"/>
      <c r="G20" s="115" t="s">
        <v>433</v>
      </c>
    </row>
    <row r="21">
      <c r="A21" s="115">
        <v>20.0</v>
      </c>
      <c r="B21" s="115">
        <v>3773.0</v>
      </c>
      <c r="C21" s="117" t="str">
        <f>IFERROR(__xludf.DUMMYFUNCTION("FILTER('Comp Scouting - WAPUR'!AC:AC,'Comp Scouting - WAPUR'!B:B=B21)"),"#N/A")</f>
        <v>#N/A</v>
      </c>
      <c r="D21" s="117" t="str">
        <f>IFERROR(__xludf.DUMMYFUNCTION("FILTER('Comp Scouting - WAPUR'!AE:AE,'Comp Scouting - WAPUR'!B:B=B21)"),"#N/A")</f>
        <v>#N/A</v>
      </c>
      <c r="E21" s="117" t="str">
        <f>IFERROR(__xludf.DUMMYFUNCTION("if(countif(query(filter(DATA!AI:AI,DATA!C:C=B21), ""Select Col1""),""TRUE"")=0,""0"",countif(query(filter(DATA!AI:AI,DATA!C:C=B21), ""Select Col1""),""TRUE"")) &amp; ""/"" &amp; if(COUNTA(query(ifna(filter(DATA!AI:AI,DATA!C:C=B24),""""), ""Select Col1""))=0,""0"""&amp;",COUNTA(query(ifna(filter(DATA!AI:AI,DATA!C:C=B21),""""), ""Select Col1"")))"),"#REF!")</f>
        <v>#REF!</v>
      </c>
      <c r="F21" s="117"/>
      <c r="G21" s="117"/>
    </row>
    <row r="22">
      <c r="A22" s="115">
        <v>21.0</v>
      </c>
      <c r="B22" s="123">
        <v>1502.0</v>
      </c>
      <c r="C22" s="117" t="str">
        <f>IFERROR(__xludf.DUMMYFUNCTION("FILTER('Comp Scouting - WAPUR'!AC:AC,'Comp Scouting - WAPUR'!B:B=B22)"),"#N/A")</f>
        <v>#N/A</v>
      </c>
      <c r="D22" s="117" t="str">
        <f>IFERROR(__xludf.DUMMYFUNCTION("FILTER('Comp Scouting - WAPUR'!AE:AE,'Comp Scouting - WAPUR'!B:B=B22)"),"#N/A")</f>
        <v>#N/A</v>
      </c>
      <c r="E22" s="117" t="str">
        <f>IFERROR(__xludf.DUMMYFUNCTION("if(countif(query(filter(DATA!AI:AI,DATA!C:C=B22), ""Select Col1""),""TRUE"")=0,""0"",countif(query(filter(DATA!AI:AI,DATA!C:C=B22), ""Select Col1""),""TRUE"")) &amp; ""/"" &amp; if(COUNTA(query(ifna(filter(DATA!AI:AI,DATA!C:C=B25),""""), ""Select Col1""))=0,""0"""&amp;",COUNTA(query(ifna(filter(DATA!AI:AI,DATA!C:C=B22),""""), ""Select Col1"")))"),"#REF!")</f>
        <v>#REF!</v>
      </c>
      <c r="F22" s="117"/>
      <c r="G22" s="115"/>
    </row>
    <row r="23">
      <c r="A23" s="115">
        <v>22.0</v>
      </c>
      <c r="B23" s="115">
        <v>5708.0</v>
      </c>
      <c r="C23" s="117" t="str">
        <f>IFERROR(__xludf.DUMMYFUNCTION("FILTER('Comp Scouting - WAPUR'!AC:AC,'Comp Scouting - WAPUR'!B:B=B23)"),"#N/A")</f>
        <v>#N/A</v>
      </c>
      <c r="D23" s="117" t="str">
        <f>IFERROR(__xludf.DUMMYFUNCTION("FILTER('Comp Scouting - WAPUR'!AE:AE,'Comp Scouting - WAPUR'!B:B=B23)"),"#N/A")</f>
        <v>#N/A</v>
      </c>
      <c r="E23" s="117" t="str">
        <f>IFERROR(__xludf.DUMMYFUNCTION("if(countif(query(filter(DATA!AI:AI,DATA!C:C=B23), ""Select Col1""),""TRUE"")=0,""0"",countif(query(filter(DATA!AI:AI,DATA!C:C=B23), ""Select Col1""),""TRUE"")) &amp; ""/"" &amp; if(COUNTA(query(ifna(filter(DATA!AI:AI,DATA!C:C=B26),""""), ""Select Col1""))=0,""0"""&amp;",COUNTA(query(ifna(filter(DATA!AI:AI,DATA!C:C=B23),""""), ""Select Col1"")))"),"#REF!")</f>
        <v>#REF!</v>
      </c>
      <c r="F23" s="117"/>
      <c r="G23" s="117"/>
    </row>
    <row r="24">
      <c r="A24" s="115">
        <v>23.0</v>
      </c>
      <c r="B24" s="122">
        <v>7598.0</v>
      </c>
      <c r="C24" s="117" t="str">
        <f>IFERROR(__xludf.DUMMYFUNCTION("FILTER('Comp Scouting - WAPUR'!AC:AC,'Comp Scouting - WAPUR'!B:B=B24)"),"#N/A")</f>
        <v>#N/A</v>
      </c>
      <c r="D24" s="117" t="str">
        <f>IFERROR(__xludf.DUMMYFUNCTION("FILTER('Comp Scouting - WAPUR'!AE:AE,'Comp Scouting - WAPUR'!B:B=B24)"),"#N/A")</f>
        <v>#N/A</v>
      </c>
      <c r="E24" s="117" t="str">
        <f>IFERROR(__xludf.DUMMYFUNCTION("if(countif(query(filter(DATA!AI:AI,DATA!C:C=B24), ""Select Col1""),""TRUE"")=0,""0"",countif(query(filter(DATA!AI:AI,DATA!C:C=B24), ""Select Col1""),""TRUE"")) &amp; ""/"" &amp; if(COUNTA(query(ifna(filter(DATA!AI:AI,DATA!C:C=B27),""""), ""Select Col1""))=0,""0"""&amp;",COUNTA(query(ifna(filter(DATA!AI:AI,DATA!C:C=B24),""""), ""Select Col1"")))"),"#REF!")</f>
        <v>#REF!</v>
      </c>
      <c r="F24" s="117"/>
      <c r="G24" s="117"/>
    </row>
    <row r="25">
      <c r="A25" s="115">
        <v>24.0</v>
      </c>
      <c r="B25" s="122">
        <v>8895.0</v>
      </c>
      <c r="C25" s="117" t="str">
        <f>IFERROR(__xludf.DUMMYFUNCTION("FILTER('Comp Scouting - WAPUR'!AC:AC,'Comp Scouting - WAPUR'!B:B=B25)"),"#N/A")</f>
        <v>#N/A</v>
      </c>
      <c r="D25" s="117" t="str">
        <f>IFERROR(__xludf.DUMMYFUNCTION("FILTER('Comp Scouting - WAPUR'!AE:AE,'Comp Scouting - WAPUR'!B:B=B25)"),"#N/A")</f>
        <v>#N/A</v>
      </c>
      <c r="E25" s="117" t="str">
        <f>IFERROR(__xludf.DUMMYFUNCTION("if(countif(query(filter(DATA!AI:AI,DATA!C:C=B25), ""Select Col1""),""TRUE"")=0,""0"",countif(query(filter(DATA!AI:AI,DATA!C:C=B25), ""Select Col1""),""TRUE"")) &amp; ""/"" &amp; if(COUNTA(query(ifna(filter(DATA!AI:AI,DATA!C:C=B28),""""), ""Select Col1""))=0,""0"""&amp;",COUNTA(query(ifna(filter(DATA!AI:AI,DATA!C:C=B25),""""), ""Select Col1"")))"),"#REF!")</f>
        <v>#REF!</v>
      </c>
      <c r="F25" s="117"/>
      <c r="G25" s="117"/>
    </row>
    <row r="26">
      <c r="A26" s="115">
        <v>25.0</v>
      </c>
      <c r="B26" s="126">
        <v>6615.0</v>
      </c>
      <c r="C26" s="117" t="str">
        <f>IFERROR(__xludf.DUMMYFUNCTION("FILTER('Comp Scouting - WAPUR'!AC:AC,'Comp Scouting - WAPUR'!B:B=B26)"),"#N/A")</f>
        <v>#N/A</v>
      </c>
      <c r="D26" s="117" t="str">
        <f>IFERROR(__xludf.DUMMYFUNCTION("FILTER('Comp Scouting - WAPUR'!AE:AE,'Comp Scouting - WAPUR'!B:B=B26)"),"#N/A")</f>
        <v>#N/A</v>
      </c>
      <c r="E26" s="117" t="str">
        <f>IFERROR(__xludf.DUMMYFUNCTION("if(countif(query(filter(DATA!AI:AI,DATA!C:C=B26), ""Select Col1""),""TRUE"")=0,""0"",countif(query(filter(DATA!AI:AI,DATA!C:C=B26), ""Select Col1""),""TRUE"")) &amp; ""/"" &amp; if(COUNTA(query(ifna(filter(DATA!AI:AI,DATA!C:C=B29),""""), ""Select Col1""))=0,""0"""&amp;",COUNTA(query(ifna(filter(DATA!AI:AI,DATA!C:C=B26),""""), ""Select Col1"")))"),"#REF!")</f>
        <v>#REF!</v>
      </c>
      <c r="F26" s="117"/>
      <c r="G26" s="117"/>
    </row>
    <row r="27">
      <c r="A27" s="115">
        <v>26.0</v>
      </c>
      <c r="B27" s="122">
        <v>7221.0</v>
      </c>
      <c r="C27" s="117" t="str">
        <f>IFERROR(__xludf.DUMMYFUNCTION("FILTER('Comp Scouting - WAPUR'!AC:AC,'Comp Scouting - WAPUR'!B:B=B27)"),"#N/A")</f>
        <v>#N/A</v>
      </c>
      <c r="D27" s="117" t="str">
        <f>IFERROR(__xludf.DUMMYFUNCTION("FILTER('Comp Scouting - WAPUR'!AE:AE,'Comp Scouting - WAPUR'!B:B=B27)"),"#N/A")</f>
        <v>#N/A</v>
      </c>
      <c r="E27" s="117" t="str">
        <f>IFERROR(__xludf.DUMMYFUNCTION("if(countif(query(filter(DATA!AI:AI,DATA!C:C=B27), ""Select Col1""),""TRUE"")=0,""0"",countif(query(filter(DATA!AI:AI,DATA!C:C=B27), ""Select Col1""),""TRUE"")) &amp; ""/"" &amp; if(COUNTA(query(ifna(filter(DATA!AI:AI,DATA!C:C=B30),""""), ""Select Col1""))=0,""0"""&amp;",COUNTA(query(ifna(filter(DATA!AI:AI,DATA!C:C=B27),""""), ""Select Col1"")))"),"#REF!")</f>
        <v>#REF!</v>
      </c>
      <c r="F27" s="117"/>
      <c r="G27" s="115" t="s">
        <v>434</v>
      </c>
    </row>
    <row r="28">
      <c r="A28" s="115">
        <v>27.0</v>
      </c>
      <c r="B28" s="127">
        <v>8424.0</v>
      </c>
      <c r="C28" s="117" t="str">
        <f>IFERROR(__xludf.DUMMYFUNCTION("FILTER('Comp Scouting - WAPUR'!AC:AC,'Comp Scouting - WAPUR'!B:B=B28)"),"#N/A")</f>
        <v>#N/A</v>
      </c>
      <c r="D28" s="117" t="str">
        <f>IFERROR(__xludf.DUMMYFUNCTION("FILTER('Comp Scouting - WAPUR'!AE:AE,'Comp Scouting - WAPUR'!B:B=B28)"),"#N/A")</f>
        <v>#N/A</v>
      </c>
      <c r="E28" s="117" t="str">
        <f>IFERROR(__xludf.DUMMYFUNCTION("if(countif(query(filter(DATA!AI:AI,DATA!C:C=B28), ""Select Col1""),""TRUE"")=0,""0"",countif(query(filter(DATA!AI:AI,DATA!C:C=B28), ""Select Col1""),""TRUE"")) &amp; ""/"" &amp; if(COUNTA(query(ifna(filter(DATA!AI:AI,DATA!C:C=B31),""""), ""Select Col1""))=0,""0"""&amp;",COUNTA(query(ifna(filter(DATA!AI:AI,DATA!C:C=B28),""""), ""Select Col1"")))"),"#REF!")</f>
        <v>#REF!</v>
      </c>
      <c r="F28" s="117"/>
      <c r="G28" s="115" t="s">
        <v>435</v>
      </c>
    </row>
    <row r="29">
      <c r="A29" s="115">
        <v>28.0</v>
      </c>
      <c r="B29" s="126">
        <v>6101.0</v>
      </c>
      <c r="C29" s="117" t="str">
        <f>IFERROR(__xludf.DUMMYFUNCTION("FILTER('Comp Scouting - WAPUR'!AC:AC,'Comp Scouting - WAPUR'!B:B=B29)"),"#N/A")</f>
        <v>#N/A</v>
      </c>
      <c r="D29" s="117" t="str">
        <f>IFERROR(__xludf.DUMMYFUNCTION("FILTER('Comp Scouting - WAPUR'!AE:AE,'Comp Scouting - WAPUR'!B:B=B29)"),"#N/A")</f>
        <v>#N/A</v>
      </c>
      <c r="E29" s="117" t="str">
        <f>IFERROR(__xludf.DUMMYFUNCTION("if(countif(query(filter(DATA!AI:AI,DATA!C:C=B29), ""Select Col1""),""TRUE"")=0,""0"",countif(query(filter(DATA!AI:AI,DATA!C:C=B29), ""Select Col1""),""TRUE"")) &amp; ""/"" &amp; if(COUNTA(query(ifna(filter(DATA!AI:AI,DATA!C:C=B32),""""), ""Select Col1""))=0,""0"""&amp;",COUNTA(query(ifna(filter(DATA!AI:AI,DATA!C:C=B29),""""), ""Select Col1"")))"),"#REF!")</f>
        <v>#REF!</v>
      </c>
      <c r="F29" s="117"/>
      <c r="G29" s="117"/>
    </row>
    <row r="30">
      <c r="A30" s="115">
        <v>29.0</v>
      </c>
      <c r="B30" s="122">
        <v>7225.0</v>
      </c>
      <c r="C30" s="117" t="str">
        <f>IFERROR(__xludf.DUMMYFUNCTION("FILTER('Comp Scouting - WAPUR'!AC:AC,'Comp Scouting - WAPUR'!B:B=B30)"),"#N/A")</f>
        <v>#N/A</v>
      </c>
      <c r="D30" s="117" t="str">
        <f>IFERROR(__xludf.DUMMYFUNCTION("FILTER('Comp Scouting - WAPUR'!AE:AE,'Comp Scouting - WAPUR'!B:B=B30)"),"#N/A")</f>
        <v>#N/A</v>
      </c>
      <c r="E30" s="117" t="str">
        <f>IFERROR(__xludf.DUMMYFUNCTION("if(countif(query(filter(DATA!AI:AI,DATA!C:C=B30), ""Select Col1""),""TRUE"")=0,""0"",countif(query(filter(DATA!AI:AI,DATA!C:C=B30), ""Select Col1""),""TRUE"")) &amp; ""/"" &amp; if(COUNTA(query(ifna(filter(DATA!AI:AI,DATA!C:C=B33),""""), ""Select Col1""))=0,""0"""&amp;",COUNTA(query(ifna(filter(DATA!AI:AI,DATA!C:C=B30),""""), ""Select Col1"")))"),"#REF!")</f>
        <v>#REF!</v>
      </c>
      <c r="F30" s="117"/>
      <c r="G30" s="117"/>
    </row>
    <row r="31">
      <c r="A31" s="115">
        <v>30.0</v>
      </c>
      <c r="B31" s="122">
        <v>9210.0</v>
      </c>
      <c r="C31" s="117" t="str">
        <f>IFERROR(__xludf.DUMMYFUNCTION("FILTER('Comp Scouting - WAPUR'!AC:AC,'Comp Scouting - WAPUR'!B:B=B31)"),"#N/A")</f>
        <v>#N/A</v>
      </c>
      <c r="D31" s="117" t="str">
        <f>IFERROR(__xludf.DUMMYFUNCTION("FILTER('Comp Scouting - WAPUR'!AE:AE,'Comp Scouting - WAPUR'!B:B=B31)"),"#N/A")</f>
        <v>#N/A</v>
      </c>
      <c r="E31" s="117" t="str">
        <f>IFERROR(__xludf.DUMMYFUNCTION("if(countif(query(filter(DATA!AI:AI,DATA!C:C=B31), ""Select Col1""),""TRUE"")=0,""0"",countif(query(filter(DATA!AI:AI,DATA!C:C=B31), ""Select Col1""),""TRUE"")) &amp; ""/"" &amp; if(COUNTA(query(ifna(filter(DATA!AI:AI,DATA!C:C=B34),""""), ""Select Col1""))=0,""0"""&amp;",COUNTA(query(ifna(filter(DATA!AI:AI,DATA!C:C=B31),""""), ""Select Col1"")))"),"#REF!")</f>
        <v>#REF!</v>
      </c>
      <c r="F31" s="117"/>
      <c r="G31" s="115" t="s">
        <v>436</v>
      </c>
    </row>
    <row r="32">
      <c r="A32" s="115">
        <v>31.0</v>
      </c>
      <c r="B32" s="122">
        <v>4395.0</v>
      </c>
      <c r="C32" s="117" t="str">
        <f>IFERROR(__xludf.DUMMYFUNCTION("FILTER('Comp Scouting - WAPUR'!AC:AC,'Comp Scouting - WAPUR'!B:B=B32)"),"#N/A")</f>
        <v>#N/A</v>
      </c>
      <c r="D32" s="117" t="str">
        <f>IFERROR(__xludf.DUMMYFUNCTION("FILTER('Comp Scouting - WAPUR'!AE:AE,'Comp Scouting - WAPUR'!B:B=B32)"),"#N/A")</f>
        <v>#N/A</v>
      </c>
      <c r="E32" s="117" t="str">
        <f>IFERROR(__xludf.DUMMYFUNCTION("if(countif(query(filter(DATA!AI:AI,DATA!C:C=B32), ""Select Col1""),""TRUE"")=0,""0"",countif(query(filter(DATA!AI:AI,DATA!C:C=B32), ""Select Col1""),""TRUE"")) &amp; ""/"" &amp; if(COUNTA(query(ifna(filter(DATA!AI:AI,DATA!C:C=B35),""""), ""Select Col1""))=0,""0"""&amp;",COUNTA(query(ifna(filter(DATA!AI:AI,DATA!C:C=B32),""""), ""Select Col1"")))"),"#REF!")</f>
        <v>#REF!</v>
      </c>
      <c r="F32" s="117"/>
      <c r="G32" s="117"/>
    </row>
    <row r="33">
      <c r="A33" s="115">
        <v>32.0</v>
      </c>
      <c r="B33" s="123">
        <v>9211.0</v>
      </c>
      <c r="C33" s="117" t="str">
        <f>IFERROR(__xludf.DUMMYFUNCTION("FILTER('Comp Scouting - WAPUR'!AC:AC,'Comp Scouting - WAPUR'!B:B=B33)"),"#N/A")</f>
        <v>#N/A</v>
      </c>
      <c r="D33" s="117" t="str">
        <f>IFERROR(__xludf.DUMMYFUNCTION("FILTER('Comp Scouting - WAPUR'!AE:AE,'Comp Scouting - WAPUR'!B:B=B33)"),"#N/A")</f>
        <v>#N/A</v>
      </c>
      <c r="E33" s="117" t="str">
        <f>IFERROR(__xludf.DUMMYFUNCTION("if(countif(query(filter(DATA!AI:AI,DATA!C:C=B33), ""Select Col1""),""TRUE"")=0,""0"",countif(query(filter(DATA!AI:AI,DATA!C:C=B33), ""Select Col1""),""TRUE"")) &amp; ""/"" &amp; if(COUNTA(query(ifna(filter(DATA!AI:AI,DATA!C:C=B36),""""), ""Select Col1""))=0,""0"""&amp;",COUNTA(query(ifna(filter(DATA!AI:AI,DATA!C:C=B33),""""), ""Select Col1"")))"),"#REF!")</f>
        <v>#REF!</v>
      </c>
      <c r="F33" s="117"/>
      <c r="G33" s="115" t="s">
        <v>437</v>
      </c>
    </row>
    <row r="34">
      <c r="A34" s="115">
        <v>33.0</v>
      </c>
      <c r="B34" s="123">
        <v>3568.0</v>
      </c>
      <c r="C34" s="117" t="str">
        <f>IFERROR(__xludf.DUMMYFUNCTION("FILTER('Comp Scouting - WAPUR'!AC:AC,'Comp Scouting - WAPUR'!B:B=B34)"),"#N/A")</f>
        <v>#N/A</v>
      </c>
      <c r="D34" s="117" t="str">
        <f>IFERROR(__xludf.DUMMYFUNCTION("FILTER('Comp Scouting - WAPUR'!AE:AE,'Comp Scouting - WAPUR'!B:B=B34)"),"#N/A")</f>
        <v>#N/A</v>
      </c>
      <c r="E34" s="117" t="str">
        <f>IFERROR(__xludf.DUMMYFUNCTION("if(countif(query(filter(DATA!AI:AI,DATA!C:C=B34), ""Select Col1""),""TRUE"")=0,""0"",countif(query(filter(DATA!AI:AI,DATA!C:C=B34), ""Select Col1""),""TRUE"")) &amp; ""/"" &amp; if(COUNTA(query(ifna(filter(DATA!AI:AI,DATA!C:C=B37),""""), ""Select Col1""))=0,""0"""&amp;",COUNTA(query(ifna(filter(DATA!AI:AI,DATA!C:C=B34),""""), ""Select Col1"")))"),"#REF!")</f>
        <v>#REF!</v>
      </c>
      <c r="F34" s="117"/>
      <c r="G34" s="115" t="s">
        <v>438</v>
      </c>
    </row>
    <row r="35">
      <c r="A35" s="115">
        <v>34.0</v>
      </c>
      <c r="B35" s="122">
        <v>6089.0</v>
      </c>
      <c r="C35" s="117" t="str">
        <f>IFERROR(__xludf.DUMMYFUNCTION("FILTER('Comp Scouting - WAPUR'!AC:AC,'Comp Scouting - WAPUR'!B:B=B35)"),"#N/A")</f>
        <v>#N/A</v>
      </c>
      <c r="D35" s="117" t="str">
        <f>IFERROR(__xludf.DUMMYFUNCTION("FILTER('Comp Scouting - WAPUR'!AE:AE,'Comp Scouting - WAPUR'!B:B=B35)"),"#N/A")</f>
        <v>#N/A</v>
      </c>
      <c r="E35" s="117" t="str">
        <f>IFERROR(__xludf.DUMMYFUNCTION("if(countif(query(filter(DATA!AI:AI,DATA!C:C=B35), ""Select Col1""),""TRUE"")=0,""0"",countif(query(filter(DATA!AI:AI,DATA!C:C=B35), ""Select Col1""),""TRUE"")) &amp; ""/"" &amp; if(COUNTA(query(ifna(filter(DATA!AI:AI,DATA!C:C=B38),""""), ""Select Col1""))=0,""0"""&amp;",COUNTA(query(ifna(filter(DATA!AI:AI,DATA!C:C=B35),""""), ""Select Col1"")))"),"#REF!")</f>
        <v>#REF!</v>
      </c>
      <c r="F35" s="117"/>
      <c r="G35" s="117"/>
    </row>
    <row r="36">
      <c r="A36" s="115">
        <v>35.0</v>
      </c>
      <c r="B36" s="128">
        <v>3707.0</v>
      </c>
      <c r="C36" s="117" t="str">
        <f>IFERROR(__xludf.DUMMYFUNCTION("FILTER('Comp Scouting - WAPUR'!AC:AC,'Comp Scouting - WAPUR'!B:B=B36)"),"#N/A")</f>
        <v>#N/A</v>
      </c>
      <c r="D36" s="117" t="str">
        <f>IFERROR(__xludf.DUMMYFUNCTION("FILTER('Comp Scouting - WAPUR'!AE:AE,'Comp Scouting - WAPUR'!B:B=B36)"),"#N/A")</f>
        <v>#N/A</v>
      </c>
      <c r="E36" s="117" t="str">
        <f>IFERROR(__xludf.DUMMYFUNCTION("if(countif(query(filter(DATA!AI:AI,DATA!C:C=B36), ""Select Col1""),""TRUE"")=0,""0"",countif(query(filter(DATA!AI:AI,DATA!C:C=B36), ""Select Col1""),""TRUE"")) &amp; ""/"" &amp; if(COUNTA(query(ifna(filter(DATA!AI:AI,DATA!C:C=B39),""""), ""Select Col1""))=0,""0"""&amp;",COUNTA(query(ifna(filter(DATA!AI:AI,DATA!C:C=B36),""""), ""Select Col1"")))"),"#REF!")</f>
        <v>#REF!</v>
      </c>
      <c r="F36" s="117"/>
      <c r="G36" s="117"/>
    </row>
    <row r="37">
      <c r="A37" s="115">
        <v>36.0</v>
      </c>
      <c r="B37" s="129">
        <v>5509.0</v>
      </c>
      <c r="C37" s="117" t="str">
        <f>IFERROR(__xludf.DUMMYFUNCTION("FILTER('Comp Scouting - WAPUR'!AC:AC,'Comp Scouting - WAPUR'!B:B=B37)"),"#N/A")</f>
        <v>#N/A</v>
      </c>
      <c r="D37" s="117" t="str">
        <f>IFERROR(__xludf.DUMMYFUNCTION("FILTER('Comp Scouting - WAPUR'!AE:AE,'Comp Scouting - WAPUR'!B:B=B37)"),"#N/A")</f>
        <v>#N/A</v>
      </c>
      <c r="E37" s="117" t="str">
        <f>IFERROR(__xludf.DUMMYFUNCTION("if(countif(query(filter(DATA!AI:AI,DATA!C:C=B37), ""Select Col1""),""TRUE"")=0,""0"",countif(query(filter(DATA!AI:AI,DATA!C:C=B37), ""Select Col1""),""TRUE"")) &amp; ""/"" &amp; if(COUNTA(query(ifna(filter(DATA!AI:AI,DATA!C:C=B40),""""), ""Select Col1""))=0,""0"""&amp;",COUNTA(query(ifna(filter(DATA!AI:AI,DATA!C:C=B37),""""), ""Select Col1"")))"),"#REF!")</f>
        <v>#REF!</v>
      </c>
      <c r="F37" s="117"/>
      <c r="G37" s="1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35" max="35" width="51.88"/>
  </cols>
  <sheetData>
    <row r="1">
      <c r="A1" s="130" t="s">
        <v>439</v>
      </c>
      <c r="B1" s="131" t="s">
        <v>155</v>
      </c>
      <c r="C1" s="132"/>
      <c r="D1" s="132"/>
      <c r="E1" s="132"/>
      <c r="F1" s="132"/>
      <c r="G1" s="132"/>
      <c r="H1" s="132"/>
      <c r="I1" s="132"/>
      <c r="J1" s="132"/>
      <c r="K1" s="132"/>
      <c r="L1" s="131" t="s">
        <v>440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</row>
    <row r="2">
      <c r="A2" s="135"/>
      <c r="B2" s="136">
        <v>1076.0</v>
      </c>
      <c r="L2" s="137" t="str">
        <f>IFERROR(__xludf.DUMMYFUNCTION("filter(Pit!B:B,Pit!A:A=B2)"),"Pi Hi Samurai")</f>
        <v>Pi Hi Samurai</v>
      </c>
      <c r="W2" s="135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</row>
    <row r="3">
      <c r="A3" s="135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9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</row>
    <row r="4">
      <c r="A4" s="135"/>
      <c r="B4" s="140" t="s">
        <v>441</v>
      </c>
      <c r="D4" s="140" t="s">
        <v>442</v>
      </c>
      <c r="F4" s="140" t="s">
        <v>443</v>
      </c>
      <c r="G4" s="140" t="s">
        <v>444</v>
      </c>
      <c r="I4" s="140" t="s">
        <v>445</v>
      </c>
      <c r="K4" s="140" t="s">
        <v>446</v>
      </c>
      <c r="M4" s="140" t="s">
        <v>447</v>
      </c>
      <c r="O4" s="140" t="s">
        <v>448</v>
      </c>
      <c r="Q4" s="140" t="s">
        <v>449</v>
      </c>
      <c r="T4" s="140" t="s">
        <v>450</v>
      </c>
      <c r="W4" s="135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</row>
    <row r="5">
      <c r="A5" s="135"/>
      <c r="B5" s="142" t="str">
        <f>IFERROR(__xludf.DUMMYFUNCTION("if(filter(Pit!N:N,Pit!A:A=B2)=TRUE,""Yes"",""No"")"),"No")</f>
        <v>No</v>
      </c>
      <c r="D5" s="143" t="str">
        <f>IFERROR(__xludf.DUMMYFUNCTION("if(filter(Pit!O:O,Pit!A:A=B2)=TRUE,""Yes"",""No"")"),"No")</f>
        <v>No</v>
      </c>
      <c r="F5" s="143" t="str">
        <f>IFERROR(__xludf.DUMMYFUNCTION("FILTER(Pit!C:C,Pit!A:A=B2) &amp; ""in"" &amp; "" by "" &amp; FILTER(Pit!D:D,Pit!A:A=B2) &amp; ""in"""),"in by in")</f>
        <v>in by in</v>
      </c>
      <c r="G5" s="142" t="b">
        <f>IFERROR(__xludf.DUMMYFUNCTION("filter(Pit!J:J,Pit!A:A=B2)"),FALSE)</f>
        <v>0</v>
      </c>
      <c r="I5" s="142" t="str">
        <f>IFERROR(__xludf.DUMMYFUNCTION("CONCATENATE(Ifs(filter(Pit!E:E,Pit!A:A=B2)=false, """",filter(Pit!E:E,Pit!A:A=B2)=true, ""Low, ""), Ifs(filter(Pit!F:F,Pit!A:A=B2)=false, """",filter(Pit!F:F,Pit!A:A=B2)=true, ""Mid, ""), Ifs(filter(Pit!G:G,Pit!A:A=B2)=false, """",filter(Pit!G:G,Pit!A:A=B"&amp;"2)=true, ""High""))"),"")</f>
        <v/>
      </c>
      <c r="K5" s="143" t="str">
        <f>IFERROR(__xludf.DUMMYFUNCTION("filter(Pit!H:H,Pit!A:A=B2)"),"")</f>
        <v/>
      </c>
      <c r="M5" s="142" t="str">
        <f>IFERROR(__xludf.DUMMYFUNCTION("filter(#REF!,Pit!A:A=B2)"),"#REF!")</f>
        <v>#REF!</v>
      </c>
      <c r="O5" s="142" t="str">
        <f>IFERROR(__xludf.DUMMYFUNCTION("filter(Pit!M:M,Pit!A:A=B2)"),"")</f>
        <v/>
      </c>
      <c r="Q5" s="144" t="str">
        <f>IFERROR(__xludf.DUMMYFUNCTION("filter(Pit!P:P,Pit!A:A=B2)"),"")</f>
        <v/>
      </c>
      <c r="T5" s="145" t="str">
        <f>IFERROR(__xludf.DUMMYFUNCTION("filter(Pit!Q:Q,Pit!A:A=B2)"),"")</f>
        <v/>
      </c>
      <c r="W5" s="135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</row>
    <row r="6">
      <c r="A6" s="135"/>
      <c r="W6" s="135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</row>
    <row r="7">
      <c r="A7" s="135"/>
      <c r="B7" s="140" t="s">
        <v>451</v>
      </c>
      <c r="F7" s="141"/>
      <c r="J7" s="140"/>
      <c r="N7" s="140"/>
      <c r="Q7" s="140" t="s">
        <v>452</v>
      </c>
      <c r="W7" s="135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</row>
    <row r="8">
      <c r="A8" s="135"/>
      <c r="B8" s="142" t="str">
        <f>IFERROR(__xludf.DUMMYFUNCTION("filter(#REF!,Pit!A:A=B2)"),"#REF!")</f>
        <v>#REF!</v>
      </c>
      <c r="F8" s="142"/>
      <c r="J8" s="142"/>
      <c r="N8" s="147"/>
      <c r="Q8" s="147" t="str">
        <f>IFERROR(__xludf.DUMMYFUNCTION("filter(Pit!I:I,Pit!A:A=B2)"),"")</f>
        <v/>
      </c>
      <c r="W8" s="135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</row>
    <row r="9">
      <c r="A9" s="135"/>
      <c r="W9" s="135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</row>
    <row r="10">
      <c r="A10" s="135"/>
      <c r="B10" s="148" t="s">
        <v>453</v>
      </c>
      <c r="C10" s="149" t="s">
        <v>77</v>
      </c>
      <c r="W10" s="135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</row>
    <row r="11" ht="15.75" customHeight="1">
      <c r="A11" s="135"/>
      <c r="C11" s="151" t="s">
        <v>91</v>
      </c>
      <c r="D11" s="151" t="s">
        <v>454</v>
      </c>
      <c r="E11" s="151" t="s">
        <v>455</v>
      </c>
      <c r="F11" s="151" t="s">
        <v>456</v>
      </c>
      <c r="G11" s="151" t="s">
        <v>457</v>
      </c>
      <c r="H11" s="151" t="s">
        <v>458</v>
      </c>
      <c r="I11" s="151" t="s">
        <v>459</v>
      </c>
      <c r="J11" s="4" t="s">
        <v>460</v>
      </c>
      <c r="K11" s="4" t="s">
        <v>461</v>
      </c>
      <c r="L11" s="4" t="s">
        <v>462</v>
      </c>
      <c r="M11" s="151" t="s">
        <v>463</v>
      </c>
      <c r="N11" s="151" t="s">
        <v>464</v>
      </c>
      <c r="O11" s="151" t="s">
        <v>465</v>
      </c>
      <c r="P11" s="151" t="s">
        <v>466</v>
      </c>
      <c r="Q11" s="151" t="s">
        <v>467</v>
      </c>
      <c r="R11" s="151" t="s">
        <v>468</v>
      </c>
      <c r="S11" s="4" t="s">
        <v>469</v>
      </c>
      <c r="T11" s="4" t="s">
        <v>470</v>
      </c>
      <c r="U11" s="4" t="s">
        <v>471</v>
      </c>
      <c r="V11" s="4" t="s">
        <v>472</v>
      </c>
      <c r="W11" s="152" t="s">
        <v>473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>
      <c r="A12" s="135"/>
      <c r="C12" s="146" t="str">
        <f>IFERROR(__xludf.DUMMYFUNCTION("filter('Comp Scouting - WAPUR'!C:C,'Comp Scouting - WAPUR'!B:B=B2)"),"#N/A")</f>
        <v>#N/A</v>
      </c>
      <c r="D12" s="146" t="str">
        <f>IFERROR(__xludf.DUMMYFUNCTION("filter('Comp Scouting - WAPUR'!D:D,'Comp Scouting - WAPUR'!B:B=B2)"),"#N/A")</f>
        <v>#N/A</v>
      </c>
      <c r="E12" s="153" t="str">
        <f>IFERROR(__xludf.DUMMYFUNCTION("filter(#REF!,'Comp Scouting - WAPUR'!B:B=B2)"),"#REF!")</f>
        <v>#REF!</v>
      </c>
      <c r="F12" s="154" t="str">
        <f>iferror(E12/D12,"0.00%")</f>
        <v>0.00%</v>
      </c>
      <c r="G12" s="155" t="str">
        <f>IFERROR(__xludf.DUMMYFUNCTION("filter('Comp Scouting - WAPUR'!G:G,'Comp Scouting - WAPUR'!B:B=B2)"),"#N/A")</f>
        <v>#N/A</v>
      </c>
      <c r="H12" s="155" t="str">
        <f>IFERROR(__xludf.DUMMYFUNCTION("filter(#REF!,'Comp Scouting - WAPUR'!B:B=B2)"),"#REF!")</f>
        <v>#REF!</v>
      </c>
      <c r="I12" s="156" t="str">
        <f>iferror(H12/G12,"0.00%")</f>
        <v>0.00%</v>
      </c>
      <c r="J12" s="5" t="str">
        <f>IFERROR(__xludf.DUMMYFUNCTION("filter('Comp Scouting - WAPUR'!I:I,'Comp Scouting - WAPUR'!B:B=B2)"),"#N/A")</f>
        <v>#N/A</v>
      </c>
      <c r="K12" s="5" t="str">
        <f>IFERROR(__xludf.DUMMYFUNCTION("filter('Comp Scouting - WAPUR'!J:J,'Comp Scouting - WAPUR'!B:B=B2)"),"#N/A")</f>
        <v>#N/A</v>
      </c>
      <c r="L12" s="59" t="str">
        <f>iferror(K12/J12,"0.00%")</f>
        <v>0.00%</v>
      </c>
      <c r="M12" s="5" t="str">
        <f>IFERROR(__xludf.DUMMYFUNCTION("filter(#REF!,'Comp Scouting - WAPUR'!B:B=B2)"),"#REF!")</f>
        <v>#REF!</v>
      </c>
      <c r="N12" s="5" t="str">
        <f>IFERROR(__xludf.DUMMYFUNCTION("filter(#REF!,'Comp Scouting - WAPUR'!B:B=B2)"),"#REF!")</f>
        <v>#REF!</v>
      </c>
      <c r="O12" s="59" t="str">
        <f>iferror(N12/M12,"0.00%")</f>
        <v>0.00%</v>
      </c>
      <c r="P12" s="5" t="str">
        <f>IFERROR(__xludf.DUMMYFUNCTION("filter(#REF!,'Comp Scouting - WAPUR'!B:B=B2)"),"#REF!")</f>
        <v>#REF!</v>
      </c>
      <c r="Q12" s="5" t="str">
        <f>IFERROR(__xludf.DUMMYFUNCTION("filter(#REF!,'Comp Scouting - WAPUR'!B:B=B2)"),"#REF!")</f>
        <v>#REF!</v>
      </c>
      <c r="R12" s="59" t="str">
        <f>iferror(Q12/P12,"0.00%")</f>
        <v>0.00%</v>
      </c>
      <c r="S12" s="5" t="str">
        <f>IFERROR(__xludf.DUMMYFUNCTION("filter(#REF!,'Comp Scouting - WAPUR'!B:B=B2)"),"#REF!")</f>
        <v>#REF!</v>
      </c>
      <c r="T12" s="146" t="str">
        <f>IFERROR(__xludf.DUMMYFUNCTION("filter(#REF!,'Comp Scouting - WAPUR'!B:B=B2)"),"#REF!")</f>
        <v>#REF!</v>
      </c>
      <c r="U12" s="154" t="str">
        <f>iferror(T12/S12,"0.00%")</f>
        <v>0.00%</v>
      </c>
      <c r="V12" s="146" t="str">
        <f>IFERROR(__xludf.DUMMYFUNCTION("filter(#REF!,'Comp Scouting - WAPUR'!B:B=B2)"),"#REF!")</f>
        <v>#REF!</v>
      </c>
      <c r="W12" s="157" t="str">
        <f>IFERROR(__xludf.DUMMYFUNCTION("filter(#REF!,'Comp Scouting - WAPUR'!B:B=B2)"),"#REF!")</f>
        <v>#REF!</v>
      </c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</row>
    <row r="13">
      <c r="A13" s="135"/>
      <c r="C13" s="149" t="s">
        <v>474</v>
      </c>
      <c r="W13" s="135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</row>
    <row r="14">
      <c r="A14" s="135"/>
      <c r="C14" s="151" t="s">
        <v>454</v>
      </c>
      <c r="D14" s="151" t="s">
        <v>455</v>
      </c>
      <c r="E14" s="151" t="s">
        <v>456</v>
      </c>
      <c r="F14" s="151" t="s">
        <v>457</v>
      </c>
      <c r="G14" s="151" t="s">
        <v>458</v>
      </c>
      <c r="H14" s="151" t="s">
        <v>459</v>
      </c>
      <c r="I14" s="4" t="s">
        <v>460</v>
      </c>
      <c r="J14" s="4" t="s">
        <v>461</v>
      </c>
      <c r="K14" s="4" t="s">
        <v>462</v>
      </c>
      <c r="L14" s="151" t="s">
        <v>463</v>
      </c>
      <c r="M14" s="151" t="s">
        <v>464</v>
      </c>
      <c r="N14" s="151" t="s">
        <v>465</v>
      </c>
      <c r="O14" s="151" t="s">
        <v>466</v>
      </c>
      <c r="P14" s="151" t="s">
        <v>467</v>
      </c>
      <c r="Q14" s="151" t="s">
        <v>468</v>
      </c>
      <c r="R14" s="4" t="s">
        <v>469</v>
      </c>
      <c r="S14" s="4" t="s">
        <v>470</v>
      </c>
      <c r="T14" s="4" t="s">
        <v>471</v>
      </c>
      <c r="U14" s="4" t="s">
        <v>472</v>
      </c>
      <c r="V14" s="4" t="s">
        <v>473</v>
      </c>
      <c r="W14" s="158" t="s">
        <v>99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</row>
    <row r="15" ht="15.0" customHeight="1">
      <c r="A15" s="135"/>
      <c r="C15" s="5" t="str">
        <f>IFERROR(__xludf.DUMMYFUNCTION("filter('Comp Scouting - WAPUR'!K:K,'Comp Scouting - WAPUR'!B:B=B2)"),"#N/A")</f>
        <v>#N/A</v>
      </c>
      <c r="D15" s="5" t="str">
        <f>IFERROR(__xludf.DUMMYFUNCTION("filter('Comp Scouting - WAPUR'!L:L,'Comp Scouting - WAPUR'!B:B=B2)"),"#N/A")</f>
        <v>#N/A</v>
      </c>
      <c r="E15" s="59" t="str">
        <f>iferror(D15/C15,"0.00%")</f>
        <v>0.00%</v>
      </c>
      <c r="F15" s="5" t="str">
        <f>IFERROR(__xludf.DUMMYFUNCTION("filter(#REF!,'Comp Scouting - WAPUR'!B:B=B2)"),"#REF!")</f>
        <v>#REF!</v>
      </c>
      <c r="G15" s="5" t="str">
        <f>IFERROR(__xludf.DUMMYFUNCTION("filter('Comp Scouting - WAPUR'!P:P,'Comp Scouting - WAPUR'!B:B=B2)"),"#N/A")</f>
        <v>#N/A</v>
      </c>
      <c r="H15" s="59" t="str">
        <f>iferror(G15/F15,"0.00%")</f>
        <v>0.00%</v>
      </c>
      <c r="I15" s="5" t="str">
        <f>IFERROR(__xludf.DUMMYFUNCTION("filter('Comp Scouting - WAPUR'!S:S,'Comp Scouting - WAPUR'!B:B=B2)"),"#N/A")</f>
        <v>#N/A</v>
      </c>
      <c r="J15" s="5" t="str">
        <f>IFERROR(__xludf.DUMMYFUNCTION("filter('Comp Scouting - WAPUR'!T:T,'Comp Scouting - WAPUR'!B:B=B2)"),"#N/A")</f>
        <v>#N/A</v>
      </c>
      <c r="K15" s="59" t="str">
        <f>iferror(J15/I15,"0.00%")</f>
        <v>0.00%</v>
      </c>
      <c r="L15" s="5" t="str">
        <f>IFERROR(__xludf.DUMMYFUNCTION("filter('Comp Scouting - WAPUR'!X:X,'Comp Scouting - WAPUR'!B:B=B2)"),"#N/A")</f>
        <v>#N/A</v>
      </c>
      <c r="M15" s="5" t="str">
        <f>IFERROR(__xludf.DUMMYFUNCTION("filter(#REF!,'Comp Scouting - WAPUR'!B:B=B2)"),"#REF!")</f>
        <v>#REF!</v>
      </c>
      <c r="N15" s="59" t="str">
        <f>iferror(M15/L15,"0.00%")</f>
        <v>0.00%</v>
      </c>
      <c r="O15" s="5" t="str">
        <f>IFERROR(__xludf.DUMMYFUNCTION("filter(#REF!,'Comp Scouting - WAPUR'!B:B=B2)"),"#REF!")</f>
        <v>#REF!</v>
      </c>
      <c r="P15" s="5" t="str">
        <f>IFERROR(__xludf.DUMMYFUNCTION("filter(#REF!,'Comp Scouting - WAPUR'!B:B=B2)"),"#REF!")</f>
        <v>#REF!</v>
      </c>
      <c r="Q15" s="59" t="str">
        <f>iferror(P15/O15,"0.00%")</f>
        <v>0.00%</v>
      </c>
      <c r="R15" s="5" t="str">
        <f>IFERROR(__xludf.DUMMYFUNCTION("filter(#REF!,'Comp Scouting - WAPUR'!B:B=B2)"),"#REF!")</f>
        <v>#REF!</v>
      </c>
      <c r="S15" s="5" t="str">
        <f>IFERROR(__xludf.DUMMYFUNCTION("filter(#REF!,'Comp Scouting - WAPUR'!B:B=B2)"),"#REF!")</f>
        <v>#REF!</v>
      </c>
      <c r="T15" s="59" t="str">
        <f>iferror(S15/R15,"0.00%")</f>
        <v>0.00%</v>
      </c>
      <c r="U15" s="5" t="str">
        <f>IFERROR(__xludf.DUMMYFUNCTION("filter(#REF!,'Comp Scouting - WAPUR'!B:B=B2)"),"#REF!")</f>
        <v>#REF!</v>
      </c>
      <c r="V15" s="5" t="str">
        <f>IFERROR(__xludf.DUMMYFUNCTION("filter(#REF!,'Comp Scouting - WAPUR'!B:B=B2)"),"#REF!")</f>
        <v>#REF!</v>
      </c>
      <c r="W15" s="160" t="str">
        <f>IFERROR(__xludf.DUMMYFUNCTION("filter('Comp Scouting - WAPUR'!AA:AA,'Comp Scouting - WAPUR'!B:B=B2)"),"#N/A")</f>
        <v>#N/A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>
      <c r="A16" s="135"/>
      <c r="C16" s="161" t="s">
        <v>475</v>
      </c>
      <c r="G16" s="162"/>
      <c r="H16" s="163"/>
      <c r="I16" s="164"/>
      <c r="J16" s="162"/>
      <c r="K16" s="162"/>
      <c r="L16" s="146"/>
      <c r="M16" s="162"/>
      <c r="N16" s="162"/>
      <c r="O16" s="163"/>
      <c r="P16" s="164"/>
      <c r="Q16" s="162"/>
      <c r="R16" s="162"/>
      <c r="S16" s="146"/>
      <c r="T16" s="146"/>
      <c r="U16" s="146"/>
      <c r="V16" s="146"/>
      <c r="W16" s="157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</row>
    <row r="17">
      <c r="A17" s="135"/>
      <c r="C17" s="165" t="s">
        <v>476</v>
      </c>
      <c r="D17" s="165" t="s">
        <v>477</v>
      </c>
      <c r="E17" s="2" t="s">
        <v>104</v>
      </c>
      <c r="F17" s="165" t="s">
        <v>478</v>
      </c>
      <c r="G17" s="162"/>
      <c r="H17" s="163"/>
      <c r="I17" s="164"/>
      <c r="J17" s="162"/>
      <c r="K17" s="162"/>
      <c r="L17" s="146"/>
      <c r="M17" s="162"/>
      <c r="N17" s="162"/>
      <c r="O17" s="163"/>
      <c r="P17" s="164"/>
      <c r="Q17" s="165"/>
      <c r="R17" s="166"/>
      <c r="S17" s="146"/>
      <c r="T17" s="159"/>
      <c r="U17" s="146"/>
      <c r="V17" s="146"/>
      <c r="W17" s="157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</row>
    <row r="18">
      <c r="A18" s="139"/>
      <c r="C18" s="5" t="str">
        <f>IFERROR(__xludf.DUMMYFUNCTION("filter(#REF!,'Comp Scouting - WAPUR'!B:B=B2)"),"#REF!")</f>
        <v>#REF!</v>
      </c>
      <c r="D18" s="5" t="str">
        <f>IFERROR(__xludf.DUMMYFUNCTION("filter(#REF!,'Comp Scouting - WAPUR'!B:B=B2)"),"#REF!")</f>
        <v>#REF!</v>
      </c>
      <c r="E18" s="5" t="str">
        <f>IFERROR(__xludf.DUMMYFUNCTION("filter('Comp Scouting - WAPUR'!AE:AE,'Comp Scouting - WAPUR'!B:B=B2)"),"#N/A")</f>
        <v>#N/A</v>
      </c>
      <c r="F18" s="5" t="str">
        <f>IFERROR(__xludf.DUMMYFUNCTION("filter(#REF!,'Comp Scouting - WAPUR'!B:B=B2)"),"#REF!")</f>
        <v>#REF!</v>
      </c>
      <c r="G18" s="162"/>
      <c r="H18" s="162"/>
      <c r="I18" s="167"/>
      <c r="J18" s="162"/>
      <c r="K18" s="162"/>
      <c r="L18" s="167"/>
      <c r="M18" s="162"/>
      <c r="N18" s="162"/>
      <c r="O18" s="163"/>
      <c r="P18" s="164"/>
      <c r="Q18" s="162"/>
      <c r="R18" s="162"/>
      <c r="S18" s="146"/>
      <c r="T18" s="146"/>
      <c r="U18" s="146"/>
      <c r="V18" s="146"/>
      <c r="W18" s="157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</row>
    <row r="19">
      <c r="A19" s="168" t="s">
        <v>479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</row>
    <row r="20" ht="24.75" customHeight="1">
      <c r="A20" s="170" t="s">
        <v>15</v>
      </c>
      <c r="B20" s="171" t="s">
        <v>480</v>
      </c>
      <c r="C20" s="171" t="s">
        <v>481</v>
      </c>
      <c r="D20" s="171" t="s">
        <v>482</v>
      </c>
      <c r="E20" s="171" t="s">
        <v>483</v>
      </c>
      <c r="F20" s="171" t="s">
        <v>484</v>
      </c>
      <c r="G20" s="171" t="s">
        <v>485</v>
      </c>
      <c r="H20" s="171" t="s">
        <v>486</v>
      </c>
      <c r="I20" s="171" t="s">
        <v>487</v>
      </c>
      <c r="J20" s="171" t="s">
        <v>488</v>
      </c>
      <c r="K20" s="171" t="s">
        <v>489</v>
      </c>
      <c r="L20" s="171" t="s">
        <v>490</v>
      </c>
      <c r="M20" s="171" t="s">
        <v>491</v>
      </c>
      <c r="N20" s="171" t="s">
        <v>492</v>
      </c>
      <c r="O20" s="171" t="s">
        <v>493</v>
      </c>
      <c r="P20" s="172" t="s">
        <v>494</v>
      </c>
      <c r="Q20" s="171" t="s">
        <v>495</v>
      </c>
      <c r="R20" s="171" t="s">
        <v>496</v>
      </c>
      <c r="S20" s="171" t="s">
        <v>497</v>
      </c>
      <c r="T20" s="171" t="s">
        <v>498</v>
      </c>
      <c r="U20" s="171" t="s">
        <v>499</v>
      </c>
      <c r="V20" s="171" t="s">
        <v>500</v>
      </c>
      <c r="W20" s="171" t="s">
        <v>501</v>
      </c>
      <c r="X20" s="171" t="s">
        <v>502</v>
      </c>
      <c r="Y20" s="171" t="s">
        <v>503</v>
      </c>
      <c r="Z20" s="171" t="s">
        <v>504</v>
      </c>
      <c r="AA20" s="171" t="s">
        <v>505</v>
      </c>
      <c r="AB20" s="171" t="s">
        <v>506</v>
      </c>
      <c r="AC20" s="171" t="s">
        <v>507</v>
      </c>
      <c r="AD20" s="171" t="s">
        <v>508</v>
      </c>
      <c r="AE20" s="171" t="s">
        <v>509</v>
      </c>
      <c r="AF20" s="171" t="s">
        <v>510</v>
      </c>
      <c r="AG20" s="171" t="s">
        <v>425</v>
      </c>
      <c r="AH20" s="2" t="s">
        <v>17</v>
      </c>
    </row>
    <row r="21">
      <c r="A21" s="117">
        <f>IFERROR(__xludf.DUMMYFUNCTION("ifna(sort(query(filter('Data Recording'!B:AJ,'Data Recording'!D:D=B2), ""Select Col2, Col3, Col4, Col5, Col6, Col7, Col8, Col9, Col10, Col11, Col12, Col13, Col14, Col15, Col16, Col17, Col18, Col19, Col20, Col21, Col22, Col23, Col24, Col25, Col26, Col27, C"&amp;"ol28, Col29, Col30, Col31, Col32, Col33, Col34, Col35""),1,TRUE),"""")"),3.0)</f>
        <v>3</v>
      </c>
      <c r="B21" s="117">
        <f>IFERROR(__xludf.DUMMYFUNCTION("""COMPUTED_VALUE"""),1076.0)</f>
        <v>1076</v>
      </c>
      <c r="C21" s="117" t="str">
        <f>IFERROR(__xludf.DUMMYFUNCTION("""COMPUTED_VALUE"""),"No")</f>
        <v>No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 t="str">
        <f>IFERROR(__xludf.DUMMYFUNCTION("""COMPUTED_VALUE"""),"No")</f>
        <v>No</v>
      </c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 t="str">
        <f>IFERROR(__xludf.DUMMYFUNCTION("""COMPUTED_VALUE"""),"Yes, Engaged")</f>
        <v>Yes, Engaged</v>
      </c>
      <c r="AD21" s="117">
        <f>IFERROR(__xludf.DUMMYFUNCTION("""COMPUTED_VALUE"""),1.0)</f>
        <v>1</v>
      </c>
      <c r="AE21" s="117">
        <f>IFERROR(__xludf.DUMMYFUNCTION("""COMPUTED_VALUE"""),0.0)</f>
        <v>0</v>
      </c>
      <c r="AF21" s="117" t="str">
        <f>IFERROR(__xludf.DUMMYFUNCTION("""COMPUTED_VALUE"""),"No")</f>
        <v>No</v>
      </c>
      <c r="AG21" s="117" t="str">
        <f>IFERROR(__xludf.DUMMYFUNCTION("""COMPUTED_VALUE"""),"Cone got stuck in bot and couldnt do anything :(")</f>
        <v>Cone got stuck in bot and couldnt do anything :(</v>
      </c>
      <c r="AH21" s="117">
        <f>IFERROR(__xludf.DUMMYFUNCTION("""COMPUTED_VALUE"""),10.0)</f>
        <v>10</v>
      </c>
      <c r="AI21" s="173"/>
    </row>
    <row r="22">
      <c r="A22" s="117">
        <f>IFERROR(__xludf.DUMMYFUNCTION("""COMPUTED_VALUE"""),9.0)</f>
        <v>9</v>
      </c>
      <c r="B22" s="117">
        <f>IFERROR(__xludf.DUMMYFUNCTION("""COMPUTED_VALUE"""),1076.0)</f>
        <v>1076</v>
      </c>
      <c r="C22" s="117" t="str">
        <f>IFERROR(__xludf.DUMMYFUNCTION("""COMPUTED_VALUE"""),"Yes")</f>
        <v>Yes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 t="str">
        <f>IFERROR(__xludf.DUMMYFUNCTION("""COMPUTED_VALUE"""),"No")</f>
        <v>No</v>
      </c>
      <c r="Q22" s="117">
        <f>IFERROR(__xludf.DUMMYFUNCTION("""COMPUTED_VALUE"""),1.0)</f>
        <v>1</v>
      </c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 t="str">
        <f>IFERROR(__xludf.DUMMYFUNCTION("""COMPUTED_VALUE"""),"Yes, Engaged")</f>
        <v>Yes, Engaged</v>
      </c>
      <c r="AD22" s="117">
        <f>IFERROR(__xludf.DUMMYFUNCTION("""COMPUTED_VALUE"""),2.0)</f>
        <v>2</v>
      </c>
      <c r="AE22" s="117">
        <f>IFERROR(__xludf.DUMMYFUNCTION("""COMPUTED_VALUE"""),0.0)</f>
        <v>0</v>
      </c>
      <c r="AF22" s="117" t="str">
        <f>IFERROR(__xludf.DUMMYFUNCTION("""COMPUTED_VALUE"""),"No")</f>
        <v>No</v>
      </c>
      <c r="AG22" s="117"/>
      <c r="AH22" s="117">
        <f>IFERROR(__xludf.DUMMYFUNCTION("""COMPUTED_VALUE"""),13.0)</f>
        <v>13</v>
      </c>
      <c r="AI22" s="173"/>
    </row>
    <row r="23">
      <c r="A23" s="117">
        <f>IFERROR(__xludf.DUMMYFUNCTION("""COMPUTED_VALUE"""),20.0)</f>
        <v>20</v>
      </c>
      <c r="B23" s="117">
        <f>IFERROR(__xludf.DUMMYFUNCTION("""COMPUTED_VALUE"""),1076.0)</f>
        <v>1076</v>
      </c>
      <c r="C23" s="117" t="str">
        <f>IFERROR(__xludf.DUMMYFUNCTION("""COMPUTED_VALUE"""),"Yes")</f>
        <v>Yes</v>
      </c>
      <c r="D23" s="117"/>
      <c r="E23" s="117"/>
      <c r="F23" s="117">
        <f>IFERROR(__xludf.DUMMYFUNCTION("""COMPUTED_VALUE"""),1.0)</f>
        <v>1</v>
      </c>
      <c r="G23" s="117">
        <f>IFERROR(__xludf.DUMMYFUNCTION("""COMPUTED_VALUE"""),1.0)</f>
        <v>1</v>
      </c>
      <c r="H23" s="117"/>
      <c r="I23" s="117"/>
      <c r="J23" s="117"/>
      <c r="K23" s="117"/>
      <c r="L23" s="117"/>
      <c r="M23" s="117"/>
      <c r="N23" s="117"/>
      <c r="O23" s="117"/>
      <c r="P23" s="117" t="str">
        <f>IFERROR(__xludf.DUMMYFUNCTION("""COMPUTED_VALUE"""),"No")</f>
        <v>No</v>
      </c>
      <c r="Q23" s="117">
        <f>IFERROR(__xludf.DUMMYFUNCTION("""COMPUTED_VALUE"""),1.0)</f>
        <v>1</v>
      </c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 t="str">
        <f>IFERROR(__xludf.DUMMYFUNCTION("""COMPUTED_VALUE"""),"Yes, Engaged")</f>
        <v>Yes, Engaged</v>
      </c>
      <c r="AD23" s="117">
        <f>IFERROR(__xludf.DUMMYFUNCTION("""COMPUTED_VALUE"""),1.0)</f>
        <v>1</v>
      </c>
      <c r="AE23" s="117">
        <f>IFERROR(__xludf.DUMMYFUNCTION("""COMPUTED_VALUE"""),0.0)</f>
        <v>0</v>
      </c>
      <c r="AF23" s="117" t="str">
        <f>IFERROR(__xludf.DUMMYFUNCTION("""COMPUTED_VALUE"""),"No")</f>
        <v>No</v>
      </c>
      <c r="AG23" s="117"/>
      <c r="AH23" s="117">
        <f>IFERROR(__xludf.DUMMYFUNCTION("""COMPUTED_VALUE"""),17.0)</f>
        <v>17</v>
      </c>
      <c r="AI23" s="117"/>
    </row>
    <row r="24">
      <c r="A24" s="117">
        <f>IFERROR(__xludf.DUMMYFUNCTION("""COMPUTED_VALUE"""),24.0)</f>
        <v>24</v>
      </c>
      <c r="B24" s="117">
        <f>IFERROR(__xludf.DUMMYFUNCTION("""COMPUTED_VALUE"""),1076.0)</f>
        <v>1076</v>
      </c>
      <c r="C24" s="117" t="str">
        <f>IFERROR(__xludf.DUMMYFUNCTION("""COMPUTED_VALUE"""),"No")</f>
        <v>No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 t="str">
        <f>IFERROR(__xludf.DUMMYFUNCTION("""COMPUTED_VALUE"""),"No")</f>
        <v>No</v>
      </c>
      <c r="Q24" s="117"/>
      <c r="R24" s="117"/>
      <c r="S24" s="117">
        <f>IFERROR(__xludf.DUMMYFUNCTION("""COMPUTED_VALUE"""),1.0)</f>
        <v>1</v>
      </c>
      <c r="T24" s="117"/>
      <c r="U24" s="117"/>
      <c r="V24" s="117"/>
      <c r="W24" s="117"/>
      <c r="X24" s="117"/>
      <c r="Y24" s="117"/>
      <c r="Z24" s="117"/>
      <c r="AA24" s="117"/>
      <c r="AB24" s="117"/>
      <c r="AC24" s="117" t="str">
        <f>IFERROR(__xludf.DUMMYFUNCTION("""COMPUTED_VALUE"""),"Yes, Engaged")</f>
        <v>Yes, Engaged</v>
      </c>
      <c r="AD24" s="117">
        <f>IFERROR(__xludf.DUMMYFUNCTION("""COMPUTED_VALUE"""),1.0)</f>
        <v>1</v>
      </c>
      <c r="AE24" s="117">
        <f>IFERROR(__xludf.DUMMYFUNCTION("""COMPUTED_VALUE"""),0.0)</f>
        <v>0</v>
      </c>
      <c r="AF24" s="117" t="str">
        <f>IFERROR(__xludf.DUMMYFUNCTION("""COMPUTED_VALUE"""),"No")</f>
        <v>No</v>
      </c>
      <c r="AG24" s="117" t="str">
        <f>IFERROR(__xludf.DUMMYFUNCTION("""COMPUTED_VALUE"""),"This robots funky and clunky")</f>
        <v>This robots funky and clunky</v>
      </c>
      <c r="AH24" s="117">
        <f>IFERROR(__xludf.DUMMYFUNCTION("""COMPUTED_VALUE"""),10.0)</f>
        <v>10</v>
      </c>
      <c r="AI24" s="117"/>
    </row>
    <row r="25">
      <c r="A25" s="117">
        <f>IFERROR(__xludf.DUMMYFUNCTION("""COMPUTED_VALUE"""),31.0)</f>
        <v>31</v>
      </c>
      <c r="B25" s="117">
        <f>IFERROR(__xludf.DUMMYFUNCTION("""COMPUTED_VALUE"""),1076.0)</f>
        <v>1076</v>
      </c>
      <c r="C25" s="117" t="str">
        <f>IFERROR(__xludf.DUMMYFUNCTION("""COMPUTED_VALUE"""),"Yes")</f>
        <v>Yes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 t="str">
        <f>IFERROR(__xludf.DUMMYFUNCTION("""COMPUTED_VALUE"""),"No")</f>
        <v>No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 t="str">
        <f>IFERROR(__xludf.DUMMYFUNCTION("""COMPUTED_VALUE"""),"Yes, Docked")</f>
        <v>Yes, Docked</v>
      </c>
      <c r="AD25" s="117">
        <f>IFERROR(__xludf.DUMMYFUNCTION("""COMPUTED_VALUE"""),1.0)</f>
        <v>1</v>
      </c>
      <c r="AE25" s="117">
        <f>IFERROR(__xludf.DUMMYFUNCTION("""COMPUTED_VALUE"""),0.0)</f>
        <v>0</v>
      </c>
      <c r="AF25" s="117" t="str">
        <f>IFERROR(__xludf.DUMMYFUNCTION("""COMPUTED_VALUE"""),"No")</f>
        <v>No</v>
      </c>
      <c r="AG25" s="117" t="str">
        <f>IFERROR(__xludf.DUMMYFUNCTION("""COMPUTED_VALUE"""),"Drivetrain broken??")</f>
        <v>Drivetrain broken??</v>
      </c>
      <c r="AH25" s="117">
        <f>IFERROR(__xludf.DUMMYFUNCTION("""COMPUTED_VALUE"""),9.0)</f>
        <v>9</v>
      </c>
      <c r="AI25" s="117"/>
    </row>
    <row r="26">
      <c r="A26" s="117">
        <f>IFERROR(__xludf.DUMMYFUNCTION("""COMPUTED_VALUE"""),39.0)</f>
        <v>39</v>
      </c>
      <c r="B26" s="117">
        <f>IFERROR(__xludf.DUMMYFUNCTION("""COMPUTED_VALUE"""),1076.0)</f>
        <v>1076</v>
      </c>
      <c r="C26" s="117" t="str">
        <f>IFERROR(__xludf.DUMMYFUNCTION("""COMPUTED_VALUE"""),"Yes")</f>
        <v>Yes</v>
      </c>
      <c r="D26" s="117"/>
      <c r="E26" s="117"/>
      <c r="F26" s="117">
        <f>IFERROR(__xludf.DUMMYFUNCTION("""COMPUTED_VALUE"""),1.0)</f>
        <v>1</v>
      </c>
      <c r="G26" s="117">
        <f>IFERROR(__xludf.DUMMYFUNCTION("""COMPUTED_VALUE"""),1.0)</f>
        <v>1</v>
      </c>
      <c r="H26" s="117"/>
      <c r="I26" s="117"/>
      <c r="J26" s="117"/>
      <c r="K26" s="117"/>
      <c r="L26" s="117"/>
      <c r="M26" s="117"/>
      <c r="N26" s="117"/>
      <c r="O26" s="117"/>
      <c r="P26" s="117" t="str">
        <f>IFERROR(__xludf.DUMMYFUNCTION("""COMPUTED_VALUE"""),"No")</f>
        <v>No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 t="str">
        <f>IFERROR(__xludf.DUMMYFUNCTION("""COMPUTED_VALUE"""),"Yes, Engaged")</f>
        <v>Yes, Engaged</v>
      </c>
      <c r="AD26" s="117">
        <f>IFERROR(__xludf.DUMMYFUNCTION("""COMPUTED_VALUE"""),0.0)</f>
        <v>0</v>
      </c>
      <c r="AE26" s="117">
        <f>IFERROR(__xludf.DUMMYFUNCTION("""COMPUTED_VALUE"""),0.0)</f>
        <v>0</v>
      </c>
      <c r="AF26" s="117" t="str">
        <f>IFERROR(__xludf.DUMMYFUNCTION("""COMPUTED_VALUE"""),"No")</f>
        <v>No</v>
      </c>
      <c r="AG26" s="117" t="str">
        <f>IFERROR(__xludf.DUMMYFUNCTION("""COMPUTED_VALUE"""),"The robots kinda bad")</f>
        <v>The robots kinda bad</v>
      </c>
      <c r="AH26" s="117">
        <f>IFERROR(__xludf.DUMMYFUNCTION("""COMPUTED_VALUE"""),17.0)</f>
        <v>17</v>
      </c>
      <c r="AI26" s="117"/>
    </row>
    <row r="27">
      <c r="A27" s="117">
        <f>IFERROR(__xludf.DUMMYFUNCTION("""COMPUTED_VALUE"""),44.0)</f>
        <v>44</v>
      </c>
      <c r="B27" s="117">
        <f>IFERROR(__xludf.DUMMYFUNCTION("""COMPUTED_VALUE"""),1076.0)</f>
        <v>1076</v>
      </c>
      <c r="C27" s="117" t="str">
        <f>IFERROR(__xludf.DUMMYFUNCTION("""COMPUTED_VALUE"""),"Yes")</f>
        <v>Yes</v>
      </c>
      <c r="D27" s="117"/>
      <c r="E27" s="117"/>
      <c r="F27" s="117">
        <f>IFERROR(__xludf.DUMMYFUNCTION("""COMPUTED_VALUE"""),1.0)</f>
        <v>1</v>
      </c>
      <c r="G27" s="117"/>
      <c r="H27" s="117"/>
      <c r="I27" s="117"/>
      <c r="J27" s="117"/>
      <c r="K27" s="117"/>
      <c r="L27" s="117"/>
      <c r="M27" s="117"/>
      <c r="N27" s="117"/>
      <c r="O27" s="117"/>
      <c r="P27" s="117" t="str">
        <f>IFERROR(__xludf.DUMMYFUNCTION("""COMPUTED_VALUE"""),"No")</f>
        <v>No</v>
      </c>
      <c r="Q27" s="117"/>
      <c r="R27" s="117"/>
      <c r="S27" s="117"/>
      <c r="T27" s="117"/>
      <c r="U27" s="117">
        <f>IFERROR(__xludf.DUMMYFUNCTION("""COMPUTED_VALUE"""),1.0)</f>
        <v>1</v>
      </c>
      <c r="V27" s="117"/>
      <c r="W27" s="117"/>
      <c r="X27" s="117"/>
      <c r="Y27" s="117"/>
      <c r="Z27" s="117"/>
      <c r="AA27" s="117"/>
      <c r="AB27" s="117"/>
      <c r="AC27" s="117" t="str">
        <f>IFERROR(__xludf.DUMMYFUNCTION("""COMPUTED_VALUE"""),"Yes, Engaged")</f>
        <v>Yes, Engaged</v>
      </c>
      <c r="AD27" s="117">
        <f>IFERROR(__xludf.DUMMYFUNCTION("""COMPUTED_VALUE"""),0.0)</f>
        <v>0</v>
      </c>
      <c r="AE27" s="117">
        <f>IFERROR(__xludf.DUMMYFUNCTION("""COMPUTED_VALUE"""),0.0)</f>
        <v>0</v>
      </c>
      <c r="AF27" s="117" t="str">
        <f>IFERROR(__xludf.DUMMYFUNCTION("""COMPUTED_VALUE"""),"No")</f>
        <v>No</v>
      </c>
      <c r="AG27" s="117"/>
      <c r="AH27" s="117">
        <f>IFERROR(__xludf.DUMMYFUNCTION("""COMPUTED_VALUE"""),13.0)</f>
        <v>13</v>
      </c>
      <c r="AI27" s="117"/>
    </row>
    <row r="28">
      <c r="A28" s="117">
        <f>IFERROR(__xludf.DUMMYFUNCTION("""COMPUTED_VALUE"""),48.0)</f>
        <v>48</v>
      </c>
      <c r="B28" s="117">
        <f>IFERROR(__xludf.DUMMYFUNCTION("""COMPUTED_VALUE"""),1076.0)</f>
        <v>1076</v>
      </c>
      <c r="C28" s="117" t="str">
        <f>IFERROR(__xludf.DUMMYFUNCTION("""COMPUTED_VALUE"""),"No")</f>
        <v>No</v>
      </c>
      <c r="D28" s="117"/>
      <c r="E28" s="117"/>
      <c r="F28" s="117">
        <f>IFERROR(__xludf.DUMMYFUNCTION("""COMPUTED_VALUE"""),1.0)</f>
        <v>1</v>
      </c>
      <c r="G28" s="117">
        <f>IFERROR(__xludf.DUMMYFUNCTION("""COMPUTED_VALUE"""),1.0)</f>
        <v>1</v>
      </c>
      <c r="H28" s="117"/>
      <c r="I28" s="117"/>
      <c r="J28" s="117"/>
      <c r="K28" s="117"/>
      <c r="L28" s="117"/>
      <c r="M28" s="117"/>
      <c r="N28" s="117"/>
      <c r="O28" s="117"/>
      <c r="P28" s="117" t="str">
        <f>IFERROR(__xludf.DUMMYFUNCTION("""COMPUTED_VALUE"""),"No")</f>
        <v>No</v>
      </c>
      <c r="Q28" s="117"/>
      <c r="R28" s="117"/>
      <c r="S28" s="117"/>
      <c r="T28" s="117"/>
      <c r="U28" s="117">
        <f>IFERROR(__xludf.DUMMYFUNCTION("""COMPUTED_VALUE"""),1.0)</f>
        <v>1</v>
      </c>
      <c r="V28" s="117">
        <f>IFERROR(__xludf.DUMMYFUNCTION("""COMPUTED_VALUE"""),0.0)</f>
        <v>0</v>
      </c>
      <c r="W28" s="117"/>
      <c r="X28" s="117"/>
      <c r="Y28" s="117"/>
      <c r="Z28" s="117"/>
      <c r="AA28" s="117"/>
      <c r="AB28" s="117"/>
      <c r="AC28" s="117" t="str">
        <f>IFERROR(__xludf.DUMMYFUNCTION("""COMPUTED_VALUE"""),"Yes, Engaged")</f>
        <v>Yes, Engaged</v>
      </c>
      <c r="AD28" s="117">
        <f>IFERROR(__xludf.DUMMYFUNCTION("""COMPUTED_VALUE"""),1.0)</f>
        <v>1</v>
      </c>
      <c r="AE28" s="117">
        <f>IFERROR(__xludf.DUMMYFUNCTION("""COMPUTED_VALUE"""),0.0)</f>
        <v>0</v>
      </c>
      <c r="AF28" s="117" t="str">
        <f>IFERROR(__xludf.DUMMYFUNCTION("""COMPUTED_VALUE"""),"No")</f>
        <v>No</v>
      </c>
      <c r="AG28" s="117"/>
      <c r="AH28" s="117">
        <f>IFERROR(__xludf.DUMMYFUNCTION("""COMPUTED_VALUE"""),14.0)</f>
        <v>14</v>
      </c>
      <c r="AI28" s="117"/>
    </row>
    <row r="29">
      <c r="A29" s="117">
        <f>IFERROR(__xludf.DUMMYFUNCTION("""COMPUTED_VALUE"""),55.0)</f>
        <v>55</v>
      </c>
      <c r="B29" s="117">
        <f>IFERROR(__xludf.DUMMYFUNCTION("""COMPUTED_VALUE"""),1076.0)</f>
        <v>1076</v>
      </c>
      <c r="C29" s="117" t="str">
        <f>IFERROR(__xludf.DUMMYFUNCTION("""COMPUTED_VALUE"""),"No")</f>
        <v>No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 t="str">
        <f>IFERROR(__xludf.DUMMYFUNCTION("""COMPUTED_VALUE"""),"No")</f>
        <v>No</v>
      </c>
      <c r="Q29" s="117"/>
      <c r="R29" s="117"/>
      <c r="S29" s="117">
        <f>IFERROR(__xludf.DUMMYFUNCTION("""COMPUTED_VALUE"""),1.0)</f>
        <v>1</v>
      </c>
      <c r="T29" s="117"/>
      <c r="U29" s="117">
        <f>IFERROR(__xludf.DUMMYFUNCTION("""COMPUTED_VALUE"""),1.0)</f>
        <v>1</v>
      </c>
      <c r="V29" s="117">
        <f>IFERROR(__xludf.DUMMYFUNCTION("""COMPUTED_VALUE"""),1.0)</f>
        <v>1</v>
      </c>
      <c r="W29" s="117"/>
      <c r="X29" s="117"/>
      <c r="Y29" s="117"/>
      <c r="Z29" s="117"/>
      <c r="AA29" s="117">
        <f>IFERROR(__xludf.DUMMYFUNCTION("""COMPUTED_VALUE"""),1.0)</f>
        <v>1</v>
      </c>
      <c r="AB29" s="117">
        <f>IFERROR(__xludf.DUMMYFUNCTION("""COMPUTED_VALUE"""),1.0)</f>
        <v>1</v>
      </c>
      <c r="AC29" s="117" t="str">
        <f>IFERROR(__xludf.DUMMYFUNCTION("""COMPUTED_VALUE"""),"Yes, Docked")</f>
        <v>Yes, Docked</v>
      </c>
      <c r="AD29" s="117">
        <f>IFERROR(__xludf.DUMMYFUNCTION("""COMPUTED_VALUE"""),1.0)</f>
        <v>1</v>
      </c>
      <c r="AE29" s="117">
        <f>IFERROR(__xludf.DUMMYFUNCTION("""COMPUTED_VALUE"""),0.0)</f>
        <v>0</v>
      </c>
      <c r="AF29" s="117" t="str">
        <f>IFERROR(__xludf.DUMMYFUNCTION("""COMPUTED_VALUE"""),"No")</f>
        <v>No</v>
      </c>
      <c r="AG29" s="117"/>
      <c r="AH29" s="117">
        <f>IFERROR(__xludf.DUMMYFUNCTION("""COMPUTED_VALUE"""),10.0)</f>
        <v>10</v>
      </c>
      <c r="AI29" s="117"/>
    </row>
    <row r="30">
      <c r="A30" s="117">
        <f>IFERROR(__xludf.DUMMYFUNCTION("""COMPUTED_VALUE"""),62.0)</f>
        <v>62</v>
      </c>
      <c r="B30" s="117">
        <f>IFERROR(__xludf.DUMMYFUNCTION("""COMPUTED_VALUE"""),1076.0)</f>
        <v>1076</v>
      </c>
      <c r="C30" s="117" t="str">
        <f>IFERROR(__xludf.DUMMYFUNCTION("""COMPUTED_VALUE"""),"No")</f>
        <v>No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 t="str">
        <f>IFERROR(__xludf.DUMMYFUNCTION("""COMPUTED_VALUE"""),"No")</f>
        <v>No</v>
      </c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 t="str">
        <f>IFERROR(__xludf.DUMMYFUNCTION("""COMPUTED_VALUE"""),"Yes, Engaged")</f>
        <v>Yes, Engaged</v>
      </c>
      <c r="AD30" s="117">
        <f>IFERROR(__xludf.DUMMYFUNCTION("""COMPUTED_VALUE"""),0.0)</f>
        <v>0</v>
      </c>
      <c r="AE30" s="117">
        <f>IFERROR(__xludf.DUMMYFUNCTION("""COMPUTED_VALUE"""),0.0)</f>
        <v>0</v>
      </c>
      <c r="AF30" s="117" t="str">
        <f>IFERROR(__xludf.DUMMYFUNCTION("""COMPUTED_VALUE"""),"Yes")</f>
        <v>Yes</v>
      </c>
      <c r="AG30" s="117"/>
      <c r="AH30" s="117">
        <f>IFERROR(__xludf.DUMMYFUNCTION("""COMPUTED_VALUE"""),10.0)</f>
        <v>10</v>
      </c>
      <c r="AI30" s="117"/>
    </row>
    <row r="31">
      <c r="A31" s="117">
        <f>IFERROR(__xludf.DUMMYFUNCTION("""COMPUTED_VALUE"""),66.0)</f>
        <v>66</v>
      </c>
      <c r="B31" s="117">
        <f>IFERROR(__xludf.DUMMYFUNCTION("""COMPUTED_VALUE"""),1076.0)</f>
        <v>1076</v>
      </c>
      <c r="C31" s="117" t="str">
        <f>IFERROR(__xludf.DUMMYFUNCTION("""COMPUTED_VALUE"""),"No")</f>
        <v>No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 t="str">
        <f>IFERROR(__xludf.DUMMYFUNCTION("""COMPUTED_VALUE"""),"No")</f>
        <v>No</v>
      </c>
      <c r="Q31" s="117"/>
      <c r="R31" s="117"/>
      <c r="S31" s="117">
        <f>IFERROR(__xludf.DUMMYFUNCTION("""COMPUTED_VALUE"""),1.0)</f>
        <v>1</v>
      </c>
      <c r="T31" s="117">
        <f>IFERROR(__xludf.DUMMYFUNCTION("""COMPUTED_VALUE"""),0.0)</f>
        <v>0</v>
      </c>
      <c r="U31" s="117">
        <f>IFERROR(__xludf.DUMMYFUNCTION("""COMPUTED_VALUE"""),1.0)</f>
        <v>1</v>
      </c>
      <c r="V31" s="117">
        <f>IFERROR(__xludf.DUMMYFUNCTION("""COMPUTED_VALUE"""),1.0)</f>
        <v>1</v>
      </c>
      <c r="W31" s="117"/>
      <c r="X31" s="117"/>
      <c r="Y31" s="117"/>
      <c r="Z31" s="117"/>
      <c r="AA31" s="117"/>
      <c r="AB31" s="117"/>
      <c r="AC31" s="117" t="str">
        <f>IFERROR(__xludf.DUMMYFUNCTION("""COMPUTED_VALUE"""),"Yes, Engaged")</f>
        <v>Yes, Engaged</v>
      </c>
      <c r="AD31" s="117">
        <f>IFERROR(__xludf.DUMMYFUNCTION("""COMPUTED_VALUE"""),1.0)</f>
        <v>1</v>
      </c>
      <c r="AE31" s="117">
        <f>IFERROR(__xludf.DUMMYFUNCTION("""COMPUTED_VALUE"""),0.0)</f>
        <v>0</v>
      </c>
      <c r="AF31" s="117" t="str">
        <f>IFERROR(__xludf.DUMMYFUNCTION("""COMPUTED_VALUE"""),"No")</f>
        <v>No</v>
      </c>
      <c r="AG31" s="117" t="str">
        <f>IFERROR(__xludf.DUMMYFUNCTION("""COMPUTED_VALUE"""),"If cone falls off elevator-it drops into chassis and gets stuck. Also robot shakes when grabbing a cone??")</f>
        <v>If cone falls off elevator-it drops into chassis and gets stuck. Also robot shakes when grabbing a cone??</v>
      </c>
      <c r="AH31" s="117">
        <f>IFERROR(__xludf.DUMMYFUNCTION("""COMPUTED_VALUE"""),12.0)</f>
        <v>12</v>
      </c>
      <c r="AI31" s="117"/>
    </row>
    <row r="32">
      <c r="A32" s="117">
        <f>IFERROR(__xludf.DUMMYFUNCTION("""COMPUTED_VALUE"""),72.0)</f>
        <v>72</v>
      </c>
      <c r="B32" s="117">
        <f>IFERROR(__xludf.DUMMYFUNCTION("""COMPUTED_VALUE"""),1076.0)</f>
        <v>1076</v>
      </c>
      <c r="C32" s="117" t="str">
        <f>IFERROR(__xludf.DUMMYFUNCTION("""COMPUTED_VALUE"""),"No")</f>
        <v>No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 t="str">
        <f>IFERROR(__xludf.DUMMYFUNCTION("""COMPUTED_VALUE"""),"No")</f>
        <v>No</v>
      </c>
      <c r="Q32" s="117"/>
      <c r="R32" s="117"/>
      <c r="S32" s="117">
        <f>IFERROR(__xludf.DUMMYFUNCTION("""COMPUTED_VALUE"""),1.0)</f>
        <v>1</v>
      </c>
      <c r="T32" s="117">
        <f>IFERROR(__xludf.DUMMYFUNCTION("""COMPUTED_VALUE"""),0.0)</f>
        <v>0</v>
      </c>
      <c r="U32" s="117"/>
      <c r="V32" s="117"/>
      <c r="W32" s="117"/>
      <c r="X32" s="117"/>
      <c r="Y32" s="117"/>
      <c r="Z32" s="117"/>
      <c r="AA32" s="117"/>
      <c r="AB32" s="117"/>
      <c r="AC32" s="117" t="str">
        <f>IFERROR(__xludf.DUMMYFUNCTION("""COMPUTED_VALUE"""),"Yes, Engaged")</f>
        <v>Yes, Engaged</v>
      </c>
      <c r="AD32" s="117">
        <f>IFERROR(__xludf.DUMMYFUNCTION("""COMPUTED_VALUE"""),1.0)</f>
        <v>1</v>
      </c>
      <c r="AE32" s="117">
        <f>IFERROR(__xludf.DUMMYFUNCTION("""COMPUTED_VALUE"""),0.0)</f>
        <v>0</v>
      </c>
      <c r="AF32" s="117" t="str">
        <f>IFERROR(__xludf.DUMMYFUNCTION("""COMPUTED_VALUE"""),"No")</f>
        <v>No</v>
      </c>
      <c r="AG32" s="117"/>
      <c r="AH32" s="117">
        <f>IFERROR(__xludf.DUMMYFUNCTION("""COMPUTED_VALUE"""),10.0)</f>
        <v>10</v>
      </c>
      <c r="AI32" s="117"/>
    </row>
    <row r="33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</row>
    <row r="3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</row>
    <row r="3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</row>
    <row r="36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</row>
    <row r="37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</row>
    <row r="38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</row>
    <row r="39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</row>
    <row r="40">
      <c r="A40" s="117"/>
      <c r="B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</row>
    <row r="4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</row>
    <row r="4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</row>
    <row r="43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</row>
    <row r="44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</row>
    <row r="4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</row>
    <row r="46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</row>
    <row r="47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</row>
    <row r="48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</row>
    <row r="49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</row>
    <row r="50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</row>
    <row r="5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</row>
    <row r="5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</row>
    <row r="53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</row>
    <row r="54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</row>
    <row r="5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</row>
    <row r="56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</row>
    <row r="57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</row>
    <row r="58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</row>
    <row r="59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</row>
    <row r="60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</row>
    <row r="6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</row>
    <row r="6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</row>
    <row r="6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</row>
    <row r="64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</row>
    <row r="65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</row>
    <row r="66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</row>
    <row r="67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</row>
    <row r="68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</row>
    <row r="69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</row>
    <row r="70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</row>
    <row r="7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</row>
    <row r="7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</row>
    <row r="73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</row>
    <row r="74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</row>
    <row r="75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</row>
    <row r="76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</row>
    <row r="77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</row>
    <row r="78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</row>
    <row r="79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</row>
    <row r="80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</row>
    <row r="8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</row>
    <row r="8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</row>
    <row r="83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</row>
    <row r="84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</row>
    <row r="85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</row>
    <row r="86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</row>
    <row r="87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</row>
    <row r="88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</row>
    <row r="89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</row>
    <row r="90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</row>
    <row r="9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</row>
    <row r="9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</row>
    <row r="9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</row>
    <row r="94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</row>
    <row r="9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</row>
    <row r="96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</row>
    <row r="97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</row>
    <row r="98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</row>
    <row r="99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</row>
    <row r="100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</row>
    <row r="10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</row>
    <row r="10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</row>
    <row r="10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</row>
    <row r="104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</row>
    <row r="10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</row>
    <row r="106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</row>
    <row r="107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</row>
    <row r="108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</row>
    <row r="109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</row>
    <row r="110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</row>
    <row r="11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</row>
    <row r="11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</row>
    <row r="113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</row>
    <row r="114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</row>
    <row r="11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</row>
    <row r="116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</row>
    <row r="117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</row>
    <row r="118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</row>
    <row r="119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</row>
    <row r="120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</row>
    <row r="12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</row>
    <row r="1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</row>
    <row r="123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</row>
    <row r="124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</row>
    <row r="12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</row>
    <row r="1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</row>
    <row r="127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</row>
    <row r="128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</row>
    <row r="129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</row>
    <row r="130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</row>
    <row r="13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</row>
    <row r="13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</row>
    <row r="133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</row>
    <row r="134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</row>
    <row r="1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</row>
    <row r="13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</row>
    <row r="137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</row>
    <row r="138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</row>
    <row r="139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</row>
    <row r="140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</row>
    <row r="14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</row>
    <row r="14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</row>
    <row r="143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</row>
    <row r="144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</row>
    <row r="14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</row>
    <row r="14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</row>
    <row r="147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</row>
    <row r="148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</row>
    <row r="149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</row>
    <row r="150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</row>
    <row r="15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</row>
    <row r="15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</row>
    <row r="153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</row>
    <row r="154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</row>
    <row r="15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</row>
    <row r="15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</row>
    <row r="157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</row>
    <row r="158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</row>
    <row r="159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</row>
    <row r="160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</row>
    <row r="16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</row>
    <row r="16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</row>
    <row r="163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</row>
    <row r="164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</row>
    <row r="16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</row>
    <row r="16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</row>
    <row r="167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</row>
    <row r="168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</row>
    <row r="169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</row>
    <row r="170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</row>
    <row r="17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</row>
    <row r="17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</row>
    <row r="173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</row>
    <row r="174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</row>
    <row r="17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</row>
    <row r="17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</row>
    <row r="177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</row>
    <row r="178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</row>
    <row r="179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</row>
    <row r="180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</row>
    <row r="18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</row>
    <row r="18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</row>
    <row r="183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</row>
    <row r="184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</row>
    <row r="18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</row>
    <row r="18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</row>
    <row r="187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</row>
    <row r="188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</row>
    <row r="189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</row>
    <row r="190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</row>
    <row r="19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</row>
    <row r="19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</row>
    <row r="193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</row>
    <row r="194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</row>
    <row r="19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</row>
    <row r="19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</row>
    <row r="197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</row>
    <row r="198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</row>
    <row r="199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</row>
    <row r="200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</row>
    <row r="20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</row>
    <row r="20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17"/>
      <c r="AH202" s="117"/>
      <c r="AI202" s="117"/>
    </row>
    <row r="203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17"/>
      <c r="AH203" s="117"/>
      <c r="AI203" s="117"/>
    </row>
    <row r="204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</row>
    <row r="20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</row>
    <row r="20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17"/>
      <c r="AH206" s="117"/>
      <c r="AI206" s="117"/>
    </row>
    <row r="207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  <c r="AH207" s="117"/>
      <c r="AI207" s="117"/>
    </row>
    <row r="208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/>
    </row>
    <row r="209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  <c r="AH209" s="117"/>
      <c r="AI209" s="117"/>
    </row>
    <row r="210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/>
    </row>
    <row r="21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  <c r="AH211" s="117"/>
      <c r="AI211" s="117"/>
    </row>
    <row r="21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</row>
    <row r="213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</row>
    <row r="214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  <c r="AH214" s="117"/>
      <c r="AI214" s="117"/>
    </row>
    <row r="21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</row>
    <row r="21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</row>
    <row r="217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7"/>
      <c r="AI217" s="117"/>
    </row>
    <row r="218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17"/>
      <c r="AH218" s="117"/>
      <c r="AI218" s="117"/>
    </row>
    <row r="219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17"/>
      <c r="AH219" s="117"/>
      <c r="AI219" s="117"/>
    </row>
    <row r="220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/>
    </row>
    <row r="22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</row>
    <row r="22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</row>
    <row r="223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</row>
    <row r="224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/>
    </row>
    <row r="22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</row>
    <row r="2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17"/>
      <c r="AH226" s="117"/>
      <c r="AI226" s="117"/>
    </row>
    <row r="227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7"/>
    </row>
    <row r="228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/>
    </row>
    <row r="229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  <c r="AH229" s="117"/>
      <c r="AI229" s="117"/>
    </row>
    <row r="230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</row>
    <row r="23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117"/>
      <c r="AH231" s="117"/>
      <c r="AI231" s="117"/>
    </row>
    <row r="23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</row>
    <row r="233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</row>
    <row r="234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</row>
    <row r="2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7"/>
    </row>
    <row r="23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/>
    </row>
    <row r="237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117"/>
      <c r="AH237" s="117"/>
      <c r="AI237" s="117"/>
    </row>
    <row r="238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</row>
    <row r="239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</row>
    <row r="240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/>
    </row>
    <row r="24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17"/>
      <c r="AH241" s="117"/>
      <c r="AI241" s="117"/>
    </row>
    <row r="24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/>
    </row>
    <row r="243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17"/>
      <c r="AH243" s="117"/>
      <c r="AI243" s="117"/>
    </row>
    <row r="244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</row>
    <row r="24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  <c r="AH245" s="117"/>
      <c r="AI245" s="117"/>
    </row>
    <row r="24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</row>
    <row r="247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</row>
    <row r="248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/>
    </row>
    <row r="249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</row>
    <row r="250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</row>
    <row r="25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</row>
    <row r="25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/>
    </row>
    <row r="253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117"/>
      <c r="AH253" s="117"/>
      <c r="AI253" s="117"/>
    </row>
    <row r="254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117"/>
      <c r="AH254" s="117"/>
      <c r="AI254" s="117"/>
    </row>
    <row r="25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  <c r="AH255" s="117"/>
      <c r="AI255" s="117"/>
    </row>
    <row r="25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/>
    </row>
    <row r="257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117"/>
      <c r="AH257" s="117"/>
      <c r="AI257" s="117"/>
    </row>
    <row r="258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  <c r="AG258" s="117"/>
      <c r="AH258" s="117"/>
      <c r="AI258" s="117"/>
    </row>
    <row r="259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17"/>
      <c r="AH259" s="117"/>
      <c r="AI259" s="117"/>
    </row>
    <row r="260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/>
    </row>
    <row r="26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17"/>
      <c r="AH261" s="117"/>
      <c r="AI261" s="117"/>
    </row>
    <row r="26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17"/>
      <c r="AH262" s="117"/>
      <c r="AI262" s="117"/>
    </row>
    <row r="263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  <c r="AH263" s="117"/>
      <c r="AI263" s="117"/>
    </row>
    <row r="264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</row>
    <row r="26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  <c r="AI265" s="117"/>
    </row>
    <row r="26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</row>
    <row r="267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</row>
    <row r="268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</row>
    <row r="269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</row>
    <row r="270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  <c r="AI270" s="117"/>
    </row>
    <row r="27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7"/>
    </row>
    <row r="27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</row>
    <row r="273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17"/>
      <c r="AH273" s="117"/>
      <c r="AI273" s="117"/>
    </row>
    <row r="274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117"/>
      <c r="AI274" s="117"/>
    </row>
    <row r="27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</row>
    <row r="27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</row>
    <row r="277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</row>
    <row r="278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</row>
    <row r="279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</row>
    <row r="280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</row>
    <row r="28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</row>
    <row r="28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</row>
    <row r="283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</row>
    <row r="284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</row>
    <row r="28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</row>
    <row r="28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</row>
    <row r="287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</row>
    <row r="288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</row>
    <row r="289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</row>
    <row r="290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  <c r="AI290" s="117"/>
    </row>
    <row r="29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  <c r="AI291" s="117"/>
    </row>
    <row r="29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</row>
    <row r="293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</row>
    <row r="294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  <c r="AI294" s="117"/>
    </row>
    <row r="29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  <c r="AI295" s="117"/>
    </row>
    <row r="29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7"/>
    </row>
    <row r="297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  <c r="AH297" s="117"/>
      <c r="AI297" s="117"/>
    </row>
    <row r="298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</row>
    <row r="299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</row>
    <row r="300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</row>
    <row r="30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</row>
    <row r="30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</row>
    <row r="303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</row>
    <row r="304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7"/>
    </row>
    <row r="30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  <c r="AH305" s="117"/>
      <c r="AI305" s="117"/>
    </row>
    <row r="30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</row>
    <row r="307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  <c r="AH307" s="117"/>
      <c r="AI307" s="117"/>
    </row>
    <row r="308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</row>
    <row r="309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</row>
    <row r="310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7"/>
    </row>
    <row r="31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  <c r="AH311" s="117"/>
      <c r="AI311" s="117"/>
    </row>
    <row r="31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  <c r="AH312" s="117"/>
      <c r="AI312" s="117"/>
    </row>
    <row r="313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117"/>
      <c r="AH313" s="117"/>
      <c r="AI313" s="117"/>
    </row>
    <row r="314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7"/>
    </row>
    <row r="31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  <c r="AH315" s="117"/>
      <c r="AI315" s="117"/>
    </row>
    <row r="31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7"/>
    </row>
    <row r="317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  <c r="AH317" s="117"/>
      <c r="AI317" s="117"/>
    </row>
    <row r="318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</row>
    <row r="319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  <c r="AH319" s="117"/>
      <c r="AI319" s="117"/>
    </row>
    <row r="320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</row>
    <row r="32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</row>
    <row r="32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</row>
    <row r="323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</row>
    <row r="324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</row>
    <row r="32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</row>
    <row r="3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</row>
    <row r="327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  <c r="AH327" s="117"/>
      <c r="AI327" s="117"/>
    </row>
    <row r="328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  <c r="AH328" s="117"/>
      <c r="AI328" s="117"/>
    </row>
    <row r="329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</row>
    <row r="330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</row>
    <row r="33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</row>
    <row r="33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</row>
    <row r="333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  <c r="AH333" s="117"/>
      <c r="AI333" s="117"/>
    </row>
    <row r="334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117"/>
      <c r="AH334" s="117"/>
      <c r="AI334" s="117"/>
    </row>
    <row r="3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17"/>
      <c r="AH335" s="117"/>
      <c r="AI335" s="117"/>
    </row>
    <row r="33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7"/>
    </row>
    <row r="337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</row>
    <row r="338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17"/>
      <c r="AH338" s="117"/>
      <c r="AI338" s="117"/>
    </row>
    <row r="339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17"/>
      <c r="AH339" s="117"/>
      <c r="AI339" s="117"/>
    </row>
    <row r="340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17"/>
      <c r="AH340" s="117"/>
      <c r="AI340" s="117"/>
    </row>
    <row r="34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117"/>
      <c r="AH341" s="117"/>
      <c r="AI341" s="117"/>
    </row>
    <row r="34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7"/>
    </row>
    <row r="343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  <c r="AH343" s="117"/>
      <c r="AI343" s="117"/>
    </row>
    <row r="344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7"/>
    </row>
    <row r="34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117"/>
      <c r="AH345" s="117"/>
      <c r="AI345" s="117"/>
    </row>
    <row r="34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</row>
    <row r="347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17"/>
      <c r="AH347" s="117"/>
      <c r="AI347" s="117"/>
    </row>
    <row r="348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117"/>
      <c r="AH348" s="117"/>
      <c r="AI348" s="117"/>
    </row>
    <row r="349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117"/>
      <c r="AH349" s="117"/>
      <c r="AI349" s="117"/>
    </row>
    <row r="350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117"/>
      <c r="AH350" s="117"/>
      <c r="AI350" s="117"/>
    </row>
    <row r="35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7"/>
    </row>
    <row r="35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7"/>
    </row>
    <row r="353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117"/>
      <c r="AH353" s="117"/>
      <c r="AI353" s="117"/>
    </row>
    <row r="354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  <c r="AH354" s="117"/>
      <c r="AI354" s="117"/>
    </row>
    <row r="35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</row>
    <row r="35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7"/>
    </row>
    <row r="357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117"/>
      <c r="AH357" s="117"/>
      <c r="AI357" s="117"/>
    </row>
    <row r="358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117"/>
      <c r="AH358" s="117"/>
      <c r="AI358" s="117"/>
    </row>
    <row r="359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117"/>
      <c r="AH359" s="117"/>
      <c r="AI359" s="117"/>
    </row>
    <row r="360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7"/>
    </row>
    <row r="36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  <c r="AG361" s="117"/>
      <c r="AH361" s="117"/>
      <c r="AI361" s="117"/>
    </row>
    <row r="36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117"/>
      <c r="AH362" s="117"/>
      <c r="AI362" s="117"/>
    </row>
    <row r="363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</row>
    <row r="364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7"/>
    </row>
    <row r="36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  <c r="AG365" s="117"/>
      <c r="AH365" s="117"/>
      <c r="AI365" s="117"/>
    </row>
    <row r="36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117"/>
      <c r="AH366" s="117"/>
      <c r="AI366" s="117"/>
    </row>
    <row r="367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117"/>
      <c r="AH367" s="117"/>
      <c r="AI367" s="117"/>
    </row>
    <row r="368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7"/>
    </row>
    <row r="369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  <c r="AG369" s="117"/>
      <c r="AH369" s="117"/>
      <c r="AI369" s="117"/>
    </row>
    <row r="370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  <c r="AG370" s="117"/>
      <c r="AH370" s="117"/>
      <c r="AI370" s="117"/>
    </row>
    <row r="37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  <c r="AG371" s="117"/>
      <c r="AH371" s="117"/>
      <c r="AI371" s="117"/>
    </row>
    <row r="37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  <c r="AG372" s="117"/>
      <c r="AH372" s="117"/>
      <c r="AI372" s="117"/>
    </row>
    <row r="373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  <c r="AG373" s="117"/>
      <c r="AH373" s="117"/>
      <c r="AI373" s="117"/>
    </row>
    <row r="374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  <c r="AG374" s="117"/>
      <c r="AH374" s="117"/>
      <c r="AI374" s="117"/>
    </row>
    <row r="37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  <c r="AG375" s="117"/>
      <c r="AH375" s="117"/>
      <c r="AI375" s="117"/>
    </row>
    <row r="37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  <c r="AG376" s="117"/>
      <c r="AH376" s="117"/>
      <c r="AI376" s="117"/>
    </row>
    <row r="377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117"/>
      <c r="AH377" s="117"/>
      <c r="AI377" s="117"/>
    </row>
    <row r="378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  <c r="AH378" s="117"/>
      <c r="AI378" s="117"/>
    </row>
    <row r="379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117"/>
      <c r="AH379" s="117"/>
      <c r="AI379" s="117"/>
    </row>
    <row r="380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7"/>
    </row>
    <row r="38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  <c r="AG381" s="117"/>
      <c r="AH381" s="117"/>
      <c r="AI381" s="117"/>
    </row>
    <row r="38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  <c r="AG382" s="117"/>
      <c r="AH382" s="117"/>
      <c r="AI382" s="117"/>
    </row>
    <row r="383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  <c r="AG383" s="117"/>
      <c r="AH383" s="117"/>
      <c r="AI383" s="117"/>
    </row>
    <row r="384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  <c r="AG384" s="117"/>
      <c r="AH384" s="117"/>
      <c r="AI384" s="117"/>
    </row>
    <row r="38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  <c r="AG385" s="117"/>
      <c r="AH385" s="117"/>
      <c r="AI385" s="117"/>
    </row>
    <row r="38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  <c r="AG386" s="117"/>
      <c r="AH386" s="117"/>
      <c r="AI386" s="117"/>
    </row>
    <row r="387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  <c r="AG387" s="117"/>
      <c r="AH387" s="117"/>
      <c r="AI387" s="117"/>
    </row>
    <row r="388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7"/>
    </row>
    <row r="389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</row>
    <row r="390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  <c r="AG390" s="117"/>
      <c r="AH390" s="117"/>
      <c r="AI390" s="117"/>
    </row>
    <row r="39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  <c r="AG391" s="117"/>
      <c r="AH391" s="117"/>
      <c r="AI391" s="117"/>
    </row>
    <row r="39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  <c r="AG392" s="117"/>
      <c r="AH392" s="117"/>
      <c r="AI392" s="117"/>
    </row>
    <row r="393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  <c r="AG393" s="117"/>
      <c r="AH393" s="117"/>
      <c r="AI393" s="117"/>
    </row>
    <row r="394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7"/>
    </row>
    <row r="39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  <c r="AG395" s="117"/>
      <c r="AH395" s="117"/>
      <c r="AI395" s="117"/>
    </row>
    <row r="39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  <c r="AG396" s="117"/>
      <c r="AH396" s="117"/>
      <c r="AI396" s="117"/>
    </row>
    <row r="397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117"/>
      <c r="AH397" s="117"/>
      <c r="AI397" s="117"/>
    </row>
    <row r="398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  <c r="AG398" s="117"/>
      <c r="AH398" s="117"/>
      <c r="AI398" s="117"/>
    </row>
    <row r="399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  <c r="AG399" s="117"/>
      <c r="AH399" s="117"/>
      <c r="AI399" s="117"/>
    </row>
    <row r="400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7"/>
    </row>
    <row r="40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  <c r="AH401" s="117"/>
      <c r="AI401" s="117"/>
    </row>
    <row r="40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7"/>
    </row>
    <row r="403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  <c r="AG403" s="117"/>
      <c r="AH403" s="117"/>
      <c r="AI403" s="117"/>
    </row>
    <row r="404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  <c r="AG404" s="117"/>
      <c r="AH404" s="117"/>
      <c r="AI404" s="117"/>
    </row>
    <row r="40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  <c r="AG405" s="117"/>
      <c r="AH405" s="117"/>
      <c r="AI405" s="117"/>
    </row>
    <row r="40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  <c r="AG406" s="117"/>
      <c r="AH406" s="117"/>
      <c r="AI406" s="117"/>
    </row>
    <row r="407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  <c r="AG407" s="117"/>
      <c r="AH407" s="117"/>
      <c r="AI407" s="117"/>
    </row>
    <row r="408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7"/>
    </row>
    <row r="409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  <c r="AA409" s="117"/>
      <c r="AB409" s="117"/>
      <c r="AC409" s="117"/>
      <c r="AD409" s="117"/>
      <c r="AE409" s="117"/>
      <c r="AF409" s="117"/>
      <c r="AG409" s="117"/>
      <c r="AH409" s="117"/>
      <c r="AI409" s="117"/>
    </row>
    <row r="410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  <c r="AA410" s="117"/>
      <c r="AB410" s="117"/>
      <c r="AC410" s="117"/>
      <c r="AD410" s="117"/>
      <c r="AE410" s="117"/>
      <c r="AF410" s="117"/>
      <c r="AG410" s="117"/>
      <c r="AH410" s="117"/>
      <c r="AI410" s="117"/>
    </row>
    <row r="41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  <c r="AA411" s="117"/>
      <c r="AB411" s="117"/>
      <c r="AC411" s="117"/>
      <c r="AD411" s="117"/>
      <c r="AE411" s="117"/>
      <c r="AF411" s="117"/>
      <c r="AG411" s="117"/>
      <c r="AH411" s="117"/>
      <c r="AI411" s="117"/>
    </row>
    <row r="41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  <c r="AG412" s="117"/>
      <c r="AH412" s="117"/>
      <c r="AI412" s="117"/>
    </row>
    <row r="413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  <c r="AG413" s="117"/>
      <c r="AH413" s="117"/>
      <c r="AI413" s="117"/>
    </row>
    <row r="414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  <c r="AG414" s="117"/>
      <c r="AH414" s="117"/>
      <c r="AI414" s="117"/>
    </row>
    <row r="41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  <c r="AA415" s="117"/>
      <c r="AB415" s="117"/>
      <c r="AC415" s="117"/>
      <c r="AD415" s="117"/>
      <c r="AE415" s="117"/>
      <c r="AF415" s="117"/>
      <c r="AG415" s="117"/>
      <c r="AH415" s="117"/>
      <c r="AI415" s="117"/>
    </row>
    <row r="41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  <c r="AA416" s="117"/>
      <c r="AB416" s="117"/>
      <c r="AC416" s="117"/>
      <c r="AD416" s="117"/>
      <c r="AE416" s="117"/>
      <c r="AF416" s="117"/>
      <c r="AG416" s="117"/>
      <c r="AH416" s="117"/>
      <c r="AI416" s="117"/>
    </row>
    <row r="417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  <c r="AG417" s="117"/>
      <c r="AH417" s="117"/>
      <c r="AI417" s="117"/>
    </row>
    <row r="418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  <c r="AG418" s="117"/>
      <c r="AH418" s="117"/>
      <c r="AI418" s="117"/>
    </row>
    <row r="419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  <c r="AG419" s="117"/>
      <c r="AH419" s="117"/>
      <c r="AI419" s="117"/>
    </row>
    <row r="420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  <c r="AG420" s="117"/>
      <c r="AH420" s="117"/>
      <c r="AI420" s="117"/>
    </row>
    <row r="42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  <c r="AG421" s="117"/>
      <c r="AH421" s="117"/>
      <c r="AI421" s="117"/>
    </row>
    <row r="42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  <c r="AG422" s="117"/>
      <c r="AH422" s="117"/>
      <c r="AI422" s="117"/>
    </row>
    <row r="423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</row>
    <row r="424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  <c r="AG424" s="117"/>
      <c r="AH424" s="117"/>
      <c r="AI424" s="117"/>
    </row>
    <row r="42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  <c r="AA425" s="117"/>
      <c r="AB425" s="117"/>
      <c r="AC425" s="117"/>
      <c r="AD425" s="117"/>
      <c r="AE425" s="117"/>
      <c r="AF425" s="117"/>
      <c r="AG425" s="117"/>
      <c r="AH425" s="117"/>
      <c r="AI425" s="117"/>
    </row>
    <row r="4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  <c r="AG426" s="117"/>
      <c r="AH426" s="117"/>
      <c r="AI426" s="117"/>
    </row>
    <row r="427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  <c r="AG427" s="117"/>
      <c r="AH427" s="117"/>
      <c r="AI427" s="117"/>
    </row>
    <row r="428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117"/>
      <c r="AB428" s="117"/>
      <c r="AC428" s="117"/>
      <c r="AD428" s="117"/>
      <c r="AE428" s="117"/>
      <c r="AF428" s="117"/>
      <c r="AG428" s="117"/>
      <c r="AH428" s="117"/>
      <c r="AI428" s="117"/>
    </row>
    <row r="429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  <c r="AG429" s="117"/>
      <c r="AH429" s="117"/>
      <c r="AI429" s="117"/>
    </row>
    <row r="430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117"/>
      <c r="AB430" s="117"/>
      <c r="AC430" s="117"/>
      <c r="AD430" s="117"/>
      <c r="AE430" s="117"/>
      <c r="AF430" s="117"/>
      <c r="AG430" s="117"/>
      <c r="AH430" s="117"/>
      <c r="AI430" s="117"/>
    </row>
    <row r="43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  <c r="AG431" s="117"/>
      <c r="AH431" s="117"/>
      <c r="AI431" s="117"/>
    </row>
    <row r="43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117"/>
      <c r="AH432" s="117"/>
      <c r="AI432" s="117"/>
    </row>
    <row r="433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117"/>
      <c r="AH433" s="117"/>
      <c r="AI433" s="117"/>
    </row>
    <row r="434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  <c r="AG434" s="117"/>
      <c r="AH434" s="117"/>
      <c r="AI434" s="117"/>
    </row>
    <row r="4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  <c r="AG435" s="117"/>
      <c r="AH435" s="117"/>
      <c r="AI435" s="117"/>
    </row>
    <row r="43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  <c r="AG436" s="117"/>
      <c r="AH436" s="117"/>
      <c r="AI436" s="117"/>
    </row>
    <row r="437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  <c r="AG437" s="117"/>
      <c r="AH437" s="117"/>
      <c r="AI437" s="117"/>
    </row>
    <row r="438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  <c r="AG438" s="117"/>
      <c r="AH438" s="117"/>
      <c r="AI438" s="117"/>
    </row>
    <row r="439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/>
      <c r="AB439" s="117"/>
      <c r="AC439" s="117"/>
      <c r="AD439" s="117"/>
      <c r="AE439" s="117"/>
      <c r="AF439" s="117"/>
      <c r="AG439" s="117"/>
      <c r="AH439" s="117"/>
      <c r="AI439" s="117"/>
    </row>
    <row r="440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  <c r="AG440" s="117"/>
      <c r="AH440" s="117"/>
      <c r="AI440" s="117"/>
    </row>
    <row r="44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117"/>
      <c r="AB441" s="117"/>
      <c r="AC441" s="117"/>
      <c r="AD441" s="117"/>
      <c r="AE441" s="117"/>
      <c r="AF441" s="117"/>
      <c r="AG441" s="117"/>
      <c r="AH441" s="117"/>
      <c r="AI441" s="117"/>
    </row>
    <row r="44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  <c r="AG442" s="117"/>
      <c r="AH442" s="117"/>
      <c r="AI442" s="117"/>
    </row>
    <row r="443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117"/>
      <c r="AB443" s="117"/>
      <c r="AC443" s="117"/>
      <c r="AD443" s="117"/>
      <c r="AE443" s="117"/>
      <c r="AF443" s="117"/>
      <c r="AG443" s="117"/>
      <c r="AH443" s="117"/>
      <c r="AI443" s="117"/>
    </row>
    <row r="444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117"/>
      <c r="AB444" s="117"/>
      <c r="AC444" s="117"/>
      <c r="AD444" s="117"/>
      <c r="AE444" s="117"/>
      <c r="AF444" s="117"/>
      <c r="AG444" s="117"/>
      <c r="AH444" s="117"/>
      <c r="AI444" s="117"/>
    </row>
    <row r="44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117"/>
      <c r="AB445" s="117"/>
      <c r="AC445" s="117"/>
      <c r="AD445" s="117"/>
      <c r="AE445" s="117"/>
      <c r="AF445" s="117"/>
      <c r="AG445" s="117"/>
      <c r="AH445" s="117"/>
      <c r="AI445" s="117"/>
    </row>
    <row r="44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  <c r="AG446" s="117"/>
      <c r="AH446" s="117"/>
      <c r="AI446" s="117"/>
    </row>
    <row r="447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  <c r="AG447" s="117"/>
      <c r="AH447" s="117"/>
      <c r="AI447" s="117"/>
    </row>
    <row r="448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  <c r="AG448" s="117"/>
      <c r="AH448" s="117"/>
      <c r="AI448" s="117"/>
    </row>
    <row r="449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  <c r="AG449" s="117"/>
      <c r="AH449" s="117"/>
      <c r="AI449" s="117"/>
    </row>
    <row r="450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  <c r="AG450" s="117"/>
      <c r="AH450" s="117"/>
      <c r="AI450" s="117"/>
    </row>
    <row r="45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17"/>
      <c r="AH451" s="117"/>
      <c r="AI451" s="117"/>
    </row>
    <row r="45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  <c r="AG452" s="117"/>
      <c r="AH452" s="117"/>
      <c r="AI452" s="117"/>
    </row>
    <row r="453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  <c r="AG453" s="117"/>
      <c r="AH453" s="117"/>
      <c r="AI453" s="117"/>
    </row>
    <row r="454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  <c r="AG454" s="117"/>
      <c r="AH454" s="117"/>
      <c r="AI454" s="117"/>
    </row>
    <row r="45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  <c r="AG455" s="117"/>
      <c r="AH455" s="117"/>
      <c r="AI455" s="117"/>
    </row>
    <row r="45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  <c r="AG456" s="117"/>
      <c r="AH456" s="117"/>
      <c r="AI456" s="117"/>
    </row>
    <row r="457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  <c r="AG457" s="117"/>
      <c r="AH457" s="117"/>
      <c r="AI457" s="117"/>
    </row>
    <row r="458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/>
      <c r="AB458" s="117"/>
      <c r="AC458" s="117"/>
      <c r="AD458" s="117"/>
      <c r="AE458" s="117"/>
      <c r="AF458" s="117"/>
      <c r="AG458" s="117"/>
      <c r="AH458" s="117"/>
      <c r="AI458" s="117"/>
    </row>
    <row r="459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  <c r="AG459" s="117"/>
      <c r="AH459" s="117"/>
      <c r="AI459" s="117"/>
    </row>
    <row r="460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  <c r="AG460" s="117"/>
      <c r="AH460" s="117"/>
      <c r="AI460" s="117"/>
    </row>
    <row r="46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/>
      <c r="AB461" s="117"/>
      <c r="AC461" s="117"/>
      <c r="AD461" s="117"/>
      <c r="AE461" s="117"/>
      <c r="AF461" s="117"/>
      <c r="AG461" s="117"/>
      <c r="AH461" s="117"/>
      <c r="AI461" s="117"/>
    </row>
    <row r="46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  <c r="AA462" s="117"/>
      <c r="AB462" s="117"/>
      <c r="AC462" s="117"/>
      <c r="AD462" s="117"/>
      <c r="AE462" s="117"/>
      <c r="AF462" s="117"/>
      <c r="AG462" s="117"/>
      <c r="AH462" s="117"/>
      <c r="AI462" s="117"/>
    </row>
    <row r="463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  <c r="AG463" s="117"/>
      <c r="AH463" s="117"/>
      <c r="AI463" s="117"/>
    </row>
    <row r="464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  <c r="AG464" s="117"/>
      <c r="AH464" s="117"/>
      <c r="AI464" s="117"/>
    </row>
    <row r="46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  <c r="AG465" s="117"/>
      <c r="AH465" s="117"/>
      <c r="AI465" s="117"/>
    </row>
    <row r="46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  <c r="AG466" s="117"/>
      <c r="AH466" s="117"/>
      <c r="AI466" s="117"/>
    </row>
    <row r="467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117"/>
      <c r="AG467" s="117"/>
      <c r="AH467" s="117"/>
      <c r="AI467" s="117"/>
    </row>
    <row r="468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117"/>
      <c r="AH468" s="117"/>
      <c r="AI468" s="117"/>
    </row>
    <row r="469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  <c r="AG469" s="117"/>
      <c r="AH469" s="117"/>
      <c r="AI469" s="117"/>
    </row>
    <row r="470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117"/>
      <c r="AH470" s="117"/>
      <c r="AI470" s="117"/>
    </row>
    <row r="47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  <c r="AG471" s="117"/>
      <c r="AH471" s="117"/>
      <c r="AI471" s="117"/>
    </row>
    <row r="47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  <c r="AG472" s="117"/>
      <c r="AH472" s="117"/>
      <c r="AI472" s="117"/>
    </row>
    <row r="473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  <c r="AG473" s="117"/>
      <c r="AH473" s="117"/>
      <c r="AI473" s="117"/>
    </row>
    <row r="474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  <c r="AG474" s="117"/>
      <c r="AH474" s="117"/>
      <c r="AI474" s="117"/>
    </row>
    <row r="47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  <c r="AG475" s="117"/>
      <c r="AH475" s="117"/>
      <c r="AI475" s="117"/>
    </row>
    <row r="47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  <c r="AG476" s="117"/>
      <c r="AH476" s="117"/>
      <c r="AI476" s="117"/>
    </row>
    <row r="477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/>
      <c r="AB477" s="117"/>
      <c r="AC477" s="117"/>
      <c r="AD477" s="117"/>
      <c r="AE477" s="117"/>
      <c r="AF477" s="117"/>
      <c r="AG477" s="117"/>
      <c r="AH477" s="117"/>
      <c r="AI477" s="117"/>
    </row>
    <row r="478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  <c r="AG478" s="117"/>
      <c r="AH478" s="117"/>
      <c r="AI478" s="117"/>
    </row>
    <row r="479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  <c r="AG479" s="117"/>
      <c r="AH479" s="117"/>
      <c r="AI479" s="117"/>
    </row>
    <row r="480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  <c r="AG480" s="117"/>
      <c r="AH480" s="117"/>
      <c r="AI480" s="117"/>
    </row>
    <row r="48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  <c r="AA481" s="117"/>
      <c r="AB481" s="117"/>
      <c r="AC481" s="117"/>
      <c r="AD481" s="117"/>
      <c r="AE481" s="117"/>
      <c r="AF481" s="117"/>
      <c r="AG481" s="117"/>
      <c r="AH481" s="117"/>
      <c r="AI481" s="117"/>
    </row>
    <row r="48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  <c r="AG482" s="117"/>
      <c r="AH482" s="117"/>
      <c r="AI482" s="117"/>
    </row>
    <row r="483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  <c r="AG483" s="117"/>
      <c r="AH483" s="117"/>
      <c r="AI483" s="117"/>
    </row>
    <row r="484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  <c r="AG484" s="117"/>
      <c r="AH484" s="117"/>
      <c r="AI484" s="117"/>
    </row>
    <row r="48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117"/>
      <c r="AH485" s="117"/>
      <c r="AI485" s="117"/>
    </row>
    <row r="48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  <c r="AG486" s="117"/>
      <c r="AH486" s="117"/>
      <c r="AI486" s="117"/>
    </row>
    <row r="487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  <c r="AG487" s="117"/>
      <c r="AH487" s="117"/>
      <c r="AI487" s="117"/>
    </row>
    <row r="488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  <c r="AG488" s="117"/>
      <c r="AH488" s="117"/>
      <c r="AI488" s="117"/>
    </row>
    <row r="489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  <c r="AG489" s="117"/>
      <c r="AH489" s="117"/>
      <c r="AI489" s="117"/>
    </row>
    <row r="490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  <c r="AG490" s="117"/>
      <c r="AH490" s="117"/>
      <c r="AI490" s="117"/>
    </row>
    <row r="49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  <c r="AA491" s="117"/>
      <c r="AB491" s="117"/>
      <c r="AC491" s="117"/>
      <c r="AD491" s="117"/>
      <c r="AE491" s="117"/>
      <c r="AF491" s="117"/>
      <c r="AG491" s="117"/>
      <c r="AH491" s="117"/>
      <c r="AI491" s="117"/>
    </row>
    <row r="49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  <c r="AA492" s="117"/>
      <c r="AB492" s="117"/>
      <c r="AC492" s="117"/>
      <c r="AD492" s="117"/>
      <c r="AE492" s="117"/>
      <c r="AF492" s="117"/>
      <c r="AG492" s="117"/>
      <c r="AH492" s="117"/>
      <c r="AI492" s="117"/>
    </row>
    <row r="493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  <c r="AA493" s="117"/>
      <c r="AB493" s="117"/>
      <c r="AC493" s="117"/>
      <c r="AD493" s="117"/>
      <c r="AE493" s="117"/>
      <c r="AF493" s="117"/>
      <c r="AG493" s="117"/>
      <c r="AH493" s="117"/>
      <c r="AI493" s="117"/>
    </row>
    <row r="494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  <c r="AA494" s="117"/>
      <c r="AB494" s="117"/>
      <c r="AC494" s="117"/>
      <c r="AD494" s="117"/>
      <c r="AE494" s="117"/>
      <c r="AF494" s="117"/>
      <c r="AG494" s="117"/>
      <c r="AH494" s="117"/>
      <c r="AI494" s="117"/>
    </row>
    <row r="49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  <c r="AG495" s="117"/>
      <c r="AH495" s="117"/>
      <c r="AI495" s="117"/>
    </row>
    <row r="49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  <c r="AA496" s="117"/>
      <c r="AB496" s="117"/>
      <c r="AC496" s="117"/>
      <c r="AD496" s="117"/>
      <c r="AE496" s="117"/>
      <c r="AF496" s="117"/>
      <c r="AG496" s="117"/>
      <c r="AH496" s="117"/>
      <c r="AI496" s="117"/>
    </row>
    <row r="497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  <c r="AG497" s="117"/>
      <c r="AH497" s="117"/>
      <c r="AI497" s="117"/>
    </row>
    <row r="498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  <c r="AA498" s="117"/>
      <c r="AB498" s="117"/>
      <c r="AC498" s="117"/>
      <c r="AD498" s="117"/>
      <c r="AE498" s="117"/>
      <c r="AF498" s="117"/>
      <c r="AG498" s="117"/>
      <c r="AH498" s="117"/>
      <c r="AI498" s="117"/>
    </row>
    <row r="499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  <c r="AG499" s="117"/>
      <c r="AH499" s="117"/>
      <c r="AI499" s="117"/>
    </row>
    <row r="500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  <c r="AA500" s="117"/>
      <c r="AB500" s="117"/>
      <c r="AC500" s="117"/>
      <c r="AD500" s="117"/>
      <c r="AE500" s="117"/>
      <c r="AF500" s="117"/>
      <c r="AG500" s="117"/>
      <c r="AH500" s="117"/>
      <c r="AI500" s="117"/>
    </row>
    <row r="50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  <c r="AA501" s="117"/>
      <c r="AB501" s="117"/>
      <c r="AC501" s="117"/>
      <c r="AD501" s="117"/>
      <c r="AE501" s="117"/>
      <c r="AF501" s="117"/>
      <c r="AG501" s="117"/>
      <c r="AH501" s="117"/>
      <c r="AI501" s="117"/>
    </row>
    <row r="50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117"/>
      <c r="AH502" s="117"/>
      <c r="AI502" s="117"/>
    </row>
    <row r="503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  <c r="AG503" s="117"/>
      <c r="AH503" s="117"/>
      <c r="AI503" s="117"/>
    </row>
    <row r="504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  <c r="AA504" s="117"/>
      <c r="AB504" s="117"/>
      <c r="AC504" s="117"/>
      <c r="AD504" s="117"/>
      <c r="AE504" s="117"/>
      <c r="AF504" s="117"/>
      <c r="AG504" s="117"/>
      <c r="AH504" s="117"/>
      <c r="AI504" s="117"/>
    </row>
    <row r="50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  <c r="AA505" s="117"/>
      <c r="AB505" s="117"/>
      <c r="AC505" s="117"/>
      <c r="AD505" s="117"/>
      <c r="AE505" s="117"/>
      <c r="AF505" s="117"/>
      <c r="AG505" s="117"/>
      <c r="AH505" s="117"/>
      <c r="AI505" s="117"/>
    </row>
    <row r="50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  <c r="AA506" s="117"/>
      <c r="AB506" s="117"/>
      <c r="AC506" s="117"/>
      <c r="AD506" s="117"/>
      <c r="AE506" s="117"/>
      <c r="AF506" s="117"/>
      <c r="AG506" s="117"/>
      <c r="AH506" s="117"/>
      <c r="AI506" s="117"/>
    </row>
    <row r="507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  <c r="AA507" s="117"/>
      <c r="AB507" s="117"/>
      <c r="AC507" s="117"/>
      <c r="AD507" s="117"/>
      <c r="AE507" s="117"/>
      <c r="AF507" s="117"/>
      <c r="AG507" s="117"/>
      <c r="AH507" s="117"/>
      <c r="AI507" s="117"/>
    </row>
    <row r="508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  <c r="AA508" s="117"/>
      <c r="AB508" s="117"/>
      <c r="AC508" s="117"/>
      <c r="AD508" s="117"/>
      <c r="AE508" s="117"/>
      <c r="AF508" s="117"/>
      <c r="AG508" s="117"/>
      <c r="AH508" s="117"/>
      <c r="AI508" s="117"/>
    </row>
    <row r="509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  <c r="AA509" s="117"/>
      <c r="AB509" s="117"/>
      <c r="AC509" s="117"/>
      <c r="AD509" s="117"/>
      <c r="AE509" s="117"/>
      <c r="AF509" s="117"/>
      <c r="AG509" s="117"/>
      <c r="AH509" s="117"/>
      <c r="AI509" s="117"/>
    </row>
    <row r="510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  <c r="AA510" s="117"/>
      <c r="AB510" s="117"/>
      <c r="AC510" s="117"/>
      <c r="AD510" s="117"/>
      <c r="AE510" s="117"/>
      <c r="AF510" s="117"/>
      <c r="AG510" s="117"/>
      <c r="AH510" s="117"/>
      <c r="AI510" s="117"/>
    </row>
    <row r="51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  <c r="AA511" s="117"/>
      <c r="AB511" s="117"/>
      <c r="AC511" s="117"/>
      <c r="AD511" s="117"/>
      <c r="AE511" s="117"/>
      <c r="AF511" s="117"/>
      <c r="AG511" s="117"/>
      <c r="AH511" s="117"/>
      <c r="AI511" s="117"/>
    </row>
    <row r="51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  <c r="AG512" s="117"/>
      <c r="AH512" s="117"/>
      <c r="AI512" s="117"/>
    </row>
    <row r="513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  <c r="AA513" s="117"/>
      <c r="AB513" s="117"/>
      <c r="AC513" s="117"/>
      <c r="AD513" s="117"/>
      <c r="AE513" s="117"/>
      <c r="AF513" s="117"/>
      <c r="AG513" s="117"/>
      <c r="AH513" s="117"/>
      <c r="AI513" s="117"/>
    </row>
    <row r="514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  <c r="AA514" s="117"/>
      <c r="AB514" s="117"/>
      <c r="AC514" s="117"/>
      <c r="AD514" s="117"/>
      <c r="AE514" s="117"/>
      <c r="AF514" s="117"/>
      <c r="AG514" s="117"/>
      <c r="AH514" s="117"/>
      <c r="AI514" s="117"/>
    </row>
    <row r="51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  <c r="AA515" s="117"/>
      <c r="AB515" s="117"/>
      <c r="AC515" s="117"/>
      <c r="AD515" s="117"/>
      <c r="AE515" s="117"/>
      <c r="AF515" s="117"/>
      <c r="AG515" s="117"/>
      <c r="AH515" s="117"/>
      <c r="AI515" s="117"/>
    </row>
    <row r="51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  <c r="AG516" s="117"/>
      <c r="AH516" s="117"/>
      <c r="AI516" s="117"/>
    </row>
    <row r="517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117"/>
      <c r="AF517" s="117"/>
      <c r="AG517" s="117"/>
      <c r="AH517" s="117"/>
      <c r="AI517" s="117"/>
    </row>
    <row r="518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  <c r="AE518" s="117"/>
      <c r="AF518" s="117"/>
      <c r="AG518" s="117"/>
      <c r="AH518" s="117"/>
      <c r="AI518" s="117"/>
    </row>
    <row r="519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  <c r="AG519" s="117"/>
      <c r="AH519" s="117"/>
      <c r="AI519" s="117"/>
    </row>
    <row r="520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117"/>
      <c r="AG520" s="117"/>
      <c r="AH520" s="117"/>
      <c r="AI520" s="117"/>
    </row>
    <row r="52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  <c r="AG521" s="117"/>
      <c r="AH521" s="117"/>
      <c r="AI521" s="117"/>
    </row>
    <row r="52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117"/>
      <c r="AG522" s="117"/>
      <c r="AH522" s="117"/>
      <c r="AI522" s="117"/>
    </row>
    <row r="523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117"/>
      <c r="AG523" s="117"/>
      <c r="AH523" s="117"/>
      <c r="AI523" s="117"/>
    </row>
    <row r="524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117"/>
      <c r="AG524" s="117"/>
      <c r="AH524" s="117"/>
      <c r="AI524" s="117"/>
    </row>
    <row r="52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117"/>
      <c r="AG525" s="117"/>
      <c r="AH525" s="117"/>
      <c r="AI525" s="117"/>
    </row>
    <row r="5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117"/>
      <c r="AG526" s="117"/>
      <c r="AH526" s="117"/>
      <c r="AI526" s="117"/>
    </row>
    <row r="527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  <c r="AA527" s="117"/>
      <c r="AB527" s="117"/>
      <c r="AC527" s="117"/>
      <c r="AD527" s="117"/>
      <c r="AE527" s="117"/>
      <c r="AF527" s="117"/>
      <c r="AG527" s="117"/>
      <c r="AH527" s="117"/>
      <c r="AI527" s="117"/>
    </row>
    <row r="528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  <c r="AA528" s="117"/>
      <c r="AB528" s="117"/>
      <c r="AC528" s="117"/>
      <c r="AD528" s="117"/>
      <c r="AE528" s="117"/>
      <c r="AF528" s="117"/>
      <c r="AG528" s="117"/>
      <c r="AH528" s="117"/>
      <c r="AI528" s="117"/>
    </row>
    <row r="529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  <c r="AA529" s="117"/>
      <c r="AB529" s="117"/>
      <c r="AC529" s="117"/>
      <c r="AD529" s="117"/>
      <c r="AE529" s="117"/>
      <c r="AF529" s="117"/>
      <c r="AG529" s="117"/>
      <c r="AH529" s="117"/>
      <c r="AI529" s="117"/>
    </row>
    <row r="530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  <c r="AA530" s="117"/>
      <c r="AB530" s="117"/>
      <c r="AC530" s="117"/>
      <c r="AD530" s="117"/>
      <c r="AE530" s="117"/>
      <c r="AF530" s="117"/>
      <c r="AG530" s="117"/>
      <c r="AH530" s="117"/>
      <c r="AI530" s="117"/>
    </row>
    <row r="53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  <c r="AA531" s="117"/>
      <c r="AB531" s="117"/>
      <c r="AC531" s="117"/>
      <c r="AD531" s="117"/>
      <c r="AE531" s="117"/>
      <c r="AF531" s="117"/>
      <c r="AG531" s="117"/>
      <c r="AH531" s="117"/>
      <c r="AI531" s="117"/>
    </row>
    <row r="53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  <c r="AA532" s="117"/>
      <c r="AB532" s="117"/>
      <c r="AC532" s="117"/>
      <c r="AD532" s="117"/>
      <c r="AE532" s="117"/>
      <c r="AF532" s="117"/>
      <c r="AG532" s="117"/>
      <c r="AH532" s="117"/>
      <c r="AI532" s="117"/>
    </row>
    <row r="533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  <c r="AG533" s="117"/>
      <c r="AH533" s="117"/>
      <c r="AI533" s="117"/>
    </row>
    <row r="534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  <c r="AA534" s="117"/>
      <c r="AB534" s="117"/>
      <c r="AC534" s="117"/>
      <c r="AD534" s="117"/>
      <c r="AE534" s="117"/>
      <c r="AF534" s="117"/>
      <c r="AG534" s="117"/>
      <c r="AH534" s="117"/>
      <c r="AI534" s="117"/>
    </row>
    <row r="5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  <c r="AA535" s="117"/>
      <c r="AB535" s="117"/>
      <c r="AC535" s="117"/>
      <c r="AD535" s="117"/>
      <c r="AE535" s="117"/>
      <c r="AF535" s="117"/>
      <c r="AG535" s="117"/>
      <c r="AH535" s="117"/>
      <c r="AI535" s="117"/>
    </row>
    <row r="53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117"/>
      <c r="AH536" s="117"/>
      <c r="AI536" s="117"/>
    </row>
    <row r="537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  <c r="AA537" s="117"/>
      <c r="AB537" s="117"/>
      <c r="AC537" s="117"/>
      <c r="AD537" s="117"/>
      <c r="AE537" s="117"/>
      <c r="AF537" s="117"/>
      <c r="AG537" s="117"/>
      <c r="AH537" s="117"/>
      <c r="AI537" s="117"/>
    </row>
  </sheetData>
  <mergeCells count="39">
    <mergeCell ref="G4:H4"/>
    <mergeCell ref="I4:J4"/>
    <mergeCell ref="K4:L4"/>
    <mergeCell ref="M4:N4"/>
    <mergeCell ref="O4:P4"/>
    <mergeCell ref="Q4:S4"/>
    <mergeCell ref="B4:C4"/>
    <mergeCell ref="B5:C6"/>
    <mergeCell ref="D5:E6"/>
    <mergeCell ref="F5:F6"/>
    <mergeCell ref="G5:H6"/>
    <mergeCell ref="I5:J6"/>
    <mergeCell ref="K5:L6"/>
    <mergeCell ref="M5:N6"/>
    <mergeCell ref="B8:E9"/>
    <mergeCell ref="F8:I9"/>
    <mergeCell ref="B1:K1"/>
    <mergeCell ref="L1:W1"/>
    <mergeCell ref="B2:K3"/>
    <mergeCell ref="L2:W3"/>
    <mergeCell ref="T4:W4"/>
    <mergeCell ref="T5:W6"/>
    <mergeCell ref="Q8:W9"/>
    <mergeCell ref="O5:P6"/>
    <mergeCell ref="Q5:S6"/>
    <mergeCell ref="D4:E4"/>
    <mergeCell ref="B7:E7"/>
    <mergeCell ref="C16:F16"/>
    <mergeCell ref="F7:I7"/>
    <mergeCell ref="J7:M7"/>
    <mergeCell ref="N7:P7"/>
    <mergeCell ref="Q7:W7"/>
    <mergeCell ref="J8:M9"/>
    <mergeCell ref="N8:P9"/>
    <mergeCell ref="A1:A18"/>
    <mergeCell ref="B10:B18"/>
    <mergeCell ref="C10:W10"/>
    <mergeCell ref="C13:W13"/>
    <mergeCell ref="A19:W19"/>
  </mergeCells>
  <conditionalFormatting sqref="B2:K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B2">
      <formula1>Pit!$A$2:$A$40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31.25"/>
    <col customWidth="1" min="9" max="9" width="41.5"/>
    <col customWidth="1" min="10" max="12" width="19.38"/>
    <col customWidth="1" min="13" max="13" width="17.38"/>
    <col customWidth="1" min="14" max="15" width="12.25"/>
    <col customWidth="1" min="16" max="16" width="29.13"/>
    <col customWidth="1" min="17" max="17" width="38.75"/>
  </cols>
  <sheetData>
    <row r="1">
      <c r="A1" s="174" t="s">
        <v>480</v>
      </c>
      <c r="B1" s="175" t="s">
        <v>440</v>
      </c>
      <c r="C1" s="176" t="s">
        <v>511</v>
      </c>
      <c r="D1" s="176" t="s">
        <v>512</v>
      </c>
      <c r="E1" s="176" t="s">
        <v>513</v>
      </c>
      <c r="F1" s="176" t="s">
        <v>514</v>
      </c>
      <c r="G1" s="176" t="s">
        <v>515</v>
      </c>
      <c r="H1" s="175" t="s">
        <v>446</v>
      </c>
      <c r="I1" s="175" t="s">
        <v>516</v>
      </c>
      <c r="J1" s="176" t="s">
        <v>517</v>
      </c>
      <c r="K1" s="176" t="s">
        <v>518</v>
      </c>
      <c r="L1" s="176" t="s">
        <v>519</v>
      </c>
      <c r="M1" s="176" t="s">
        <v>520</v>
      </c>
      <c r="N1" s="176" t="s">
        <v>441</v>
      </c>
      <c r="O1" s="176" t="s">
        <v>442</v>
      </c>
      <c r="P1" s="176" t="s">
        <v>449</v>
      </c>
      <c r="Q1" s="175" t="s">
        <v>450</v>
      </c>
    </row>
    <row r="2">
      <c r="A2" s="177">
        <v>107.0</v>
      </c>
      <c r="B2" s="177" t="s">
        <v>119</v>
      </c>
      <c r="C2" s="178"/>
      <c r="D2" s="178"/>
      <c r="E2" s="178" t="b">
        <v>0</v>
      </c>
      <c r="F2" s="178" t="b">
        <v>0</v>
      </c>
      <c r="G2" s="178" t="b">
        <v>0</v>
      </c>
      <c r="H2" s="178"/>
      <c r="I2" s="178"/>
      <c r="J2" s="178" t="b">
        <v>0</v>
      </c>
      <c r="K2" s="178" t="b">
        <v>0</v>
      </c>
      <c r="L2" s="178" t="b">
        <v>0</v>
      </c>
      <c r="M2" s="178"/>
      <c r="N2" s="178" t="b">
        <v>0</v>
      </c>
      <c r="O2" s="178" t="b">
        <v>0</v>
      </c>
      <c r="P2" s="178"/>
      <c r="Q2" s="178"/>
    </row>
    <row r="3">
      <c r="A3" s="177">
        <v>815.0</v>
      </c>
      <c r="B3" s="177" t="s">
        <v>122</v>
      </c>
      <c r="C3" s="178"/>
      <c r="D3" s="178"/>
      <c r="E3" s="178" t="b">
        <v>0</v>
      </c>
      <c r="F3" s="178" t="b">
        <v>0</v>
      </c>
      <c r="G3" s="178" t="b">
        <v>0</v>
      </c>
      <c r="H3" s="178"/>
      <c r="I3" s="178"/>
      <c r="J3" s="178" t="b">
        <v>0</v>
      </c>
      <c r="K3" s="178" t="b">
        <v>0</v>
      </c>
      <c r="L3" s="178" t="b">
        <v>0</v>
      </c>
      <c r="M3" s="178"/>
      <c r="N3" s="178" t="b">
        <v>0</v>
      </c>
      <c r="O3" s="178" t="b">
        <v>0</v>
      </c>
      <c r="P3" s="178"/>
      <c r="Q3" s="178"/>
    </row>
    <row r="4">
      <c r="A4" s="177">
        <v>862.0</v>
      </c>
      <c r="B4" s="177" t="s">
        <v>118</v>
      </c>
      <c r="C4" s="178"/>
      <c r="D4" s="178"/>
      <c r="E4" s="178" t="b">
        <v>0</v>
      </c>
      <c r="F4" s="178" t="b">
        <v>0</v>
      </c>
      <c r="G4" s="178" t="b">
        <v>0</v>
      </c>
      <c r="H4" s="178"/>
      <c r="I4" s="178"/>
      <c r="J4" s="178" t="b">
        <v>0</v>
      </c>
      <c r="K4" s="178" t="b">
        <v>0</v>
      </c>
      <c r="L4" s="178" t="b">
        <v>0</v>
      </c>
      <c r="M4" s="178"/>
      <c r="N4" s="178" t="b">
        <v>0</v>
      </c>
      <c r="O4" s="178" t="b">
        <v>0</v>
      </c>
      <c r="P4" s="178"/>
      <c r="Q4" s="178"/>
    </row>
    <row r="5">
      <c r="A5" s="177">
        <v>904.0</v>
      </c>
      <c r="B5" s="177" t="s">
        <v>138</v>
      </c>
      <c r="C5" s="178"/>
      <c r="D5" s="178"/>
      <c r="E5" s="178" t="b">
        <v>0</v>
      </c>
      <c r="F5" s="178" t="b">
        <v>0</v>
      </c>
      <c r="G5" s="178" t="b">
        <v>0</v>
      </c>
      <c r="H5" s="178"/>
      <c r="I5" s="178"/>
      <c r="J5" s="178" t="b">
        <v>0</v>
      </c>
      <c r="K5" s="178" t="b">
        <v>0</v>
      </c>
      <c r="L5" s="178" t="b">
        <v>0</v>
      </c>
      <c r="M5" s="178"/>
      <c r="N5" s="178" t="b">
        <v>0</v>
      </c>
      <c r="O5" s="178" t="b">
        <v>0</v>
      </c>
      <c r="P5" s="178"/>
      <c r="Q5" s="178"/>
    </row>
    <row r="6">
      <c r="A6" s="177">
        <v>1076.0</v>
      </c>
      <c r="B6" s="177" t="s">
        <v>140</v>
      </c>
      <c r="C6" s="178"/>
      <c r="D6" s="178"/>
      <c r="E6" s="178" t="b">
        <v>0</v>
      </c>
      <c r="F6" s="178" t="b">
        <v>0</v>
      </c>
      <c r="G6" s="178" t="b">
        <v>0</v>
      </c>
      <c r="H6" s="178"/>
      <c r="I6" s="178"/>
      <c r="J6" s="178" t="b">
        <v>0</v>
      </c>
      <c r="K6" s="178" t="b">
        <v>0</v>
      </c>
      <c r="L6" s="178" t="b">
        <v>0</v>
      </c>
      <c r="M6" s="178"/>
      <c r="N6" s="178" t="b">
        <v>0</v>
      </c>
      <c r="O6" s="178" t="b">
        <v>0</v>
      </c>
      <c r="P6" s="178"/>
      <c r="Q6" s="179"/>
    </row>
    <row r="7">
      <c r="A7" s="177">
        <v>1502.0</v>
      </c>
      <c r="B7" s="177" t="s">
        <v>141</v>
      </c>
      <c r="C7" s="178"/>
      <c r="D7" s="178"/>
      <c r="E7" s="178" t="b">
        <v>0</v>
      </c>
      <c r="F7" s="178" t="b">
        <v>0</v>
      </c>
      <c r="G7" s="178" t="b">
        <v>0</v>
      </c>
      <c r="H7" s="178"/>
      <c r="I7" s="178"/>
      <c r="J7" s="178" t="b">
        <v>0</v>
      </c>
      <c r="K7" s="178" t="b">
        <v>0</v>
      </c>
      <c r="L7" s="178" t="b">
        <v>0</v>
      </c>
      <c r="M7" s="178"/>
      <c r="N7" s="178" t="b">
        <v>0</v>
      </c>
      <c r="O7" s="178" t="b">
        <v>0</v>
      </c>
      <c r="P7" s="178"/>
      <c r="Q7" s="178"/>
    </row>
    <row r="8">
      <c r="A8" s="177">
        <v>1504.0</v>
      </c>
      <c r="B8" s="177" t="s">
        <v>124</v>
      </c>
      <c r="C8" s="178"/>
      <c r="D8" s="178"/>
      <c r="E8" s="178" t="b">
        <v>0</v>
      </c>
      <c r="F8" s="178" t="b">
        <v>0</v>
      </c>
      <c r="G8" s="178" t="b">
        <v>0</v>
      </c>
      <c r="H8" s="178"/>
      <c r="I8" s="178"/>
      <c r="J8" s="178" t="b">
        <v>0</v>
      </c>
      <c r="K8" s="178" t="b">
        <v>0</v>
      </c>
      <c r="L8" s="178" t="b">
        <v>0</v>
      </c>
      <c r="M8" s="178"/>
      <c r="N8" s="178" t="b">
        <v>0</v>
      </c>
      <c r="O8" s="178" t="b">
        <v>0</v>
      </c>
      <c r="P8" s="178"/>
      <c r="Q8" s="179"/>
    </row>
    <row r="9">
      <c r="A9" s="177">
        <v>3322.0</v>
      </c>
      <c r="B9" s="177" t="s">
        <v>126</v>
      </c>
      <c r="C9" s="178"/>
      <c r="D9" s="178"/>
      <c r="E9" s="178" t="b">
        <v>1</v>
      </c>
      <c r="F9" s="178" t="b">
        <v>1</v>
      </c>
      <c r="G9" s="178" t="b">
        <v>1</v>
      </c>
      <c r="H9" s="178" t="s">
        <v>521</v>
      </c>
      <c r="I9" s="179"/>
      <c r="J9" s="178" t="b">
        <v>0</v>
      </c>
      <c r="K9" s="178" t="b">
        <v>0</v>
      </c>
      <c r="L9" s="178" t="b">
        <v>0</v>
      </c>
      <c r="M9" s="178"/>
      <c r="N9" s="178" t="b">
        <v>1</v>
      </c>
      <c r="O9" s="178" t="b">
        <v>1</v>
      </c>
      <c r="P9" s="178"/>
      <c r="Q9" s="179"/>
    </row>
    <row r="10">
      <c r="A10" s="177">
        <v>3568.0</v>
      </c>
      <c r="B10" s="177" t="s">
        <v>130</v>
      </c>
      <c r="C10" s="178"/>
      <c r="D10" s="178"/>
      <c r="E10" s="178" t="b">
        <v>0</v>
      </c>
      <c r="F10" s="178" t="b">
        <v>0</v>
      </c>
      <c r="G10" s="178" t="b">
        <v>0</v>
      </c>
      <c r="H10" s="178"/>
      <c r="I10" s="178"/>
      <c r="J10" s="178" t="b">
        <v>0</v>
      </c>
      <c r="K10" s="178" t="b">
        <v>0</v>
      </c>
      <c r="L10" s="178" t="b">
        <v>0</v>
      </c>
      <c r="M10" s="178"/>
      <c r="N10" s="178" t="b">
        <v>0</v>
      </c>
      <c r="O10" s="178" t="b">
        <v>0</v>
      </c>
      <c r="P10" s="178"/>
      <c r="Q10" s="179"/>
    </row>
    <row r="11">
      <c r="A11" s="177">
        <v>3707.0</v>
      </c>
      <c r="B11" s="177" t="s">
        <v>128</v>
      </c>
      <c r="C11" s="178"/>
      <c r="D11" s="178"/>
      <c r="E11" s="178" t="b">
        <v>0</v>
      </c>
      <c r="F11" s="179" t="b">
        <v>0</v>
      </c>
      <c r="G11" s="179" t="b">
        <v>0</v>
      </c>
      <c r="H11" s="178"/>
      <c r="I11" s="178"/>
      <c r="J11" s="178" t="b">
        <v>0</v>
      </c>
      <c r="K11" s="178" t="b">
        <v>0</v>
      </c>
      <c r="L11" s="178" t="b">
        <v>0</v>
      </c>
      <c r="M11" s="178"/>
      <c r="N11" s="178" t="b">
        <v>0</v>
      </c>
      <c r="O11" s="178" t="b">
        <v>0</v>
      </c>
      <c r="P11" s="178"/>
      <c r="Q11" s="178"/>
    </row>
    <row r="12">
      <c r="A12" s="177">
        <v>3773.0</v>
      </c>
      <c r="B12" s="177" t="s">
        <v>151</v>
      </c>
      <c r="C12" s="178"/>
      <c r="D12" s="178"/>
      <c r="E12" s="178" t="b">
        <v>0</v>
      </c>
      <c r="F12" s="178" t="b">
        <v>0</v>
      </c>
      <c r="G12" s="178" t="b">
        <v>0</v>
      </c>
      <c r="H12" s="178"/>
      <c r="I12" s="178"/>
      <c r="J12" s="178" t="b">
        <v>0</v>
      </c>
      <c r="K12" s="178" t="b">
        <v>0</v>
      </c>
      <c r="L12" s="178" t="b">
        <v>0</v>
      </c>
      <c r="M12" s="178"/>
      <c r="N12" s="178" t="b">
        <v>0</v>
      </c>
      <c r="O12" s="178" t="b">
        <v>0</v>
      </c>
      <c r="P12" s="178"/>
      <c r="Q12" s="178"/>
    </row>
    <row r="13">
      <c r="A13" s="177">
        <v>4395.0</v>
      </c>
      <c r="B13" s="177" t="s">
        <v>145</v>
      </c>
      <c r="C13" s="178"/>
      <c r="D13" s="178"/>
      <c r="E13" s="178" t="b">
        <v>0</v>
      </c>
      <c r="F13" s="178" t="b">
        <v>0</v>
      </c>
      <c r="G13" s="178" t="b">
        <v>0</v>
      </c>
      <c r="H13" s="178"/>
      <c r="I13" s="178"/>
      <c r="J13" s="178" t="b">
        <v>0</v>
      </c>
      <c r="K13" s="178" t="b">
        <v>0</v>
      </c>
      <c r="L13" s="178" t="b">
        <v>0</v>
      </c>
      <c r="M13" s="178"/>
      <c r="N13" s="178" t="b">
        <v>0</v>
      </c>
      <c r="O13" s="178" t="b">
        <v>0</v>
      </c>
      <c r="P13" s="178"/>
      <c r="Q13" s="178"/>
    </row>
    <row r="14">
      <c r="A14" s="177">
        <v>4405.0</v>
      </c>
      <c r="B14" s="177" t="s">
        <v>116</v>
      </c>
      <c r="C14" s="178"/>
      <c r="D14" s="178"/>
      <c r="E14" s="178" t="b">
        <v>0</v>
      </c>
      <c r="F14" s="178" t="b">
        <v>0</v>
      </c>
      <c r="G14" s="178" t="b">
        <v>0</v>
      </c>
      <c r="H14" s="178"/>
      <c r="I14" s="178"/>
      <c r="J14" s="178" t="b">
        <v>0</v>
      </c>
      <c r="K14" s="178" t="b">
        <v>0</v>
      </c>
      <c r="L14" s="178" t="b">
        <v>0</v>
      </c>
      <c r="M14" s="178"/>
      <c r="N14" s="178" t="b">
        <v>0</v>
      </c>
      <c r="O14" s="178" t="b">
        <v>0</v>
      </c>
      <c r="P14" s="178"/>
      <c r="Q14" s="178"/>
    </row>
    <row r="15">
      <c r="A15" s="177">
        <v>5050.0</v>
      </c>
      <c r="B15" s="177" t="s">
        <v>117</v>
      </c>
      <c r="C15" s="179"/>
      <c r="D15" s="179"/>
      <c r="E15" s="179" t="b">
        <v>0</v>
      </c>
      <c r="F15" s="179" t="b">
        <v>0</v>
      </c>
      <c r="G15" s="179" t="b">
        <v>0</v>
      </c>
      <c r="H15" s="179"/>
      <c r="I15" s="178"/>
      <c r="J15" s="178" t="b">
        <v>0</v>
      </c>
      <c r="K15" s="178" t="b">
        <v>0</v>
      </c>
      <c r="L15" s="178" t="b">
        <v>0</v>
      </c>
      <c r="M15" s="178"/>
      <c r="N15" s="178" t="b">
        <v>0</v>
      </c>
      <c r="O15" s="178" t="b">
        <v>0</v>
      </c>
      <c r="P15" s="178"/>
      <c r="Q15" s="178"/>
    </row>
    <row r="16">
      <c r="A16" s="177">
        <v>5066.0</v>
      </c>
      <c r="B16" s="177" t="s">
        <v>121</v>
      </c>
      <c r="C16" s="178"/>
      <c r="D16" s="178"/>
      <c r="E16" s="178" t="b">
        <v>0</v>
      </c>
      <c r="F16" s="178" t="b">
        <v>0</v>
      </c>
      <c r="G16" s="178" t="b">
        <v>0</v>
      </c>
      <c r="H16" s="178"/>
      <c r="I16" s="180"/>
      <c r="J16" s="178" t="b">
        <v>0</v>
      </c>
      <c r="K16" s="178" t="b">
        <v>0</v>
      </c>
      <c r="L16" s="178" t="b">
        <v>0</v>
      </c>
      <c r="M16" s="178"/>
      <c r="N16" s="178" t="b">
        <v>0</v>
      </c>
      <c r="O16" s="178" t="b">
        <v>0</v>
      </c>
      <c r="P16" s="178"/>
      <c r="Q16" s="179"/>
    </row>
    <row r="17">
      <c r="A17" s="177">
        <v>5067.0</v>
      </c>
      <c r="B17" s="177" t="s">
        <v>127</v>
      </c>
      <c r="C17" s="178"/>
      <c r="D17" s="178"/>
      <c r="E17" s="178" t="b">
        <v>0</v>
      </c>
      <c r="F17" s="178" t="b">
        <v>0</v>
      </c>
      <c r="G17" s="178" t="b">
        <v>0</v>
      </c>
      <c r="H17" s="178"/>
      <c r="I17" s="178"/>
      <c r="J17" s="178" t="b">
        <v>0</v>
      </c>
      <c r="K17" s="178" t="b">
        <v>0</v>
      </c>
      <c r="L17" s="178" t="b">
        <v>0</v>
      </c>
      <c r="M17" s="178"/>
      <c r="N17" s="178" t="b">
        <v>0</v>
      </c>
      <c r="O17" s="178" t="b">
        <v>0</v>
      </c>
      <c r="P17" s="178"/>
      <c r="Q17" s="178"/>
    </row>
    <row r="18">
      <c r="A18" s="177">
        <v>5205.0</v>
      </c>
      <c r="B18" s="177" t="s">
        <v>149</v>
      </c>
      <c r="C18" s="178"/>
      <c r="D18" s="178"/>
      <c r="E18" s="178" t="b">
        <v>0</v>
      </c>
      <c r="F18" s="178" t="b">
        <v>0</v>
      </c>
      <c r="G18" s="178" t="b">
        <v>0</v>
      </c>
      <c r="H18" s="178"/>
      <c r="I18" s="178"/>
      <c r="J18" s="178" t="b">
        <v>0</v>
      </c>
      <c r="K18" s="178" t="b">
        <v>0</v>
      </c>
      <c r="L18" s="178" t="b">
        <v>0</v>
      </c>
      <c r="M18" s="178"/>
      <c r="N18" s="178" t="b">
        <v>0</v>
      </c>
      <c r="O18" s="178" t="b">
        <v>0</v>
      </c>
      <c r="P18" s="178"/>
      <c r="Q18" s="178"/>
    </row>
    <row r="19">
      <c r="A19" s="177">
        <v>5509.0</v>
      </c>
      <c r="B19" s="177" t="s">
        <v>142</v>
      </c>
      <c r="C19" s="178"/>
      <c r="D19" s="178"/>
      <c r="E19" s="178" t="b">
        <v>0</v>
      </c>
      <c r="F19" s="179" t="b">
        <v>0</v>
      </c>
      <c r="G19" s="179" t="b">
        <v>0</v>
      </c>
      <c r="H19" s="178"/>
      <c r="I19" s="178"/>
      <c r="J19" s="178" t="b">
        <v>0</v>
      </c>
      <c r="K19" s="178" t="b">
        <v>0</v>
      </c>
      <c r="L19" s="178" t="b">
        <v>0</v>
      </c>
      <c r="M19" s="178"/>
      <c r="N19" s="178" t="b">
        <v>0</v>
      </c>
      <c r="O19" s="178" t="b">
        <v>0</v>
      </c>
      <c r="P19" s="178"/>
      <c r="Q19" s="178"/>
    </row>
    <row r="20">
      <c r="A20" s="177">
        <v>5641.0</v>
      </c>
      <c r="B20" s="177" t="s">
        <v>125</v>
      </c>
      <c r="C20" s="178"/>
      <c r="D20" s="178"/>
      <c r="E20" s="178" t="b">
        <v>0</v>
      </c>
      <c r="F20" s="178" t="b">
        <v>0</v>
      </c>
      <c r="G20" s="178" t="b">
        <v>0</v>
      </c>
      <c r="H20" s="178"/>
      <c r="I20" s="178"/>
      <c r="J20" s="179" t="b">
        <v>0</v>
      </c>
      <c r="K20" s="179" t="b">
        <v>0</v>
      </c>
      <c r="L20" s="179" t="b">
        <v>0</v>
      </c>
      <c r="M20" s="178"/>
      <c r="N20" s="178" t="b">
        <v>0</v>
      </c>
      <c r="O20" s="178" t="b">
        <v>0</v>
      </c>
      <c r="P20" s="178"/>
      <c r="Q20" s="178"/>
    </row>
    <row r="21">
      <c r="A21" s="177">
        <v>5674.0</v>
      </c>
      <c r="B21" s="177" t="s">
        <v>129</v>
      </c>
      <c r="C21" s="178"/>
      <c r="D21" s="178"/>
      <c r="E21" s="178" t="b">
        <v>0</v>
      </c>
      <c r="F21" s="178" t="b">
        <v>0</v>
      </c>
      <c r="G21" s="178" t="b">
        <v>0</v>
      </c>
      <c r="H21" s="178"/>
      <c r="I21" s="178"/>
      <c r="J21" s="178" t="b">
        <v>0</v>
      </c>
      <c r="K21" s="178" t="b">
        <v>0</v>
      </c>
      <c r="L21" s="178" t="b">
        <v>0</v>
      </c>
      <c r="M21" s="178"/>
      <c r="N21" s="178" t="b">
        <v>0</v>
      </c>
      <c r="O21" s="178" t="b">
        <v>0</v>
      </c>
      <c r="P21" s="178"/>
      <c r="Q21" s="178"/>
    </row>
    <row r="22">
      <c r="A22" s="177">
        <v>5708.0</v>
      </c>
      <c r="B22" s="177" t="s">
        <v>133</v>
      </c>
      <c r="C22" s="179"/>
      <c r="D22" s="179"/>
      <c r="E22" s="179" t="b">
        <v>0</v>
      </c>
      <c r="F22" s="179" t="b">
        <v>0</v>
      </c>
      <c r="G22" s="179" t="b">
        <v>0</v>
      </c>
      <c r="H22" s="179"/>
      <c r="I22" s="179"/>
      <c r="J22" s="179" t="b">
        <v>0</v>
      </c>
      <c r="K22" s="179" t="b">
        <v>0</v>
      </c>
      <c r="L22" s="179" t="b">
        <v>0</v>
      </c>
      <c r="M22" s="179"/>
      <c r="N22" s="179" t="b">
        <v>0</v>
      </c>
      <c r="O22" s="179" t="b">
        <v>0</v>
      </c>
      <c r="P22" s="179"/>
      <c r="Q22" s="179"/>
    </row>
    <row r="23">
      <c r="A23" s="177">
        <v>6081.0</v>
      </c>
      <c r="B23" s="177" t="s">
        <v>120</v>
      </c>
      <c r="C23" s="178"/>
      <c r="D23" s="178"/>
      <c r="E23" s="178" t="b">
        <v>0</v>
      </c>
      <c r="F23" s="178" t="b">
        <v>0</v>
      </c>
      <c r="G23" s="178" t="b">
        <v>0</v>
      </c>
      <c r="H23" s="178"/>
      <c r="I23" s="178"/>
      <c r="J23" s="178" t="b">
        <v>0</v>
      </c>
      <c r="K23" s="178" t="b">
        <v>0</v>
      </c>
      <c r="L23" s="178" t="b">
        <v>0</v>
      </c>
      <c r="M23" s="178"/>
      <c r="N23" s="179" t="b">
        <v>0</v>
      </c>
      <c r="O23" s="179" t="b">
        <v>0</v>
      </c>
      <c r="P23" s="179"/>
      <c r="Q23" s="178"/>
    </row>
    <row r="24">
      <c r="A24" s="177">
        <v>6089.0</v>
      </c>
      <c r="B24" s="177" t="s">
        <v>114</v>
      </c>
      <c r="C24" s="178"/>
      <c r="D24" s="178"/>
      <c r="E24" s="178" t="b">
        <v>0</v>
      </c>
      <c r="F24" s="178" t="b">
        <v>0</v>
      </c>
      <c r="G24" s="178" t="b">
        <v>0</v>
      </c>
      <c r="H24" s="178"/>
      <c r="I24" s="178"/>
      <c r="J24" s="178" t="b">
        <v>0</v>
      </c>
      <c r="K24" s="178" t="b">
        <v>0</v>
      </c>
      <c r="L24" s="178" t="b">
        <v>0</v>
      </c>
      <c r="M24" s="178"/>
      <c r="N24" s="179" t="b">
        <v>0</v>
      </c>
      <c r="O24" s="179" t="b">
        <v>0</v>
      </c>
      <c r="P24" s="179"/>
      <c r="Q24" s="178"/>
    </row>
    <row r="25">
      <c r="A25" s="177">
        <v>6101.0</v>
      </c>
      <c r="B25" s="177" t="s">
        <v>132</v>
      </c>
      <c r="C25" s="178"/>
      <c r="D25" s="178"/>
      <c r="E25" s="178" t="b">
        <v>0</v>
      </c>
      <c r="F25" s="178" t="b">
        <v>0</v>
      </c>
      <c r="G25" s="178" t="b">
        <v>0</v>
      </c>
      <c r="H25" s="178"/>
      <c r="I25" s="178"/>
      <c r="J25" s="178" t="b">
        <v>0</v>
      </c>
      <c r="K25" s="178" t="b">
        <v>0</v>
      </c>
      <c r="L25" s="178" t="b">
        <v>0</v>
      </c>
      <c r="M25" s="178"/>
      <c r="N25" s="178" t="b">
        <v>0</v>
      </c>
      <c r="O25" s="178" t="b">
        <v>0</v>
      </c>
      <c r="P25" s="178"/>
      <c r="Q25" s="178"/>
    </row>
    <row r="26">
      <c r="A26" s="177">
        <v>6556.0</v>
      </c>
      <c r="B26" s="177" t="s">
        <v>150</v>
      </c>
      <c r="C26" s="178"/>
      <c r="D26" s="178"/>
      <c r="E26" s="178" t="b">
        <v>0</v>
      </c>
      <c r="F26" s="178" t="b">
        <v>0</v>
      </c>
      <c r="G26" s="178" t="b">
        <v>0</v>
      </c>
      <c r="H26" s="178"/>
      <c r="I26" s="178"/>
      <c r="J26" s="178" t="b">
        <v>0</v>
      </c>
      <c r="K26" s="178" t="b">
        <v>0</v>
      </c>
      <c r="L26" s="178" t="b">
        <v>0</v>
      </c>
      <c r="M26" s="178"/>
      <c r="N26" s="178" t="b">
        <v>0</v>
      </c>
      <c r="O26" s="178" t="b">
        <v>0</v>
      </c>
      <c r="P26" s="178"/>
      <c r="Q26" s="178"/>
    </row>
    <row r="27">
      <c r="A27" s="177">
        <v>6615.0</v>
      </c>
      <c r="B27" s="177" t="s">
        <v>139</v>
      </c>
      <c r="C27" s="178"/>
      <c r="D27" s="178"/>
      <c r="E27" s="178" t="b">
        <v>0</v>
      </c>
      <c r="F27" s="178" t="b">
        <v>0</v>
      </c>
      <c r="G27" s="178" t="b">
        <v>0</v>
      </c>
      <c r="H27" s="178"/>
      <c r="I27" s="178"/>
      <c r="J27" s="178" t="b">
        <v>0</v>
      </c>
      <c r="K27" s="178" t="b">
        <v>0</v>
      </c>
      <c r="L27" s="178" t="b">
        <v>0</v>
      </c>
      <c r="M27" s="178"/>
      <c r="N27" s="178" t="b">
        <v>0</v>
      </c>
      <c r="O27" s="178" t="b">
        <v>0</v>
      </c>
      <c r="P27" s="178"/>
      <c r="Q27" s="178"/>
    </row>
    <row r="28">
      <c r="A28" s="177">
        <v>6616.0</v>
      </c>
      <c r="B28" s="177" t="s">
        <v>152</v>
      </c>
      <c r="C28" s="178"/>
      <c r="D28" s="178"/>
      <c r="E28" s="178" t="b">
        <v>0</v>
      </c>
      <c r="F28" s="178" t="b">
        <v>0</v>
      </c>
      <c r="G28" s="178" t="b">
        <v>0</v>
      </c>
      <c r="H28" s="178"/>
      <c r="I28" s="178"/>
      <c r="J28" s="178" t="b">
        <v>0</v>
      </c>
      <c r="K28" s="178" t="b">
        <v>0</v>
      </c>
      <c r="L28" s="178" t="b">
        <v>0</v>
      </c>
      <c r="M28" s="178"/>
      <c r="N28" s="178" t="b">
        <v>0</v>
      </c>
      <c r="O28" s="178" t="b">
        <v>0</v>
      </c>
      <c r="P28" s="178"/>
      <c r="Q28" s="178"/>
    </row>
    <row r="29">
      <c r="A29" s="177">
        <v>7221.0</v>
      </c>
      <c r="B29" s="177" t="s">
        <v>146</v>
      </c>
      <c r="C29" s="178"/>
      <c r="D29" s="178"/>
      <c r="E29" s="178" t="b">
        <v>0</v>
      </c>
      <c r="F29" s="178" t="b">
        <v>0</v>
      </c>
      <c r="G29" s="178" t="b">
        <v>0</v>
      </c>
      <c r="H29" s="178"/>
      <c r="I29" s="178"/>
      <c r="J29" s="178" t="b">
        <v>0</v>
      </c>
      <c r="K29" s="178" t="b">
        <v>0</v>
      </c>
      <c r="L29" s="178" t="b">
        <v>0</v>
      </c>
      <c r="M29" s="178"/>
      <c r="N29" s="178" t="b">
        <v>0</v>
      </c>
      <c r="O29" s="178" t="b">
        <v>0</v>
      </c>
      <c r="P29" s="178"/>
      <c r="Q29" s="178"/>
    </row>
    <row r="30">
      <c r="A30" s="177">
        <v>7225.0</v>
      </c>
      <c r="B30" s="177" t="s">
        <v>123</v>
      </c>
      <c r="C30" s="179"/>
      <c r="D30" s="179"/>
      <c r="E30" s="179" t="b">
        <v>0</v>
      </c>
      <c r="F30" s="179" t="b">
        <v>0</v>
      </c>
      <c r="G30" s="179" t="b">
        <v>0</v>
      </c>
      <c r="H30" s="179"/>
      <c r="I30" s="179"/>
      <c r="J30" s="179" t="b">
        <v>0</v>
      </c>
      <c r="K30" s="179" t="b">
        <v>0</v>
      </c>
      <c r="L30" s="179" t="b">
        <v>0</v>
      </c>
      <c r="M30" s="179"/>
      <c r="N30" s="179" t="b">
        <v>0</v>
      </c>
      <c r="O30" s="179" t="b">
        <v>0</v>
      </c>
      <c r="P30" s="179"/>
      <c r="Q30" s="179"/>
    </row>
    <row r="31">
      <c r="A31" s="177">
        <v>7598.0</v>
      </c>
      <c r="B31" s="177" t="s">
        <v>137</v>
      </c>
      <c r="C31" s="178"/>
      <c r="D31" s="178"/>
      <c r="E31" s="178" t="b">
        <v>0</v>
      </c>
      <c r="F31" s="178" t="b">
        <v>0</v>
      </c>
      <c r="G31" s="178" t="b">
        <v>0</v>
      </c>
      <c r="H31" s="178"/>
      <c r="I31" s="178"/>
      <c r="J31" s="178" t="b">
        <v>0</v>
      </c>
      <c r="K31" s="178" t="b">
        <v>0</v>
      </c>
      <c r="L31" s="178" t="b">
        <v>0</v>
      </c>
      <c r="M31" s="178"/>
      <c r="N31" s="178" t="b">
        <v>0</v>
      </c>
      <c r="O31" s="178" t="b">
        <v>0</v>
      </c>
      <c r="P31" s="178"/>
      <c r="Q31" s="178"/>
    </row>
    <row r="32">
      <c r="A32" s="177">
        <v>8268.0</v>
      </c>
      <c r="B32" s="177" t="s">
        <v>115</v>
      </c>
      <c r="C32" s="178"/>
      <c r="D32" s="178"/>
      <c r="E32" s="178" t="b">
        <v>0</v>
      </c>
      <c r="F32" s="178" t="b">
        <v>0</v>
      </c>
      <c r="G32" s="178" t="b">
        <v>0</v>
      </c>
      <c r="H32" s="178"/>
      <c r="I32" s="178"/>
      <c r="J32" s="178" t="b">
        <v>0</v>
      </c>
      <c r="K32" s="178" t="b">
        <v>0</v>
      </c>
      <c r="L32" s="178" t="b">
        <v>0</v>
      </c>
      <c r="M32" s="178"/>
      <c r="N32" s="178" t="b">
        <v>0</v>
      </c>
      <c r="O32" s="178" t="b">
        <v>0</v>
      </c>
      <c r="P32" s="178"/>
      <c r="Q32" s="179"/>
    </row>
    <row r="33">
      <c r="A33" s="177">
        <v>8374.0</v>
      </c>
      <c r="B33" s="177" t="s">
        <v>131</v>
      </c>
      <c r="C33" s="178"/>
      <c r="D33" s="178"/>
      <c r="E33" s="178" t="b">
        <v>0</v>
      </c>
      <c r="F33" s="178" t="b">
        <v>0</v>
      </c>
      <c r="G33" s="179" t="b">
        <v>0</v>
      </c>
      <c r="H33" s="178"/>
      <c r="I33" s="178"/>
      <c r="J33" s="178" t="b">
        <v>0</v>
      </c>
      <c r="K33" s="178" t="b">
        <v>0</v>
      </c>
      <c r="L33" s="178" t="b">
        <v>0</v>
      </c>
      <c r="M33" s="178"/>
      <c r="N33" s="178" t="b">
        <v>0</v>
      </c>
      <c r="O33" s="178" t="b">
        <v>0</v>
      </c>
      <c r="P33" s="178"/>
      <c r="Q33" s="178"/>
    </row>
    <row r="34">
      <c r="A34" s="177">
        <v>8424.0</v>
      </c>
      <c r="B34" s="177" t="s">
        <v>134</v>
      </c>
      <c r="C34" s="178"/>
      <c r="D34" s="178"/>
      <c r="E34" s="178" t="b">
        <v>0</v>
      </c>
      <c r="F34" s="178" t="b">
        <v>0</v>
      </c>
      <c r="G34" s="179" t="b">
        <v>0</v>
      </c>
      <c r="H34" s="178"/>
      <c r="I34" s="178"/>
      <c r="J34" s="178" t="b">
        <v>0</v>
      </c>
      <c r="K34" s="178" t="b">
        <v>0</v>
      </c>
      <c r="L34" s="178" t="b">
        <v>0</v>
      </c>
      <c r="M34" s="178"/>
      <c r="N34" s="178" t="b">
        <v>0</v>
      </c>
      <c r="O34" s="178" t="b">
        <v>0</v>
      </c>
      <c r="P34" s="178"/>
      <c r="Q34" s="178"/>
    </row>
    <row r="35">
      <c r="A35" s="177">
        <v>8832.0</v>
      </c>
      <c r="B35" s="177" t="s">
        <v>144</v>
      </c>
      <c r="C35" s="178"/>
      <c r="D35" s="178"/>
      <c r="E35" s="178" t="b">
        <v>0</v>
      </c>
      <c r="F35" s="178" t="b">
        <v>0</v>
      </c>
      <c r="G35" s="179" t="b">
        <v>0</v>
      </c>
      <c r="H35" s="178"/>
      <c r="I35" s="178"/>
      <c r="J35" s="178" t="b">
        <v>0</v>
      </c>
      <c r="K35" s="178" t="b">
        <v>0</v>
      </c>
      <c r="L35" s="178" t="b">
        <v>0</v>
      </c>
      <c r="M35" s="178"/>
      <c r="N35" s="178" t="b">
        <v>0</v>
      </c>
      <c r="O35" s="178" t="b">
        <v>0</v>
      </c>
      <c r="P35" s="178"/>
      <c r="Q35" s="178"/>
    </row>
    <row r="36">
      <c r="A36" s="177">
        <v>8895.0</v>
      </c>
      <c r="B36" s="177" t="s">
        <v>148</v>
      </c>
      <c r="C36" s="178"/>
      <c r="D36" s="178"/>
      <c r="E36" s="178" t="b">
        <v>0</v>
      </c>
      <c r="F36" s="178" t="b">
        <v>0</v>
      </c>
      <c r="G36" s="179" t="b">
        <v>0</v>
      </c>
      <c r="H36" s="178"/>
      <c r="I36" s="178"/>
      <c r="J36" s="178" t="b">
        <v>0</v>
      </c>
      <c r="K36" s="178" t="b">
        <v>0</v>
      </c>
      <c r="L36" s="178" t="b">
        <v>0</v>
      </c>
      <c r="M36" s="178"/>
      <c r="N36" s="178" t="b">
        <v>0</v>
      </c>
      <c r="O36" s="178" t="b">
        <v>0</v>
      </c>
      <c r="P36" s="178"/>
      <c r="Q36" s="178"/>
    </row>
    <row r="37">
      <c r="A37" s="177">
        <v>9209.0</v>
      </c>
      <c r="B37" s="177" t="s">
        <v>143</v>
      </c>
      <c r="C37" s="178"/>
      <c r="D37" s="178"/>
      <c r="E37" s="178" t="b">
        <v>0</v>
      </c>
      <c r="F37" s="178" t="b">
        <v>0</v>
      </c>
      <c r="G37" s="178" t="b">
        <v>0</v>
      </c>
      <c r="H37" s="178"/>
      <c r="I37" s="178"/>
      <c r="J37" s="178" t="b">
        <v>0</v>
      </c>
      <c r="K37" s="178" t="b">
        <v>0</v>
      </c>
      <c r="L37" s="178" t="b">
        <v>0</v>
      </c>
      <c r="M37" s="178"/>
      <c r="N37" s="178" t="b">
        <v>0</v>
      </c>
      <c r="O37" s="178" t="b">
        <v>0</v>
      </c>
      <c r="P37" s="178"/>
      <c r="Q37" s="178"/>
    </row>
    <row r="38">
      <c r="A38" s="177">
        <v>9210.0</v>
      </c>
      <c r="B38" s="177" t="s">
        <v>136</v>
      </c>
      <c r="C38" s="178"/>
      <c r="D38" s="178"/>
      <c r="E38" s="178" t="b">
        <v>0</v>
      </c>
      <c r="F38" s="179" t="b">
        <v>0</v>
      </c>
      <c r="G38" s="179" t="b">
        <v>0</v>
      </c>
      <c r="H38" s="178"/>
      <c r="I38" s="178"/>
      <c r="J38" s="179" t="b">
        <v>0</v>
      </c>
      <c r="K38" s="179" t="b">
        <v>0</v>
      </c>
      <c r="L38" s="179" t="b">
        <v>0</v>
      </c>
      <c r="M38" s="179"/>
      <c r="N38" s="179" t="b">
        <v>0</v>
      </c>
      <c r="O38" s="179" t="b">
        <v>0</v>
      </c>
      <c r="P38" s="179"/>
      <c r="Q38" s="179"/>
    </row>
    <row r="39">
      <c r="A39" s="177">
        <v>9211.0</v>
      </c>
      <c r="B39" s="177" t="s">
        <v>147</v>
      </c>
      <c r="C39" s="179"/>
      <c r="D39" s="179"/>
      <c r="E39" s="179" t="b">
        <v>0</v>
      </c>
      <c r="F39" s="179" t="b">
        <v>0</v>
      </c>
      <c r="G39" s="179" t="b">
        <v>0</v>
      </c>
      <c r="H39" s="179"/>
      <c r="I39" s="179"/>
      <c r="J39" s="179" t="b">
        <v>0</v>
      </c>
      <c r="K39" s="179" t="b">
        <v>0</v>
      </c>
      <c r="L39" s="179" t="b">
        <v>0</v>
      </c>
      <c r="M39" s="179"/>
      <c r="N39" s="179" t="b">
        <v>0</v>
      </c>
      <c r="O39" s="179" t="b">
        <v>0</v>
      </c>
      <c r="P39" s="179"/>
      <c r="Q39" s="179"/>
    </row>
    <row r="40">
      <c r="A40" s="177">
        <v>9241.0</v>
      </c>
      <c r="B40" s="177" t="s">
        <v>135</v>
      </c>
      <c r="C40" s="178"/>
      <c r="D40" s="178"/>
      <c r="E40" s="179" t="b">
        <v>0</v>
      </c>
      <c r="F40" s="179" t="b">
        <v>0</v>
      </c>
      <c r="G40" s="179" t="b">
        <v>0</v>
      </c>
      <c r="H40" s="179"/>
      <c r="I40" s="178"/>
      <c r="J40" s="178" t="b">
        <v>0</v>
      </c>
      <c r="K40" s="178" t="b">
        <v>0</v>
      </c>
      <c r="L40" s="178" t="b">
        <v>0</v>
      </c>
      <c r="M40" s="179"/>
      <c r="N40" s="178" t="b">
        <v>0</v>
      </c>
      <c r="O40" s="178" t="b">
        <v>0</v>
      </c>
      <c r="P40" s="178"/>
      <c r="Q40" s="178"/>
    </row>
  </sheetData>
  <dataValidations>
    <dataValidation type="list" allowBlank="1" showErrorMessage="1" sqref="H2:H40">
      <formula1>"Cone,Cube,Both,Neither"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8" max="8" width="81.13"/>
  </cols>
  <sheetData>
    <row r="1">
      <c r="A1" s="174" t="s">
        <v>480</v>
      </c>
      <c r="B1" s="176" t="s">
        <v>511</v>
      </c>
      <c r="C1" s="176" t="s">
        <v>512</v>
      </c>
      <c r="D1" s="176" t="s">
        <v>513</v>
      </c>
      <c r="E1" s="176" t="s">
        <v>514</v>
      </c>
      <c r="F1" s="176" t="s">
        <v>515</v>
      </c>
      <c r="G1" s="175" t="s">
        <v>446</v>
      </c>
      <c r="H1" s="175" t="s">
        <v>516</v>
      </c>
      <c r="I1" s="176" t="s">
        <v>517</v>
      </c>
      <c r="J1" s="176" t="s">
        <v>518</v>
      </c>
      <c r="K1" s="176" t="s">
        <v>519</v>
      </c>
      <c r="L1" s="176" t="s">
        <v>520</v>
      </c>
      <c r="M1" s="176" t="s">
        <v>441</v>
      </c>
      <c r="N1" s="176" t="s">
        <v>442</v>
      </c>
      <c r="O1" s="176" t="s">
        <v>449</v>
      </c>
      <c r="P1" s="175" t="s">
        <v>450</v>
      </c>
    </row>
    <row r="2">
      <c r="A2" s="2">
        <v>27.0</v>
      </c>
      <c r="B2" s="181"/>
      <c r="C2" s="181"/>
      <c r="D2" s="66"/>
      <c r="E2" s="66"/>
      <c r="F2" s="66"/>
      <c r="G2" s="86"/>
      <c r="H2" s="86"/>
      <c r="I2" s="66"/>
      <c r="J2" s="66"/>
      <c r="K2" s="66"/>
      <c r="L2" s="181"/>
      <c r="M2" s="66"/>
      <c r="N2" s="66"/>
      <c r="O2" s="182"/>
      <c r="P2" s="86"/>
      <c r="Q2" s="86"/>
    </row>
    <row r="3">
      <c r="A3" s="2">
        <v>33.0</v>
      </c>
      <c r="B3" s="181"/>
      <c r="C3" s="181"/>
      <c r="D3" s="66"/>
      <c r="E3" s="66"/>
      <c r="F3" s="66"/>
      <c r="G3" s="86"/>
      <c r="H3" s="86"/>
      <c r="I3" s="66"/>
      <c r="J3" s="66"/>
      <c r="K3" s="66"/>
      <c r="L3" s="181"/>
      <c r="M3" s="66"/>
      <c r="N3" s="66"/>
      <c r="O3" s="182"/>
      <c r="P3" s="86"/>
      <c r="Q3" s="86"/>
    </row>
    <row r="4">
      <c r="A4" s="2">
        <v>66.0</v>
      </c>
      <c r="B4" s="181"/>
      <c r="C4" s="181"/>
      <c r="D4" s="66"/>
      <c r="E4" s="66"/>
      <c r="F4" s="66"/>
      <c r="G4" s="86"/>
      <c r="H4" s="86"/>
      <c r="I4" s="66"/>
      <c r="J4" s="66"/>
      <c r="K4" s="66"/>
      <c r="L4" s="181"/>
      <c r="M4" s="66"/>
      <c r="N4" s="66"/>
      <c r="O4" s="182"/>
      <c r="P4" s="86"/>
      <c r="Q4" s="86"/>
    </row>
    <row r="5">
      <c r="A5" s="2">
        <v>68.0</v>
      </c>
      <c r="B5" s="181"/>
      <c r="C5" s="181"/>
      <c r="D5" s="66"/>
      <c r="E5" s="66"/>
      <c r="F5" s="66"/>
      <c r="G5" s="86"/>
      <c r="H5" s="86"/>
      <c r="I5" s="66"/>
      <c r="J5" s="66"/>
      <c r="K5" s="66"/>
      <c r="L5" s="181"/>
      <c r="M5" s="66"/>
      <c r="N5" s="66"/>
      <c r="O5" s="182"/>
      <c r="P5" s="86"/>
      <c r="Q5" s="86"/>
    </row>
    <row r="6">
      <c r="A6" s="2">
        <v>123.0</v>
      </c>
      <c r="B6" s="181"/>
      <c r="C6" s="181"/>
      <c r="D6" s="66"/>
      <c r="E6" s="66"/>
      <c r="F6" s="66"/>
      <c r="G6" s="86"/>
      <c r="H6" s="86"/>
      <c r="I6" s="66"/>
      <c r="J6" s="66"/>
      <c r="K6" s="66"/>
      <c r="L6" s="181"/>
      <c r="M6" s="66"/>
      <c r="N6" s="66"/>
      <c r="O6" s="182"/>
      <c r="P6" s="86"/>
      <c r="Q6" s="86"/>
    </row>
    <row r="7">
      <c r="A7" s="2">
        <v>245.0</v>
      </c>
      <c r="B7" s="181"/>
      <c r="C7" s="181"/>
      <c r="D7" s="66"/>
      <c r="E7" s="66"/>
      <c r="F7" s="66"/>
      <c r="G7" s="86"/>
      <c r="H7" s="86"/>
      <c r="I7" s="66"/>
      <c r="J7" s="66"/>
      <c r="K7" s="66"/>
      <c r="L7" s="181"/>
      <c r="M7" s="66"/>
      <c r="N7" s="66"/>
      <c r="O7" s="86"/>
      <c r="P7" s="86"/>
      <c r="Q7" s="86"/>
    </row>
    <row r="8">
      <c r="A8" s="2">
        <v>247.0</v>
      </c>
      <c r="B8" s="181"/>
      <c r="C8" s="181"/>
      <c r="D8" s="66"/>
      <c r="E8" s="66"/>
      <c r="F8" s="66"/>
      <c r="G8" s="86"/>
      <c r="H8" s="86"/>
      <c r="I8" s="66"/>
      <c r="J8" s="66"/>
      <c r="K8" s="66"/>
      <c r="L8" s="181"/>
      <c r="M8" s="66"/>
      <c r="N8" s="66"/>
      <c r="O8" s="182"/>
      <c r="P8" s="86"/>
      <c r="Q8" s="86"/>
    </row>
    <row r="9">
      <c r="A9" s="2">
        <v>302.0</v>
      </c>
      <c r="B9" s="181"/>
      <c r="C9" s="181"/>
      <c r="D9" s="66"/>
      <c r="E9" s="66"/>
      <c r="F9" s="66"/>
      <c r="G9" s="86"/>
      <c r="H9" s="86"/>
      <c r="I9" s="66"/>
      <c r="J9" s="66"/>
      <c r="K9" s="66"/>
      <c r="L9" s="181"/>
      <c r="M9" s="66"/>
      <c r="N9" s="66"/>
      <c r="O9" s="182"/>
      <c r="P9" s="86"/>
      <c r="Q9" s="86"/>
    </row>
    <row r="10">
      <c r="A10" s="2">
        <v>503.0</v>
      </c>
      <c r="B10" s="181"/>
      <c r="C10" s="181"/>
      <c r="D10" s="66"/>
      <c r="E10" s="66"/>
      <c r="F10" s="66"/>
      <c r="G10" s="101"/>
      <c r="H10" s="86"/>
      <c r="I10" s="66"/>
      <c r="J10" s="66"/>
      <c r="K10" s="66"/>
      <c r="L10" s="181"/>
      <c r="M10" s="66"/>
      <c r="N10" s="66"/>
      <c r="O10" s="182"/>
      <c r="P10" s="86"/>
      <c r="Q10" s="86"/>
    </row>
    <row r="11">
      <c r="A11" s="2">
        <v>1506.0</v>
      </c>
      <c r="B11" s="181"/>
      <c r="C11" s="181"/>
      <c r="D11" s="66"/>
      <c r="E11" s="66"/>
      <c r="F11" s="66"/>
      <c r="G11" s="86"/>
      <c r="H11" s="86"/>
      <c r="I11" s="66"/>
      <c r="J11" s="66"/>
      <c r="K11" s="66"/>
      <c r="L11" s="181"/>
      <c r="M11" s="66"/>
      <c r="N11" s="66"/>
      <c r="O11" s="86"/>
      <c r="P11" s="86"/>
      <c r="Q11" s="86"/>
    </row>
    <row r="12">
      <c r="A12" s="2">
        <v>1701.0</v>
      </c>
      <c r="B12" s="181"/>
      <c r="C12" s="181"/>
      <c r="D12" s="66"/>
      <c r="E12" s="66"/>
      <c r="F12" s="66"/>
      <c r="G12" s="86"/>
      <c r="H12" s="86"/>
      <c r="I12" s="66"/>
      <c r="J12" s="66"/>
      <c r="K12" s="66"/>
      <c r="L12" s="181"/>
      <c r="M12" s="66"/>
      <c r="N12" s="66"/>
      <c r="O12" s="86"/>
      <c r="P12" s="86"/>
      <c r="Q12" s="86"/>
    </row>
    <row r="13">
      <c r="A13" s="2">
        <v>1711.0</v>
      </c>
      <c r="B13" s="181"/>
      <c r="C13" s="181"/>
      <c r="D13" s="66"/>
      <c r="E13" s="66"/>
      <c r="F13" s="66"/>
      <c r="G13" s="86"/>
      <c r="H13" s="86"/>
      <c r="I13" s="66"/>
      <c r="J13" s="66"/>
      <c r="K13" s="66"/>
      <c r="L13" s="181"/>
      <c r="M13" s="66"/>
      <c r="N13" s="66"/>
      <c r="O13" s="86"/>
      <c r="P13" s="86"/>
      <c r="Q13" s="86"/>
    </row>
    <row r="14">
      <c r="A14" s="2">
        <v>2137.0</v>
      </c>
      <c r="B14" s="181"/>
      <c r="C14" s="181"/>
      <c r="D14" s="66"/>
      <c r="E14" s="66"/>
      <c r="F14" s="66"/>
      <c r="G14" s="86"/>
      <c r="H14" s="86"/>
      <c r="I14" s="66"/>
      <c r="J14" s="66"/>
      <c r="K14" s="66"/>
      <c r="L14" s="181"/>
      <c r="M14" s="66"/>
      <c r="N14" s="66"/>
      <c r="O14" s="182"/>
      <c r="P14" s="86"/>
      <c r="Q14" s="86"/>
    </row>
    <row r="15">
      <c r="A15" s="2">
        <v>2832.0</v>
      </c>
      <c r="B15" s="181"/>
      <c r="C15" s="181"/>
      <c r="D15" s="66"/>
      <c r="E15" s="66"/>
      <c r="F15" s="66"/>
      <c r="G15" s="86"/>
      <c r="H15" s="86"/>
      <c r="I15" s="66"/>
      <c r="J15" s="66"/>
      <c r="K15" s="66"/>
      <c r="L15" s="181"/>
      <c r="M15" s="66"/>
      <c r="N15" s="66"/>
      <c r="O15" s="86"/>
      <c r="P15" s="86"/>
      <c r="Q15" s="86"/>
    </row>
    <row r="16">
      <c r="A16" s="2">
        <v>2834.0</v>
      </c>
      <c r="B16" s="181"/>
      <c r="C16" s="181"/>
      <c r="D16" s="66"/>
      <c r="E16" s="66"/>
      <c r="F16" s="66"/>
      <c r="G16" s="86"/>
      <c r="H16" s="86"/>
      <c r="I16" s="66"/>
      <c r="J16" s="66"/>
      <c r="K16" s="66"/>
      <c r="L16" s="181"/>
      <c r="M16" s="66"/>
      <c r="N16" s="66"/>
      <c r="O16" s="182"/>
      <c r="P16" s="86"/>
      <c r="Q16" s="86"/>
    </row>
    <row r="17">
      <c r="A17" s="2">
        <v>3175.0</v>
      </c>
      <c r="B17" s="181"/>
      <c r="C17" s="181"/>
      <c r="D17" s="66"/>
      <c r="E17" s="66"/>
      <c r="F17" s="66"/>
      <c r="G17" s="86"/>
      <c r="H17" s="86"/>
      <c r="I17" s="66"/>
      <c r="J17" s="66"/>
      <c r="K17" s="66"/>
      <c r="L17" s="181"/>
      <c r="M17" s="66"/>
      <c r="N17" s="66"/>
      <c r="O17" s="182"/>
      <c r="P17" s="86"/>
      <c r="Q17" s="86"/>
    </row>
    <row r="18">
      <c r="A18" s="2">
        <v>3322.0</v>
      </c>
      <c r="B18" s="181"/>
      <c r="C18" s="181"/>
      <c r="D18" s="66"/>
      <c r="E18" s="66"/>
      <c r="F18" s="66"/>
      <c r="G18" s="86"/>
      <c r="H18" s="86"/>
      <c r="I18" s="66"/>
      <c r="J18" s="66"/>
      <c r="K18" s="66"/>
      <c r="L18" s="181"/>
      <c r="M18" s="66"/>
      <c r="N18" s="66"/>
      <c r="O18" s="182"/>
      <c r="P18" s="86"/>
      <c r="Q18" s="86"/>
    </row>
    <row r="19">
      <c r="A19" s="2">
        <v>3534.0</v>
      </c>
      <c r="B19" s="181"/>
      <c r="C19" s="181"/>
      <c r="D19" s="66"/>
      <c r="E19" s="66"/>
      <c r="F19" s="66"/>
      <c r="G19" s="86"/>
      <c r="H19" s="86"/>
      <c r="I19" s="66"/>
      <c r="J19" s="66"/>
      <c r="K19" s="66"/>
      <c r="L19" s="181"/>
      <c r="M19" s="66"/>
      <c r="N19" s="66"/>
      <c r="O19" s="182"/>
      <c r="P19" s="86"/>
      <c r="Q19" s="86"/>
    </row>
    <row r="20">
      <c r="A20" s="2">
        <v>3536.0</v>
      </c>
      <c r="B20" s="181"/>
      <c r="C20" s="181"/>
      <c r="D20" s="66"/>
      <c r="E20" s="66"/>
      <c r="F20" s="66"/>
      <c r="G20" s="86"/>
      <c r="H20" s="86"/>
      <c r="I20" s="66"/>
      <c r="J20" s="66"/>
      <c r="K20" s="66"/>
      <c r="L20" s="181"/>
      <c r="M20" s="66"/>
      <c r="N20" s="66"/>
      <c r="O20" s="182"/>
      <c r="P20" s="86"/>
      <c r="Q20" s="86"/>
    </row>
    <row r="21">
      <c r="A21" s="2">
        <v>3641.0</v>
      </c>
      <c r="B21" s="181"/>
      <c r="C21" s="181"/>
      <c r="D21" s="66"/>
      <c r="E21" s="66"/>
      <c r="F21" s="66"/>
      <c r="G21" s="86"/>
      <c r="H21" s="86"/>
      <c r="I21" s="66"/>
      <c r="J21" s="66"/>
      <c r="K21" s="66"/>
      <c r="L21" s="181"/>
      <c r="M21" s="66"/>
      <c r="N21" s="66"/>
      <c r="O21" s="182"/>
      <c r="P21" s="86"/>
      <c r="Q21" s="86"/>
    </row>
    <row r="22">
      <c r="A22" s="2">
        <v>3656.0</v>
      </c>
      <c r="B22" s="181"/>
      <c r="C22" s="181"/>
      <c r="D22" s="66"/>
      <c r="E22" s="66"/>
      <c r="F22" s="66"/>
      <c r="G22" s="86"/>
      <c r="H22" s="86"/>
      <c r="I22" s="66"/>
      <c r="J22" s="66"/>
      <c r="K22" s="66"/>
      <c r="L22" s="181"/>
      <c r="M22" s="66"/>
      <c r="N22" s="66"/>
      <c r="O22" s="182"/>
      <c r="P22" s="86"/>
      <c r="Q22" s="86"/>
    </row>
    <row r="23">
      <c r="A23" s="2">
        <v>3668.0</v>
      </c>
      <c r="B23" s="181"/>
      <c r="C23" s="181"/>
      <c r="D23" s="66"/>
      <c r="E23" s="66"/>
      <c r="F23" s="66"/>
      <c r="G23" s="86"/>
      <c r="H23" s="86"/>
      <c r="I23" s="66"/>
      <c r="J23" s="66"/>
      <c r="K23" s="66"/>
      <c r="L23" s="181"/>
      <c r="M23" s="66"/>
      <c r="N23" s="66"/>
      <c r="O23" s="86"/>
      <c r="P23" s="86"/>
      <c r="Q23" s="86"/>
    </row>
    <row r="24">
      <c r="A24" s="2">
        <v>4810.0</v>
      </c>
      <c r="B24" s="181"/>
      <c r="C24" s="181"/>
      <c r="D24" s="66"/>
      <c r="E24" s="66"/>
      <c r="F24" s="66"/>
      <c r="G24" s="86"/>
      <c r="H24" s="86"/>
      <c r="I24" s="66"/>
      <c r="J24" s="66"/>
      <c r="K24" s="66"/>
      <c r="L24" s="181"/>
      <c r="M24" s="66"/>
      <c r="N24" s="66"/>
      <c r="O24" s="86"/>
      <c r="P24" s="182"/>
      <c r="Q24" s="86"/>
    </row>
    <row r="25">
      <c r="A25" s="2">
        <v>4854.0</v>
      </c>
      <c r="B25" s="181"/>
      <c r="C25" s="181"/>
      <c r="D25" s="66"/>
      <c r="E25" s="66"/>
      <c r="F25" s="66"/>
      <c r="G25" s="86"/>
      <c r="H25" s="86"/>
      <c r="I25" s="66"/>
      <c r="J25" s="66"/>
      <c r="K25" s="66"/>
      <c r="L25" s="181"/>
      <c r="M25" s="66"/>
      <c r="N25" s="66"/>
      <c r="O25" s="86"/>
      <c r="P25" s="182"/>
      <c r="Q25" s="86"/>
    </row>
    <row r="26">
      <c r="A26" s="2">
        <v>5577.0</v>
      </c>
      <c r="B26" s="181"/>
      <c r="C26" s="181"/>
      <c r="D26" s="66"/>
      <c r="E26" s="66"/>
      <c r="F26" s="66"/>
      <c r="G26" s="86"/>
      <c r="H26" s="86"/>
      <c r="I26" s="66"/>
      <c r="J26" s="66"/>
      <c r="K26" s="66"/>
      <c r="L26" s="181"/>
      <c r="M26" s="66"/>
      <c r="N26" s="66"/>
      <c r="O26" s="86"/>
      <c r="P26" s="86"/>
      <c r="Q26" s="86"/>
    </row>
    <row r="27">
      <c r="A27" s="2">
        <v>5907.0</v>
      </c>
      <c r="B27" s="181"/>
      <c r="C27" s="181"/>
      <c r="D27" s="66"/>
      <c r="E27" s="66"/>
      <c r="F27" s="66"/>
      <c r="G27" s="86"/>
      <c r="H27" s="86"/>
      <c r="I27" s="66"/>
      <c r="J27" s="66"/>
      <c r="K27" s="66"/>
      <c r="L27" s="181"/>
      <c r="M27" s="66"/>
      <c r="N27" s="66"/>
      <c r="O27" s="182"/>
      <c r="P27" s="86"/>
      <c r="Q27" s="86"/>
    </row>
    <row r="28">
      <c r="A28" s="2">
        <v>6861.0</v>
      </c>
      <c r="B28" s="181"/>
      <c r="C28" s="181"/>
      <c r="D28" s="66"/>
      <c r="E28" s="66"/>
      <c r="F28" s="66"/>
      <c r="G28" s="86"/>
      <c r="H28" s="86"/>
      <c r="I28" s="66"/>
      <c r="J28" s="66"/>
      <c r="K28" s="66"/>
      <c r="L28" s="181"/>
      <c r="M28" s="66"/>
      <c r="N28" s="66"/>
      <c r="O28" s="86"/>
      <c r="P28" s="86"/>
      <c r="Q28" s="86"/>
    </row>
    <row r="29">
      <c r="A29" s="2">
        <v>7056.0</v>
      </c>
      <c r="B29" s="181"/>
      <c r="C29" s="181"/>
      <c r="D29" s="66"/>
      <c r="E29" s="66"/>
      <c r="F29" s="66"/>
      <c r="G29" s="86"/>
      <c r="H29" s="86"/>
      <c r="I29" s="66"/>
      <c r="J29" s="66"/>
      <c r="K29" s="66"/>
      <c r="L29" s="181"/>
      <c r="M29" s="66"/>
      <c r="N29" s="66"/>
      <c r="O29" s="182"/>
      <c r="P29" s="86"/>
      <c r="Q29" s="86"/>
    </row>
    <row r="30">
      <c r="A30" s="2">
        <v>7211.0</v>
      </c>
      <c r="B30" s="181"/>
      <c r="C30" s="181"/>
      <c r="D30" s="66"/>
      <c r="E30" s="66"/>
      <c r="F30" s="66"/>
      <c r="G30" s="86"/>
      <c r="H30" s="86"/>
      <c r="I30" s="66"/>
      <c r="J30" s="66"/>
      <c r="K30" s="66"/>
      <c r="L30" s="181"/>
      <c r="M30" s="66"/>
      <c r="N30" s="66"/>
      <c r="O30" s="182"/>
      <c r="P30" s="86"/>
      <c r="Q30" s="86"/>
    </row>
    <row r="31">
      <c r="A31" s="2">
        <v>7225.0</v>
      </c>
      <c r="B31" s="181"/>
      <c r="C31" s="181"/>
      <c r="D31" s="66"/>
      <c r="E31" s="66"/>
      <c r="F31" s="66"/>
      <c r="G31" s="86"/>
      <c r="H31" s="86"/>
      <c r="I31" s="66"/>
      <c r="J31" s="66"/>
      <c r="K31" s="66"/>
      <c r="L31" s="181"/>
      <c r="M31" s="66"/>
      <c r="N31" s="66"/>
      <c r="O31" s="86"/>
      <c r="P31" s="182"/>
      <c r="Q31" s="86"/>
    </row>
    <row r="32">
      <c r="A32" s="2">
        <v>7491.0</v>
      </c>
      <c r="B32" s="181"/>
      <c r="C32" s="181"/>
      <c r="D32" s="66"/>
      <c r="E32" s="66"/>
      <c r="F32" s="66"/>
      <c r="G32" s="86"/>
      <c r="H32" s="86"/>
      <c r="I32" s="66"/>
      <c r="J32" s="66"/>
      <c r="K32" s="66"/>
      <c r="L32" s="181"/>
      <c r="M32" s="66"/>
      <c r="N32" s="66"/>
      <c r="O32" s="182"/>
      <c r="P32" s="86"/>
      <c r="Q32" s="86"/>
    </row>
    <row r="33">
      <c r="A33" s="2">
        <v>7769.0</v>
      </c>
    </row>
    <row r="34">
      <c r="A34" s="2">
        <v>7823.0</v>
      </c>
    </row>
    <row r="35">
      <c r="A35" s="2">
        <v>8096.0</v>
      </c>
    </row>
    <row r="36">
      <c r="A36" s="2">
        <v>8145.0</v>
      </c>
    </row>
    <row r="37">
      <c r="A37" s="2">
        <v>8222.0</v>
      </c>
    </row>
    <row r="38">
      <c r="A38" s="2">
        <v>8243.0</v>
      </c>
    </row>
    <row r="39">
      <c r="A39" s="2">
        <v>8280.0</v>
      </c>
    </row>
    <row r="40">
      <c r="A40" s="2">
        <v>9999.0</v>
      </c>
    </row>
  </sheetData>
  <autoFilter ref="$A$1:$P$1001">
    <sortState ref="A1:P1001">
      <sortCondition ref="A1:A1001"/>
    </sortState>
  </autoFilter>
  <drawing r:id="rId1"/>
</worksheet>
</file>