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atihan\Latihan Excel\"/>
    </mc:Choice>
  </mc:AlternateContent>
  <xr:revisionPtr revIDLastSave="0" documentId="13_ncr:1_{BAA9D64D-CC80-4491-8918-9D42734B009D}" xr6:coauthVersionLast="47" xr6:coauthVersionMax="47" xr10:uidLastSave="{00000000-0000-0000-0000-000000000000}"/>
  <bookViews>
    <workbookView xWindow="-120" yWindow="16080" windowWidth="29040" windowHeight="16440" activeTab="12" xr2:uid="{00000000-000D-0000-FFFF-FFFF00000000}"/>
  </bookViews>
  <sheets>
    <sheet name="1" sheetId="7" r:id="rId1"/>
    <sheet name="2" sheetId="8" r:id="rId2"/>
    <sheet name="3" sheetId="14" r:id="rId3"/>
    <sheet name="4" sheetId="1" r:id="rId4"/>
    <sheet name="5" sheetId="2" r:id="rId5"/>
    <sheet name="6" sheetId="3" r:id="rId6"/>
    <sheet name="7" sheetId="4" r:id="rId7"/>
    <sheet name="8" sheetId="5" r:id="rId8"/>
    <sheet name="9" sheetId="6" r:id="rId9"/>
    <sheet name="10" sheetId="9" r:id="rId10"/>
    <sheet name="11" sheetId="10" r:id="rId11"/>
    <sheet name="12" sheetId="12" r:id="rId12"/>
    <sheet name="13" sheetId="13" r:id="rId13"/>
  </sheets>
  <definedNames>
    <definedName name="_xlnm.Print_Area" localSheetId="3">'4'!$A$1:$J$23</definedName>
    <definedName name="TABELASURANSI">'4'!$G$16:$I$17</definedName>
    <definedName name="TABELGAJI">'4'!$A$17:$E$20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3" l="1"/>
  <c r="I15" i="10"/>
  <c r="I14" i="10"/>
  <c r="I13" i="10"/>
  <c r="I12" i="10"/>
  <c r="I7" i="10"/>
  <c r="I8" i="10"/>
  <c r="I9" i="10"/>
  <c r="I10" i="10"/>
  <c r="I11" i="10"/>
  <c r="G8" i="10"/>
  <c r="G9" i="10"/>
  <c r="G10" i="10"/>
  <c r="G11" i="10"/>
  <c r="H8" i="10"/>
  <c r="H9" i="10"/>
  <c r="H10" i="10"/>
  <c r="H11" i="10"/>
  <c r="H7" i="10"/>
  <c r="G7" i="10"/>
  <c r="F8" i="10"/>
  <c r="F9" i="10"/>
  <c r="F10" i="10"/>
  <c r="F11" i="10"/>
  <c r="F7" i="10"/>
  <c r="D8" i="10"/>
  <c r="D9" i="10"/>
  <c r="D10" i="10"/>
  <c r="D11" i="10"/>
  <c r="D7" i="10"/>
  <c r="I15" i="9"/>
  <c r="I14" i="9"/>
  <c r="I13" i="9"/>
  <c r="I12" i="9"/>
  <c r="I8" i="9"/>
  <c r="I9" i="9"/>
  <c r="I10" i="9"/>
  <c r="I11" i="9"/>
  <c r="I7" i="9"/>
  <c r="H8" i="9"/>
  <c r="H9" i="9"/>
  <c r="H10" i="9"/>
  <c r="H11" i="9"/>
  <c r="H7" i="9"/>
  <c r="G8" i="9"/>
  <c r="G9" i="9"/>
  <c r="G10" i="9"/>
  <c r="G11" i="9"/>
  <c r="G7" i="9"/>
  <c r="F8" i="9"/>
  <c r="F9" i="9"/>
  <c r="F10" i="9"/>
  <c r="F11" i="9"/>
  <c r="F7" i="9"/>
  <c r="D8" i="9"/>
  <c r="D9" i="9"/>
  <c r="D10" i="9"/>
  <c r="D11" i="9"/>
  <c r="D7" i="9"/>
  <c r="J12" i="5"/>
  <c r="J6" i="5"/>
  <c r="J7" i="5"/>
  <c r="J8" i="5"/>
  <c r="J9" i="5"/>
  <c r="J10" i="5"/>
  <c r="J11" i="5"/>
  <c r="J5" i="5"/>
  <c r="I6" i="5"/>
  <c r="I7" i="5"/>
  <c r="I8" i="5"/>
  <c r="I9" i="5"/>
  <c r="I10" i="5"/>
  <c r="I11" i="5"/>
  <c r="I5" i="5"/>
  <c r="H6" i="5"/>
  <c r="H7" i="5"/>
  <c r="H8" i="5"/>
  <c r="H9" i="5"/>
  <c r="H10" i="5"/>
  <c r="H11" i="5"/>
  <c r="H5" i="5"/>
  <c r="E6" i="5" a="1"/>
  <c r="E6" i="5"/>
  <c r="F6" i="5" a="1"/>
  <c r="F6" i="5"/>
  <c r="G6" i="5" a="1"/>
  <c r="G6" i="5"/>
  <c r="E7" i="5" a="1"/>
  <c r="E7" i="5"/>
  <c r="F7" i="5" a="1"/>
  <c r="F7" i="5"/>
  <c r="G7" i="5" a="1"/>
  <c r="G7" i="5"/>
  <c r="E8" i="5" a="1"/>
  <c r="E8" i="5"/>
  <c r="F8" i="5" a="1"/>
  <c r="F8" i="5"/>
  <c r="G8" i="5" a="1"/>
  <c r="G8" i="5"/>
  <c r="E9" i="5" a="1"/>
  <c r="E9" i="5"/>
  <c r="F9" i="5" a="1"/>
  <c r="F9" i="5"/>
  <c r="G9" i="5" a="1"/>
  <c r="G9" i="5"/>
  <c r="E10" i="5" a="1"/>
  <c r="E10" i="5"/>
  <c r="F10" i="5" a="1"/>
  <c r="F10" i="5"/>
  <c r="G10" i="5" a="1"/>
  <c r="G10" i="5"/>
  <c r="E11" i="5" a="1"/>
  <c r="E11" i="5"/>
  <c r="F11" i="5" a="1"/>
  <c r="F11" i="5"/>
  <c r="G11" i="5" a="1"/>
  <c r="G11" i="5"/>
  <c r="F5" i="5" a="1"/>
  <c r="F5" i="5" s="1"/>
  <c r="G5" i="5" a="1"/>
  <c r="G5" i="5" s="1"/>
  <c r="E5" i="5" a="1"/>
  <c r="E5" i="5"/>
  <c r="L14" i="4"/>
  <c r="L13" i="4"/>
  <c r="L12" i="4"/>
  <c r="L11" i="4"/>
  <c r="L5" i="4"/>
  <c r="L6" i="4"/>
  <c r="L7" i="4"/>
  <c r="L8" i="4"/>
  <c r="L9" i="4"/>
  <c r="L10" i="4"/>
  <c r="L4" i="4"/>
  <c r="J5" i="4"/>
  <c r="K5" i="4"/>
  <c r="J6" i="4"/>
  <c r="K6" i="4"/>
  <c r="J7" i="4"/>
  <c r="K7" i="4"/>
  <c r="J8" i="4"/>
  <c r="K8" i="4"/>
  <c r="J9" i="4"/>
  <c r="K9" i="4"/>
  <c r="J10" i="4"/>
  <c r="K10" i="4"/>
  <c r="K4" i="4"/>
  <c r="J4" i="4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I4" i="4"/>
  <c r="H4" i="4"/>
  <c r="G4" i="4"/>
  <c r="F4" i="4"/>
  <c r="E5" i="4"/>
  <c r="E6" i="4"/>
  <c r="E7" i="4"/>
  <c r="E8" i="4"/>
  <c r="E9" i="4"/>
  <c r="E10" i="4"/>
  <c r="E4" i="4"/>
  <c r="D5" i="4"/>
  <c r="D6" i="4"/>
  <c r="D7" i="4"/>
  <c r="D8" i="4"/>
  <c r="D9" i="4"/>
  <c r="D10" i="4"/>
  <c r="D4" i="4"/>
  <c r="C5" i="4"/>
  <c r="C6" i="4"/>
  <c r="C7" i="4"/>
  <c r="C8" i="4"/>
  <c r="C9" i="4"/>
  <c r="C10" i="4"/>
  <c r="C4" i="4"/>
  <c r="G11" i="3"/>
  <c r="G7" i="3"/>
  <c r="G8" i="3"/>
  <c r="G9" i="3"/>
  <c r="G10" i="3"/>
  <c r="G6" i="3"/>
  <c r="F7" i="3"/>
  <c r="F8" i="3"/>
  <c r="F9" i="3"/>
  <c r="F10" i="3"/>
  <c r="F6" i="3"/>
  <c r="E7" i="3"/>
  <c r="E8" i="3"/>
  <c r="E9" i="3"/>
  <c r="E10" i="3"/>
  <c r="E6" i="3"/>
  <c r="C6" i="3"/>
  <c r="C7" i="3"/>
  <c r="C8" i="3"/>
  <c r="C9" i="3"/>
  <c r="C10" i="3"/>
  <c r="K5" i="2"/>
  <c r="K6" i="2"/>
  <c r="K7" i="2"/>
  <c r="K8" i="2"/>
  <c r="K9" i="2"/>
  <c r="K10" i="2"/>
  <c r="K4" i="2"/>
  <c r="J5" i="2"/>
  <c r="J6" i="2"/>
  <c r="J7" i="2"/>
  <c r="J8" i="2"/>
  <c r="J9" i="2"/>
  <c r="J10" i="2"/>
  <c r="J4" i="2"/>
  <c r="I5" i="2"/>
  <c r="I6" i="2"/>
  <c r="I7" i="2"/>
  <c r="I8" i="2"/>
  <c r="I9" i="2"/>
  <c r="I10" i="2"/>
  <c r="I4" i="2"/>
  <c r="H5" i="2"/>
  <c r="H6" i="2"/>
  <c r="H7" i="2"/>
  <c r="H8" i="2"/>
  <c r="H9" i="2"/>
  <c r="H10" i="2"/>
  <c r="H4" i="2"/>
  <c r="G5" i="2"/>
  <c r="G6" i="2"/>
  <c r="G7" i="2"/>
  <c r="G8" i="2"/>
  <c r="G9" i="2"/>
  <c r="G10" i="2"/>
  <c r="G4" i="2"/>
  <c r="F5" i="2"/>
  <c r="F6" i="2"/>
  <c r="F7" i="2"/>
  <c r="F8" i="2"/>
  <c r="F9" i="2"/>
  <c r="F10" i="2"/>
  <c r="F4" i="2"/>
  <c r="E5" i="2"/>
  <c r="E6" i="2"/>
  <c r="E7" i="2"/>
  <c r="E8" i="2"/>
  <c r="E9" i="2"/>
  <c r="E10" i="2"/>
  <c r="E4" i="2"/>
  <c r="N8" i="14"/>
  <c r="N9" i="14"/>
  <c r="N10" i="14"/>
  <c r="N11" i="14"/>
  <c r="N12" i="14"/>
  <c r="N13" i="14"/>
  <c r="N14" i="14"/>
  <c r="N15" i="14"/>
  <c r="N16" i="14"/>
  <c r="N7" i="14"/>
  <c r="M8" i="14"/>
  <c r="M9" i="14"/>
  <c r="M10" i="14"/>
  <c r="M11" i="14"/>
  <c r="M12" i="14"/>
  <c r="M13" i="14"/>
  <c r="M14" i="14"/>
  <c r="M15" i="14"/>
  <c r="M16" i="14"/>
  <c r="M7" i="14"/>
  <c r="L8" i="14"/>
  <c r="L9" i="14"/>
  <c r="L10" i="14"/>
  <c r="L11" i="14"/>
  <c r="L12" i="14"/>
  <c r="L13" i="14"/>
  <c r="L14" i="14"/>
  <c r="L15" i="14"/>
  <c r="L16" i="14"/>
  <c r="L7" i="14"/>
  <c r="K8" i="14"/>
  <c r="K9" i="14"/>
  <c r="K10" i="14"/>
  <c r="K11" i="14"/>
  <c r="K12" i="14"/>
  <c r="K13" i="14"/>
  <c r="K14" i="14"/>
  <c r="K15" i="14"/>
  <c r="K16" i="14"/>
  <c r="K7" i="14"/>
  <c r="J8" i="14"/>
  <c r="J9" i="14"/>
  <c r="J10" i="14"/>
  <c r="J11" i="14"/>
  <c r="J12" i="14"/>
  <c r="J13" i="14"/>
  <c r="J14" i="14"/>
  <c r="J15" i="14"/>
  <c r="J16" i="14"/>
  <c r="J7" i="14"/>
  <c r="I8" i="14"/>
  <c r="I9" i="14"/>
  <c r="I10" i="14"/>
  <c r="I11" i="14"/>
  <c r="I12" i="14"/>
  <c r="I13" i="14"/>
  <c r="I14" i="14"/>
  <c r="I15" i="14"/>
  <c r="I16" i="14"/>
  <c r="I7" i="14"/>
  <c r="G8" i="14"/>
  <c r="G9" i="14"/>
  <c r="G10" i="14"/>
  <c r="G11" i="14"/>
  <c r="G12" i="14"/>
  <c r="G13" i="14"/>
  <c r="G14" i="14"/>
  <c r="G15" i="14"/>
  <c r="G16" i="14"/>
  <c r="G7" i="14"/>
  <c r="F8" i="14"/>
  <c r="F9" i="14"/>
  <c r="F10" i="14"/>
  <c r="F11" i="14"/>
  <c r="F12" i="14"/>
  <c r="F13" i="14"/>
  <c r="F14" i="14"/>
  <c r="F15" i="14"/>
  <c r="F16" i="14"/>
  <c r="F7" i="14"/>
  <c r="H8" i="14"/>
  <c r="H9" i="14"/>
  <c r="H10" i="14"/>
  <c r="H11" i="14"/>
  <c r="H12" i="14"/>
  <c r="H13" i="14"/>
  <c r="H14" i="14"/>
  <c r="H15" i="14"/>
  <c r="H16" i="14"/>
  <c r="H7" i="14"/>
  <c r="H12" i="12"/>
  <c r="H11" i="12"/>
  <c r="H10" i="12"/>
  <c r="H9" i="12"/>
  <c r="H8" i="12"/>
  <c r="H7" i="12"/>
  <c r="H6" i="12"/>
  <c r="H5" i="12"/>
  <c r="H4" i="12"/>
  <c r="H3" i="12"/>
  <c r="G4" i="12"/>
  <c r="G5" i="12"/>
  <c r="G6" i="12"/>
  <c r="G7" i="12"/>
  <c r="G8" i="12"/>
  <c r="G9" i="12"/>
  <c r="G10" i="12"/>
  <c r="G11" i="12"/>
  <c r="G12" i="12"/>
  <c r="G3" i="12"/>
  <c r="F4" i="12"/>
  <c r="F5" i="12"/>
  <c r="F6" i="12"/>
  <c r="F7" i="12"/>
  <c r="F8" i="12"/>
  <c r="F9" i="12"/>
  <c r="F10" i="12"/>
  <c r="F11" i="12"/>
  <c r="F12" i="12"/>
  <c r="F3" i="12"/>
  <c r="K3" i="6"/>
  <c r="C25" i="8" l="1"/>
  <c r="C24" i="8"/>
  <c r="C23" i="8"/>
  <c r="J7" i="8"/>
  <c r="H7" i="8"/>
  <c r="I7" i="8" s="1"/>
  <c r="C3" i="8"/>
  <c r="G16" i="8" s="1"/>
  <c r="H8" i="1"/>
  <c r="H9" i="1"/>
  <c r="H10" i="1"/>
  <c r="H11" i="1"/>
  <c r="H7" i="1"/>
  <c r="E8" i="1"/>
  <c r="E9" i="1"/>
  <c r="E10" i="1"/>
  <c r="E11" i="1"/>
  <c r="E7" i="1"/>
  <c r="F13" i="8" l="1"/>
  <c r="G7" i="8"/>
  <c r="G13" i="8"/>
  <c r="E12" i="8"/>
  <c r="J12" i="8" s="1"/>
  <c r="F14" i="8"/>
  <c r="G14" i="8"/>
  <c r="E11" i="8"/>
  <c r="J11" i="8" s="1"/>
  <c r="G15" i="8"/>
  <c r="F12" i="8"/>
  <c r="E13" i="8"/>
  <c r="J13" i="8" s="1"/>
  <c r="K7" i="8"/>
  <c r="E10" i="8"/>
  <c r="F11" i="8"/>
  <c r="G12" i="8"/>
  <c r="E18" i="8"/>
  <c r="E9" i="8"/>
  <c r="F10" i="8"/>
  <c r="G11" i="8"/>
  <c r="E17" i="8"/>
  <c r="F18" i="8"/>
  <c r="E8" i="8"/>
  <c r="F9" i="8"/>
  <c r="G10" i="8"/>
  <c r="E16" i="8"/>
  <c r="F17" i="8"/>
  <c r="G18" i="8"/>
  <c r="F8" i="8"/>
  <c r="G9" i="8"/>
  <c r="E15" i="8"/>
  <c r="F16" i="8"/>
  <c r="G17" i="8"/>
  <c r="F7" i="8"/>
  <c r="G8" i="8"/>
  <c r="E14" i="8"/>
  <c r="F15" i="8"/>
  <c r="H12" i="8" l="1"/>
  <c r="I12" i="8" s="1"/>
  <c r="K12" i="8" s="1"/>
  <c r="H13" i="8"/>
  <c r="I13" i="8" s="1"/>
  <c r="K13" i="8" s="1"/>
  <c r="H11" i="8"/>
  <c r="I11" i="8" s="1"/>
  <c r="K11" i="8" s="1"/>
  <c r="J8" i="8"/>
  <c r="H8" i="8"/>
  <c r="I8" i="8" s="1"/>
  <c r="H10" i="8"/>
  <c r="I10" i="8" s="1"/>
  <c r="J10" i="8"/>
  <c r="H14" i="8"/>
  <c r="I14" i="8" s="1"/>
  <c r="J14" i="8"/>
  <c r="H17" i="8"/>
  <c r="I17" i="8" s="1"/>
  <c r="J17" i="8"/>
  <c r="J16" i="8"/>
  <c r="H16" i="8"/>
  <c r="I16" i="8" s="1"/>
  <c r="H9" i="8"/>
  <c r="I9" i="8" s="1"/>
  <c r="J9" i="8"/>
  <c r="J15" i="8"/>
  <c r="H15" i="8"/>
  <c r="I15" i="8" s="1"/>
  <c r="H18" i="8"/>
  <c r="I18" i="8" s="1"/>
  <c r="J18" i="8"/>
  <c r="K10" i="8" l="1"/>
  <c r="K9" i="8"/>
  <c r="K18" i="8"/>
  <c r="K17" i="8"/>
  <c r="K14" i="8"/>
  <c r="K15" i="8"/>
  <c r="K16" i="8"/>
  <c r="K8" i="8"/>
  <c r="D25" i="8" s="1"/>
  <c r="H51" i="7"/>
  <c r="F51" i="7"/>
  <c r="D51" i="7"/>
  <c r="C51" i="7"/>
  <c r="B51" i="7"/>
  <c r="F50" i="7"/>
  <c r="H50" i="7" s="1"/>
  <c r="D50" i="7"/>
  <c r="C50" i="7"/>
  <c r="B50" i="7"/>
  <c r="H49" i="7"/>
  <c r="F49" i="7"/>
  <c r="D49" i="7"/>
  <c r="C49" i="7"/>
  <c r="B49" i="7"/>
  <c r="H48" i="7"/>
  <c r="F48" i="7"/>
  <c r="D48" i="7"/>
  <c r="C48" i="7"/>
  <c r="B48" i="7"/>
  <c r="F47" i="7"/>
  <c r="H47" i="7" s="1"/>
  <c r="D47" i="7"/>
  <c r="C47" i="7"/>
  <c r="B47" i="7"/>
  <c r="F46" i="7"/>
  <c r="H46" i="7" s="1"/>
  <c r="D46" i="7"/>
  <c r="C46" i="7"/>
  <c r="B46" i="7"/>
  <c r="F45" i="7"/>
  <c r="H45" i="7" s="1"/>
  <c r="D45" i="7"/>
  <c r="C45" i="7"/>
  <c r="B45" i="7"/>
  <c r="F44" i="7"/>
  <c r="H44" i="7" s="1"/>
  <c r="D44" i="7"/>
  <c r="C44" i="7"/>
  <c r="B44" i="7"/>
  <c r="H43" i="7"/>
  <c r="F43" i="7"/>
  <c r="D43" i="7"/>
  <c r="C43" i="7"/>
  <c r="B43" i="7"/>
  <c r="F42" i="7"/>
  <c r="H42" i="7" s="1"/>
  <c r="D42" i="7"/>
  <c r="C42" i="7"/>
  <c r="B42" i="7"/>
  <c r="H41" i="7"/>
  <c r="F41" i="7"/>
  <c r="D41" i="7"/>
  <c r="C41" i="7"/>
  <c r="B41" i="7"/>
  <c r="H40" i="7"/>
  <c r="F40" i="7"/>
  <c r="D40" i="7"/>
  <c r="C40" i="7"/>
  <c r="B40" i="7"/>
  <c r="F39" i="7"/>
  <c r="H39" i="7" s="1"/>
  <c r="D39" i="7"/>
  <c r="C39" i="7"/>
  <c r="B39" i="7"/>
  <c r="F38" i="7"/>
  <c r="H38" i="7" s="1"/>
  <c r="D38" i="7"/>
  <c r="C38" i="7"/>
  <c r="B38" i="7"/>
  <c r="F37" i="7"/>
  <c r="H37" i="7" s="1"/>
  <c r="D37" i="7"/>
  <c r="C37" i="7"/>
  <c r="B37" i="7"/>
  <c r="F36" i="7"/>
  <c r="H36" i="7" s="1"/>
  <c r="D36" i="7"/>
  <c r="C36" i="7"/>
  <c r="B36" i="7"/>
  <c r="H35" i="7"/>
  <c r="F35" i="7"/>
  <c r="D35" i="7"/>
  <c r="C35" i="7"/>
  <c r="B35" i="7"/>
  <c r="F34" i="7"/>
  <c r="H34" i="7" s="1"/>
  <c r="D34" i="7"/>
  <c r="C34" i="7"/>
  <c r="B34" i="7"/>
  <c r="H33" i="7"/>
  <c r="F33" i="7"/>
  <c r="D33" i="7"/>
  <c r="C33" i="7"/>
  <c r="B33" i="7"/>
  <c r="H32" i="7"/>
  <c r="F32" i="7"/>
  <c r="D32" i="7"/>
  <c r="C32" i="7"/>
  <c r="B32" i="7"/>
  <c r="F31" i="7"/>
  <c r="H31" i="7" s="1"/>
  <c r="D31" i="7"/>
  <c r="C31" i="7"/>
  <c r="B31" i="7"/>
  <c r="F30" i="7"/>
  <c r="H30" i="7" s="1"/>
  <c r="D30" i="7"/>
  <c r="C30" i="7"/>
  <c r="B30" i="7"/>
  <c r="F29" i="7"/>
  <c r="H29" i="7" s="1"/>
  <c r="D29" i="7"/>
  <c r="C29" i="7"/>
  <c r="B29" i="7"/>
  <c r="F28" i="7"/>
  <c r="H28" i="7" s="1"/>
  <c r="D28" i="7"/>
  <c r="C28" i="7"/>
  <c r="B28" i="7"/>
  <c r="H27" i="7"/>
  <c r="F27" i="7"/>
  <c r="D27" i="7"/>
  <c r="C27" i="7"/>
  <c r="B27" i="7"/>
  <c r="F26" i="7"/>
  <c r="H26" i="7" s="1"/>
  <c r="D26" i="7"/>
  <c r="C26" i="7"/>
  <c r="B26" i="7"/>
  <c r="H25" i="7"/>
  <c r="F25" i="7"/>
  <c r="D25" i="7"/>
  <c r="C25" i="7"/>
  <c r="B25" i="7"/>
  <c r="F24" i="7"/>
  <c r="H24" i="7" s="1"/>
  <c r="D24" i="7"/>
  <c r="C24" i="7"/>
  <c r="B24" i="7"/>
  <c r="F23" i="7"/>
  <c r="H23" i="7" s="1"/>
  <c r="D23" i="7"/>
  <c r="C23" i="7"/>
  <c r="B23" i="7"/>
  <c r="F22" i="7"/>
  <c r="H22" i="7" s="1"/>
  <c r="D22" i="7"/>
  <c r="C22" i="7"/>
  <c r="B22" i="7"/>
  <c r="F21" i="7"/>
  <c r="H21" i="7" s="1"/>
  <c r="D21" i="7"/>
  <c r="C21" i="7"/>
  <c r="B21" i="7"/>
  <c r="F20" i="7"/>
  <c r="H20" i="7" s="1"/>
  <c r="D20" i="7"/>
  <c r="C20" i="7"/>
  <c r="B20" i="7"/>
  <c r="H19" i="7"/>
  <c r="F19" i="7"/>
  <c r="D19" i="7"/>
  <c r="C19" i="7"/>
  <c r="B19" i="7"/>
  <c r="F18" i="7"/>
  <c r="H18" i="7" s="1"/>
  <c r="D18" i="7"/>
  <c r="C18" i="7"/>
  <c r="B18" i="7"/>
  <c r="H17" i="7"/>
  <c r="F17" i="7"/>
  <c r="D17" i="7"/>
  <c r="C17" i="7"/>
  <c r="B17" i="7"/>
  <c r="F16" i="7"/>
  <c r="H16" i="7" s="1"/>
  <c r="D16" i="7"/>
  <c r="C16" i="7"/>
  <c r="B16" i="7"/>
  <c r="F15" i="7"/>
  <c r="H15" i="7" s="1"/>
  <c r="D15" i="7"/>
  <c r="C15" i="7"/>
  <c r="B15" i="7"/>
  <c r="H14" i="7"/>
  <c r="F14" i="7"/>
  <c r="D14" i="7"/>
  <c r="C14" i="7"/>
  <c r="B14" i="7"/>
  <c r="H13" i="7"/>
  <c r="F13" i="7"/>
  <c r="D13" i="7"/>
  <c r="C13" i="7"/>
  <c r="B13" i="7"/>
  <c r="F12" i="7"/>
  <c r="H12" i="7" s="1"/>
  <c r="D12" i="7"/>
  <c r="C12" i="7"/>
  <c r="B12" i="7"/>
  <c r="F11" i="7"/>
  <c r="H11" i="7" s="1"/>
  <c r="D11" i="7"/>
  <c r="C11" i="7"/>
  <c r="B11" i="7"/>
  <c r="F10" i="7"/>
  <c r="H10" i="7" s="1"/>
  <c r="D10" i="7"/>
  <c r="C10" i="7"/>
  <c r="B10" i="7"/>
  <c r="F9" i="7"/>
  <c r="H9" i="7" s="1"/>
  <c r="D9" i="7"/>
  <c r="C9" i="7"/>
  <c r="B9" i="7"/>
  <c r="F8" i="7"/>
  <c r="H8" i="7" s="1"/>
  <c r="D8" i="7"/>
  <c r="C8" i="7"/>
  <c r="B8" i="7"/>
  <c r="H7" i="7"/>
  <c r="F7" i="7"/>
  <c r="D7" i="7"/>
  <c r="C7" i="7"/>
  <c r="B7" i="7"/>
  <c r="F6" i="7"/>
  <c r="H6" i="7" s="1"/>
  <c r="D6" i="7"/>
  <c r="C6" i="7"/>
  <c r="B6" i="7"/>
  <c r="H5" i="7"/>
  <c r="F5" i="7"/>
  <c r="D5" i="7"/>
  <c r="C5" i="7"/>
  <c r="B5" i="7"/>
  <c r="I47" i="6"/>
  <c r="J47" i="6" s="1"/>
  <c r="K47" i="6" s="1"/>
  <c r="I46" i="6"/>
  <c r="J46" i="6" s="1"/>
  <c r="K46" i="6" s="1"/>
  <c r="J45" i="6"/>
  <c r="K45" i="6" s="1"/>
  <c r="I45" i="6"/>
  <c r="I44" i="6"/>
  <c r="J44" i="6" s="1"/>
  <c r="K44" i="6" s="1"/>
  <c r="I43" i="6"/>
  <c r="J43" i="6" s="1"/>
  <c r="K43" i="6" s="1"/>
  <c r="K42" i="6"/>
  <c r="J42" i="6"/>
  <c r="I42" i="6"/>
  <c r="J41" i="6"/>
  <c r="K41" i="6" s="1"/>
  <c r="I41" i="6"/>
  <c r="I40" i="6"/>
  <c r="J40" i="6" s="1"/>
  <c r="K40" i="6" s="1"/>
  <c r="I39" i="6"/>
  <c r="J39" i="6" s="1"/>
  <c r="K39" i="6" s="1"/>
  <c r="I38" i="6"/>
  <c r="J38" i="6" s="1"/>
  <c r="K38" i="6" s="1"/>
  <c r="J37" i="6"/>
  <c r="K37" i="6" s="1"/>
  <c r="I37" i="6"/>
  <c r="I36" i="6"/>
  <c r="J36" i="6" s="1"/>
  <c r="K36" i="6" s="1"/>
  <c r="I35" i="6"/>
  <c r="J35" i="6" s="1"/>
  <c r="K35" i="6" s="1"/>
  <c r="K34" i="6"/>
  <c r="J34" i="6"/>
  <c r="I34" i="6"/>
  <c r="J33" i="6"/>
  <c r="K33" i="6" s="1"/>
  <c r="I33" i="6"/>
  <c r="I32" i="6"/>
  <c r="J32" i="6" s="1"/>
  <c r="K32" i="6" s="1"/>
  <c r="I31" i="6"/>
  <c r="J31" i="6" s="1"/>
  <c r="K31" i="6" s="1"/>
  <c r="I30" i="6"/>
  <c r="J30" i="6" s="1"/>
  <c r="K30" i="6" s="1"/>
  <c r="J29" i="6"/>
  <c r="K29" i="6" s="1"/>
  <c r="I29" i="6"/>
  <c r="I28" i="6"/>
  <c r="J28" i="6" s="1"/>
  <c r="K28" i="6" s="1"/>
  <c r="I27" i="6"/>
  <c r="J27" i="6" s="1"/>
  <c r="K27" i="6" s="1"/>
  <c r="K26" i="6"/>
  <c r="J26" i="6"/>
  <c r="I26" i="6"/>
  <c r="J25" i="6"/>
  <c r="K25" i="6" s="1"/>
  <c r="I25" i="6"/>
  <c r="I24" i="6"/>
  <c r="J24" i="6" s="1"/>
  <c r="K24" i="6" s="1"/>
  <c r="I23" i="6"/>
  <c r="J23" i="6" s="1"/>
  <c r="K23" i="6" s="1"/>
  <c r="I22" i="6"/>
  <c r="J22" i="6" s="1"/>
  <c r="K22" i="6" s="1"/>
  <c r="J21" i="6"/>
  <c r="K21" i="6" s="1"/>
  <c r="I21" i="6"/>
  <c r="I20" i="6"/>
  <c r="J20" i="6" s="1"/>
  <c r="K20" i="6" s="1"/>
  <c r="I19" i="6"/>
  <c r="J19" i="6" s="1"/>
  <c r="K19" i="6" s="1"/>
  <c r="K18" i="6"/>
  <c r="J18" i="6"/>
  <c r="I18" i="6"/>
  <c r="J17" i="6"/>
  <c r="K17" i="6" s="1"/>
  <c r="I17" i="6"/>
  <c r="I16" i="6"/>
  <c r="J16" i="6" s="1"/>
  <c r="K16" i="6" s="1"/>
  <c r="I15" i="6"/>
  <c r="J15" i="6" s="1"/>
  <c r="K15" i="6" s="1"/>
  <c r="I14" i="6"/>
  <c r="J14" i="6" s="1"/>
  <c r="K14" i="6" s="1"/>
  <c r="J13" i="6"/>
  <c r="K13" i="6" s="1"/>
  <c r="I13" i="6"/>
  <c r="I12" i="6"/>
  <c r="J12" i="6" s="1"/>
  <c r="K12" i="6" s="1"/>
  <c r="I11" i="6"/>
  <c r="J11" i="6" s="1"/>
  <c r="K11" i="6" s="1"/>
  <c r="K10" i="6"/>
  <c r="J10" i="6"/>
  <c r="I10" i="6"/>
  <c r="J9" i="6"/>
  <c r="K9" i="6" s="1"/>
  <c r="I9" i="6"/>
  <c r="I8" i="6"/>
  <c r="J8" i="6" s="1"/>
  <c r="K8" i="6" s="1"/>
  <c r="I7" i="6"/>
  <c r="J7" i="6" s="1"/>
  <c r="K7" i="6" s="1"/>
  <c r="I6" i="6"/>
  <c r="J6" i="6" s="1"/>
  <c r="K6" i="6" s="1"/>
  <c r="J5" i="6"/>
  <c r="K5" i="6" s="1"/>
  <c r="I5" i="6"/>
  <c r="I4" i="6"/>
  <c r="J4" i="6" s="1"/>
  <c r="K4" i="6" s="1"/>
  <c r="I3" i="6"/>
  <c r="J3" i="6" s="1"/>
  <c r="D23" i="8" l="1"/>
  <c r="D24" i="8"/>
  <c r="L12" i="7"/>
  <c r="L14" i="7"/>
  <c r="L13" i="7"/>
  <c r="L11" i="7"/>
  <c r="G12" i="1"/>
  <c r="H12" i="1"/>
  <c r="I12" i="1"/>
  <c r="J11" i="1"/>
  <c r="J7" i="1"/>
  <c r="I8" i="1"/>
  <c r="I9" i="1"/>
  <c r="I10" i="1"/>
  <c r="I11" i="1"/>
  <c r="I7" i="1"/>
  <c r="J8" i="1"/>
  <c r="J9" i="1"/>
  <c r="J10" i="1"/>
  <c r="F8" i="1"/>
  <c r="F9" i="1"/>
  <c r="F10" i="1"/>
  <c r="F11" i="1"/>
  <c r="F7" i="1"/>
  <c r="D8" i="1"/>
  <c r="G8" i="1" s="1"/>
  <c r="D9" i="1"/>
  <c r="G9" i="1" s="1"/>
  <c r="D10" i="1"/>
  <c r="G10" i="1" s="1"/>
  <c r="D11" i="1"/>
  <c r="G11" i="1" s="1"/>
  <c r="D7" i="1"/>
  <c r="J12" i="1" l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<sst xmlns="http://schemas.openxmlformats.org/spreadsheetml/2006/main" count="839" uniqueCount="618">
  <si>
    <t>DAFTAR GAJI KARYAWAN</t>
  </si>
  <si>
    <t xml:space="preserve">NO </t>
  </si>
  <si>
    <t>NAMA</t>
  </si>
  <si>
    <t>KODE</t>
  </si>
  <si>
    <t>JABATAN</t>
  </si>
  <si>
    <t>STATUS</t>
  </si>
  <si>
    <t>TUNJANGAN</t>
  </si>
  <si>
    <t>DR</t>
  </si>
  <si>
    <t>MJ</t>
  </si>
  <si>
    <t>AD</t>
  </si>
  <si>
    <t>OKTOBER 2022</t>
  </si>
  <si>
    <t>TAHUN MASUK</t>
  </si>
  <si>
    <t>GAJI POKOK</t>
  </si>
  <si>
    <t>GAJI BERSIH</t>
  </si>
  <si>
    <t>POTONGAN</t>
  </si>
  <si>
    <t>KAWIN (K)</t>
  </si>
  <si>
    <t>BELUM (B)</t>
  </si>
  <si>
    <t>Administrasi</t>
  </si>
  <si>
    <t>Direktur</t>
  </si>
  <si>
    <t>Manajemen</t>
  </si>
  <si>
    <t>Teknisi</t>
  </si>
  <si>
    <t>TK</t>
  </si>
  <si>
    <t>PT. PUSAT CARA CARA</t>
  </si>
  <si>
    <t>I. TABEL GAJI &amp; TUNJANGAN</t>
  </si>
  <si>
    <t>II. TABEL POTONGAN ASURANSI</t>
  </si>
  <si>
    <t>DR-K1.1995012</t>
  </si>
  <si>
    <t>TK-K2.2002003</t>
  </si>
  <si>
    <t>TK-B3.2000205</t>
  </si>
  <si>
    <t>MJ-K1.1997021</t>
  </si>
  <si>
    <t>AD-K2.1999312</t>
  </si>
  <si>
    <t>1</t>
  </si>
  <si>
    <t>2</t>
  </si>
  <si>
    <t>3</t>
  </si>
  <si>
    <t>TARIF PER KELAS</t>
  </si>
  <si>
    <t>Budhi Setyo</t>
  </si>
  <si>
    <t>Denny Damia</t>
  </si>
  <si>
    <t>Elsa Kamila</t>
  </si>
  <si>
    <t>Cindy Damayanthy</t>
  </si>
  <si>
    <t>JUMLAH</t>
  </si>
  <si>
    <t>J U M L A H</t>
  </si>
  <si>
    <t>Alafia Lanny</t>
  </si>
  <si>
    <t>ID KARYAWAN</t>
  </si>
  <si>
    <t>Diisi dengan mengambil referensi dari tabel gaji, berdasarkan kode JABATAN dan kode STATUS pada ID KARYAWAN</t>
  </si>
  <si>
    <t>Diisi dengan mengambil referensi pada tabel gaji berdasarkan kode JABATAN pada ID KARYAWAN</t>
  </si>
  <si>
    <t>Diisi dengan "Kawin" atau "Belum Kawin" berdasarkan kode STATUS (karakter ke-4) pada ID KARYAWAN</t>
  </si>
  <si>
    <t>Diisi dengan mengambil referensi dari tabel potongan asuransi, berdasarkan kode KELAS pada ID KARYAWAN</t>
  </si>
  <si>
    <t>Diisi dengan mengambil 4 karakter setelah "." pada ID KARYAWAN</t>
  </si>
  <si>
    <t>Diisi dengan mengambil referensi dari tabel gaji, berdasarkan kode JABATAN pada ID KARYAWAN</t>
  </si>
  <si>
    <t>Diisi dengan jumlah nilai dari atas sampai bawah pada setiap kolom</t>
  </si>
  <si>
    <t>Diisi dengan penjumlahan dari GAJI POKOK ditambah TUNJANGAN dikurangi POTONGAN</t>
  </si>
  <si>
    <t>DATA PEMBELIAN TIKET PESAWAT "BUMI AIR"</t>
  </si>
  <si>
    <t>NO</t>
  </si>
  <si>
    <t>KODE TIKET</t>
  </si>
  <si>
    <t>NAMA PENUMPANG</t>
  </si>
  <si>
    <t>TGL BERANGKAT</t>
  </si>
  <si>
    <t>RUTE</t>
  </si>
  <si>
    <t>KELAS</t>
  </si>
  <si>
    <t>HARGA TIKET</t>
  </si>
  <si>
    <t>MENU PAKET</t>
  </si>
  <si>
    <t>HARGA PAKET MENU</t>
  </si>
  <si>
    <t>DISKON</t>
  </si>
  <si>
    <t>HARGA TOTAL</t>
  </si>
  <si>
    <t>BBP1EX-001</t>
  </si>
  <si>
    <t>Maman</t>
  </si>
  <si>
    <t>AAP2EX-002</t>
  </si>
  <si>
    <t>Memen</t>
  </si>
  <si>
    <t>CCP1BI-003</t>
  </si>
  <si>
    <t>Mimin</t>
  </si>
  <si>
    <t>AAP3EC-004</t>
  </si>
  <si>
    <t>Momon</t>
  </si>
  <si>
    <t>BBP2BI-005</t>
  </si>
  <si>
    <t>Mumun</t>
  </si>
  <si>
    <t>CCP3EC-006</t>
  </si>
  <si>
    <t>Mamin</t>
  </si>
  <si>
    <t>AAP2BI-007</t>
  </si>
  <si>
    <t>Mamen</t>
  </si>
  <si>
    <t>TABEL TARIF</t>
  </si>
  <si>
    <t>TABEL KELAS</t>
  </si>
  <si>
    <t>Kode</t>
  </si>
  <si>
    <t>Rute</t>
  </si>
  <si>
    <t>Harga Tiket</t>
  </si>
  <si>
    <t>Ekonomi</t>
  </si>
  <si>
    <t>Bisnis</t>
  </si>
  <si>
    <t>Eksekutif</t>
  </si>
  <si>
    <t>EC</t>
  </si>
  <si>
    <t>AA</t>
  </si>
  <si>
    <t>Jakarta - Surabaya</t>
  </si>
  <si>
    <t>BI</t>
  </si>
  <si>
    <t>BB</t>
  </si>
  <si>
    <t>Jakarta - Yogyakarta</t>
  </si>
  <si>
    <t>EX</t>
  </si>
  <si>
    <t>CC</t>
  </si>
  <si>
    <t>Jakarta - Bandung</t>
  </si>
  <si>
    <t>DD</t>
  </si>
  <si>
    <t>Jakarta - Medan</t>
  </si>
  <si>
    <t>TABEL MENU</t>
  </si>
  <si>
    <t>P1</t>
  </si>
  <si>
    <t>P2</t>
  </si>
  <si>
    <t>P3</t>
  </si>
  <si>
    <t>Menu</t>
  </si>
  <si>
    <t>Paket OK</t>
  </si>
  <si>
    <t>Paket YES</t>
  </si>
  <si>
    <t>Paket HORE</t>
  </si>
  <si>
    <t>Harga</t>
  </si>
  <si>
    <t>INSTRUKSI</t>
  </si>
  <si>
    <r>
      <rPr>
        <b/>
        <sz val="11"/>
        <color theme="1"/>
        <rFont val="Calibri"/>
        <family val="2"/>
        <scheme val="minor"/>
      </rPr>
      <t>RUTE</t>
    </r>
    <r>
      <rPr>
        <sz val="11"/>
        <color theme="1"/>
        <rFont val="Calibri"/>
        <family val="2"/>
        <charset val="1"/>
        <scheme val="minor"/>
      </rPr>
      <t xml:space="preserve"> diambil dari 2 digit awal </t>
    </r>
    <r>
      <rPr>
        <b/>
        <sz val="11"/>
        <color theme="1"/>
        <rFont val="Calibri"/>
        <family val="2"/>
        <scheme val="minor"/>
      </rPr>
      <t>KODE TIKET</t>
    </r>
    <r>
      <rPr>
        <sz val="11"/>
        <color theme="1"/>
        <rFont val="Calibri"/>
        <family val="2"/>
        <charset val="1"/>
        <scheme val="minor"/>
      </rPr>
      <t xml:space="preserve">, dengan mengacu pada </t>
    </r>
    <r>
      <rPr>
        <b/>
        <sz val="11"/>
        <color theme="1"/>
        <rFont val="Calibri"/>
        <family val="2"/>
        <scheme val="minor"/>
      </rPr>
      <t>TABEL TARIF</t>
    </r>
  </si>
  <si>
    <r>
      <rPr>
        <b/>
        <sz val="11"/>
        <color theme="1"/>
        <rFont val="Calibri"/>
        <family val="2"/>
        <scheme val="minor"/>
      </rPr>
      <t>KELAS</t>
    </r>
    <r>
      <rPr>
        <sz val="11"/>
        <color theme="1"/>
        <rFont val="Calibri"/>
        <family val="2"/>
        <charset val="1"/>
        <scheme val="minor"/>
      </rPr>
      <t xml:space="preserve"> diambil dari digit ke 5 &amp; 6 pada </t>
    </r>
    <r>
      <rPr>
        <b/>
        <sz val="11"/>
        <color theme="1"/>
        <rFont val="Calibri"/>
        <family val="2"/>
        <scheme val="minor"/>
      </rPr>
      <t>KODE TIKET</t>
    </r>
    <r>
      <rPr>
        <sz val="11"/>
        <color theme="1"/>
        <rFont val="Calibri"/>
        <family val="2"/>
        <charset val="1"/>
        <scheme val="minor"/>
      </rPr>
      <t xml:space="preserve">, dengan mengacu pada </t>
    </r>
    <r>
      <rPr>
        <b/>
        <sz val="11"/>
        <color theme="1"/>
        <rFont val="Calibri"/>
        <family val="2"/>
        <scheme val="minor"/>
      </rPr>
      <t>TABEL KELAS</t>
    </r>
  </si>
  <si>
    <r>
      <rPr>
        <b/>
        <sz val="11"/>
        <color theme="1"/>
        <rFont val="Calibri"/>
        <family val="2"/>
        <scheme val="minor"/>
      </rPr>
      <t>HARGA TIKET</t>
    </r>
    <r>
      <rPr>
        <sz val="11"/>
        <color theme="1"/>
        <rFont val="Calibri"/>
        <family val="2"/>
        <charset val="1"/>
        <scheme val="minor"/>
      </rPr>
      <t xml:space="preserve"> diambil dari 2 digit awal dan digit ke 5 &amp; 6 pada </t>
    </r>
    <r>
      <rPr>
        <b/>
        <sz val="11"/>
        <color theme="1"/>
        <rFont val="Calibri"/>
        <family val="2"/>
        <scheme val="minor"/>
      </rPr>
      <t>KODE TIKET</t>
    </r>
    <r>
      <rPr>
        <sz val="11"/>
        <color theme="1"/>
        <rFont val="Calibri"/>
        <family val="2"/>
        <charset val="1"/>
        <scheme val="minor"/>
      </rPr>
      <t xml:space="preserve">, dengan mengacu pada </t>
    </r>
    <r>
      <rPr>
        <b/>
        <sz val="11"/>
        <color theme="1"/>
        <rFont val="Calibri"/>
        <family val="2"/>
        <scheme val="minor"/>
      </rPr>
      <t xml:space="preserve">TABEL TARIF </t>
    </r>
    <r>
      <rPr>
        <sz val="11"/>
        <color theme="1"/>
        <rFont val="Calibri"/>
        <family val="2"/>
        <charset val="1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TABEL KELAS</t>
    </r>
  </si>
  <si>
    <r>
      <rPr>
        <b/>
        <sz val="11"/>
        <color theme="1"/>
        <rFont val="Calibri"/>
        <family val="2"/>
        <scheme val="minor"/>
      </rPr>
      <t xml:space="preserve">MENU PAKET </t>
    </r>
    <r>
      <rPr>
        <sz val="11"/>
        <color theme="1"/>
        <rFont val="Calibri"/>
        <family val="2"/>
        <charset val="1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 xml:space="preserve">HARGA PAKET </t>
    </r>
    <r>
      <rPr>
        <sz val="11"/>
        <color theme="1"/>
        <rFont val="Calibri"/>
        <family val="2"/>
        <charset val="1"/>
        <scheme val="minor"/>
      </rPr>
      <t xml:space="preserve">diambil dari digit ke 3 &amp; 4 pada </t>
    </r>
    <r>
      <rPr>
        <b/>
        <sz val="11"/>
        <color theme="1"/>
        <rFont val="Calibri"/>
        <family val="2"/>
        <scheme val="minor"/>
      </rPr>
      <t>KODE TIKET</t>
    </r>
    <r>
      <rPr>
        <sz val="11"/>
        <color theme="1"/>
        <rFont val="Calibri"/>
        <family val="2"/>
        <charset val="1"/>
        <scheme val="minor"/>
      </rPr>
      <t xml:space="preserve">, dengan mengacu pada </t>
    </r>
    <r>
      <rPr>
        <b/>
        <sz val="11"/>
        <color theme="1"/>
        <rFont val="Calibri"/>
        <family val="2"/>
        <scheme val="minor"/>
      </rPr>
      <t>TABEL MENU</t>
    </r>
  </si>
  <si>
    <r>
      <rPr>
        <b/>
        <sz val="11"/>
        <color theme="1"/>
        <rFont val="Calibri"/>
        <family val="2"/>
        <scheme val="minor"/>
      </rPr>
      <t xml:space="preserve">DISKON </t>
    </r>
    <r>
      <rPr>
        <sz val="11"/>
        <color theme="1"/>
        <rFont val="Calibri"/>
        <family val="2"/>
        <charset val="1"/>
        <scheme val="minor"/>
      </rPr>
      <t>hanya berlaku untuk tiket dengan keberangkatan sebelum tanggal 1 September 2023</t>
    </r>
  </si>
  <si>
    <r>
      <rPr>
        <b/>
        <sz val="11"/>
        <color theme="1"/>
        <rFont val="Calibri"/>
        <family val="2"/>
        <scheme val="minor"/>
      </rPr>
      <t>HARGA TOTAL</t>
    </r>
    <r>
      <rPr>
        <sz val="11"/>
        <color theme="1"/>
        <rFont val="Calibri"/>
        <family val="2"/>
        <charset val="1"/>
        <scheme val="minor"/>
      </rPr>
      <t xml:space="preserve"> diperoleh dari </t>
    </r>
    <r>
      <rPr>
        <b/>
        <sz val="11"/>
        <color theme="1"/>
        <rFont val="Calibri"/>
        <family val="2"/>
        <scheme val="minor"/>
      </rPr>
      <t>HARGA TIKET + HARGA PAKET MENU - DISKON</t>
    </r>
  </si>
  <si>
    <t>RENTAL MOBIL "PCC"</t>
  </si>
  <si>
    <t>LAPORAN PEMINJAMAN</t>
  </si>
  <si>
    <t>KODE PINJAM</t>
  </si>
  <si>
    <t>NAMA PEMINJAM</t>
  </si>
  <si>
    <t>TARIF PINJAM</t>
  </si>
  <si>
    <t>LAMA PINJAM</t>
  </si>
  <si>
    <t>HARGA AWAL</t>
  </si>
  <si>
    <t>JUMLAH BAYAR</t>
  </si>
  <si>
    <t>Tipe</t>
  </si>
  <si>
    <t>Jenis Mobil</t>
  </si>
  <si>
    <t>Sedan (S)</t>
  </si>
  <si>
    <t>Minibus (M)</t>
  </si>
  <si>
    <t>Bak Terbuka (B)</t>
  </si>
  <si>
    <t>SA-234</t>
  </si>
  <si>
    <t>AMRAN</t>
  </si>
  <si>
    <t>A</t>
  </si>
  <si>
    <t>MB-345</t>
  </si>
  <si>
    <t>AMREN</t>
  </si>
  <si>
    <t>B</t>
  </si>
  <si>
    <t>SB-456</t>
  </si>
  <si>
    <t>AMRIN</t>
  </si>
  <si>
    <t>C</t>
  </si>
  <si>
    <t>MC-678</t>
  </si>
  <si>
    <t>IMRAN</t>
  </si>
  <si>
    <t>BC-890</t>
  </si>
  <si>
    <t>IMRON</t>
  </si>
  <si>
    <t>TABEL DISKON</t>
  </si>
  <si>
    <t>S</t>
  </si>
  <si>
    <t>M</t>
  </si>
  <si>
    <t>PETUNJUK:</t>
  </si>
  <si>
    <t>Diskon</t>
  </si>
  <si>
    <t xml:space="preserve">TARIF PINJAM diperoleh dari Huruf ke-1 dan Ke-2 KODE PINJAM, dengan mengacu pada TABEL TARIF </t>
  </si>
  <si>
    <t>HARGA AWAL diperoleh dari perkalian TARIF PINJAM dengan LAMA PINJAM</t>
  </si>
  <si>
    <t>DISKON berlaku hanya untuk mobil jenis SEDAN atau MINIBUS dengan lama peminjaman 3 hari atau lebih</t>
  </si>
  <si>
    <t>JUMLAH BAYAR adalah HARGA AWAL dikurangi DISKON</t>
  </si>
  <si>
    <t>POSISI KAPAL DI PELABUHAN "ABCD"</t>
  </si>
  <si>
    <t>Nama Kapal</t>
  </si>
  <si>
    <t>Diambil dari 2 digit pertama di Kode Kapal, mengacu pada Tabel Kapal</t>
  </si>
  <si>
    <t>No</t>
  </si>
  <si>
    <t>Kode Kapal</t>
  </si>
  <si>
    <t>Posisi Kapal</t>
  </si>
  <si>
    <t>Nama Agen</t>
  </si>
  <si>
    <t>Berangkat Dari</t>
  </si>
  <si>
    <t>Tujuan</t>
  </si>
  <si>
    <t>Bongkar</t>
  </si>
  <si>
    <t>Muat</t>
  </si>
  <si>
    <t>Biaya Bongkar</t>
  </si>
  <si>
    <t>Biaya Muat</t>
  </si>
  <si>
    <t>Jml. Biaya</t>
  </si>
  <si>
    <t>Diambil dari digit ke-3 di Kode Kapal, mengacu pada Tabel Posisi</t>
  </si>
  <si>
    <t>PB1-BBPK-JASU</t>
  </si>
  <si>
    <t>TK3-BRPP-SUSI</t>
  </si>
  <si>
    <t>Diambil dari 4 digit terakhir di Kode Kapal, mengacu pada Tabel Rute</t>
  </si>
  <si>
    <t>NH2-BRMB-MEPA</t>
  </si>
  <si>
    <t>BL1-SMCO-JASU</t>
  </si>
  <si>
    <t>Diambil dari digit ke 5 &amp; 6 di Kode Kapal, mengacu pada Tabel Bongkar Muat</t>
  </si>
  <si>
    <t>SA3-NKBB-BEPE</t>
  </si>
  <si>
    <t>Diambil dari digit ke 7 &amp; 8 di Kode Kapal, mengacu pada Tabel Bongkar Muat</t>
  </si>
  <si>
    <t>EB2-PPSM-MEPA</t>
  </si>
  <si>
    <t>RS4-PPBR-SUSI</t>
  </si>
  <si>
    <t>Jumlah biaya Bongkar &amp; muat</t>
  </si>
  <si>
    <t>Jumlah Biaya Bongkar ditambah Biaya Muat</t>
  </si>
  <si>
    <t>TABEL RUTE</t>
  </si>
  <si>
    <t>Biaya bongkar &amp; muat terbesar</t>
  </si>
  <si>
    <t>BEPE</t>
  </si>
  <si>
    <t>JASU</t>
  </si>
  <si>
    <t>MEPA</t>
  </si>
  <si>
    <t>SUSI</t>
  </si>
  <si>
    <t>Biaya bongkar &amp; muat terkecil</t>
  </si>
  <si>
    <t>Berangkat</t>
  </si>
  <si>
    <t>Belawan</t>
  </si>
  <si>
    <t>Jakarta</t>
  </si>
  <si>
    <t>Medan</t>
  </si>
  <si>
    <t>Surabaya</t>
  </si>
  <si>
    <t>Rata-rata biaya bongkar dan muat</t>
  </si>
  <si>
    <t>Pekanbaru</t>
  </si>
  <si>
    <t>Padang</t>
  </si>
  <si>
    <t>Singapura</t>
  </si>
  <si>
    <t>TABEL KAPAL</t>
  </si>
  <si>
    <t>TABEL POSISI</t>
  </si>
  <si>
    <t>TABEL BONGKAR MUAT</t>
  </si>
  <si>
    <t>Muatan</t>
  </si>
  <si>
    <t>NH</t>
  </si>
  <si>
    <t>Nyiur Hijau</t>
  </si>
  <si>
    <t>Pelabuhan 1</t>
  </si>
  <si>
    <t>Randhika</t>
  </si>
  <si>
    <t>Batubara</t>
  </si>
  <si>
    <t>PB</t>
  </si>
  <si>
    <t>Pesona Bahari</t>
  </si>
  <si>
    <t>Pelabuhan 2</t>
  </si>
  <si>
    <t>Ardhana</t>
  </si>
  <si>
    <t>PK</t>
  </si>
  <si>
    <t>Pasir Kuarsa</t>
  </si>
  <si>
    <t>Tanjung Karang</t>
  </si>
  <si>
    <t>Pelabuhan 3</t>
  </si>
  <si>
    <t>Ferdianto</t>
  </si>
  <si>
    <t>CO</t>
  </si>
  <si>
    <t>CPO</t>
  </si>
  <si>
    <t>RS</t>
  </si>
  <si>
    <t>Raja Samudera</t>
  </si>
  <si>
    <t>4</t>
  </si>
  <si>
    <t>Pelabuhan 4</t>
  </si>
  <si>
    <t>Arimbi</t>
  </si>
  <si>
    <t>MB</t>
  </si>
  <si>
    <t>Mobil</t>
  </si>
  <si>
    <t>SA</t>
  </si>
  <si>
    <t>Sabda Alam</t>
  </si>
  <si>
    <t>PP</t>
  </si>
  <si>
    <t>Pupuk</t>
  </si>
  <si>
    <t>BL</t>
  </si>
  <si>
    <t>Biru Langit</t>
  </si>
  <si>
    <t>SM</t>
  </si>
  <si>
    <t>Semen</t>
  </si>
  <si>
    <t>EB</t>
  </si>
  <si>
    <t>Era Baru</t>
  </si>
  <si>
    <t>BR</t>
  </si>
  <si>
    <t>Beras</t>
  </si>
  <si>
    <t>NK</t>
  </si>
  <si>
    <t>Nikel</t>
  </si>
  <si>
    <t>DATA GAJI PEGAWAI PT. PUSAT CARA CARA</t>
  </si>
  <si>
    <t>NIK</t>
  </si>
  <si>
    <t>Nama Pegawai</t>
  </si>
  <si>
    <t>Gol</t>
  </si>
  <si>
    <t>Gaji</t>
  </si>
  <si>
    <t>Jumlah Gaji</t>
  </si>
  <si>
    <t>Pajak</t>
  </si>
  <si>
    <t>Gaji Bersih</t>
  </si>
  <si>
    <t>Pokok</t>
  </si>
  <si>
    <t>Tunjangan</t>
  </si>
  <si>
    <t>Transport</t>
  </si>
  <si>
    <t>KR001</t>
  </si>
  <si>
    <t>ABIL</t>
  </si>
  <si>
    <t>KR002</t>
  </si>
  <si>
    <t>ACIL</t>
  </si>
  <si>
    <t>KR003</t>
  </si>
  <si>
    <t>ADIL</t>
  </si>
  <si>
    <t>KR004</t>
  </si>
  <si>
    <t>AFIL</t>
  </si>
  <si>
    <t>KR005</t>
  </si>
  <si>
    <t>AGIL</t>
  </si>
  <si>
    <t>KR006</t>
  </si>
  <si>
    <t>AHIL</t>
  </si>
  <si>
    <t>KR007</t>
  </si>
  <si>
    <t>AJIL</t>
  </si>
  <si>
    <t>Tabel Pajak</t>
  </si>
  <si>
    <t>Tabel Gaji</t>
  </si>
  <si>
    <t>Gaji Pokok</t>
  </si>
  <si>
    <t>TUGAS</t>
  </si>
  <si>
    <t>UTS</t>
  </si>
  <si>
    <t>UAS</t>
  </si>
  <si>
    <t>PROJEK</t>
  </si>
  <si>
    <t>TOTAL SKOR</t>
  </si>
  <si>
    <t>NILAI</t>
  </si>
  <si>
    <t>KET</t>
  </si>
  <si>
    <t>TABEL PERSEN</t>
  </si>
  <si>
    <t>T1</t>
  </si>
  <si>
    <t>T2</t>
  </si>
  <si>
    <t>T3</t>
  </si>
  <si>
    <t>ABCDE</t>
  </si>
  <si>
    <t>TASK</t>
  </si>
  <si>
    <t>BOBOT</t>
  </si>
  <si>
    <t>ANDI</t>
  </si>
  <si>
    <t>JONI</t>
  </si>
  <si>
    <t>SANTI</t>
  </si>
  <si>
    <t>LALA</t>
  </si>
  <si>
    <t>WAWAN</t>
  </si>
  <si>
    <t>IWAN</t>
  </si>
  <si>
    <t>LANI</t>
  </si>
  <si>
    <t>MALA</t>
  </si>
  <si>
    <t>TABEL NILAI</t>
  </si>
  <si>
    <t>SONLY</t>
  </si>
  <si>
    <t>SKOR</t>
  </si>
  <si>
    <t>JAKA</t>
  </si>
  <si>
    <t>&lt;=100</t>
  </si>
  <si>
    <t>MIMIN</t>
  </si>
  <si>
    <t>&lt;84.99</t>
  </si>
  <si>
    <t>DARSIH</t>
  </si>
  <si>
    <t>&lt;74.99</t>
  </si>
  <si>
    <t>SUKINEM</t>
  </si>
  <si>
    <t>D</t>
  </si>
  <si>
    <t>&lt;64.99</t>
  </si>
  <si>
    <t>IYEM</t>
  </si>
  <si>
    <t>E</t>
  </si>
  <si>
    <t>&lt;54.99</t>
  </si>
  <si>
    <t>BEDJO</t>
  </si>
  <si>
    <t>KARYO</t>
  </si>
  <si>
    <t>GENDHUT</t>
  </si>
  <si>
    <t>TABEL KET</t>
  </si>
  <si>
    <t>SUGINO</t>
  </si>
  <si>
    <t>ABC</t>
  </si>
  <si>
    <t>DE</t>
  </si>
  <si>
    <t>YAYAT</t>
  </si>
  <si>
    <t>LULUS</t>
  </si>
  <si>
    <t>BELUM LULUS</t>
  </si>
  <si>
    <t>TARNO</t>
  </si>
  <si>
    <t>BONDAN</t>
  </si>
  <si>
    <t>RINA</t>
  </si>
  <si>
    <t>TINA</t>
  </si>
  <si>
    <t>ANWAR</t>
  </si>
  <si>
    <t>CISWANTI</t>
  </si>
  <si>
    <t>IKUNG INDRAYATI</t>
  </si>
  <si>
    <t>MARTINI</t>
  </si>
  <si>
    <t>RIZKI AGENG G</t>
  </si>
  <si>
    <t>LINA NURLINA</t>
  </si>
  <si>
    <t>SITI RAHMAH</t>
  </si>
  <si>
    <t>TITA ROSITA BAR</t>
  </si>
  <si>
    <t>REFTY ROYAN J</t>
  </si>
  <si>
    <t>SETYANINGSIH</t>
  </si>
  <si>
    <t>RISKI NOVIANTI</t>
  </si>
  <si>
    <t>YULI UTAMI</t>
  </si>
  <si>
    <t>KISNENDAR</t>
  </si>
  <si>
    <t>YULIVA NURDIANA</t>
  </si>
  <si>
    <t>PUSPASARI</t>
  </si>
  <si>
    <t>TIRTA</t>
  </si>
  <si>
    <t>INDEX MATCH SEBAGAI ALTERNATIF PENGGANTI VLOOKUP &amp; HLOOKUP</t>
  </si>
  <si>
    <t>LAPORAN PENJUALAN NOVEMBER 2023</t>
  </si>
  <si>
    <t>Tanggal</t>
  </si>
  <si>
    <t>Kategori</t>
  </si>
  <si>
    <t>Produk</t>
  </si>
  <si>
    <t>Kota</t>
  </si>
  <si>
    <t>Jumlah Barang</t>
  </si>
  <si>
    <t>Total Penjualan</t>
  </si>
  <si>
    <t>Ketentuan Soal:</t>
  </si>
  <si>
    <t>CAM-001-BDG</t>
  </si>
  <si>
    <t>1. Isi Kategori, Produk, Kota, dan Harga menggunakan Index Match</t>
  </si>
  <si>
    <t>CAM-003-SBY</t>
  </si>
  <si>
    <t>2. Total Penjualan diisi dengan Harga x Jumlah Barang</t>
  </si>
  <si>
    <t>TVO-002-MLG</t>
  </si>
  <si>
    <t>3. Isi tabel Penjualan per Kota</t>
  </si>
  <si>
    <t>PHO-003-YGY</t>
  </si>
  <si>
    <t>CAM-001-YGY</t>
  </si>
  <si>
    <t>Penjualan per Kota</t>
  </si>
  <si>
    <t>CAM-003-JKT</t>
  </si>
  <si>
    <t>Penjualan</t>
  </si>
  <si>
    <t>CAM-001-MDN</t>
  </si>
  <si>
    <t>Bandung</t>
  </si>
  <si>
    <t>Kamera</t>
  </si>
  <si>
    <t>TVO-002-MDN</t>
  </si>
  <si>
    <t>Handphone</t>
  </si>
  <si>
    <t>CAM-002-MDN</t>
  </si>
  <si>
    <t>Malang</t>
  </si>
  <si>
    <t>Televisi</t>
  </si>
  <si>
    <t>PHO-002-JKT</t>
  </si>
  <si>
    <t>Yogyakarta</t>
  </si>
  <si>
    <t>Laptop</t>
  </si>
  <si>
    <t>TVO-001-MDN</t>
  </si>
  <si>
    <t>LAP-002-SBY</t>
  </si>
  <si>
    <t>PHO-003-MDN</t>
  </si>
  <si>
    <t>Asus</t>
  </si>
  <si>
    <t>LAP-001</t>
  </si>
  <si>
    <t>LAP-002-JKT</t>
  </si>
  <si>
    <t>Macbook</t>
  </si>
  <si>
    <t>LAP-002</t>
  </si>
  <si>
    <t>LAP-003-MDN</t>
  </si>
  <si>
    <t>Hp</t>
  </si>
  <si>
    <t>LAP-003</t>
  </si>
  <si>
    <t>LAP-001-BDG</t>
  </si>
  <si>
    <t>Samsung</t>
  </si>
  <si>
    <t>PHO-001</t>
  </si>
  <si>
    <t>PHO-003-MLG</t>
  </si>
  <si>
    <t>Apple iPhone</t>
  </si>
  <si>
    <t>PHO-002</t>
  </si>
  <si>
    <t>PHO-003-JKT</t>
  </si>
  <si>
    <t>Xiaomi</t>
  </si>
  <si>
    <t>PHO-003</t>
  </si>
  <si>
    <t>PHO-003-BDG</t>
  </si>
  <si>
    <t>Canon</t>
  </si>
  <si>
    <t>CAM-001</t>
  </si>
  <si>
    <t>PHO-002-YGY</t>
  </si>
  <si>
    <t>Nikon</t>
  </si>
  <si>
    <t>CAM-002</t>
  </si>
  <si>
    <t>LAP-001-YGY</t>
  </si>
  <si>
    <t>Sony</t>
  </si>
  <si>
    <t>CAM-003</t>
  </si>
  <si>
    <t>LAP-003-YGY</t>
  </si>
  <si>
    <t>Panasonic</t>
  </si>
  <si>
    <t>TVO-001</t>
  </si>
  <si>
    <t>CAM-001-MLG</t>
  </si>
  <si>
    <t>LG</t>
  </si>
  <si>
    <t>TVO-002</t>
  </si>
  <si>
    <t>PHO-001-JKT</t>
  </si>
  <si>
    <t>Sharp</t>
  </si>
  <si>
    <t>TVO-003</t>
  </si>
  <si>
    <t>CAM-001-JKT</t>
  </si>
  <si>
    <t>PHO-003-SBY</t>
  </si>
  <si>
    <t>CAM-002-JKT</t>
  </si>
  <si>
    <t>LAP-002-MDN</t>
  </si>
  <si>
    <t>JKT</t>
  </si>
  <si>
    <t>BDG</t>
  </si>
  <si>
    <t>SBY</t>
  </si>
  <si>
    <t>YGY</t>
  </si>
  <si>
    <t>MDN</t>
  </si>
  <si>
    <t>MLG</t>
  </si>
  <si>
    <t>LAP-002-YGY</t>
  </si>
  <si>
    <t>PHO-001-BDG</t>
  </si>
  <si>
    <t>TVO-002-SBY</t>
  </si>
  <si>
    <t>CAM-002-MLG</t>
  </si>
  <si>
    <t>PHO-002-BDG</t>
  </si>
  <si>
    <t>TVO-001-JKT</t>
  </si>
  <si>
    <t>CAM-002-SBY</t>
  </si>
  <si>
    <t>TVO-001-SBY</t>
  </si>
  <si>
    <t>TVO-003-MDN</t>
  </si>
  <si>
    <t>LAP-003-JKT</t>
  </si>
  <si>
    <t>TVO-003-JKT</t>
  </si>
  <si>
    <t>CAM-003-YGY</t>
  </si>
  <si>
    <t>LAP-003-BDG</t>
  </si>
  <si>
    <t>PHO-001-MLG</t>
  </si>
  <si>
    <t>CAM-003-BDG</t>
  </si>
  <si>
    <t>PHO-001-YGY</t>
  </si>
  <si>
    <t>LAP-001-JKT</t>
  </si>
  <si>
    <t>LAPORAN GAJI PEGAWAI KEMENTERIAN X</t>
  </si>
  <si>
    <t>TANGGAL PROSES</t>
  </si>
  <si>
    <t>TABEL GOLONGAN</t>
  </si>
  <si>
    <t xml:space="preserve">NAMA </t>
  </si>
  <si>
    <t>MASUK KERJA</t>
  </si>
  <si>
    <t>PENDIDIKAN</t>
  </si>
  <si>
    <t>LAMA KERJA</t>
  </si>
  <si>
    <t>GOL</t>
  </si>
  <si>
    <t>TUNJANGAN LAMA KERJA</t>
  </si>
  <si>
    <t>TOTAL GAJI</t>
  </si>
  <si>
    <t>TAHUN</t>
  </si>
  <si>
    <t>BULAN</t>
  </si>
  <si>
    <t>HARI</t>
  </si>
  <si>
    <t>SARJANA</t>
  </si>
  <si>
    <t>SLTA</t>
  </si>
  <si>
    <t>SLTP</t>
  </si>
  <si>
    <t>Reni Agustina</t>
  </si>
  <si>
    <t>III/A</t>
  </si>
  <si>
    <t>II/C</t>
  </si>
  <si>
    <t>II/B</t>
  </si>
  <si>
    <t>Zulkarnain</t>
  </si>
  <si>
    <t>III/B</t>
  </si>
  <si>
    <t>Febi Febiola</t>
  </si>
  <si>
    <t>III/C</t>
  </si>
  <si>
    <t>Ganang Yusril</t>
  </si>
  <si>
    <t>IV/A</t>
  </si>
  <si>
    <t>Ajeng Kartini</t>
  </si>
  <si>
    <t>IV/B</t>
  </si>
  <si>
    <t>Maisaroh</t>
  </si>
  <si>
    <t>IV/C</t>
  </si>
  <si>
    <t>Juni Jumaidi</t>
  </si>
  <si>
    <t>IV/D</t>
  </si>
  <si>
    <t>Puspita Sari</t>
  </si>
  <si>
    <t>IV/E</t>
  </si>
  <si>
    <t>Irham Bagaskoro</t>
  </si>
  <si>
    <t>Mikaela Patriece</t>
  </si>
  <si>
    <t>TABEL TUNJANGAN LAMA KERJA</t>
  </si>
  <si>
    <t>Septian Dwi Cahyo</t>
  </si>
  <si>
    <t>Komang Langsat</t>
  </si>
  <si>
    <t>Tabel Ringkasan</t>
  </si>
  <si>
    <t>ORANG</t>
  </si>
  <si>
    <t>JUMLAH GAJI</t>
  </si>
  <si>
    <t>KETENTUAN SOAL</t>
  </si>
  <si>
    <t>TABEL GAJI POKOK</t>
  </si>
  <si>
    <t>1.</t>
  </si>
  <si>
    <t>Lama Kerja diisi dengan selisih antara masuk kerja dengan tanggal proses</t>
  </si>
  <si>
    <t>GAJI</t>
  </si>
  <si>
    <t>dinyatakan dalam bentuk Tahun, Bulan, dan Hari</t>
  </si>
  <si>
    <t>2.</t>
  </si>
  <si>
    <t>Kolom Golongan diisi berdasarkan Tabel Golongan, Kolom Gaji diisi berdasarkan Tabel Gaji</t>
  </si>
  <si>
    <t>3.</t>
  </si>
  <si>
    <t>Kolom Gaji diisi berdasarkan Tabel Gaji</t>
  </si>
  <si>
    <t>4.</t>
  </si>
  <si>
    <t>Kolom Tunjangan Lama Kerja diisi berdasarkan Tabel Tunjangan Lama Kerja</t>
  </si>
  <si>
    <t>5.</t>
  </si>
  <si>
    <t>Total Gaji diisi dengan Gaji + Tunjangan Lama Kerja</t>
  </si>
  <si>
    <t>6.</t>
  </si>
  <si>
    <t>Tabel Ringkasan: Kolom Orang adalah Banyaknya Orang dan Kolom Jumlah Gaji diisi dari Total Gaji</t>
  </si>
  <si>
    <t>RENTAL MOBIL "KURNIAWAN"</t>
  </si>
  <si>
    <t>Jln. KH. Tubagus Abdullah No. 25</t>
  </si>
  <si>
    <t>Tasikmalaya</t>
  </si>
  <si>
    <t>NAMA PENYEWA</t>
  </si>
  <si>
    <t>KODE KENDARAAN</t>
  </si>
  <si>
    <t>JENIS KENDARAAN</t>
  </si>
  <si>
    <t>LAMA SEWA</t>
  </si>
  <si>
    <t>TARIF/ JAM</t>
  </si>
  <si>
    <t>BIAYA SEWA</t>
  </si>
  <si>
    <t>DENDA</t>
  </si>
  <si>
    <t>Asep Mubarok</t>
  </si>
  <si>
    <t>Budi Santoso</t>
  </si>
  <si>
    <t>TR</t>
  </si>
  <si>
    <t>Erni</t>
  </si>
  <si>
    <t>SD</t>
  </si>
  <si>
    <t>Futri</t>
  </si>
  <si>
    <t>Gunawan</t>
  </si>
  <si>
    <t>TOTAL BAYAR</t>
  </si>
  <si>
    <t>RATA-RATA</t>
  </si>
  <si>
    <t>BAYAR TERTINGGI</t>
  </si>
  <si>
    <t>BAYAR TERENDAH</t>
  </si>
  <si>
    <t>KETERANGAN SOAL :</t>
  </si>
  <si>
    <t>1. Jenis kendaraan MB=mini bus ; SD=Sedan ; TR=Truk</t>
  </si>
  <si>
    <t xml:space="preserve">2. Tarif/ jam </t>
  </si>
  <si>
    <t xml:space="preserve">      SD = Rp. 10.000,-</t>
  </si>
  <si>
    <t>MB = Rp. 12.500,-</t>
  </si>
  <si>
    <t>TR = Rp. 15.000</t>
  </si>
  <si>
    <t>3. Biaya sewa = lama sewa dikali tarif/ jam</t>
  </si>
  <si>
    <t>4. Denda diisi dengan menggunakan fungsi if, dengan ketentuan sebagai berikut :</t>
  </si>
  <si>
    <t xml:space="preserve">     jika lama sewa lebih dari 24 jam, maka kena dengan 5% dari biaya sewa</t>
  </si>
  <si>
    <t>5. Jumlah bayar dicari dari biaya sewa ditambah denda</t>
  </si>
  <si>
    <t>LOSMEN "FARIDA"</t>
  </si>
  <si>
    <t>KODE KAMAR</t>
  </si>
  <si>
    <t>JENIS KAMAR</t>
  </si>
  <si>
    <t>LAMA INAP</t>
  </si>
  <si>
    <t>TARIF/ MALAM</t>
  </si>
  <si>
    <t>BIAYA INAP</t>
  </si>
  <si>
    <t>DISCOUNT</t>
  </si>
  <si>
    <t>L</t>
  </si>
  <si>
    <t>V</t>
  </si>
  <si>
    <t>TABEL BANTU</t>
  </si>
  <si>
    <t>KODE KMAR</t>
  </si>
  <si>
    <t>LUX</t>
  </si>
  <si>
    <t>VIP</t>
  </si>
  <si>
    <t>Tarif/ malam</t>
  </si>
  <si>
    <t>EKONOMIS</t>
  </si>
  <si>
    <t xml:space="preserve"> </t>
  </si>
  <si>
    <t>1. Jenis kamar dan tarif/ malam isi dengan menggunakan fungsi pembaca tabel lookup</t>
  </si>
  <si>
    <t>2. Biaya inap lama inap dikali tarif/ malam</t>
  </si>
  <si>
    <t>3. Discount diisi dengan menggunakan if dengan ketentuan sbb :</t>
  </si>
  <si>
    <t xml:space="preserve">     jika lama inap lebih dari 5 hari, discount 5% dari biaya inap</t>
  </si>
  <si>
    <t>5. Jumlah bayar dicari dari biaya inap dikurangi discount</t>
  </si>
  <si>
    <t>Nama Karyawan</t>
  </si>
  <si>
    <t>Domisili</t>
  </si>
  <si>
    <t>Bulan 1</t>
  </si>
  <si>
    <t>Bulan 2</t>
  </si>
  <si>
    <t>Performa</t>
  </si>
  <si>
    <t>Komisi</t>
  </si>
  <si>
    <t>Desy Ratnasari</t>
  </si>
  <si>
    <t>Endah Purwanti</t>
  </si>
  <si>
    <t>Andriono Indra</t>
  </si>
  <si>
    <t>Winda Gayatri</t>
  </si>
  <si>
    <t>Septarina Putri</t>
  </si>
  <si>
    <t>Yesi Novita</t>
  </si>
  <si>
    <t>Yusi Intan</t>
  </si>
  <si>
    <t>Nentin Anggraeni</t>
  </si>
  <si>
    <t>Yumerty Nokas</t>
  </si>
  <si>
    <t>Satriya Handi</t>
  </si>
  <si>
    <t>Informasi:</t>
  </si>
  <si>
    <t>Performa "Baik" jika penjualan di 2 bulan selalu di atas Rp. 20 juta, jika tidak maka performa "Buruk".</t>
  </si>
  <si>
    <t>Gaji 4 juta jika domisili di Bandung atau Surabaya, sedangkan 5 juta jika di Jakarta.</t>
  </si>
  <si>
    <t>Komisi sebesar 15% jika total penjualan di atas Rp. 40 juta, jika tidak maka 10%.</t>
  </si>
  <si>
    <t>Small</t>
  </si>
  <si>
    <t>Medium</t>
  </si>
  <si>
    <t>Large</t>
  </si>
  <si>
    <t>Jumbo</t>
  </si>
  <si>
    <t>Latte</t>
  </si>
  <si>
    <t>Cappucino</t>
  </si>
  <si>
    <t>Ukuran</t>
  </si>
  <si>
    <t>Americano</t>
  </si>
  <si>
    <t>Grean Tea Latte</t>
  </si>
  <si>
    <t>Lemon Tea</t>
  </si>
  <si>
    <t>Raspberry Latte</t>
  </si>
  <si>
    <t>Index</t>
  </si>
  <si>
    <r>
      <t xml:space="preserve">=index(tabel referensi, </t>
    </r>
    <r>
      <rPr>
        <sz val="11"/>
        <color rgb="FF00B050"/>
        <rFont val="Calibri"/>
        <family val="2"/>
        <scheme val="minor"/>
      </rPr>
      <t>baris keberapa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sz val="11"/>
        <color rgb="FF00B050"/>
        <rFont val="Calibri"/>
        <family val="2"/>
        <scheme val="minor"/>
      </rPr>
      <t>kolom keberapa</t>
    </r>
    <r>
      <rPr>
        <sz val="11"/>
        <color theme="1"/>
        <rFont val="Calibri"/>
        <family val="2"/>
        <charset val="1"/>
        <scheme val="minor"/>
      </rPr>
      <t>)</t>
    </r>
  </si>
  <si>
    <t>Match</t>
  </si>
  <si>
    <t>=match(sel acuan, kolom referensi, 0)</t>
  </si>
  <si>
    <t>TOKO KOMPUTER KPRI PUAS SMP NEGERI 1 KRAMATWATU</t>
  </si>
  <si>
    <t>LAPORAN GAJI BULANAN</t>
  </si>
  <si>
    <t>HOTEL LAWU INN</t>
  </si>
  <si>
    <t>Laporan tanggal:</t>
  </si>
  <si>
    <t>25 Agustus 2009</t>
  </si>
  <si>
    <t>Kode Pegawai</t>
  </si>
  <si>
    <t>Jenis Kelamin</t>
  </si>
  <si>
    <t>Jumlah Anak</t>
  </si>
  <si>
    <t>Status</t>
  </si>
  <si>
    <t>Jabatan</t>
  </si>
  <si>
    <t>Golongan</t>
  </si>
  <si>
    <t>Ruang</t>
  </si>
  <si>
    <t>Tunjangan Fungsional</t>
  </si>
  <si>
    <t>Tahun Masuk</t>
  </si>
  <si>
    <t>Tunjangan Istri</t>
  </si>
  <si>
    <t>Terima</t>
  </si>
  <si>
    <t>KR-I-3-90-K</t>
  </si>
  <si>
    <t>Moch Jazuli</t>
  </si>
  <si>
    <t>KP-F-4-89-K</t>
  </si>
  <si>
    <t>Budi Warono</t>
  </si>
  <si>
    <t>DR-I-3-89-B</t>
  </si>
  <si>
    <t>Subandi</t>
  </si>
  <si>
    <t>ST-F-2-91-K</t>
  </si>
  <si>
    <t>Darmawan</t>
  </si>
  <si>
    <t>KP-R-4-91-K</t>
  </si>
  <si>
    <t>Totok</t>
  </si>
  <si>
    <t>ST-R-4-91-K</t>
  </si>
  <si>
    <t>Solikin</t>
  </si>
  <si>
    <t>ST-R-4-91-B</t>
  </si>
  <si>
    <t>Slamet Sisyono</t>
  </si>
  <si>
    <t>KP-I-3-80-K</t>
  </si>
  <si>
    <t>Husin Amin</t>
  </si>
  <si>
    <t>Atiek</t>
  </si>
  <si>
    <t>P</t>
  </si>
  <si>
    <t>ST-R-3-92-B</t>
  </si>
  <si>
    <t>Ana</t>
  </si>
  <si>
    <t>Ketentuan:</t>
  </si>
  <si>
    <t>1. Status karyawan ditentukan berdasarkan karakter terakhir dari Kode. Jika K berarti KAWIN dan jika B berarti BELUM</t>
  </si>
  <si>
    <t>2. Jabatan ditentukan berdasarkan dua karakter awal dari KODE dengan ketentuan sebagai berikut</t>
  </si>
  <si>
    <t>Jika KR berarti KARYAWAN, Jika DR berarti DIREKTUR, Jika ST berarti STAFF, Jika KP berarti KEPALA</t>
  </si>
  <si>
    <t>Karyawan</t>
  </si>
  <si>
    <t>3. Isi golongan dengan karakter ke enem dari KODE jika 1=I, 2=II, 3=III, 4=IV</t>
  </si>
  <si>
    <t>Staff</t>
  </si>
  <si>
    <t>4. Isilah RUANG atas dasar karakter keempat dari KODE, aturannya:</t>
  </si>
  <si>
    <t>Kepala</t>
  </si>
  <si>
    <t>Jika I berarti INDUK, Jika R berarti RECEPCIONIST, jika F berarti FRONT OFFICE</t>
  </si>
  <si>
    <t>5. Gaji poko diisi dengan ketentuan: Golongan I = 500000, Golongan II =650000, Golongan III = 700000, Golongan IV = 825000</t>
  </si>
  <si>
    <t xml:space="preserve">6. Buatlah tabel untuk mengisi Tunjangan Fungsionsl seperti </t>
  </si>
  <si>
    <t>7. Tahun masuk Pegawai diatur berdasarkan karakter ke8 dan 9</t>
  </si>
  <si>
    <t>Jika :89,maka tahun masuk karyawan 1989, Jika 90 maka maka tahun masuk karyawan 1990, Jika 91 maka tahun masuk karyawan 1991.</t>
  </si>
  <si>
    <t>8. Isilah terima dengan pendapatan yang diperoleh</t>
  </si>
  <si>
    <t>9. Isilah tunjangan Istri dengan ketentuan 10% dari gaji pokok khusus karyawan laki-laki dan sudah 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</si>
</sst>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@\ * &quot;:&quot;"/>
    <numFmt numFmtId="165" formatCode="#,##0_ ;\-#,##0\ "/>
    <numFmt numFmtId="166" formatCode="_-&quot;Rp&quot;* #,##0_-;\-&quot;Rp&quot;* #,##0_-;_-&quot;Rp&quot;* &quot;-&quot;??_-;_-@_-"/>
    <numFmt numFmtId="167" formatCode="_-* #,##0_-;\-* #,##0_-;_-* &quot;-&quot;??_-;_-@_-"/>
    <numFmt numFmtId="168" formatCode="0.0%"/>
    <numFmt numFmtId="169" formatCode="&quot;Rp&quot;#,##0"/>
    <numFmt numFmtId="170" formatCode="_(* #,##0_);_(* \(#,##0\);_(* &quot;-&quot;_);_(@_)"/>
    <numFmt numFmtId="171" formatCode="#\ &quot;orang&quot;"/>
    <numFmt numFmtId="172" formatCode="_([$Rp-421]* #,##0_);_([$Rp-421]* \(#,##0\);_([$Rp-421]* &quot;-&quot;_);_(@_)"/>
    <numFmt numFmtId="173" formatCode="_(&quot;Rp&quot;* #,##0_);_(&quot;Rp&quot;* \(#,##0\);_(&quot;Rp&quot;* &quot;-&quot;_);_(@_)"/>
    <numFmt numFmtId="174" formatCode="_(* #,##0.00_);_(* \(#,##0.00\);_(* &quot;-&quot;??_);_(@_)"/>
    <numFmt numFmtId="175" formatCode="_(* #,##0_);_(* \(#,##0\);_(* &quot;-&quot;??_);_(@_)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haroni"/>
      <charset val="177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B050"/>
      <name val="Calibri"/>
      <family val="2"/>
      <scheme val="minor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</cellStyleXfs>
  <cellXfs count="2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42" fontId="0" fillId="0" borderId="2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2" fontId="0" fillId="0" borderId="1" xfId="0" applyNumberForma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3" borderId="2" xfId="0" quotePrefix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2" fontId="2" fillId="4" borderId="2" xfId="0" applyNumberFormat="1" applyFont="1" applyFill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42" fontId="0" fillId="0" borderId="2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Continuous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1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165" fontId="0" fillId="0" borderId="1" xfId="1" applyNumberFormat="1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66" fontId="8" fillId="0" borderId="2" xfId="0" applyNumberFormat="1" applyFont="1" applyBorder="1" applyAlignment="1">
      <alignment horizontal="left"/>
    </xf>
    <xf numFmtId="166" fontId="8" fillId="0" borderId="2" xfId="0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166" fontId="9" fillId="0" borderId="2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10" fillId="0" borderId="0" xfId="0" applyFont="1"/>
    <xf numFmtId="9" fontId="8" fillId="0" borderId="1" xfId="0" applyNumberFormat="1" applyFont="1" applyBorder="1" applyAlignment="1">
      <alignment horizontal="center"/>
    </xf>
    <xf numFmtId="0" fontId="8" fillId="0" borderId="0" xfId="0" quotePrefix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9" fillId="0" borderId="0" xfId="0" applyFont="1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 indent="1"/>
    </xf>
    <xf numFmtId="42" fontId="0" fillId="0" borderId="1" xfId="0" applyNumberFormat="1" applyBorder="1"/>
    <xf numFmtId="42" fontId="1" fillId="0" borderId="1" xfId="0" applyNumberFormat="1" applyFont="1" applyBorder="1"/>
    <xf numFmtId="42" fontId="2" fillId="0" borderId="1" xfId="0" applyNumberFormat="1" applyFont="1" applyBorder="1"/>
    <xf numFmtId="0" fontId="0" fillId="0" borderId="29" xfId="0" applyBorder="1"/>
    <xf numFmtId="0" fontId="2" fillId="0" borderId="0" xfId="0" applyFont="1"/>
    <xf numFmtId="0" fontId="0" fillId="0" borderId="12" xfId="0" applyBorder="1"/>
    <xf numFmtId="0" fontId="2" fillId="2" borderId="1" xfId="0" applyFont="1" applyFill="1" applyBorder="1"/>
    <xf numFmtId="0" fontId="0" fillId="0" borderId="14" xfId="0" applyBorder="1"/>
    <xf numFmtId="49" fontId="0" fillId="0" borderId="1" xfId="0" applyNumberFormat="1" applyBorder="1" applyAlignment="1">
      <alignment horizontal="center"/>
    </xf>
    <xf numFmtId="42" fontId="0" fillId="0" borderId="0" xfId="0" applyNumberFormat="1"/>
    <xf numFmtId="167" fontId="0" fillId="0" borderId="1" xfId="1" applyNumberFormat="1" applyFont="1" applyBorder="1"/>
    <xf numFmtId="167" fontId="2" fillId="0" borderId="1" xfId="0" applyNumberFormat="1" applyFont="1" applyBorder="1"/>
    <xf numFmtId="0" fontId="0" fillId="0" borderId="0" xfId="0" applyAlignment="1">
      <alignment horizontal="center"/>
    </xf>
    <xf numFmtId="168" fontId="0" fillId="0" borderId="1" xfId="0" applyNumberFormat="1" applyBorder="1" applyAlignment="1">
      <alignment horizontal="center"/>
    </xf>
    <xf numFmtId="0" fontId="11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2" fontId="0" fillId="0" borderId="1" xfId="3" applyNumberFormat="1" applyFont="1" applyBorder="1" applyAlignment="1">
      <alignment horizontal="center"/>
    </xf>
    <xf numFmtId="9" fontId="0" fillId="0" borderId="1" xfId="0" applyNumberFormat="1" applyBorder="1" applyAlignment="1">
      <alignment horizontal="left" vertical="center"/>
    </xf>
    <xf numFmtId="2" fontId="0" fillId="0" borderId="1" xfId="3" applyNumberFormat="1" applyFont="1" applyBorder="1" applyAlignment="1">
      <alignment horizontal="center" vertical="center"/>
    </xf>
    <xf numFmtId="9" fontId="0" fillId="0" borderId="0" xfId="0" applyNumberForma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169" fontId="0" fillId="0" borderId="0" xfId="0" applyNumberFormat="1"/>
    <xf numFmtId="0" fontId="4" fillId="6" borderId="1" xfId="0" applyFont="1" applyFill="1" applyBorder="1" applyAlignment="1">
      <alignment horizontal="center" vertical="center"/>
    </xf>
    <xf numFmtId="169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/>
    <xf numFmtId="0" fontId="12" fillId="0" borderId="1" xfId="0" applyFont="1" applyBorder="1"/>
    <xf numFmtId="0" fontId="1" fillId="0" borderId="1" xfId="0" applyFont="1" applyBorder="1"/>
    <xf numFmtId="0" fontId="12" fillId="0" borderId="1" xfId="0" applyFont="1" applyBorder="1" applyAlignment="1">
      <alignment horizontal="center"/>
    </xf>
    <xf numFmtId="169" fontId="1" fillId="0" borderId="1" xfId="0" applyNumberFormat="1" applyFont="1" applyBorder="1"/>
    <xf numFmtId="0" fontId="2" fillId="7" borderId="1" xfId="0" applyFont="1" applyFill="1" applyBorder="1" applyAlignment="1">
      <alignment horizontal="center"/>
    </xf>
    <xf numFmtId="169" fontId="0" fillId="0" borderId="1" xfId="0" applyNumberFormat="1" applyBorder="1"/>
    <xf numFmtId="0" fontId="1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166" fontId="0" fillId="0" borderId="0" xfId="2" applyNumberFormat="1" applyFont="1" applyAlignment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/>
    <xf numFmtId="15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/>
    <xf numFmtId="0" fontId="15" fillId="10" borderId="39" xfId="0" applyFont="1" applyFill="1" applyBorder="1" applyAlignment="1">
      <alignment horizontal="center"/>
    </xf>
    <xf numFmtId="0" fontId="17" fillId="11" borderId="41" xfId="0" applyFont="1" applyFill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39" xfId="0" applyFont="1" applyBorder="1" applyAlignment="1">
      <alignment vertical="center"/>
    </xf>
    <xf numFmtId="15" fontId="15" fillId="0" borderId="39" xfId="0" applyNumberFormat="1" applyFont="1" applyBorder="1" applyAlignment="1">
      <alignment horizontal="center"/>
    </xf>
    <xf numFmtId="1" fontId="15" fillId="0" borderId="39" xfId="0" applyNumberFormat="1" applyFont="1" applyBorder="1" applyAlignment="1">
      <alignment horizontal="center"/>
    </xf>
    <xf numFmtId="170" fontId="15" fillId="0" borderId="39" xfId="0" applyNumberFormat="1" applyFont="1" applyBorder="1"/>
    <xf numFmtId="0" fontId="15" fillId="0" borderId="38" xfId="0" applyFont="1" applyBorder="1" applyAlignment="1">
      <alignment horizontal="center"/>
    </xf>
    <xf numFmtId="0" fontId="17" fillId="11" borderId="39" xfId="0" applyFont="1" applyFill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0" xfId="0" applyFont="1"/>
    <xf numFmtId="0" fontId="15" fillId="11" borderId="39" xfId="0" applyFont="1" applyFill="1" applyBorder="1" applyAlignment="1">
      <alignment horizontal="center" vertical="center" wrapText="1"/>
    </xf>
    <xf numFmtId="171" fontId="15" fillId="0" borderId="38" xfId="0" applyNumberFormat="1" applyFont="1" applyBorder="1" applyAlignment="1">
      <alignment horizontal="center"/>
    </xf>
    <xf numFmtId="170" fontId="15" fillId="0" borderId="38" xfId="0" applyNumberFormat="1" applyFont="1" applyBorder="1"/>
    <xf numFmtId="0" fontId="18" fillId="0" borderId="0" xfId="0" applyFont="1" applyAlignment="1">
      <alignment horizontal="center"/>
    </xf>
    <xf numFmtId="20" fontId="15" fillId="0" borderId="0" xfId="0" quotePrefix="1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172" fontId="0" fillId="0" borderId="1" xfId="0" applyNumberFormat="1" applyBorder="1"/>
    <xf numFmtId="0" fontId="21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wrapText="1"/>
    </xf>
    <xf numFmtId="173" fontId="21" fillId="0" borderId="1" xfId="0" applyNumberFormat="1" applyFont="1" applyBorder="1"/>
    <xf numFmtId="0" fontId="2" fillId="13" borderId="1" xfId="0" applyFont="1" applyFill="1" applyBorder="1" applyAlignment="1">
      <alignment horizontal="center" vertical="center" wrapText="1"/>
    </xf>
    <xf numFmtId="175" fontId="0" fillId="0" borderId="1" xfId="1" applyNumberFormat="1" applyFont="1" applyBorder="1"/>
    <xf numFmtId="0" fontId="6" fillId="0" borderId="0" xfId="0" applyFont="1" applyAlignment="1">
      <alignment horizontal="left" vertical="center"/>
    </xf>
    <xf numFmtId="167" fontId="0" fillId="0" borderId="0" xfId="1" applyNumberFormat="1" applyFont="1"/>
    <xf numFmtId="175" fontId="0" fillId="0" borderId="0" xfId="0" applyNumberFormat="1"/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/>
    <xf numFmtId="0" fontId="2" fillId="16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2" fillId="16" borderId="1" xfId="0" applyFont="1" applyFill="1" applyBorder="1"/>
    <xf numFmtId="0" fontId="2" fillId="15" borderId="0" xfId="0" applyFont="1" applyFill="1"/>
    <xf numFmtId="0" fontId="0" fillId="0" borderId="0" xfId="0" quotePrefix="1"/>
    <xf numFmtId="175" fontId="0" fillId="0" borderId="1" xfId="1" applyNumberFormat="1" applyFont="1" applyFill="1" applyBorder="1"/>
    <xf numFmtId="0" fontId="0" fillId="0" borderId="18" xfId="0" applyBorder="1"/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1" xfId="0" applyFont="1" applyBorder="1"/>
    <xf numFmtId="0" fontId="0" fillId="0" borderId="46" xfId="0" applyBorder="1"/>
    <xf numFmtId="0" fontId="11" fillId="0" borderId="21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3" fillId="0" borderId="0" xfId="0" applyFont="1"/>
    <xf numFmtId="167" fontId="0" fillId="0" borderId="1" xfId="0" applyNumberFormat="1" applyBorder="1"/>
    <xf numFmtId="167" fontId="0" fillId="0" borderId="19" xfId="0" applyNumberFormat="1" applyBorder="1"/>
    <xf numFmtId="167" fontId="0" fillId="0" borderId="2" xfId="1" applyNumberFormat="1" applyFont="1" applyBorder="1"/>
    <xf numFmtId="166" fontId="8" fillId="0" borderId="2" xfId="2" applyNumberFormat="1" applyFont="1" applyBorder="1" applyAlignment="1">
      <alignment horizontal="left"/>
    </xf>
    <xf numFmtId="166" fontId="8" fillId="0" borderId="2" xfId="3" applyNumberFormat="1" applyFont="1" applyBorder="1" applyAlignment="1">
      <alignment horizontal="center"/>
    </xf>
    <xf numFmtId="0" fontId="2" fillId="5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5" fillId="10" borderId="32" xfId="0" applyFont="1" applyFill="1" applyBorder="1" applyAlignment="1">
      <alignment horizontal="center" vertical="center" wrapText="1"/>
    </xf>
    <xf numFmtId="0" fontId="16" fillId="0" borderId="38" xfId="0" applyFont="1" applyBorder="1"/>
    <xf numFmtId="0" fontId="17" fillId="11" borderId="36" xfId="0" applyFont="1" applyFill="1" applyBorder="1" applyAlignment="1">
      <alignment horizontal="center" vertical="center" wrapText="1"/>
    </xf>
    <xf numFmtId="0" fontId="16" fillId="0" borderId="40" xfId="0" applyFont="1" applyBorder="1"/>
    <xf numFmtId="0" fontId="17" fillId="11" borderId="30" xfId="0" applyFont="1" applyFill="1" applyBorder="1" applyAlignment="1">
      <alignment horizontal="center"/>
    </xf>
    <xf numFmtId="0" fontId="16" fillId="0" borderId="37" xfId="0" applyFont="1" applyBorder="1"/>
    <xf numFmtId="0" fontId="16" fillId="0" borderId="31" xfId="0" applyFont="1" applyBorder="1"/>
    <xf numFmtId="0" fontId="17" fillId="11" borderId="32" xfId="0" applyFont="1" applyFill="1" applyBorder="1" applyAlignment="1">
      <alignment horizontal="center" wrapText="1"/>
    </xf>
    <xf numFmtId="0" fontId="17" fillId="11" borderId="33" xfId="0" applyFont="1" applyFill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4" fillId="0" borderId="0" xfId="0" applyFont="1" applyAlignment="1">
      <alignment horizontal="center"/>
    </xf>
    <xf numFmtId="0" fontId="0" fillId="0" borderId="0" xfId="0"/>
    <xf numFmtId="0" fontId="15" fillId="10" borderId="30" xfId="0" applyFont="1" applyFill="1" applyBorder="1" applyAlignment="1">
      <alignment horizontal="center"/>
    </xf>
    <xf numFmtId="0" fontId="15" fillId="10" borderId="3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5" fillId="0" borderId="18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/>
    </xf>
    <xf numFmtId="0" fontId="6" fillId="2" borderId="20" xfId="0" applyFont="1" applyFill="1" applyBorder="1" applyAlignment="1">
      <alignment horizontal="left"/>
    </xf>
    <xf numFmtId="0" fontId="6" fillId="2" borderId="21" xfId="0" applyFont="1" applyFill="1" applyBorder="1" applyAlignment="1">
      <alignment horizontal="left"/>
    </xf>
    <xf numFmtId="0" fontId="1" fillId="0" borderId="22" xfId="0" applyFont="1" applyBorder="1" applyAlignment="1">
      <alignment horizontal="left" indent="1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8" fillId="0" borderId="14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8" fillId="0" borderId="15" xfId="0" applyFont="1" applyBorder="1" applyAlignment="1">
      <alignment horizontal="left" indent="1"/>
    </xf>
    <xf numFmtId="0" fontId="9" fillId="0" borderId="1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0" borderId="9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8" fillId="0" borderId="12" xfId="0" applyFont="1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8" fillId="0" borderId="13" xfId="0" applyFont="1" applyBorder="1" applyAlignment="1">
      <alignment horizontal="left" indent="1"/>
    </xf>
    <xf numFmtId="0" fontId="7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2" applyNumberFormat="1" applyFont="1" applyBorder="1"/>
    <xf numFmtId="166" fontId="21" fillId="0" borderId="1" xfId="0" applyNumberFormat="1" applyFont="1" applyBorder="1"/>
  </cellXfs>
  <cellStyles count="6">
    <cellStyle name="Comma" xfId="1" builtinId="3"/>
    <cellStyle name="Comma 2" xfId="5" xr:uid="{53A4E3C9-9B90-4637-9D94-17FDBAF1A72A}"/>
    <cellStyle name="Currency" xfId="2" builtinId="4"/>
    <cellStyle name="Normal" xfId="0" builtinId="0"/>
    <cellStyle name="Normal 2" xfId="4" xr:uid="{17472926-152B-4131-8DAE-8CE683AB34A2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0</xdr:row>
      <xdr:rowOff>38101</xdr:rowOff>
    </xdr:from>
    <xdr:to>
      <xdr:col>8</xdr:col>
      <xdr:colOff>461962</xdr:colOff>
      <xdr:row>4</xdr:row>
      <xdr:rowOff>26442</xdr:rowOff>
    </xdr:to>
    <xdr:pic>
      <xdr:nvPicPr>
        <xdr:cNvPr id="2" name="Picture 1" descr="C:\Program Files\Microsoft Office\MEDIA\CAGCAT10\j0212957.wmf">
          <a:extLst>
            <a:ext uri="{FF2B5EF4-FFF2-40B4-BE49-F238E27FC236}">
              <a16:creationId xmlns:a16="http://schemas.microsoft.com/office/drawing/2014/main" id="{BA673B22-F720-431F-8F95-6200879B0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9775" y="38101"/>
          <a:ext cx="1195387" cy="75034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FA5-09D3-449D-B372-4C09C441F913}">
  <dimension ref="A1:P52"/>
  <sheetViews>
    <sheetView topLeftCell="A20" workbookViewId="0">
      <selection activeCell="Q22" sqref="Q22"/>
    </sheetView>
  </sheetViews>
  <sheetFormatPr defaultRowHeight="15" x14ac:dyDescent="0.25"/>
  <cols>
    <col min="1" max="1" width="10.7109375" bestFit="1" customWidth="1"/>
    <col min="2" max="2" width="11.85546875" customWidth="1"/>
    <col min="3" max="3" width="12.85546875" customWidth="1"/>
    <col min="4" max="4" width="12.42578125" bestFit="1" customWidth="1"/>
    <col min="5" max="5" width="16" customWidth="1"/>
    <col min="6" max="6" width="12.7109375" style="102" bestFit="1" customWidth="1"/>
    <col min="7" max="7" width="12.85546875" customWidth="1"/>
    <col min="8" max="8" width="15.140625" bestFit="1" customWidth="1"/>
    <col min="9" max="9" width="10.28515625" bestFit="1" customWidth="1"/>
    <col min="10" max="10" width="11.28515625" customWidth="1"/>
    <col min="11" max="11" width="11.28515625" bestFit="1" customWidth="1"/>
    <col min="12" max="12" width="15.140625" bestFit="1" customWidth="1"/>
    <col min="13" max="14" width="12.42578125" bestFit="1" customWidth="1"/>
  </cols>
  <sheetData>
    <row r="1" spans="1:13" x14ac:dyDescent="0.25">
      <c r="A1" s="187" t="s">
        <v>325</v>
      </c>
      <c r="B1" s="187"/>
      <c r="C1" s="187"/>
      <c r="D1" s="187"/>
      <c r="E1" s="187"/>
    </row>
    <row r="3" spans="1:13" ht="15.75" x14ac:dyDescent="0.25">
      <c r="A3" s="188" t="s">
        <v>326</v>
      </c>
      <c r="B3" s="188"/>
      <c r="C3" s="188"/>
      <c r="D3" s="188"/>
      <c r="E3" s="188"/>
      <c r="F3" s="188"/>
      <c r="G3" s="188"/>
      <c r="H3" s="188"/>
    </row>
    <row r="4" spans="1:13" ht="30" x14ac:dyDescent="0.25">
      <c r="A4" s="103" t="s">
        <v>327</v>
      </c>
      <c r="B4" s="103" t="s">
        <v>328</v>
      </c>
      <c r="C4" s="103" t="s">
        <v>329</v>
      </c>
      <c r="D4" s="103" t="s">
        <v>330</v>
      </c>
      <c r="E4" s="103" t="s">
        <v>78</v>
      </c>
      <c r="F4" s="104" t="s">
        <v>103</v>
      </c>
      <c r="G4" s="105" t="s">
        <v>331</v>
      </c>
      <c r="H4" s="103" t="s">
        <v>332</v>
      </c>
      <c r="J4" t="s">
        <v>333</v>
      </c>
    </row>
    <row r="5" spans="1:13" x14ac:dyDescent="0.25">
      <c r="A5" s="106">
        <v>45231</v>
      </c>
      <c r="B5" s="107" t="str">
        <f>INDEX($J$17:$J$28,MATCH(LEFT(E5,7),$L$17:$L$28,0))</f>
        <v>Kamera</v>
      </c>
      <c r="C5" s="107" t="str">
        <f>INDEX($K$17:$K$28,MATCH(LEFT(E5,7),$L$17:$L$28,0))</f>
        <v>Canon</v>
      </c>
      <c r="D5" s="108" t="str">
        <f>INDEX($K$31:$P$31,MATCH(RIGHT(E5,3),$K$32:$P$32,0))</f>
        <v>Bandung</v>
      </c>
      <c r="E5" s="109" t="s">
        <v>334</v>
      </c>
      <c r="F5" s="110">
        <f>INDEX($M$17:$M$28,MATCH(LEFT(E5,7),$L$17:$L$28,0))</f>
        <v>3200000</v>
      </c>
      <c r="G5" s="47">
        <v>20</v>
      </c>
      <c r="H5" s="110">
        <f>F5*G5</f>
        <v>64000000</v>
      </c>
      <c r="J5" t="s">
        <v>335</v>
      </c>
    </row>
    <row r="6" spans="1:13" x14ac:dyDescent="0.25">
      <c r="A6" s="106">
        <v>45231</v>
      </c>
      <c r="B6" s="107" t="str">
        <f t="shared" ref="B6:B51" si="0">INDEX($J$17:$J$28,MATCH(LEFT(E6,7),$L$17:$L$28,0))</f>
        <v>Kamera</v>
      </c>
      <c r="C6" s="107" t="str">
        <f t="shared" ref="C6:C51" si="1">INDEX($K$17:$K$28,MATCH(LEFT(E6,7),$L$17:$L$28,0))</f>
        <v>Sony</v>
      </c>
      <c r="D6" s="108" t="str">
        <f t="shared" ref="D6:D51" si="2">INDEX($K$31:$P$31,MATCH(RIGHT(E6,3),$K$32:$P$32,0))</f>
        <v>Surabaya</v>
      </c>
      <c r="E6" s="109" t="s">
        <v>336</v>
      </c>
      <c r="F6" s="110">
        <f t="shared" ref="F6:F51" si="3">INDEX($M$17:$M$28,MATCH(LEFT(E6,7),$L$17:$L$28,0))</f>
        <v>4250000</v>
      </c>
      <c r="G6" s="47">
        <v>18</v>
      </c>
      <c r="H6" s="110">
        <f t="shared" ref="H6:H51" si="4">F6*G6</f>
        <v>76500000</v>
      </c>
      <c r="J6" t="s">
        <v>337</v>
      </c>
    </row>
    <row r="7" spans="1:13" x14ac:dyDescent="0.25">
      <c r="A7" s="106">
        <v>45232</v>
      </c>
      <c r="B7" s="107" t="str">
        <f t="shared" si="0"/>
        <v>Televisi</v>
      </c>
      <c r="C7" s="107" t="str">
        <f t="shared" si="1"/>
        <v>LG</v>
      </c>
      <c r="D7" s="108" t="str">
        <f t="shared" si="2"/>
        <v>Malang</v>
      </c>
      <c r="E7" s="109" t="s">
        <v>338</v>
      </c>
      <c r="F7" s="110">
        <f t="shared" si="3"/>
        <v>1550000</v>
      </c>
      <c r="G7" s="47">
        <v>16</v>
      </c>
      <c r="H7" s="110">
        <f t="shared" si="4"/>
        <v>24800000</v>
      </c>
      <c r="J7" t="s">
        <v>339</v>
      </c>
    </row>
    <row r="8" spans="1:13" x14ac:dyDescent="0.25">
      <c r="A8" s="106">
        <v>45233</v>
      </c>
      <c r="B8" s="107" t="str">
        <f t="shared" si="0"/>
        <v>Handphone</v>
      </c>
      <c r="C8" s="107" t="str">
        <f t="shared" si="1"/>
        <v>Xiaomi</v>
      </c>
      <c r="D8" s="108" t="str">
        <f t="shared" si="2"/>
        <v>Yogyakarta</v>
      </c>
      <c r="E8" s="109" t="s">
        <v>340</v>
      </c>
      <c r="F8" s="110">
        <f t="shared" si="3"/>
        <v>2700000</v>
      </c>
      <c r="G8" s="47">
        <v>20</v>
      </c>
      <c r="H8" s="110">
        <f t="shared" si="4"/>
        <v>54000000</v>
      </c>
    </row>
    <row r="9" spans="1:13" x14ac:dyDescent="0.25">
      <c r="A9" s="106">
        <v>45234</v>
      </c>
      <c r="B9" s="107" t="str">
        <f t="shared" si="0"/>
        <v>Kamera</v>
      </c>
      <c r="C9" s="107" t="str">
        <f t="shared" si="1"/>
        <v>Canon</v>
      </c>
      <c r="D9" s="108" t="str">
        <f t="shared" si="2"/>
        <v>Yogyakarta</v>
      </c>
      <c r="E9" s="109" t="s">
        <v>341</v>
      </c>
      <c r="F9" s="110">
        <f t="shared" si="3"/>
        <v>3200000</v>
      </c>
      <c r="G9" s="47">
        <v>11</v>
      </c>
      <c r="H9" s="110">
        <f>F9*G9</f>
        <v>35200000</v>
      </c>
      <c r="J9" s="189" t="s">
        <v>342</v>
      </c>
      <c r="K9" s="189"/>
      <c r="L9" s="189"/>
    </row>
    <row r="10" spans="1:13" x14ac:dyDescent="0.25">
      <c r="A10" s="106">
        <v>45234</v>
      </c>
      <c r="B10" s="107" t="str">
        <f t="shared" si="0"/>
        <v>Kamera</v>
      </c>
      <c r="C10" s="107" t="str">
        <f t="shared" si="1"/>
        <v>Sony</v>
      </c>
      <c r="D10" s="108" t="str">
        <f t="shared" si="2"/>
        <v>Jakarta</v>
      </c>
      <c r="E10" s="109" t="s">
        <v>343</v>
      </c>
      <c r="F10" s="110">
        <f t="shared" si="3"/>
        <v>4250000</v>
      </c>
      <c r="G10" s="47">
        <v>15</v>
      </c>
      <c r="H10" s="110">
        <f t="shared" si="4"/>
        <v>63750000</v>
      </c>
      <c r="J10" s="111" t="s">
        <v>330</v>
      </c>
      <c r="K10" s="111" t="s">
        <v>328</v>
      </c>
      <c r="L10" s="111" t="s">
        <v>344</v>
      </c>
    </row>
    <row r="11" spans="1:13" x14ac:dyDescent="0.25">
      <c r="A11" s="106">
        <v>45235</v>
      </c>
      <c r="B11" s="107" t="str">
        <f t="shared" si="0"/>
        <v>Kamera</v>
      </c>
      <c r="C11" s="107" t="str">
        <f t="shared" si="1"/>
        <v>Canon</v>
      </c>
      <c r="D11" s="108" t="str">
        <f t="shared" si="2"/>
        <v>Medan</v>
      </c>
      <c r="E11" s="109" t="s">
        <v>345</v>
      </c>
      <c r="F11" s="110">
        <f t="shared" si="3"/>
        <v>3200000</v>
      </c>
      <c r="G11" s="47">
        <v>13</v>
      </c>
      <c r="H11" s="110">
        <f t="shared" si="4"/>
        <v>41600000</v>
      </c>
      <c r="J11" s="48" t="s">
        <v>346</v>
      </c>
      <c r="K11" s="48" t="s">
        <v>347</v>
      </c>
      <c r="L11" s="112">
        <f>SUMIFS($H$5:$H$51,$D$5:$D$51,J11,$B$5:$B$51,K11)</f>
        <v>153250000</v>
      </c>
    </row>
    <row r="12" spans="1:13" x14ac:dyDescent="0.25">
      <c r="A12" s="106">
        <v>45237</v>
      </c>
      <c r="B12" s="107" t="str">
        <f t="shared" si="0"/>
        <v>Televisi</v>
      </c>
      <c r="C12" s="107" t="str">
        <f t="shared" si="1"/>
        <v>LG</v>
      </c>
      <c r="D12" s="108" t="str">
        <f t="shared" si="2"/>
        <v>Medan</v>
      </c>
      <c r="E12" s="109" t="s">
        <v>348</v>
      </c>
      <c r="F12" s="110">
        <f t="shared" si="3"/>
        <v>1550000</v>
      </c>
      <c r="G12" s="47">
        <v>10</v>
      </c>
      <c r="H12" s="110">
        <f t="shared" si="4"/>
        <v>15500000</v>
      </c>
      <c r="J12" s="48" t="s">
        <v>182</v>
      </c>
      <c r="K12" s="48" t="s">
        <v>349</v>
      </c>
      <c r="L12" s="112">
        <f t="shared" ref="L12:L14" si="5">SUMIFS($H$5:$H$51,$D$5:$D$51,J12,$B$5:$B$51,K12)</f>
        <v>368200000</v>
      </c>
    </row>
    <row r="13" spans="1:13" x14ac:dyDescent="0.25">
      <c r="A13" s="106">
        <v>45239</v>
      </c>
      <c r="B13" s="107" t="str">
        <f t="shared" si="0"/>
        <v>Kamera</v>
      </c>
      <c r="C13" s="107" t="str">
        <f t="shared" si="1"/>
        <v>Nikon</v>
      </c>
      <c r="D13" s="108" t="str">
        <f t="shared" si="2"/>
        <v>Medan</v>
      </c>
      <c r="E13" s="47" t="s">
        <v>350</v>
      </c>
      <c r="F13" s="110">
        <f t="shared" si="3"/>
        <v>3700000</v>
      </c>
      <c r="G13" s="47">
        <v>24</v>
      </c>
      <c r="H13" s="110">
        <f t="shared" si="4"/>
        <v>88800000</v>
      </c>
      <c r="J13" s="48" t="s">
        <v>351</v>
      </c>
      <c r="K13" s="48" t="s">
        <v>352</v>
      </c>
      <c r="L13" s="112">
        <f t="shared" si="5"/>
        <v>24800000</v>
      </c>
    </row>
    <row r="14" spans="1:13" x14ac:dyDescent="0.25">
      <c r="A14" s="106">
        <v>45239</v>
      </c>
      <c r="B14" s="107" t="str">
        <f t="shared" si="0"/>
        <v>Handphone</v>
      </c>
      <c r="C14" s="107" t="str">
        <f t="shared" si="1"/>
        <v>Apple iPhone</v>
      </c>
      <c r="D14" s="108" t="str">
        <f t="shared" si="2"/>
        <v>Jakarta</v>
      </c>
      <c r="E14" s="109" t="s">
        <v>353</v>
      </c>
      <c r="F14" s="110">
        <f t="shared" si="3"/>
        <v>10500000</v>
      </c>
      <c r="G14" s="47">
        <v>25</v>
      </c>
      <c r="H14" s="110">
        <f t="shared" si="4"/>
        <v>262500000</v>
      </c>
      <c r="J14" s="48" t="s">
        <v>354</v>
      </c>
      <c r="K14" s="48" t="s">
        <v>355</v>
      </c>
      <c r="L14" s="112">
        <f t="shared" si="5"/>
        <v>210500000</v>
      </c>
    </row>
    <row r="15" spans="1:13" x14ac:dyDescent="0.25">
      <c r="A15" s="106">
        <v>45239</v>
      </c>
      <c r="B15" s="107" t="str">
        <f t="shared" si="0"/>
        <v>Televisi</v>
      </c>
      <c r="C15" s="107" t="str">
        <f t="shared" si="1"/>
        <v>Panasonic</v>
      </c>
      <c r="D15" s="108" t="str">
        <f t="shared" si="2"/>
        <v>Medan</v>
      </c>
      <c r="E15" s="109" t="s">
        <v>356</v>
      </c>
      <c r="F15" s="110">
        <f t="shared" si="3"/>
        <v>1075000</v>
      </c>
      <c r="G15" s="47">
        <v>16</v>
      </c>
      <c r="H15" s="110">
        <f t="shared" si="4"/>
        <v>17200000</v>
      </c>
    </row>
    <row r="16" spans="1:13" x14ac:dyDescent="0.25">
      <c r="A16" s="106">
        <v>45240</v>
      </c>
      <c r="B16" s="107" t="str">
        <f t="shared" si="0"/>
        <v>Laptop</v>
      </c>
      <c r="C16" s="107" t="str">
        <f t="shared" si="1"/>
        <v>Macbook</v>
      </c>
      <c r="D16" s="108" t="str">
        <f t="shared" si="2"/>
        <v>Surabaya</v>
      </c>
      <c r="E16" s="109" t="s">
        <v>357</v>
      </c>
      <c r="F16" s="110">
        <f t="shared" si="3"/>
        <v>6500000</v>
      </c>
      <c r="G16" s="47">
        <v>10</v>
      </c>
      <c r="H16" s="110">
        <f t="shared" si="4"/>
        <v>65000000</v>
      </c>
      <c r="J16" s="113" t="s">
        <v>328</v>
      </c>
      <c r="K16" s="114" t="s">
        <v>329</v>
      </c>
      <c r="L16" s="114" t="s">
        <v>78</v>
      </c>
      <c r="M16" s="113" t="s">
        <v>103</v>
      </c>
    </row>
    <row r="17" spans="1:16" x14ac:dyDescent="0.25">
      <c r="A17" s="106">
        <v>45240</v>
      </c>
      <c r="B17" s="107" t="str">
        <f t="shared" si="0"/>
        <v>Handphone</v>
      </c>
      <c r="C17" s="107" t="str">
        <f t="shared" si="1"/>
        <v>Xiaomi</v>
      </c>
      <c r="D17" s="108" t="str">
        <f t="shared" si="2"/>
        <v>Medan</v>
      </c>
      <c r="E17" s="109" t="s">
        <v>358</v>
      </c>
      <c r="F17" s="110">
        <f t="shared" si="3"/>
        <v>2700000</v>
      </c>
      <c r="G17" s="47">
        <v>12</v>
      </c>
      <c r="H17" s="110">
        <f t="shared" si="4"/>
        <v>32400000</v>
      </c>
      <c r="J17" s="48" t="s">
        <v>355</v>
      </c>
      <c r="K17" s="48" t="s">
        <v>359</v>
      </c>
      <c r="L17" s="48" t="s">
        <v>360</v>
      </c>
      <c r="M17" s="112">
        <v>4500000</v>
      </c>
    </row>
    <row r="18" spans="1:16" x14ac:dyDescent="0.25">
      <c r="A18" s="106">
        <v>45241</v>
      </c>
      <c r="B18" s="107" t="str">
        <f t="shared" si="0"/>
        <v>Laptop</v>
      </c>
      <c r="C18" s="107" t="str">
        <f t="shared" si="1"/>
        <v>Macbook</v>
      </c>
      <c r="D18" s="108" t="str">
        <f t="shared" si="2"/>
        <v>Jakarta</v>
      </c>
      <c r="E18" s="109" t="s">
        <v>361</v>
      </c>
      <c r="F18" s="110">
        <f t="shared" si="3"/>
        <v>6500000</v>
      </c>
      <c r="G18" s="47">
        <v>16</v>
      </c>
      <c r="H18" s="110">
        <f t="shared" si="4"/>
        <v>104000000</v>
      </c>
      <c r="J18" s="48" t="s">
        <v>355</v>
      </c>
      <c r="K18" s="48" t="s">
        <v>362</v>
      </c>
      <c r="L18" s="48" t="s">
        <v>363</v>
      </c>
      <c r="M18" s="112">
        <v>6500000</v>
      </c>
    </row>
    <row r="19" spans="1:16" x14ac:dyDescent="0.25">
      <c r="A19" s="106">
        <v>45241</v>
      </c>
      <c r="B19" s="107" t="str">
        <f t="shared" si="0"/>
        <v>Laptop</v>
      </c>
      <c r="C19" s="107" t="str">
        <f t="shared" si="1"/>
        <v>Hp</v>
      </c>
      <c r="D19" s="108" t="str">
        <f t="shared" si="2"/>
        <v>Medan</v>
      </c>
      <c r="E19" s="109" t="s">
        <v>364</v>
      </c>
      <c r="F19" s="110">
        <f t="shared" si="3"/>
        <v>6000000</v>
      </c>
      <c r="G19" s="47">
        <v>23</v>
      </c>
      <c r="H19" s="110">
        <f t="shared" si="4"/>
        <v>138000000</v>
      </c>
      <c r="J19" s="48" t="s">
        <v>355</v>
      </c>
      <c r="K19" s="48" t="s">
        <v>365</v>
      </c>
      <c r="L19" s="48" t="s">
        <v>366</v>
      </c>
      <c r="M19" s="112">
        <v>6000000</v>
      </c>
    </row>
    <row r="20" spans="1:16" x14ac:dyDescent="0.25">
      <c r="A20" s="106">
        <v>45242</v>
      </c>
      <c r="B20" s="107" t="str">
        <f t="shared" si="0"/>
        <v>Laptop</v>
      </c>
      <c r="C20" s="107" t="str">
        <f t="shared" si="1"/>
        <v>Asus</v>
      </c>
      <c r="D20" s="108" t="str">
        <f t="shared" si="2"/>
        <v>Bandung</v>
      </c>
      <c r="E20" s="109" t="s">
        <v>367</v>
      </c>
      <c r="F20" s="110">
        <f t="shared" si="3"/>
        <v>4500000</v>
      </c>
      <c r="G20" s="47">
        <v>13</v>
      </c>
      <c r="H20" s="110">
        <f t="shared" si="4"/>
        <v>58500000</v>
      </c>
      <c r="J20" s="48" t="s">
        <v>349</v>
      </c>
      <c r="K20" s="48" t="s">
        <v>368</v>
      </c>
      <c r="L20" s="48" t="s">
        <v>369</v>
      </c>
      <c r="M20" s="112">
        <v>3500000</v>
      </c>
    </row>
    <row r="21" spans="1:16" x14ac:dyDescent="0.25">
      <c r="A21" s="106">
        <v>45242</v>
      </c>
      <c r="B21" s="107" t="str">
        <f t="shared" si="0"/>
        <v>Handphone</v>
      </c>
      <c r="C21" s="107" t="str">
        <f t="shared" si="1"/>
        <v>Xiaomi</v>
      </c>
      <c r="D21" s="108" t="str">
        <f t="shared" si="2"/>
        <v>Malang</v>
      </c>
      <c r="E21" s="109" t="s">
        <v>370</v>
      </c>
      <c r="F21" s="110">
        <f t="shared" si="3"/>
        <v>2700000</v>
      </c>
      <c r="G21" s="47">
        <v>13</v>
      </c>
      <c r="H21" s="110">
        <f t="shared" si="4"/>
        <v>35100000</v>
      </c>
      <c r="J21" s="48" t="s">
        <v>349</v>
      </c>
      <c r="K21" s="48" t="s">
        <v>371</v>
      </c>
      <c r="L21" s="48" t="s">
        <v>372</v>
      </c>
      <c r="M21" s="112">
        <v>10500000</v>
      </c>
    </row>
    <row r="22" spans="1:16" x14ac:dyDescent="0.25">
      <c r="A22" s="106">
        <v>45243</v>
      </c>
      <c r="B22" s="107" t="str">
        <f t="shared" si="0"/>
        <v>Handphone</v>
      </c>
      <c r="C22" s="107" t="str">
        <f t="shared" si="1"/>
        <v>Xiaomi</v>
      </c>
      <c r="D22" s="108" t="str">
        <f t="shared" si="2"/>
        <v>Jakarta</v>
      </c>
      <c r="E22" s="109" t="s">
        <v>373</v>
      </c>
      <c r="F22" s="110">
        <f t="shared" si="3"/>
        <v>2700000</v>
      </c>
      <c r="G22" s="47">
        <v>21</v>
      </c>
      <c r="H22" s="110">
        <f t="shared" si="4"/>
        <v>56700000</v>
      </c>
      <c r="J22" s="48" t="s">
        <v>349</v>
      </c>
      <c r="K22" s="48" t="s">
        <v>374</v>
      </c>
      <c r="L22" s="48" t="s">
        <v>375</v>
      </c>
      <c r="M22" s="112">
        <v>2700000</v>
      </c>
    </row>
    <row r="23" spans="1:16" x14ac:dyDescent="0.25">
      <c r="A23" s="106">
        <v>45244</v>
      </c>
      <c r="B23" s="107" t="str">
        <f t="shared" si="0"/>
        <v>Handphone</v>
      </c>
      <c r="C23" s="107" t="str">
        <f t="shared" si="1"/>
        <v>Xiaomi</v>
      </c>
      <c r="D23" s="108" t="str">
        <f t="shared" si="2"/>
        <v>Bandung</v>
      </c>
      <c r="E23" s="109" t="s">
        <v>376</v>
      </c>
      <c r="F23" s="110">
        <f t="shared" si="3"/>
        <v>2700000</v>
      </c>
      <c r="G23" s="47">
        <v>19</v>
      </c>
      <c r="H23" s="110">
        <f t="shared" si="4"/>
        <v>51300000</v>
      </c>
      <c r="J23" s="48" t="s">
        <v>347</v>
      </c>
      <c r="K23" s="48" t="s">
        <v>377</v>
      </c>
      <c r="L23" s="48" t="s">
        <v>378</v>
      </c>
      <c r="M23" s="112">
        <v>3200000</v>
      </c>
    </row>
    <row r="24" spans="1:16" x14ac:dyDescent="0.25">
      <c r="A24" s="106">
        <v>45245</v>
      </c>
      <c r="B24" s="107" t="str">
        <f t="shared" si="0"/>
        <v>Handphone</v>
      </c>
      <c r="C24" s="107" t="str">
        <f t="shared" si="1"/>
        <v>Apple iPhone</v>
      </c>
      <c r="D24" s="108" t="str">
        <f t="shared" si="2"/>
        <v>Yogyakarta</v>
      </c>
      <c r="E24" s="109" t="s">
        <v>379</v>
      </c>
      <c r="F24" s="110">
        <f t="shared" si="3"/>
        <v>10500000</v>
      </c>
      <c r="G24" s="47">
        <v>23</v>
      </c>
      <c r="H24" s="110">
        <f t="shared" si="4"/>
        <v>241500000</v>
      </c>
      <c r="J24" s="48" t="s">
        <v>347</v>
      </c>
      <c r="K24" s="48" t="s">
        <v>380</v>
      </c>
      <c r="L24" s="48" t="s">
        <v>381</v>
      </c>
      <c r="M24" s="112">
        <v>3700000</v>
      </c>
    </row>
    <row r="25" spans="1:16" x14ac:dyDescent="0.25">
      <c r="A25" s="106">
        <v>45246</v>
      </c>
      <c r="B25" s="107" t="str">
        <f t="shared" si="0"/>
        <v>Laptop</v>
      </c>
      <c r="C25" s="107" t="str">
        <f t="shared" si="1"/>
        <v>Asus</v>
      </c>
      <c r="D25" s="108" t="str">
        <f t="shared" si="2"/>
        <v>Yogyakarta</v>
      </c>
      <c r="E25" s="109" t="s">
        <v>382</v>
      </c>
      <c r="F25" s="110">
        <f t="shared" si="3"/>
        <v>4500000</v>
      </c>
      <c r="G25" s="47">
        <v>12</v>
      </c>
      <c r="H25" s="110">
        <f t="shared" si="4"/>
        <v>54000000</v>
      </c>
      <c r="J25" s="48" t="s">
        <v>347</v>
      </c>
      <c r="K25" s="48" t="s">
        <v>383</v>
      </c>
      <c r="L25" s="48" t="s">
        <v>384</v>
      </c>
      <c r="M25" s="112">
        <v>4250000</v>
      </c>
    </row>
    <row r="26" spans="1:16" x14ac:dyDescent="0.25">
      <c r="A26" s="106">
        <v>45246</v>
      </c>
      <c r="B26" s="107" t="str">
        <f t="shared" si="0"/>
        <v>Laptop</v>
      </c>
      <c r="C26" s="107" t="str">
        <f t="shared" si="1"/>
        <v>Hp</v>
      </c>
      <c r="D26" s="108" t="str">
        <f t="shared" si="2"/>
        <v>Yogyakarta</v>
      </c>
      <c r="E26" s="109" t="s">
        <v>385</v>
      </c>
      <c r="F26" s="110">
        <f t="shared" si="3"/>
        <v>6000000</v>
      </c>
      <c r="G26" s="47">
        <v>12</v>
      </c>
      <c r="H26" s="110">
        <f t="shared" si="4"/>
        <v>72000000</v>
      </c>
      <c r="J26" s="48" t="s">
        <v>352</v>
      </c>
      <c r="K26" s="48" t="s">
        <v>386</v>
      </c>
      <c r="L26" s="48" t="s">
        <v>387</v>
      </c>
      <c r="M26" s="112">
        <v>1075000</v>
      </c>
    </row>
    <row r="27" spans="1:16" x14ac:dyDescent="0.25">
      <c r="A27" s="106">
        <v>45247</v>
      </c>
      <c r="B27" s="107" t="str">
        <f t="shared" si="0"/>
        <v>Kamera</v>
      </c>
      <c r="C27" s="107" t="str">
        <f t="shared" si="1"/>
        <v>Canon</v>
      </c>
      <c r="D27" s="108" t="str">
        <f t="shared" si="2"/>
        <v>Malang</v>
      </c>
      <c r="E27" s="109" t="s">
        <v>388</v>
      </c>
      <c r="F27" s="110">
        <f t="shared" si="3"/>
        <v>3200000</v>
      </c>
      <c r="G27" s="47">
        <v>11</v>
      </c>
      <c r="H27" s="110">
        <f t="shared" si="4"/>
        <v>35200000</v>
      </c>
      <c r="J27" s="48" t="s">
        <v>352</v>
      </c>
      <c r="K27" s="48" t="s">
        <v>389</v>
      </c>
      <c r="L27" s="48" t="s">
        <v>390</v>
      </c>
      <c r="M27" s="112">
        <v>1550000</v>
      </c>
    </row>
    <row r="28" spans="1:16" x14ac:dyDescent="0.25">
      <c r="A28" s="106">
        <v>45247</v>
      </c>
      <c r="B28" s="107" t="str">
        <f t="shared" si="0"/>
        <v>Handphone</v>
      </c>
      <c r="C28" s="107" t="str">
        <f t="shared" si="1"/>
        <v>Samsung</v>
      </c>
      <c r="D28" s="108" t="str">
        <f t="shared" si="2"/>
        <v>Jakarta</v>
      </c>
      <c r="E28" s="109" t="s">
        <v>391</v>
      </c>
      <c r="F28" s="110">
        <f t="shared" si="3"/>
        <v>3500000</v>
      </c>
      <c r="G28" s="47">
        <v>14</v>
      </c>
      <c r="H28" s="110">
        <f t="shared" si="4"/>
        <v>49000000</v>
      </c>
      <c r="J28" s="48" t="s">
        <v>352</v>
      </c>
      <c r="K28" s="48" t="s">
        <v>392</v>
      </c>
      <c r="L28" s="48" t="s">
        <v>393</v>
      </c>
      <c r="M28" s="112">
        <v>1350000</v>
      </c>
    </row>
    <row r="29" spans="1:16" x14ac:dyDescent="0.25">
      <c r="A29" s="106">
        <v>45249</v>
      </c>
      <c r="B29" s="107" t="str">
        <f t="shared" si="0"/>
        <v>Kamera</v>
      </c>
      <c r="C29" s="107" t="str">
        <f t="shared" si="1"/>
        <v>Canon</v>
      </c>
      <c r="D29" s="108" t="str">
        <f t="shared" si="2"/>
        <v>Jakarta</v>
      </c>
      <c r="E29" s="109" t="s">
        <v>394</v>
      </c>
      <c r="F29" s="110">
        <f t="shared" si="3"/>
        <v>3200000</v>
      </c>
      <c r="G29" s="47">
        <v>21</v>
      </c>
      <c r="H29" s="110">
        <f t="shared" si="4"/>
        <v>67200000</v>
      </c>
    </row>
    <row r="30" spans="1:16" x14ac:dyDescent="0.25">
      <c r="A30" s="106">
        <v>45249</v>
      </c>
      <c r="B30" s="107" t="str">
        <f t="shared" si="0"/>
        <v>Handphone</v>
      </c>
      <c r="C30" s="107" t="str">
        <f t="shared" si="1"/>
        <v>Xiaomi</v>
      </c>
      <c r="D30" s="108" t="str">
        <f t="shared" si="2"/>
        <v>Surabaya</v>
      </c>
      <c r="E30" s="109" t="s">
        <v>395</v>
      </c>
      <c r="F30" s="110">
        <f t="shared" si="3"/>
        <v>2700000</v>
      </c>
      <c r="G30" s="47">
        <v>25</v>
      </c>
      <c r="H30" s="110">
        <f t="shared" si="4"/>
        <v>67500000</v>
      </c>
    </row>
    <row r="31" spans="1:16" x14ac:dyDescent="0.25">
      <c r="A31" s="106">
        <v>45250</v>
      </c>
      <c r="B31" s="107" t="str">
        <f t="shared" si="0"/>
        <v>Kamera</v>
      </c>
      <c r="C31" s="107" t="str">
        <f t="shared" si="1"/>
        <v>Nikon</v>
      </c>
      <c r="D31" s="108" t="str">
        <f t="shared" si="2"/>
        <v>Jakarta</v>
      </c>
      <c r="E31" s="109" t="s">
        <v>396</v>
      </c>
      <c r="F31" s="110">
        <f t="shared" si="3"/>
        <v>3700000</v>
      </c>
      <c r="G31" s="47">
        <v>15</v>
      </c>
      <c r="H31" s="110">
        <f t="shared" si="4"/>
        <v>55500000</v>
      </c>
      <c r="J31" s="115" t="s">
        <v>330</v>
      </c>
      <c r="K31" s="40" t="s">
        <v>182</v>
      </c>
      <c r="L31" s="40" t="s">
        <v>346</v>
      </c>
      <c r="M31" s="40" t="s">
        <v>184</v>
      </c>
      <c r="N31" s="40" t="s">
        <v>354</v>
      </c>
      <c r="O31" s="40" t="s">
        <v>183</v>
      </c>
      <c r="P31" s="40" t="s">
        <v>351</v>
      </c>
    </row>
    <row r="32" spans="1:16" x14ac:dyDescent="0.25">
      <c r="A32" s="106">
        <v>45250</v>
      </c>
      <c r="B32" s="107" t="str">
        <f t="shared" si="0"/>
        <v>Laptop</v>
      </c>
      <c r="C32" s="107" t="str">
        <f t="shared" si="1"/>
        <v>Macbook</v>
      </c>
      <c r="D32" s="108" t="str">
        <f t="shared" si="2"/>
        <v>Medan</v>
      </c>
      <c r="E32" s="109" t="s">
        <v>397</v>
      </c>
      <c r="F32" s="110">
        <f t="shared" si="3"/>
        <v>6500000</v>
      </c>
      <c r="G32" s="47">
        <v>25</v>
      </c>
      <c r="H32" s="110">
        <f t="shared" si="4"/>
        <v>162500000</v>
      </c>
      <c r="J32" s="115" t="s">
        <v>78</v>
      </c>
      <c r="K32" s="40" t="s">
        <v>398</v>
      </c>
      <c r="L32" s="40" t="s">
        <v>399</v>
      </c>
      <c r="M32" s="40" t="s">
        <v>400</v>
      </c>
      <c r="N32" s="40" t="s">
        <v>401</v>
      </c>
      <c r="O32" s="40" t="s">
        <v>402</v>
      </c>
      <c r="P32" s="40" t="s">
        <v>403</v>
      </c>
    </row>
    <row r="33" spans="1:8" x14ac:dyDescent="0.25">
      <c r="A33" s="106">
        <v>45250</v>
      </c>
      <c r="B33" s="107" t="str">
        <f t="shared" si="0"/>
        <v>Laptop</v>
      </c>
      <c r="C33" s="107" t="str">
        <f t="shared" si="1"/>
        <v>Macbook</v>
      </c>
      <c r="D33" s="108" t="str">
        <f t="shared" si="2"/>
        <v>Yogyakarta</v>
      </c>
      <c r="E33" s="109" t="s">
        <v>404</v>
      </c>
      <c r="F33" s="110">
        <f t="shared" si="3"/>
        <v>6500000</v>
      </c>
      <c r="G33" s="47">
        <v>13</v>
      </c>
      <c r="H33" s="110">
        <f t="shared" si="4"/>
        <v>84500000</v>
      </c>
    </row>
    <row r="34" spans="1:8" x14ac:dyDescent="0.25">
      <c r="A34" s="106">
        <v>45250</v>
      </c>
      <c r="B34" s="107" t="str">
        <f t="shared" si="0"/>
        <v>Handphone</v>
      </c>
      <c r="C34" s="107" t="str">
        <f t="shared" si="1"/>
        <v>Samsung</v>
      </c>
      <c r="D34" s="108" t="str">
        <f t="shared" si="2"/>
        <v>Bandung</v>
      </c>
      <c r="E34" s="109" t="s">
        <v>405</v>
      </c>
      <c r="F34" s="110">
        <f t="shared" si="3"/>
        <v>3500000</v>
      </c>
      <c r="G34" s="47">
        <v>18</v>
      </c>
      <c r="H34" s="110">
        <f t="shared" si="4"/>
        <v>63000000</v>
      </c>
    </row>
    <row r="35" spans="1:8" x14ac:dyDescent="0.25">
      <c r="A35" s="106">
        <v>45250</v>
      </c>
      <c r="B35" s="107" t="str">
        <f t="shared" si="0"/>
        <v>Handphone</v>
      </c>
      <c r="C35" s="107" t="str">
        <f t="shared" si="1"/>
        <v>Xiaomi</v>
      </c>
      <c r="D35" s="108" t="str">
        <f t="shared" si="2"/>
        <v>Medan</v>
      </c>
      <c r="E35" s="109" t="s">
        <v>358</v>
      </c>
      <c r="F35" s="110">
        <f t="shared" si="3"/>
        <v>2700000</v>
      </c>
      <c r="G35" s="47">
        <v>10</v>
      </c>
      <c r="H35" s="110">
        <f t="shared" si="4"/>
        <v>27000000</v>
      </c>
    </row>
    <row r="36" spans="1:8" x14ac:dyDescent="0.25">
      <c r="A36" s="106">
        <v>45250</v>
      </c>
      <c r="B36" s="107" t="str">
        <f t="shared" si="0"/>
        <v>Televisi</v>
      </c>
      <c r="C36" s="107" t="str">
        <f t="shared" si="1"/>
        <v>LG</v>
      </c>
      <c r="D36" s="108" t="str">
        <f t="shared" si="2"/>
        <v>Surabaya</v>
      </c>
      <c r="E36" s="47" t="s">
        <v>406</v>
      </c>
      <c r="F36" s="110">
        <f t="shared" si="3"/>
        <v>1550000</v>
      </c>
      <c r="G36" s="47">
        <v>18</v>
      </c>
      <c r="H36" s="110">
        <f t="shared" si="4"/>
        <v>27900000</v>
      </c>
    </row>
    <row r="37" spans="1:8" x14ac:dyDescent="0.25">
      <c r="A37" s="106">
        <v>45251</v>
      </c>
      <c r="B37" s="107" t="str">
        <f t="shared" si="0"/>
        <v>Kamera</v>
      </c>
      <c r="C37" s="107" t="str">
        <f t="shared" si="1"/>
        <v>Nikon</v>
      </c>
      <c r="D37" s="108" t="str">
        <f t="shared" si="2"/>
        <v>Malang</v>
      </c>
      <c r="E37" s="47" t="s">
        <v>407</v>
      </c>
      <c r="F37" s="110">
        <f t="shared" si="3"/>
        <v>3700000</v>
      </c>
      <c r="G37" s="47">
        <v>23</v>
      </c>
      <c r="H37" s="110">
        <f t="shared" si="4"/>
        <v>85100000</v>
      </c>
    </row>
    <row r="38" spans="1:8" x14ac:dyDescent="0.25">
      <c r="A38" s="106">
        <v>45251</v>
      </c>
      <c r="B38" s="107" t="str">
        <f t="shared" si="0"/>
        <v>Handphone</v>
      </c>
      <c r="C38" s="107" t="str">
        <f t="shared" si="1"/>
        <v>Apple iPhone</v>
      </c>
      <c r="D38" s="108" t="str">
        <f t="shared" si="2"/>
        <v>Bandung</v>
      </c>
      <c r="E38" s="109" t="s">
        <v>408</v>
      </c>
      <c r="F38" s="110">
        <f t="shared" si="3"/>
        <v>10500000</v>
      </c>
      <c r="G38" s="47">
        <v>17</v>
      </c>
      <c r="H38" s="110">
        <f t="shared" si="4"/>
        <v>178500000</v>
      </c>
    </row>
    <row r="39" spans="1:8" x14ac:dyDescent="0.25">
      <c r="A39" s="106">
        <v>45251</v>
      </c>
      <c r="B39" s="107" t="str">
        <f t="shared" si="0"/>
        <v>Televisi</v>
      </c>
      <c r="C39" s="107" t="str">
        <f t="shared" si="1"/>
        <v>Panasonic</v>
      </c>
      <c r="D39" s="108" t="str">
        <f t="shared" si="2"/>
        <v>Jakarta</v>
      </c>
      <c r="E39" s="109" t="s">
        <v>409</v>
      </c>
      <c r="F39" s="110">
        <f t="shared" si="3"/>
        <v>1075000</v>
      </c>
      <c r="G39" s="47">
        <v>21</v>
      </c>
      <c r="H39" s="110">
        <f t="shared" si="4"/>
        <v>22575000</v>
      </c>
    </row>
    <row r="40" spans="1:8" x14ac:dyDescent="0.25">
      <c r="A40" s="106">
        <v>45253</v>
      </c>
      <c r="B40" s="107" t="str">
        <f t="shared" si="0"/>
        <v>Kamera</v>
      </c>
      <c r="C40" s="107" t="str">
        <f t="shared" si="1"/>
        <v>Nikon</v>
      </c>
      <c r="D40" s="108" t="str">
        <f t="shared" si="2"/>
        <v>Surabaya</v>
      </c>
      <c r="E40" s="109" t="s">
        <v>410</v>
      </c>
      <c r="F40" s="110">
        <f t="shared" si="3"/>
        <v>3700000</v>
      </c>
      <c r="G40" s="47">
        <v>14</v>
      </c>
      <c r="H40" s="110">
        <f t="shared" si="4"/>
        <v>51800000</v>
      </c>
    </row>
    <row r="41" spans="1:8" x14ac:dyDescent="0.25">
      <c r="A41" s="106">
        <v>45253</v>
      </c>
      <c r="B41" s="107" t="str">
        <f t="shared" si="0"/>
        <v>Televisi</v>
      </c>
      <c r="C41" s="107" t="str">
        <f t="shared" si="1"/>
        <v>Panasonic</v>
      </c>
      <c r="D41" s="108" t="str">
        <f t="shared" si="2"/>
        <v>Surabaya</v>
      </c>
      <c r="E41" s="47" t="s">
        <v>411</v>
      </c>
      <c r="F41" s="110">
        <f t="shared" si="3"/>
        <v>1075000</v>
      </c>
      <c r="G41" s="47">
        <v>11</v>
      </c>
      <c r="H41" s="110">
        <f t="shared" si="4"/>
        <v>11825000</v>
      </c>
    </row>
    <row r="42" spans="1:8" x14ac:dyDescent="0.25">
      <c r="A42" s="106">
        <v>45253</v>
      </c>
      <c r="B42" s="107" t="str">
        <f t="shared" si="0"/>
        <v>Televisi</v>
      </c>
      <c r="C42" s="107" t="str">
        <f t="shared" si="1"/>
        <v>Sharp</v>
      </c>
      <c r="D42" s="108" t="str">
        <f t="shared" si="2"/>
        <v>Medan</v>
      </c>
      <c r="E42" s="109" t="s">
        <v>412</v>
      </c>
      <c r="F42" s="110">
        <f t="shared" si="3"/>
        <v>1350000</v>
      </c>
      <c r="G42" s="47">
        <v>10</v>
      </c>
      <c r="H42" s="110">
        <f t="shared" si="4"/>
        <v>13500000</v>
      </c>
    </row>
    <row r="43" spans="1:8" x14ac:dyDescent="0.25">
      <c r="A43" s="106">
        <v>45254</v>
      </c>
      <c r="B43" s="107" t="str">
        <f t="shared" si="0"/>
        <v>Laptop</v>
      </c>
      <c r="C43" s="107" t="str">
        <f t="shared" si="1"/>
        <v>Hp</v>
      </c>
      <c r="D43" s="108" t="str">
        <f t="shared" si="2"/>
        <v>Jakarta</v>
      </c>
      <c r="E43" s="109" t="s">
        <v>413</v>
      </c>
      <c r="F43" s="110">
        <f t="shared" si="3"/>
        <v>6000000</v>
      </c>
      <c r="G43" s="47">
        <v>15</v>
      </c>
      <c r="H43" s="110">
        <f t="shared" si="4"/>
        <v>90000000</v>
      </c>
    </row>
    <row r="44" spans="1:8" x14ac:dyDescent="0.25">
      <c r="A44" s="106">
        <v>45255</v>
      </c>
      <c r="B44" s="107" t="str">
        <f t="shared" si="0"/>
        <v>Handphone</v>
      </c>
      <c r="C44" s="107" t="str">
        <f t="shared" si="1"/>
        <v>Xiaomi</v>
      </c>
      <c r="D44" s="108" t="str">
        <f t="shared" si="2"/>
        <v>Medan</v>
      </c>
      <c r="E44" s="109" t="s">
        <v>358</v>
      </c>
      <c r="F44" s="110">
        <f t="shared" si="3"/>
        <v>2700000</v>
      </c>
      <c r="G44" s="47">
        <v>13</v>
      </c>
      <c r="H44" s="110">
        <f t="shared" si="4"/>
        <v>35100000</v>
      </c>
    </row>
    <row r="45" spans="1:8" x14ac:dyDescent="0.25">
      <c r="A45" s="106">
        <v>45255</v>
      </c>
      <c r="B45" s="107" t="str">
        <f t="shared" si="0"/>
        <v>Televisi</v>
      </c>
      <c r="C45" s="107" t="str">
        <f t="shared" si="1"/>
        <v>Sharp</v>
      </c>
      <c r="D45" s="108" t="str">
        <f t="shared" si="2"/>
        <v>Jakarta</v>
      </c>
      <c r="E45" s="47" t="s">
        <v>414</v>
      </c>
      <c r="F45" s="110">
        <f t="shared" si="3"/>
        <v>1350000</v>
      </c>
      <c r="G45" s="47">
        <v>23</v>
      </c>
      <c r="H45" s="110">
        <f t="shared" si="4"/>
        <v>31050000</v>
      </c>
    </row>
    <row r="46" spans="1:8" x14ac:dyDescent="0.25">
      <c r="A46" s="106">
        <v>45257</v>
      </c>
      <c r="B46" s="107" t="str">
        <f t="shared" si="0"/>
        <v>Kamera</v>
      </c>
      <c r="C46" s="107" t="str">
        <f t="shared" si="1"/>
        <v>Sony</v>
      </c>
      <c r="D46" s="108" t="str">
        <f t="shared" si="2"/>
        <v>Yogyakarta</v>
      </c>
      <c r="E46" s="109" t="s">
        <v>415</v>
      </c>
      <c r="F46" s="110">
        <f t="shared" si="3"/>
        <v>4250000</v>
      </c>
      <c r="G46" s="47">
        <v>20</v>
      </c>
      <c r="H46" s="110">
        <f t="shared" si="4"/>
        <v>85000000</v>
      </c>
    </row>
    <row r="47" spans="1:8" x14ac:dyDescent="0.25">
      <c r="A47" s="106">
        <v>45257</v>
      </c>
      <c r="B47" s="107" t="str">
        <f t="shared" si="0"/>
        <v>Laptop</v>
      </c>
      <c r="C47" s="107" t="str">
        <f t="shared" si="1"/>
        <v>Hp</v>
      </c>
      <c r="D47" s="108" t="str">
        <f t="shared" si="2"/>
        <v>Bandung</v>
      </c>
      <c r="E47" s="109" t="s">
        <v>416</v>
      </c>
      <c r="F47" s="110">
        <f t="shared" si="3"/>
        <v>6000000</v>
      </c>
      <c r="G47" s="47">
        <v>13</v>
      </c>
      <c r="H47" s="110">
        <f t="shared" si="4"/>
        <v>78000000</v>
      </c>
    </row>
    <row r="48" spans="1:8" x14ac:dyDescent="0.25">
      <c r="A48" s="106">
        <v>45257</v>
      </c>
      <c r="B48" s="107" t="str">
        <f t="shared" si="0"/>
        <v>Handphone</v>
      </c>
      <c r="C48" s="107" t="str">
        <f t="shared" si="1"/>
        <v>Samsung</v>
      </c>
      <c r="D48" s="108" t="str">
        <f t="shared" si="2"/>
        <v>Malang</v>
      </c>
      <c r="E48" s="109" t="s">
        <v>417</v>
      </c>
      <c r="F48" s="110">
        <f t="shared" si="3"/>
        <v>3500000</v>
      </c>
      <c r="G48" s="47">
        <v>18</v>
      </c>
      <c r="H48" s="110">
        <f t="shared" si="4"/>
        <v>63000000</v>
      </c>
    </row>
    <row r="49" spans="1:8" x14ac:dyDescent="0.25">
      <c r="A49" s="106">
        <v>45259</v>
      </c>
      <c r="B49" s="107" t="str">
        <f t="shared" si="0"/>
        <v>Kamera</v>
      </c>
      <c r="C49" s="107" t="str">
        <f t="shared" si="1"/>
        <v>Sony</v>
      </c>
      <c r="D49" s="108" t="str">
        <f t="shared" si="2"/>
        <v>Bandung</v>
      </c>
      <c r="E49" s="109" t="s">
        <v>418</v>
      </c>
      <c r="F49" s="110">
        <f t="shared" si="3"/>
        <v>4250000</v>
      </c>
      <c r="G49" s="47">
        <v>21</v>
      </c>
      <c r="H49" s="110">
        <f t="shared" si="4"/>
        <v>89250000</v>
      </c>
    </row>
    <row r="50" spans="1:8" x14ac:dyDescent="0.25">
      <c r="A50" s="106">
        <v>45259</v>
      </c>
      <c r="B50" s="107" t="str">
        <f t="shared" si="0"/>
        <v>Handphone</v>
      </c>
      <c r="C50" s="107" t="str">
        <f t="shared" si="1"/>
        <v>Samsung</v>
      </c>
      <c r="D50" s="108" t="str">
        <f t="shared" si="2"/>
        <v>Yogyakarta</v>
      </c>
      <c r="E50" s="109" t="s">
        <v>419</v>
      </c>
      <c r="F50" s="110">
        <f t="shared" si="3"/>
        <v>3500000</v>
      </c>
      <c r="G50" s="47">
        <v>13</v>
      </c>
      <c r="H50" s="110">
        <f t="shared" si="4"/>
        <v>45500000</v>
      </c>
    </row>
    <row r="51" spans="1:8" x14ac:dyDescent="0.25">
      <c r="A51" s="106">
        <v>45260</v>
      </c>
      <c r="B51" s="107" t="str">
        <f t="shared" si="0"/>
        <v>Laptop</v>
      </c>
      <c r="C51" s="107" t="str">
        <f t="shared" si="1"/>
        <v>Asus</v>
      </c>
      <c r="D51" s="108" t="str">
        <f t="shared" si="2"/>
        <v>Jakarta</v>
      </c>
      <c r="E51" s="109" t="s">
        <v>420</v>
      </c>
      <c r="F51" s="110">
        <f t="shared" si="3"/>
        <v>4500000</v>
      </c>
      <c r="G51" s="47">
        <v>23</v>
      </c>
      <c r="H51" s="110">
        <f t="shared" si="4"/>
        <v>103500000</v>
      </c>
    </row>
    <row r="52" spans="1:8" x14ac:dyDescent="0.25">
      <c r="H52" s="102"/>
    </row>
  </sheetData>
  <mergeCells count="3">
    <mergeCell ref="A1:E1"/>
    <mergeCell ref="A3:H3"/>
    <mergeCell ref="J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9F96-98D3-45FA-8FA8-18AF18639F6A}">
  <dimension ref="A1:AC1000"/>
  <sheetViews>
    <sheetView workbookViewId="0">
      <selection activeCell="D37" sqref="D37"/>
    </sheetView>
  </sheetViews>
  <sheetFormatPr defaultColWidth="14.42578125" defaultRowHeight="15" x14ac:dyDescent="0.25"/>
  <cols>
    <col min="1" max="1" width="7.28515625" customWidth="1"/>
    <col min="2" max="2" width="19.42578125" customWidth="1"/>
    <col min="3" max="4" width="13.42578125" customWidth="1"/>
    <col min="5" max="5" width="11" customWidth="1"/>
    <col min="6" max="7" width="9.140625" customWidth="1"/>
    <col min="8" max="8" width="10.28515625" customWidth="1"/>
    <col min="9" max="11" width="13.28515625" customWidth="1"/>
    <col min="12" max="12" width="7.42578125" customWidth="1"/>
    <col min="13" max="13" width="9.140625" customWidth="1"/>
    <col min="14" max="14" width="11.85546875" customWidth="1"/>
    <col min="15" max="16" width="9.140625" customWidth="1"/>
    <col min="17" max="29" width="8" customWidth="1"/>
  </cols>
  <sheetData>
    <row r="1" spans="1:29" ht="14.25" customHeight="1" x14ac:dyDescent="0.25">
      <c r="A1" s="201" t="s">
        <v>421</v>
      </c>
      <c r="B1" s="202"/>
      <c r="C1" s="202"/>
      <c r="D1" s="202"/>
      <c r="E1" s="202"/>
      <c r="F1" s="202"/>
      <c r="G1" s="202"/>
      <c r="H1" s="202"/>
      <c r="I1" s="202"/>
      <c r="J1" s="117"/>
      <c r="K1" s="117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2" spans="1:29" ht="15.7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</row>
    <row r="3" spans="1:29" ht="16.5" customHeight="1" x14ac:dyDescent="0.25">
      <c r="A3" s="203" t="s">
        <v>422</v>
      </c>
      <c r="B3" s="196"/>
      <c r="C3" s="119">
        <f ca="1">TODAY()</f>
        <v>45883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</row>
    <row r="4" spans="1:29" ht="14.25" customHeight="1" x14ac:dyDescent="0.25">
      <c r="A4" s="120"/>
      <c r="B4" s="120"/>
      <c r="C4" s="119"/>
      <c r="D4" s="118"/>
      <c r="E4" s="118"/>
      <c r="F4" s="118"/>
      <c r="G4" s="118"/>
      <c r="H4" s="118"/>
      <c r="I4" s="118"/>
      <c r="J4" s="118"/>
      <c r="K4" s="118"/>
      <c r="L4" s="118"/>
      <c r="M4" s="121" t="s">
        <v>423</v>
      </c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</row>
    <row r="5" spans="1:29" ht="16.5" customHeight="1" x14ac:dyDescent="0.25">
      <c r="A5" s="190" t="s">
        <v>51</v>
      </c>
      <c r="B5" s="190" t="s">
        <v>424</v>
      </c>
      <c r="C5" s="190" t="s">
        <v>425</v>
      </c>
      <c r="D5" s="190" t="s">
        <v>426</v>
      </c>
      <c r="E5" s="204" t="s">
        <v>427</v>
      </c>
      <c r="F5" s="199"/>
      <c r="G5" s="200"/>
      <c r="H5" s="190" t="s">
        <v>428</v>
      </c>
      <c r="I5" s="190" t="s">
        <v>12</v>
      </c>
      <c r="J5" s="190" t="s">
        <v>429</v>
      </c>
      <c r="K5" s="190" t="s">
        <v>430</v>
      </c>
      <c r="L5" s="118"/>
      <c r="M5" s="192" t="s">
        <v>427</v>
      </c>
      <c r="N5" s="194" t="s">
        <v>426</v>
      </c>
      <c r="O5" s="195"/>
      <c r="P5" s="196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</row>
    <row r="6" spans="1:29" ht="16.5" customHeight="1" x14ac:dyDescent="0.25">
      <c r="A6" s="191"/>
      <c r="B6" s="191"/>
      <c r="C6" s="191"/>
      <c r="D6" s="191"/>
      <c r="E6" s="122" t="s">
        <v>431</v>
      </c>
      <c r="F6" s="122" t="s">
        <v>432</v>
      </c>
      <c r="G6" s="122" t="s">
        <v>433</v>
      </c>
      <c r="H6" s="191"/>
      <c r="I6" s="191"/>
      <c r="J6" s="191"/>
      <c r="K6" s="191"/>
      <c r="L6" s="118"/>
      <c r="M6" s="193"/>
      <c r="N6" s="123" t="s">
        <v>434</v>
      </c>
      <c r="O6" s="123" t="s">
        <v>435</v>
      </c>
      <c r="P6" s="123" t="s">
        <v>436</v>
      </c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</row>
    <row r="7" spans="1:29" ht="14.25" customHeight="1" x14ac:dyDescent="0.25">
      <c r="A7" s="124">
        <v>1</v>
      </c>
      <c r="B7" s="125" t="s">
        <v>437</v>
      </c>
      <c r="C7" s="126">
        <v>43960</v>
      </c>
      <c r="D7" s="124" t="s">
        <v>435</v>
      </c>
      <c r="E7" s="127">
        <v>5</v>
      </c>
      <c r="F7" s="127">
        <f ca="1">DATEDIF(C7,$C$3,"YM")</f>
        <v>3</v>
      </c>
      <c r="G7" s="127">
        <f ca="1">DATEDIF(C7,$C$3,"MD")</f>
        <v>5</v>
      </c>
      <c r="H7" s="124" t="str">
        <f>VLOOKUP(E7,$M$7:$P$14,IF(D7="SARJANA",2,IF(D7="SLTA",3,4)))</f>
        <v>III/A</v>
      </c>
      <c r="I7" s="128">
        <f>_xlfn.XLOOKUP(H7,$M$29:$M$38,$N$29:$N$38)</f>
        <v>2000000</v>
      </c>
      <c r="J7" s="128">
        <f>VLOOKUP(E7,$M$19:$P$25,IF(D7="Sarjana",2,IF(D7="SLTA",3,IF(D7="SLTP",4))))</f>
        <v>50000</v>
      </c>
      <c r="K7" s="128">
        <f>J7+I7</f>
        <v>2050000</v>
      </c>
      <c r="L7" s="118"/>
      <c r="M7" s="129">
        <v>0</v>
      </c>
      <c r="N7" s="129" t="s">
        <v>438</v>
      </c>
      <c r="O7" s="129" t="s">
        <v>439</v>
      </c>
      <c r="P7" s="129" t="s">
        <v>440</v>
      </c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</row>
    <row r="8" spans="1:29" ht="14.25" customHeight="1" x14ac:dyDescent="0.25">
      <c r="A8" s="124">
        <v>2</v>
      </c>
      <c r="B8" s="125" t="s">
        <v>441</v>
      </c>
      <c r="C8" s="126">
        <v>31069</v>
      </c>
      <c r="D8" s="124" t="s">
        <v>436</v>
      </c>
      <c r="E8" s="127">
        <f t="shared" ref="E8:E18" ca="1" si="0">DATEDIF(C8,$C$3,"Y")</f>
        <v>40</v>
      </c>
      <c r="F8" s="127">
        <f t="shared" ref="F8:F18" ca="1" si="1">DATEDIF(C8,$C$3,"YM")</f>
        <v>6</v>
      </c>
      <c r="G8" s="127">
        <f t="shared" ref="G8:G18" ca="1" si="2">DATEDIF(C8,$C$3,"MD")</f>
        <v>23</v>
      </c>
      <c r="H8" s="124" t="str">
        <f t="shared" ref="H8:H18" ca="1" si="3">VLOOKUP(E8,$M$7:$P$14,IF(D8="SARJANA",2,IF(D8="SLTA",3,4)))</f>
        <v>IV/C</v>
      </c>
      <c r="I8" s="128">
        <f t="shared" ref="I8:I18" ca="1" si="4">_xlfn.XLOOKUP(H8,$M$29:$M$38,$N$29:$N$38)</f>
        <v>4500000</v>
      </c>
      <c r="J8" s="128">
        <f t="shared" ref="J8:J18" ca="1" si="5">VLOOKUP(E8,$M$19:$P$25,IF(D8="Sarjana",2,IF(D8="SLTA",3,IF(D8="SLTP",4))))</f>
        <v>300000</v>
      </c>
      <c r="K8" s="128">
        <f t="shared" ref="K8:K17" ca="1" si="6">J8+I8</f>
        <v>4800000</v>
      </c>
      <c r="L8" s="118"/>
      <c r="M8" s="124">
        <v>3</v>
      </c>
      <c r="N8" s="124" t="s">
        <v>442</v>
      </c>
      <c r="O8" s="124" t="s">
        <v>438</v>
      </c>
      <c r="P8" s="124" t="s">
        <v>439</v>
      </c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 spans="1:29" ht="14.25" customHeight="1" x14ac:dyDescent="0.25">
      <c r="A9" s="124">
        <v>3</v>
      </c>
      <c r="B9" s="125" t="s">
        <v>443</v>
      </c>
      <c r="C9" s="126">
        <v>38053</v>
      </c>
      <c r="D9" s="124" t="s">
        <v>434</v>
      </c>
      <c r="E9" s="127">
        <f t="shared" ca="1" si="0"/>
        <v>21</v>
      </c>
      <c r="F9" s="127">
        <f t="shared" ca="1" si="1"/>
        <v>5</v>
      </c>
      <c r="G9" s="127">
        <f t="shared" ca="1" si="2"/>
        <v>7</v>
      </c>
      <c r="H9" s="124" t="str">
        <f t="shared" ca="1" si="3"/>
        <v>IV/E</v>
      </c>
      <c r="I9" s="128">
        <f t="shared" ca="1" si="4"/>
        <v>5500000</v>
      </c>
      <c r="J9" s="128">
        <f t="shared" ca="1" si="5"/>
        <v>400000</v>
      </c>
      <c r="K9" s="128">
        <f t="shared" ca="1" si="6"/>
        <v>5900000</v>
      </c>
      <c r="L9" s="118"/>
      <c r="M9" s="124">
        <v>6</v>
      </c>
      <c r="N9" s="124" t="s">
        <v>444</v>
      </c>
      <c r="O9" s="124" t="s">
        <v>442</v>
      </c>
      <c r="P9" s="124" t="s">
        <v>438</v>
      </c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</row>
    <row r="10" spans="1:29" ht="14.25" customHeight="1" x14ac:dyDescent="0.25">
      <c r="A10" s="124">
        <v>4</v>
      </c>
      <c r="B10" s="125" t="s">
        <v>445</v>
      </c>
      <c r="C10" s="126">
        <v>33488</v>
      </c>
      <c r="D10" s="124" t="s">
        <v>434</v>
      </c>
      <c r="E10" s="127">
        <f t="shared" ca="1" si="0"/>
        <v>33</v>
      </c>
      <c r="F10" s="127">
        <f t="shared" ca="1" si="1"/>
        <v>11</v>
      </c>
      <c r="G10" s="127">
        <f t="shared" ca="1" si="2"/>
        <v>7</v>
      </c>
      <c r="H10" s="124" t="str">
        <f t="shared" ca="1" si="3"/>
        <v>IV/E</v>
      </c>
      <c r="I10" s="128">
        <f t="shared" ca="1" si="4"/>
        <v>5500000</v>
      </c>
      <c r="J10" s="128">
        <f t="shared" ca="1" si="5"/>
        <v>400000</v>
      </c>
      <c r="K10" s="128">
        <f t="shared" ca="1" si="6"/>
        <v>5900000</v>
      </c>
      <c r="L10" s="118"/>
      <c r="M10" s="124">
        <v>9</v>
      </c>
      <c r="N10" s="124" t="s">
        <v>446</v>
      </c>
      <c r="O10" s="124" t="s">
        <v>444</v>
      </c>
      <c r="P10" s="124" t="s">
        <v>442</v>
      </c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</row>
    <row r="11" spans="1:29" ht="14.25" customHeight="1" x14ac:dyDescent="0.25">
      <c r="A11" s="124">
        <v>5</v>
      </c>
      <c r="B11" s="125" t="s">
        <v>447</v>
      </c>
      <c r="C11" s="126">
        <v>37043</v>
      </c>
      <c r="D11" s="124" t="s">
        <v>436</v>
      </c>
      <c r="E11" s="127">
        <f t="shared" ca="1" si="0"/>
        <v>24</v>
      </c>
      <c r="F11" s="127">
        <f t="shared" ca="1" si="1"/>
        <v>2</v>
      </c>
      <c r="G11" s="127">
        <f t="shared" ca="1" si="2"/>
        <v>13</v>
      </c>
      <c r="H11" s="124" t="str">
        <f t="shared" ca="1" si="3"/>
        <v>IV/C</v>
      </c>
      <c r="I11" s="128">
        <f t="shared" ca="1" si="4"/>
        <v>4500000</v>
      </c>
      <c r="J11" s="128">
        <f t="shared" ca="1" si="5"/>
        <v>300000</v>
      </c>
      <c r="K11" s="128">
        <f t="shared" ca="1" si="6"/>
        <v>4800000</v>
      </c>
      <c r="L11" s="118"/>
      <c r="M11" s="124">
        <v>12</v>
      </c>
      <c r="N11" s="124" t="s">
        <v>448</v>
      </c>
      <c r="O11" s="124" t="s">
        <v>446</v>
      </c>
      <c r="P11" s="124" t="s">
        <v>444</v>
      </c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</row>
    <row r="12" spans="1:29" ht="14.25" customHeight="1" x14ac:dyDescent="0.25">
      <c r="A12" s="124">
        <v>6</v>
      </c>
      <c r="B12" s="125" t="s">
        <v>449</v>
      </c>
      <c r="C12" s="126">
        <v>41996</v>
      </c>
      <c r="D12" s="124" t="s">
        <v>435</v>
      </c>
      <c r="E12" s="127">
        <f t="shared" ca="1" si="0"/>
        <v>10</v>
      </c>
      <c r="F12" s="127">
        <f t="shared" ca="1" si="1"/>
        <v>7</v>
      </c>
      <c r="G12" s="127">
        <f t="shared" ca="1" si="2"/>
        <v>22</v>
      </c>
      <c r="H12" s="124" t="str">
        <f t="shared" ca="1" si="3"/>
        <v>III/C</v>
      </c>
      <c r="I12" s="128">
        <f t="shared" ca="1" si="4"/>
        <v>3000000</v>
      </c>
      <c r="J12" s="128">
        <f t="shared" ca="1" si="5"/>
        <v>150000</v>
      </c>
      <c r="K12" s="128">
        <f t="shared" ca="1" si="6"/>
        <v>3150000</v>
      </c>
      <c r="L12" s="118"/>
      <c r="M12" s="124">
        <v>15</v>
      </c>
      <c r="N12" s="124" t="s">
        <v>450</v>
      </c>
      <c r="O12" s="124" t="s">
        <v>448</v>
      </c>
      <c r="P12" s="124" t="s">
        <v>446</v>
      </c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</row>
    <row r="13" spans="1:29" ht="14.25" customHeight="1" x14ac:dyDescent="0.25">
      <c r="A13" s="124">
        <v>7</v>
      </c>
      <c r="B13" s="125" t="s">
        <v>451</v>
      </c>
      <c r="C13" s="126">
        <v>40610</v>
      </c>
      <c r="D13" s="124" t="s">
        <v>435</v>
      </c>
      <c r="E13" s="127">
        <f t="shared" ca="1" si="0"/>
        <v>14</v>
      </c>
      <c r="F13" s="127">
        <f t="shared" ca="1" si="1"/>
        <v>5</v>
      </c>
      <c r="G13" s="127">
        <f t="shared" ca="1" si="2"/>
        <v>6</v>
      </c>
      <c r="H13" s="124" t="str">
        <f t="shared" ca="1" si="3"/>
        <v>IV/A</v>
      </c>
      <c r="I13" s="128">
        <f t="shared" ca="1" si="4"/>
        <v>3500000</v>
      </c>
      <c r="J13" s="128">
        <f t="shared" ca="1" si="5"/>
        <v>200000</v>
      </c>
      <c r="K13" s="128">
        <f t="shared" ca="1" si="6"/>
        <v>3700000</v>
      </c>
      <c r="L13" s="118"/>
      <c r="M13" s="124">
        <v>18</v>
      </c>
      <c r="N13" s="124" t="s">
        <v>452</v>
      </c>
      <c r="O13" s="124" t="s">
        <v>450</v>
      </c>
      <c r="P13" s="124" t="s">
        <v>448</v>
      </c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</row>
    <row r="14" spans="1:29" ht="14.25" customHeight="1" x14ac:dyDescent="0.25">
      <c r="A14" s="124">
        <v>8</v>
      </c>
      <c r="B14" s="125" t="s">
        <v>453</v>
      </c>
      <c r="C14" s="126">
        <v>43737</v>
      </c>
      <c r="D14" s="124" t="s">
        <v>434</v>
      </c>
      <c r="E14" s="127">
        <f t="shared" ca="1" si="0"/>
        <v>5</v>
      </c>
      <c r="F14" s="127">
        <f t="shared" ca="1" si="1"/>
        <v>10</v>
      </c>
      <c r="G14" s="127">
        <f t="shared" ca="1" si="2"/>
        <v>16</v>
      </c>
      <c r="H14" s="124" t="str">
        <f t="shared" ca="1" si="3"/>
        <v>III/B</v>
      </c>
      <c r="I14" s="128">
        <f t="shared" ca="1" si="4"/>
        <v>2500000</v>
      </c>
      <c r="J14" s="128">
        <f t="shared" ca="1" si="5"/>
        <v>100000</v>
      </c>
      <c r="K14" s="128">
        <f t="shared" ca="1" si="6"/>
        <v>2600000</v>
      </c>
      <c r="L14" s="118"/>
      <c r="M14" s="124">
        <v>21</v>
      </c>
      <c r="N14" s="124" t="s">
        <v>454</v>
      </c>
      <c r="O14" s="124" t="s">
        <v>452</v>
      </c>
      <c r="P14" s="124" t="s">
        <v>450</v>
      </c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</row>
    <row r="15" spans="1:29" ht="14.25" customHeight="1" x14ac:dyDescent="0.25">
      <c r="A15" s="124">
        <v>9</v>
      </c>
      <c r="B15" s="125" t="s">
        <v>455</v>
      </c>
      <c r="C15" s="126">
        <v>33142</v>
      </c>
      <c r="D15" s="124" t="s">
        <v>434</v>
      </c>
      <c r="E15" s="127">
        <f t="shared" ca="1" si="0"/>
        <v>34</v>
      </c>
      <c r="F15" s="127">
        <f t="shared" ca="1" si="1"/>
        <v>10</v>
      </c>
      <c r="G15" s="127">
        <f t="shared" ca="1" si="2"/>
        <v>19</v>
      </c>
      <c r="H15" s="124" t="str">
        <f t="shared" ca="1" si="3"/>
        <v>IV/E</v>
      </c>
      <c r="I15" s="128">
        <f t="shared" ca="1" si="4"/>
        <v>5500000</v>
      </c>
      <c r="J15" s="128">
        <f t="shared" ca="1" si="5"/>
        <v>400000</v>
      </c>
      <c r="K15" s="128">
        <f t="shared" ca="1" si="6"/>
        <v>5900000</v>
      </c>
      <c r="L15" s="118"/>
      <c r="M15" s="118"/>
      <c r="N15" s="118"/>
      <c r="O15" s="120"/>
      <c r="P15" s="120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</row>
    <row r="16" spans="1:29" ht="14.25" customHeight="1" x14ac:dyDescent="0.25">
      <c r="A16" s="124">
        <v>10</v>
      </c>
      <c r="B16" s="125" t="s">
        <v>456</v>
      </c>
      <c r="C16" s="126">
        <v>42428</v>
      </c>
      <c r="D16" s="124" t="s">
        <v>435</v>
      </c>
      <c r="E16" s="127">
        <f t="shared" ca="1" si="0"/>
        <v>9</v>
      </c>
      <c r="F16" s="127">
        <f t="shared" ca="1" si="1"/>
        <v>5</v>
      </c>
      <c r="G16" s="127">
        <f t="shared" ca="1" si="2"/>
        <v>17</v>
      </c>
      <c r="H16" s="124" t="str">
        <f t="shared" ca="1" si="3"/>
        <v>III/C</v>
      </c>
      <c r="I16" s="128">
        <f t="shared" ca="1" si="4"/>
        <v>3000000</v>
      </c>
      <c r="J16" s="128">
        <f t="shared" ca="1" si="5"/>
        <v>150000</v>
      </c>
      <c r="K16" s="128">
        <f t="shared" ca="1" si="6"/>
        <v>3150000</v>
      </c>
      <c r="L16" s="118"/>
      <c r="M16" s="121" t="s">
        <v>457</v>
      </c>
      <c r="N16" s="118"/>
      <c r="O16" s="118"/>
      <c r="P16" s="120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</row>
    <row r="17" spans="1:29" ht="14.25" customHeight="1" x14ac:dyDescent="0.25">
      <c r="A17" s="124">
        <v>11</v>
      </c>
      <c r="B17" s="125" t="s">
        <v>458</v>
      </c>
      <c r="C17" s="126">
        <v>32884</v>
      </c>
      <c r="D17" s="124" t="s">
        <v>434</v>
      </c>
      <c r="E17" s="127">
        <f t="shared" ca="1" si="0"/>
        <v>35</v>
      </c>
      <c r="F17" s="127">
        <f t="shared" ca="1" si="1"/>
        <v>7</v>
      </c>
      <c r="G17" s="127">
        <f t="shared" ca="1" si="2"/>
        <v>3</v>
      </c>
      <c r="H17" s="124" t="str">
        <f t="shared" ca="1" si="3"/>
        <v>IV/E</v>
      </c>
      <c r="I17" s="128">
        <f t="shared" ca="1" si="4"/>
        <v>5500000</v>
      </c>
      <c r="J17" s="128">
        <f t="shared" ca="1" si="5"/>
        <v>400000</v>
      </c>
      <c r="K17" s="128">
        <f t="shared" ca="1" si="6"/>
        <v>5900000</v>
      </c>
      <c r="L17" s="118"/>
      <c r="M17" s="197" t="s">
        <v>427</v>
      </c>
      <c r="N17" s="198" t="s">
        <v>426</v>
      </c>
      <c r="O17" s="199"/>
      <c r="P17" s="200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</row>
    <row r="18" spans="1:29" ht="14.25" customHeight="1" x14ac:dyDescent="0.25">
      <c r="A18" s="124">
        <v>12</v>
      </c>
      <c r="B18" s="125" t="s">
        <v>459</v>
      </c>
      <c r="C18" s="126">
        <v>41338</v>
      </c>
      <c r="D18" s="124" t="s">
        <v>435</v>
      </c>
      <c r="E18" s="127">
        <f t="shared" ca="1" si="0"/>
        <v>12</v>
      </c>
      <c r="F18" s="127">
        <f t="shared" ca="1" si="1"/>
        <v>5</v>
      </c>
      <c r="G18" s="127">
        <f t="shared" ca="1" si="2"/>
        <v>9</v>
      </c>
      <c r="H18" s="124" t="str">
        <f t="shared" ca="1" si="3"/>
        <v>IV/A</v>
      </c>
      <c r="I18" s="128">
        <f t="shared" ca="1" si="4"/>
        <v>3500000</v>
      </c>
      <c r="J18" s="128">
        <f t="shared" ca="1" si="5"/>
        <v>200000</v>
      </c>
      <c r="K18" s="128">
        <f ca="1">J18+I18</f>
        <v>3700000</v>
      </c>
      <c r="L18" s="118"/>
      <c r="M18" s="191"/>
      <c r="N18" s="130" t="s">
        <v>434</v>
      </c>
      <c r="O18" s="130" t="s">
        <v>435</v>
      </c>
      <c r="P18" s="130" t="s">
        <v>436</v>
      </c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</row>
    <row r="19" spans="1:29" ht="14.25" customHeight="1" x14ac:dyDescent="0.25">
      <c r="I19" s="118"/>
      <c r="J19" s="118"/>
      <c r="K19" s="118"/>
      <c r="L19" s="118"/>
      <c r="M19" s="131">
        <v>3</v>
      </c>
      <c r="N19" s="131">
        <v>100000</v>
      </c>
      <c r="O19" s="124">
        <v>50000</v>
      </c>
      <c r="P19" s="124">
        <v>0</v>
      </c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</row>
    <row r="20" spans="1:29" ht="16.5" customHeight="1" x14ac:dyDescent="0.25">
      <c r="H20" s="120"/>
      <c r="I20" s="132"/>
      <c r="J20" s="132"/>
      <c r="K20" s="118"/>
      <c r="L20" s="118"/>
      <c r="M20" s="131">
        <v>6</v>
      </c>
      <c r="N20" s="131">
        <v>150000</v>
      </c>
      <c r="O20" s="124">
        <v>100000</v>
      </c>
      <c r="P20" s="124">
        <v>50000</v>
      </c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</row>
    <row r="21" spans="1:29" ht="15.75" customHeight="1" x14ac:dyDescent="0.25">
      <c r="A21" s="118"/>
      <c r="B21" s="118" t="s">
        <v>460</v>
      </c>
      <c r="C21" s="132"/>
      <c r="D21" s="132"/>
      <c r="E21" s="118"/>
      <c r="F21" s="118"/>
      <c r="G21" s="118"/>
      <c r="H21" s="120"/>
      <c r="I21" s="132"/>
      <c r="J21" s="132"/>
      <c r="K21" s="118"/>
      <c r="L21" s="118"/>
      <c r="M21" s="131">
        <v>9</v>
      </c>
      <c r="N21" s="131">
        <v>200000</v>
      </c>
      <c r="O21" s="124">
        <v>150000</v>
      </c>
      <c r="P21" s="124">
        <v>100000</v>
      </c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</row>
    <row r="22" spans="1:29" ht="15.75" customHeight="1" x14ac:dyDescent="0.25">
      <c r="A22" s="118"/>
      <c r="B22" s="133" t="s">
        <v>426</v>
      </c>
      <c r="C22" s="133" t="s">
        <v>461</v>
      </c>
      <c r="D22" s="133" t="s">
        <v>462</v>
      </c>
      <c r="E22" s="118"/>
      <c r="F22" s="118"/>
      <c r="G22" s="118"/>
      <c r="H22" s="120"/>
      <c r="I22" s="132"/>
      <c r="J22" s="132"/>
      <c r="K22" s="118"/>
      <c r="L22" s="118"/>
      <c r="M22" s="131">
        <v>12</v>
      </c>
      <c r="N22" s="131">
        <v>250000</v>
      </c>
      <c r="O22" s="124">
        <v>200000</v>
      </c>
      <c r="P22" s="124">
        <v>150000</v>
      </c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</row>
    <row r="23" spans="1:29" ht="15.75" customHeight="1" x14ac:dyDescent="0.25">
      <c r="A23" s="118"/>
      <c r="B23" s="129" t="s">
        <v>434</v>
      </c>
      <c r="C23" s="134">
        <f>COUNTIF($D$7:$D$18,"Sarjana")</f>
        <v>5</v>
      </c>
      <c r="D23" s="135">
        <f ca="1">SUMIF($D$7:$D$18,"Sarjana",$K$7:$K$18)</f>
        <v>26200000</v>
      </c>
      <c r="E23" s="118"/>
      <c r="F23" s="118"/>
      <c r="G23" s="118"/>
      <c r="H23" s="120"/>
      <c r="I23" s="132"/>
      <c r="J23" s="132"/>
      <c r="K23" s="118"/>
      <c r="L23" s="118"/>
      <c r="M23" s="131">
        <v>15</v>
      </c>
      <c r="N23" s="131">
        <v>300000</v>
      </c>
      <c r="O23" s="124">
        <v>250000</v>
      </c>
      <c r="P23" s="124">
        <v>200000</v>
      </c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</row>
    <row r="24" spans="1:29" ht="15.75" customHeight="1" x14ac:dyDescent="0.25">
      <c r="A24" s="118"/>
      <c r="B24" s="124" t="s">
        <v>435</v>
      </c>
      <c r="C24" s="134">
        <f>COUNTIF($D$7:$D$18,"SLTA")</f>
        <v>5</v>
      </c>
      <c r="D24" s="135">
        <f ca="1">SUMIF($D$7:$D$18,"SLTA",$K$7:$K$18)</f>
        <v>15750000</v>
      </c>
      <c r="E24" s="118"/>
      <c r="F24" s="118"/>
      <c r="G24" s="118"/>
      <c r="H24" s="120"/>
      <c r="I24" s="132"/>
      <c r="J24" s="132"/>
      <c r="K24" s="118"/>
      <c r="L24" s="118"/>
      <c r="M24" s="131">
        <v>18</v>
      </c>
      <c r="N24" s="131">
        <v>350000</v>
      </c>
      <c r="O24" s="124">
        <v>300000</v>
      </c>
      <c r="P24" s="124">
        <v>250000</v>
      </c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</row>
    <row r="25" spans="1:29" ht="15.75" customHeight="1" x14ac:dyDescent="0.25">
      <c r="A25" s="118"/>
      <c r="B25" s="124" t="s">
        <v>436</v>
      </c>
      <c r="C25" s="134">
        <f>COUNTIF($D$7:$D$18,"SLTP")</f>
        <v>2</v>
      </c>
      <c r="D25" s="135">
        <f ca="1">SUMIF($D$7:$D$18,"SLTP",$K$7:$K$18)</f>
        <v>9600000</v>
      </c>
      <c r="E25" s="118"/>
      <c r="F25" s="118"/>
      <c r="G25" s="118"/>
      <c r="H25" s="120"/>
      <c r="I25" s="132"/>
      <c r="J25" s="132"/>
      <c r="K25" s="118"/>
      <c r="L25" s="118"/>
      <c r="M25" s="131">
        <v>21</v>
      </c>
      <c r="N25" s="131">
        <v>400000</v>
      </c>
      <c r="O25" s="124">
        <v>350000</v>
      </c>
      <c r="P25" s="124">
        <v>300000</v>
      </c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</row>
    <row r="26" spans="1:29" ht="15.75" customHeight="1" x14ac:dyDescent="0.25">
      <c r="A26" s="118"/>
      <c r="B26" s="118"/>
      <c r="C26" s="118"/>
      <c r="D26" s="118"/>
      <c r="E26" s="118"/>
      <c r="F26" s="118"/>
      <c r="G26" s="118"/>
      <c r="H26" s="120"/>
      <c r="I26" s="132"/>
      <c r="J26" s="132"/>
      <c r="K26" s="132"/>
      <c r="L26" s="118"/>
      <c r="M26" s="132"/>
      <c r="N26" s="136"/>
      <c r="O26" s="120"/>
      <c r="P26" s="120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</row>
    <row r="27" spans="1:29" ht="15.75" customHeight="1" x14ac:dyDescent="0.25">
      <c r="A27" s="118" t="s">
        <v>463</v>
      </c>
      <c r="B27" s="118"/>
      <c r="C27" s="118"/>
      <c r="D27" s="118"/>
      <c r="E27" s="118"/>
      <c r="F27" s="118"/>
      <c r="G27" s="118"/>
      <c r="H27" s="120"/>
      <c r="I27" s="132"/>
      <c r="J27" s="132"/>
      <c r="K27" s="132"/>
      <c r="L27" s="118"/>
      <c r="M27" s="121" t="s">
        <v>464</v>
      </c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</row>
    <row r="28" spans="1:29" ht="15.75" customHeight="1" x14ac:dyDescent="0.25">
      <c r="A28" s="137" t="s">
        <v>465</v>
      </c>
      <c r="B28" s="138" t="s">
        <v>466</v>
      </c>
      <c r="C28" s="132"/>
      <c r="D28" s="132"/>
      <c r="E28" s="132"/>
      <c r="F28" s="132"/>
      <c r="G28" s="132"/>
      <c r="H28" s="120"/>
      <c r="I28" s="132"/>
      <c r="J28" s="132"/>
      <c r="K28" s="132"/>
      <c r="L28" s="118"/>
      <c r="M28" s="123" t="s">
        <v>428</v>
      </c>
      <c r="N28" s="123" t="s">
        <v>467</v>
      </c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</row>
    <row r="29" spans="1:29" ht="15.75" customHeight="1" x14ac:dyDescent="0.25">
      <c r="A29" s="120"/>
      <c r="B29" s="138" t="s">
        <v>468</v>
      </c>
      <c r="C29" s="132"/>
      <c r="D29" s="132"/>
      <c r="E29" s="132"/>
      <c r="F29" s="132"/>
      <c r="G29" s="132"/>
      <c r="H29" s="132"/>
      <c r="I29" s="132"/>
      <c r="J29" s="132"/>
      <c r="K29" s="132"/>
      <c r="L29" s="118"/>
      <c r="M29" s="129" t="s">
        <v>440</v>
      </c>
      <c r="N29" s="135">
        <v>1000000</v>
      </c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</row>
    <row r="30" spans="1:29" ht="15.75" customHeight="1" x14ac:dyDescent="0.25">
      <c r="A30" s="139" t="s">
        <v>469</v>
      </c>
      <c r="B30" s="138" t="s">
        <v>470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18"/>
      <c r="M30" s="124" t="s">
        <v>439</v>
      </c>
      <c r="N30" s="128">
        <v>1500000</v>
      </c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</row>
    <row r="31" spans="1:29" ht="15.75" customHeight="1" x14ac:dyDescent="0.25">
      <c r="A31" s="139" t="s">
        <v>471</v>
      </c>
      <c r="B31" s="138" t="s">
        <v>472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18"/>
      <c r="M31" s="124" t="s">
        <v>438</v>
      </c>
      <c r="N31" s="128">
        <v>2000000</v>
      </c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</row>
    <row r="32" spans="1:29" ht="15.75" customHeight="1" x14ac:dyDescent="0.25">
      <c r="A32" s="139" t="s">
        <v>473</v>
      </c>
      <c r="B32" s="138" t="s">
        <v>474</v>
      </c>
      <c r="C32" s="132"/>
      <c r="D32" s="132"/>
      <c r="E32" s="132"/>
      <c r="F32" s="132"/>
      <c r="G32" s="132"/>
      <c r="H32" s="132"/>
      <c r="I32" s="118"/>
      <c r="J32" s="132"/>
      <c r="K32" s="132"/>
      <c r="L32" s="118"/>
      <c r="M32" s="124" t="s">
        <v>442</v>
      </c>
      <c r="N32" s="128">
        <v>2500000</v>
      </c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</row>
    <row r="33" spans="1:29" ht="15.75" customHeight="1" x14ac:dyDescent="0.25">
      <c r="A33" s="139" t="s">
        <v>475</v>
      </c>
      <c r="B33" s="138" t="s">
        <v>476</v>
      </c>
      <c r="C33" s="132"/>
      <c r="D33" s="132"/>
      <c r="E33" s="132"/>
      <c r="F33" s="132"/>
      <c r="G33" s="132"/>
      <c r="H33" s="132"/>
      <c r="I33" s="132"/>
      <c r="J33" s="118"/>
      <c r="K33" s="118"/>
      <c r="L33" s="118"/>
      <c r="M33" s="124" t="s">
        <v>444</v>
      </c>
      <c r="N33" s="128">
        <v>3000000</v>
      </c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</row>
    <row r="34" spans="1:29" ht="15.75" customHeight="1" x14ac:dyDescent="0.25">
      <c r="A34" s="139" t="s">
        <v>477</v>
      </c>
      <c r="B34" s="118" t="s">
        <v>478</v>
      </c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24" t="s">
        <v>446</v>
      </c>
      <c r="N34" s="128">
        <v>3500000</v>
      </c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</row>
    <row r="35" spans="1:29" ht="15.75" customHeight="1" x14ac:dyDescent="0.25">
      <c r="A35" s="132"/>
      <c r="B35" s="132"/>
      <c r="C35" s="132"/>
      <c r="D35" s="132"/>
      <c r="E35" s="132"/>
      <c r="F35" s="132"/>
      <c r="G35" s="132"/>
      <c r="H35" s="132"/>
      <c r="I35" s="118"/>
      <c r="J35" s="118"/>
      <c r="K35" s="118"/>
      <c r="L35" s="118"/>
      <c r="M35" s="124" t="s">
        <v>448</v>
      </c>
      <c r="N35" s="128">
        <v>4000000</v>
      </c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</row>
    <row r="36" spans="1:29" ht="15.75" customHeight="1" x14ac:dyDescent="0.25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24" t="s">
        <v>450</v>
      </c>
      <c r="N36" s="128">
        <v>4500000</v>
      </c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</row>
    <row r="37" spans="1:29" ht="15.75" customHeight="1" x14ac:dyDescent="0.25">
      <c r="A37" s="118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24" t="s">
        <v>452</v>
      </c>
      <c r="N37" s="128">
        <v>5000000</v>
      </c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</row>
    <row r="38" spans="1:29" ht="15.75" customHeight="1" x14ac:dyDescent="0.25">
      <c r="A38" s="118"/>
      <c r="B38" s="118"/>
      <c r="C38" s="118"/>
      <c r="D38" s="118"/>
      <c r="E38" s="140"/>
      <c r="F38" s="118"/>
      <c r="G38" s="118"/>
      <c r="H38" s="118"/>
      <c r="I38" s="118"/>
      <c r="J38" s="118"/>
      <c r="K38" s="118"/>
      <c r="L38" s="118"/>
      <c r="M38" s="124" t="s">
        <v>454</v>
      </c>
      <c r="N38" s="128">
        <v>5500000</v>
      </c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</row>
    <row r="39" spans="1:29" ht="15.75" customHeight="1" x14ac:dyDescent="0.25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</row>
    <row r="40" spans="1:29" ht="15.75" customHeight="1" x14ac:dyDescent="0.25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</row>
    <row r="41" spans="1:29" ht="15.75" customHeight="1" x14ac:dyDescent="0.25"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</row>
    <row r="42" spans="1:29" ht="15.75" customHeight="1" x14ac:dyDescent="0.25"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</row>
    <row r="43" spans="1:29" ht="15.75" customHeight="1" x14ac:dyDescent="0.25"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</row>
    <row r="44" spans="1:29" ht="15.75" customHeight="1" x14ac:dyDescent="0.25"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</row>
    <row r="45" spans="1:29" ht="15.75" customHeight="1" x14ac:dyDescent="0.25"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</row>
    <row r="46" spans="1:29" ht="15.75" customHeight="1" x14ac:dyDescent="0.25"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</row>
    <row r="47" spans="1:29" ht="15.75" customHeight="1" x14ac:dyDescent="0.25"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</row>
    <row r="48" spans="1:29" ht="15.75" customHeight="1" x14ac:dyDescent="0.25"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</row>
    <row r="49" spans="1:29" ht="15.75" customHeight="1" x14ac:dyDescent="0.25"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</row>
    <row r="50" spans="1:29" ht="15.75" customHeight="1" x14ac:dyDescent="0.25"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</row>
    <row r="51" spans="1:29" ht="15.75" customHeight="1" x14ac:dyDescent="0.25"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</row>
    <row r="52" spans="1:29" ht="15.75" customHeight="1" x14ac:dyDescent="0.25"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</row>
    <row r="53" spans="1:29" ht="15.75" customHeight="1" x14ac:dyDescent="0.25"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</row>
    <row r="54" spans="1:29" ht="15.75" customHeight="1" x14ac:dyDescent="0.25"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</row>
    <row r="55" spans="1:29" ht="15.75" customHeight="1" x14ac:dyDescent="0.25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</row>
    <row r="56" spans="1:29" ht="15.75" customHeight="1" x14ac:dyDescent="0.25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</row>
    <row r="57" spans="1:29" ht="15.75" customHeight="1" x14ac:dyDescent="0.25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</row>
    <row r="58" spans="1:29" ht="15.75" customHeight="1" x14ac:dyDescent="0.25">
      <c r="A58" s="118"/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</row>
    <row r="59" spans="1:29" ht="15.75" customHeight="1" x14ac:dyDescent="0.25">
      <c r="A59" s="118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</row>
    <row r="60" spans="1:29" ht="15.75" customHeight="1" x14ac:dyDescent="0.25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</row>
    <row r="61" spans="1:29" ht="15.75" customHeight="1" x14ac:dyDescent="0.25">
      <c r="A61" s="118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</row>
    <row r="62" spans="1:29" ht="15.75" customHeight="1" x14ac:dyDescent="0.25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</row>
    <row r="63" spans="1:29" ht="15.75" customHeight="1" x14ac:dyDescent="0.25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</row>
    <row r="64" spans="1:29" ht="15.75" customHeight="1" x14ac:dyDescent="0.25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</row>
    <row r="65" spans="1:29" ht="15.75" customHeight="1" x14ac:dyDescent="0.25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</row>
    <row r="66" spans="1:29" ht="15.75" customHeight="1" x14ac:dyDescent="0.25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</row>
    <row r="67" spans="1:29" ht="15.75" customHeight="1" x14ac:dyDescent="0.25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</row>
    <row r="68" spans="1:29" ht="15.75" customHeight="1" x14ac:dyDescent="0.25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</row>
    <row r="69" spans="1:29" ht="15.75" customHeight="1" x14ac:dyDescent="0.25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</row>
    <row r="70" spans="1:29" ht="15.75" customHeight="1" x14ac:dyDescent="0.25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</row>
    <row r="71" spans="1:29" ht="15.75" customHeight="1" x14ac:dyDescent="0.25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</row>
    <row r="72" spans="1:29" ht="15.75" customHeight="1" x14ac:dyDescent="0.25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</row>
    <row r="73" spans="1:29" ht="15.75" customHeight="1" x14ac:dyDescent="0.25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</row>
    <row r="74" spans="1:29" ht="15.75" customHeight="1" x14ac:dyDescent="0.25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</row>
    <row r="75" spans="1:29" ht="15.75" customHeight="1" x14ac:dyDescent="0.25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</row>
    <row r="76" spans="1:29" ht="15.75" customHeight="1" x14ac:dyDescent="0.25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</row>
    <row r="77" spans="1:29" ht="15.75" customHeight="1" x14ac:dyDescent="0.25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</row>
    <row r="78" spans="1:29" ht="15.75" customHeight="1" x14ac:dyDescent="0.25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</row>
    <row r="79" spans="1:29" ht="15.75" customHeight="1" x14ac:dyDescent="0.25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</row>
    <row r="80" spans="1:29" ht="15.75" customHeight="1" x14ac:dyDescent="0.25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</row>
    <row r="81" spans="1:29" ht="15.75" customHeight="1" x14ac:dyDescent="0.25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</row>
    <row r="82" spans="1:29" ht="15.75" customHeight="1" x14ac:dyDescent="0.25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</row>
    <row r="83" spans="1:29" ht="15.75" customHeight="1" x14ac:dyDescent="0.25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</row>
    <row r="84" spans="1:29" ht="15.75" customHeight="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</row>
    <row r="85" spans="1:29" ht="15.75" customHeight="1" x14ac:dyDescent="0.25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</row>
    <row r="86" spans="1:29" ht="15.75" customHeight="1" x14ac:dyDescent="0.25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</row>
    <row r="87" spans="1:29" ht="15.75" customHeight="1" x14ac:dyDescent="0.25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</row>
    <row r="88" spans="1:29" ht="15.75" customHeight="1" x14ac:dyDescent="0.25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</row>
    <row r="89" spans="1:29" ht="15.75" customHeight="1" x14ac:dyDescent="0.25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</row>
    <row r="90" spans="1:29" ht="15.75" customHeight="1" x14ac:dyDescent="0.25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</row>
    <row r="91" spans="1:29" ht="15.75" customHeight="1" x14ac:dyDescent="0.25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</row>
    <row r="92" spans="1:29" ht="15.75" customHeight="1" x14ac:dyDescent="0.25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</row>
    <row r="93" spans="1:29" ht="15.75" customHeight="1" x14ac:dyDescent="0.25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</row>
    <row r="94" spans="1:29" ht="15.75" customHeight="1" x14ac:dyDescent="0.25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</row>
    <row r="95" spans="1:29" ht="15.75" customHeight="1" x14ac:dyDescent="0.25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</row>
    <row r="96" spans="1:29" ht="15.75" customHeight="1" x14ac:dyDescent="0.25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</row>
    <row r="97" spans="1:29" ht="15.75" customHeight="1" x14ac:dyDescent="0.25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</row>
    <row r="98" spans="1:29" ht="15.75" customHeight="1" x14ac:dyDescent="0.25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</row>
    <row r="99" spans="1:29" ht="15.75" customHeight="1" x14ac:dyDescent="0.25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</row>
    <row r="100" spans="1:29" ht="15.75" customHeight="1" x14ac:dyDescent="0.25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</row>
    <row r="101" spans="1:29" ht="15.75" customHeight="1" x14ac:dyDescent="0.25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</row>
    <row r="102" spans="1:29" ht="15.75" customHeight="1" x14ac:dyDescent="0.25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</row>
    <row r="103" spans="1:29" ht="15.75" customHeight="1" x14ac:dyDescent="0.25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</row>
    <row r="104" spans="1:29" ht="15.75" customHeight="1" x14ac:dyDescent="0.25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</row>
    <row r="105" spans="1:29" ht="15.75" customHeight="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</row>
    <row r="106" spans="1:29" ht="15.75" customHeight="1" x14ac:dyDescent="0.25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</row>
    <row r="107" spans="1:29" ht="15.75" customHeight="1" x14ac:dyDescent="0.25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</row>
    <row r="108" spans="1:29" ht="15.75" customHeight="1" x14ac:dyDescent="0.25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</row>
    <row r="109" spans="1:29" ht="15.75" customHeight="1" x14ac:dyDescent="0.25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</row>
    <row r="110" spans="1:29" ht="15.75" customHeight="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</row>
    <row r="111" spans="1:29" ht="15.75" customHeight="1" x14ac:dyDescent="0.25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</row>
    <row r="112" spans="1:29" ht="15.75" customHeight="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</row>
    <row r="113" spans="1:29" ht="15.75" customHeight="1" x14ac:dyDescent="0.25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</row>
    <row r="114" spans="1:29" ht="15.75" customHeight="1" x14ac:dyDescent="0.25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</row>
    <row r="115" spans="1:29" ht="15.75" customHeight="1" x14ac:dyDescent="0.25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</row>
    <row r="116" spans="1:29" ht="15.75" customHeight="1" x14ac:dyDescent="0.25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</row>
    <row r="117" spans="1:29" ht="15.75" customHeight="1" x14ac:dyDescent="0.25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</row>
    <row r="118" spans="1:29" ht="15.75" customHeight="1" x14ac:dyDescent="0.25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</row>
    <row r="119" spans="1:29" ht="15.75" customHeight="1" x14ac:dyDescent="0.2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</row>
    <row r="120" spans="1:29" ht="15.75" customHeight="1" x14ac:dyDescent="0.25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</row>
    <row r="121" spans="1:29" ht="15.75" customHeight="1" x14ac:dyDescent="0.25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</row>
    <row r="122" spans="1:29" ht="15.75" customHeight="1" x14ac:dyDescent="0.25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</row>
    <row r="123" spans="1:29" ht="15.75" customHeight="1" x14ac:dyDescent="0.25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</row>
    <row r="124" spans="1:29" ht="15.75" customHeight="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</row>
    <row r="125" spans="1:29" ht="15.75" customHeight="1" x14ac:dyDescent="0.25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</row>
    <row r="126" spans="1:29" ht="15.75" customHeight="1" x14ac:dyDescent="0.25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</row>
    <row r="127" spans="1:29" ht="15.75" customHeight="1" x14ac:dyDescent="0.25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</row>
    <row r="128" spans="1:29" ht="15.75" customHeight="1" x14ac:dyDescent="0.25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</row>
    <row r="129" spans="1:29" ht="15.75" customHeight="1" x14ac:dyDescent="0.25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</row>
    <row r="130" spans="1:29" ht="15.75" customHeight="1" x14ac:dyDescent="0.25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</row>
    <row r="131" spans="1:29" ht="15.75" customHeight="1" x14ac:dyDescent="0.25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</row>
    <row r="132" spans="1:29" ht="15.75" customHeight="1" x14ac:dyDescent="0.25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</row>
    <row r="133" spans="1:29" ht="15.75" customHeight="1" x14ac:dyDescent="0.25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</row>
    <row r="134" spans="1:29" ht="15.75" customHeight="1" x14ac:dyDescent="0.25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</row>
    <row r="135" spans="1:29" ht="15.75" customHeight="1" x14ac:dyDescent="0.25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</row>
    <row r="136" spans="1:29" ht="15.75" customHeight="1" x14ac:dyDescent="0.25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</row>
    <row r="137" spans="1:29" ht="15.75" customHeight="1" x14ac:dyDescent="0.25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</row>
    <row r="138" spans="1:29" ht="15.75" customHeight="1" x14ac:dyDescent="0.25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</row>
    <row r="139" spans="1:29" ht="15.75" customHeight="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</row>
    <row r="140" spans="1:29" ht="15.75" customHeight="1" x14ac:dyDescent="0.25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</row>
    <row r="141" spans="1:29" ht="15.75" customHeight="1" x14ac:dyDescent="0.25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</row>
    <row r="142" spans="1:29" ht="15.75" customHeight="1" x14ac:dyDescent="0.25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</row>
    <row r="143" spans="1:29" ht="15.75" customHeight="1" x14ac:dyDescent="0.25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</row>
    <row r="144" spans="1:29" ht="15.75" customHeight="1" x14ac:dyDescent="0.25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</row>
    <row r="145" spans="1:29" ht="15.75" customHeight="1" x14ac:dyDescent="0.25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</row>
    <row r="146" spans="1:29" ht="15.75" customHeight="1" x14ac:dyDescent="0.25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</row>
    <row r="147" spans="1:29" ht="15.75" customHeight="1" x14ac:dyDescent="0.25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</row>
    <row r="148" spans="1:29" ht="15.75" customHeight="1" x14ac:dyDescent="0.25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</row>
    <row r="149" spans="1:29" ht="15.75" customHeight="1" x14ac:dyDescent="0.25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</row>
    <row r="150" spans="1:29" ht="15.75" customHeight="1" x14ac:dyDescent="0.25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</row>
    <row r="151" spans="1:29" ht="15.75" customHeight="1" x14ac:dyDescent="0.25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</row>
    <row r="152" spans="1:29" ht="15.75" customHeight="1" x14ac:dyDescent="0.25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</row>
    <row r="153" spans="1:29" ht="15.75" customHeight="1" x14ac:dyDescent="0.25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</row>
    <row r="154" spans="1:29" ht="15.75" customHeight="1" x14ac:dyDescent="0.25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</row>
    <row r="155" spans="1:29" ht="15.75" customHeight="1" x14ac:dyDescent="0.25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</row>
    <row r="156" spans="1:29" ht="15.75" customHeight="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</row>
    <row r="157" spans="1:29" ht="15.75" customHeight="1" x14ac:dyDescent="0.25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</row>
    <row r="158" spans="1:29" ht="15.75" customHeight="1" x14ac:dyDescent="0.25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</row>
    <row r="159" spans="1:29" ht="15.75" customHeight="1" x14ac:dyDescent="0.25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</row>
    <row r="160" spans="1:29" ht="15.75" customHeight="1" x14ac:dyDescent="0.25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</row>
    <row r="161" spans="1:29" ht="15.75" customHeight="1" x14ac:dyDescent="0.25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</row>
    <row r="162" spans="1:29" ht="15.75" customHeight="1" x14ac:dyDescent="0.25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</row>
    <row r="163" spans="1:29" ht="15.75" customHeight="1" x14ac:dyDescent="0.25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</row>
    <row r="164" spans="1:29" ht="15.75" customHeight="1" x14ac:dyDescent="0.25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</row>
    <row r="165" spans="1:29" ht="15.75" customHeight="1" x14ac:dyDescent="0.25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</row>
    <row r="166" spans="1:29" ht="15.75" customHeight="1" x14ac:dyDescent="0.25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</row>
    <row r="167" spans="1:29" ht="15.75" customHeight="1" x14ac:dyDescent="0.25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</row>
    <row r="168" spans="1:29" ht="15.75" customHeight="1" x14ac:dyDescent="0.25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</row>
    <row r="169" spans="1:29" ht="15.75" customHeight="1" x14ac:dyDescent="0.25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</row>
    <row r="170" spans="1:29" ht="15.75" customHeight="1" x14ac:dyDescent="0.25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</row>
    <row r="171" spans="1:29" ht="15.75" customHeight="1" x14ac:dyDescent="0.25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</row>
    <row r="172" spans="1:29" ht="15.75" customHeight="1" x14ac:dyDescent="0.25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</row>
    <row r="173" spans="1:29" ht="15.75" customHeight="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</row>
    <row r="174" spans="1:29" ht="15.75" customHeight="1" x14ac:dyDescent="0.25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</row>
    <row r="175" spans="1:29" ht="15.75" customHeight="1" x14ac:dyDescent="0.25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</row>
    <row r="176" spans="1:29" ht="15.75" customHeight="1" x14ac:dyDescent="0.25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</row>
    <row r="177" spans="1:29" ht="15.75" customHeight="1" x14ac:dyDescent="0.25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</row>
    <row r="178" spans="1:29" ht="15.75" customHeight="1" x14ac:dyDescent="0.25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</row>
    <row r="179" spans="1:29" ht="15.75" customHeight="1" x14ac:dyDescent="0.25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</row>
    <row r="180" spans="1:29" ht="15.75" customHeight="1" x14ac:dyDescent="0.25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  <c r="AB180" s="118"/>
      <c r="AC180" s="118"/>
    </row>
    <row r="181" spans="1:29" ht="15.75" customHeight="1" x14ac:dyDescent="0.25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</row>
    <row r="182" spans="1:29" ht="15.75" customHeight="1" x14ac:dyDescent="0.25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  <c r="AB182" s="118"/>
      <c r="AC182" s="118"/>
    </row>
    <row r="183" spans="1:29" ht="15.75" customHeight="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</row>
    <row r="184" spans="1:29" ht="15.75" customHeight="1" x14ac:dyDescent="0.25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</row>
    <row r="185" spans="1:29" ht="15.75" customHeight="1" x14ac:dyDescent="0.25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  <c r="AC185" s="118"/>
    </row>
    <row r="186" spans="1:29" ht="15.75" customHeight="1" x14ac:dyDescent="0.25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</row>
    <row r="187" spans="1:29" ht="15.75" customHeight="1" x14ac:dyDescent="0.25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</row>
    <row r="188" spans="1:29" ht="15.75" customHeight="1" x14ac:dyDescent="0.25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</row>
    <row r="189" spans="1:29" ht="15.75" customHeight="1" x14ac:dyDescent="0.25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</row>
    <row r="190" spans="1:29" ht="15.75" customHeight="1" x14ac:dyDescent="0.25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  <c r="AC190" s="118"/>
    </row>
    <row r="191" spans="1:29" ht="15.75" customHeight="1" x14ac:dyDescent="0.25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</row>
    <row r="192" spans="1:29" ht="15.75" customHeight="1" x14ac:dyDescent="0.25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</row>
    <row r="193" spans="1:29" ht="15.75" customHeight="1" x14ac:dyDescent="0.25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  <c r="AC193" s="118"/>
    </row>
    <row r="194" spans="1:29" ht="15.75" customHeight="1" x14ac:dyDescent="0.25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  <c r="AB194" s="118"/>
      <c r="AC194" s="118"/>
    </row>
    <row r="195" spans="1:29" ht="15.75" customHeight="1" x14ac:dyDescent="0.25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  <c r="AC195" s="118"/>
    </row>
    <row r="196" spans="1:29" ht="15.75" customHeight="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  <c r="AB196" s="118"/>
      <c r="AC196" s="118"/>
    </row>
    <row r="197" spans="1:29" ht="15.75" customHeight="1" x14ac:dyDescent="0.25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</row>
    <row r="198" spans="1:29" ht="15.75" customHeight="1" x14ac:dyDescent="0.25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8"/>
      <c r="AC198" s="118"/>
    </row>
    <row r="199" spans="1:29" ht="15.75" customHeight="1" x14ac:dyDescent="0.25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</row>
    <row r="200" spans="1:29" ht="15.75" customHeight="1" x14ac:dyDescent="0.25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  <c r="AB200" s="118"/>
      <c r="AC200" s="118"/>
    </row>
    <row r="201" spans="1:29" ht="15.75" customHeight="1" x14ac:dyDescent="0.25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</row>
    <row r="202" spans="1:29" ht="15.75" customHeight="1" x14ac:dyDescent="0.25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</row>
    <row r="203" spans="1:29" ht="15.75" customHeight="1" x14ac:dyDescent="0.25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</row>
    <row r="204" spans="1:29" ht="15.75" customHeight="1" x14ac:dyDescent="0.25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</row>
    <row r="205" spans="1:29" ht="15.75" customHeight="1" x14ac:dyDescent="0.2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</row>
    <row r="206" spans="1:29" ht="15.75" customHeight="1" x14ac:dyDescent="0.25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</row>
    <row r="207" spans="1:29" ht="15.75" customHeight="1" x14ac:dyDescent="0.25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</row>
    <row r="208" spans="1:29" ht="15.75" customHeight="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</row>
    <row r="209" spans="1:29" ht="15.75" customHeight="1" x14ac:dyDescent="0.25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</row>
    <row r="210" spans="1:29" ht="15.75" customHeight="1" x14ac:dyDescent="0.25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  <c r="AB210" s="118"/>
      <c r="AC210" s="118"/>
    </row>
    <row r="211" spans="1:29" ht="15.75" customHeight="1" x14ac:dyDescent="0.25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</row>
    <row r="212" spans="1:29" ht="15.75" customHeight="1" x14ac:dyDescent="0.25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</row>
    <row r="213" spans="1:29" ht="15.75" customHeight="1" x14ac:dyDescent="0.25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</row>
    <row r="214" spans="1:29" ht="15.75" customHeight="1" x14ac:dyDescent="0.25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8"/>
      <c r="AC214" s="118"/>
    </row>
    <row r="215" spans="1:29" ht="15.75" customHeight="1" x14ac:dyDescent="0.2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</row>
    <row r="216" spans="1:29" ht="15.75" customHeight="1" x14ac:dyDescent="0.25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  <c r="AB216" s="118"/>
      <c r="AC216" s="118"/>
    </row>
    <row r="217" spans="1:29" ht="15.75" customHeight="1" x14ac:dyDescent="0.25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</row>
    <row r="218" spans="1:29" ht="15.75" customHeight="1" x14ac:dyDescent="0.25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</row>
    <row r="219" spans="1:29" ht="15.75" customHeight="1" x14ac:dyDescent="0.25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</row>
    <row r="220" spans="1:29" ht="15.75" customHeight="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</row>
    <row r="221" spans="1:29" ht="15.75" customHeight="1" x14ac:dyDescent="0.25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</row>
    <row r="222" spans="1:29" ht="15.75" customHeight="1" x14ac:dyDescent="0.25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</row>
    <row r="223" spans="1:29" ht="15.75" customHeight="1" x14ac:dyDescent="0.25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</row>
    <row r="224" spans="1:29" ht="15.75" customHeight="1" x14ac:dyDescent="0.25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</row>
    <row r="225" spans="1:29" ht="15.75" customHeight="1" x14ac:dyDescent="0.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</row>
    <row r="226" spans="1:29" ht="15.75" customHeight="1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</row>
    <row r="227" spans="1:29" ht="15.75" customHeight="1" x14ac:dyDescent="0.25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</row>
    <row r="228" spans="1:29" ht="15.75" customHeight="1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</row>
    <row r="229" spans="1:29" ht="15.75" customHeight="1" x14ac:dyDescent="0.25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</row>
    <row r="230" spans="1:29" ht="15.75" customHeight="1" x14ac:dyDescent="0.25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</row>
    <row r="231" spans="1:29" ht="15.75" customHeight="1" x14ac:dyDescent="0.25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</row>
    <row r="232" spans="1:29" ht="15.75" customHeight="1" x14ac:dyDescent="0.25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</row>
    <row r="233" spans="1:29" ht="15.75" customHeight="1" x14ac:dyDescent="0.25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</row>
    <row r="234" spans="1:29" ht="15.75" customHeight="1" x14ac:dyDescent="0.25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</row>
    <row r="235" spans="1:29" ht="15.75" customHeight="1" x14ac:dyDescent="0.2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</row>
    <row r="236" spans="1:29" ht="15.75" customHeight="1" x14ac:dyDescent="0.2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</row>
    <row r="237" spans="1:29" ht="15.75" customHeight="1" x14ac:dyDescent="0.2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</row>
    <row r="238" spans="1:29" ht="15.75" customHeight="1" x14ac:dyDescent="0.2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</row>
    <row r="239" spans="1:29" ht="14.25" customHeight="1" x14ac:dyDescent="0.2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</row>
    <row r="240" spans="1:29" ht="14.25" customHeight="1" x14ac:dyDescent="0.2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</row>
    <row r="241" spans="1:29" ht="14.25" customHeight="1" x14ac:dyDescent="0.2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</row>
    <row r="242" spans="1:29" ht="14.25" customHeight="1" x14ac:dyDescent="0.2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</row>
    <row r="243" spans="1:29" ht="14.25" customHeight="1" x14ac:dyDescent="0.2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</row>
    <row r="244" spans="1:29" ht="14.25" customHeight="1" x14ac:dyDescent="0.2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</row>
    <row r="245" spans="1:29" ht="14.25" customHeight="1" x14ac:dyDescent="0.2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</row>
    <row r="246" spans="1:29" ht="14.25" customHeight="1" x14ac:dyDescent="0.2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</row>
    <row r="247" spans="1:29" ht="14.25" customHeight="1" x14ac:dyDescent="0.2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</row>
    <row r="248" spans="1:29" ht="14.25" customHeight="1" x14ac:dyDescent="0.2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</row>
    <row r="249" spans="1:29" ht="14.25" customHeight="1" x14ac:dyDescent="0.2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</row>
    <row r="250" spans="1:29" ht="14.25" customHeight="1" x14ac:dyDescent="0.2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</row>
    <row r="251" spans="1:29" ht="14.25" customHeight="1" x14ac:dyDescent="0.2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</row>
    <row r="252" spans="1:29" ht="14.25" customHeight="1" x14ac:dyDescent="0.2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</row>
    <row r="253" spans="1:29" ht="14.25" customHeight="1" x14ac:dyDescent="0.2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</row>
    <row r="254" spans="1:29" ht="14.25" customHeight="1" x14ac:dyDescent="0.2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</row>
    <row r="255" spans="1:29" ht="14.25" customHeight="1" x14ac:dyDescent="0.2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</row>
    <row r="256" spans="1:29" ht="14.25" customHeight="1" x14ac:dyDescent="0.2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</row>
    <row r="257" spans="1:29" ht="14.25" customHeight="1" x14ac:dyDescent="0.2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</row>
    <row r="258" spans="1:29" ht="14.25" customHeight="1" x14ac:dyDescent="0.2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</row>
    <row r="259" spans="1:29" ht="14.25" customHeight="1" x14ac:dyDescent="0.2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</row>
    <row r="260" spans="1:29" ht="14.25" customHeight="1" x14ac:dyDescent="0.2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</row>
    <row r="261" spans="1:29" ht="14.25" customHeight="1" x14ac:dyDescent="0.2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</row>
    <row r="262" spans="1:29" ht="14.25" customHeight="1" x14ac:dyDescent="0.2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</row>
    <row r="263" spans="1:29" ht="14.25" customHeight="1" x14ac:dyDescent="0.2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</row>
    <row r="264" spans="1:29" ht="14.25" customHeight="1" x14ac:dyDescent="0.2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</row>
    <row r="265" spans="1:29" ht="14.25" customHeight="1" x14ac:dyDescent="0.2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</row>
    <row r="266" spans="1:29" ht="14.25" customHeight="1" x14ac:dyDescent="0.2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</row>
    <row r="267" spans="1:29" ht="14.25" customHeight="1" x14ac:dyDescent="0.2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</row>
    <row r="268" spans="1:29" ht="14.25" customHeight="1" x14ac:dyDescent="0.2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</row>
    <row r="269" spans="1:29" ht="14.25" customHeight="1" x14ac:dyDescent="0.2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</row>
    <row r="270" spans="1:29" ht="14.25" customHeight="1" x14ac:dyDescent="0.2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</row>
    <row r="271" spans="1:29" ht="14.25" customHeight="1" x14ac:dyDescent="0.2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</row>
    <row r="272" spans="1:29" ht="14.25" customHeight="1" x14ac:dyDescent="0.2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</row>
    <row r="273" spans="1:29" ht="14.25" customHeight="1" x14ac:dyDescent="0.2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</row>
    <row r="274" spans="1:29" ht="14.25" customHeight="1" x14ac:dyDescent="0.2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</row>
    <row r="275" spans="1:29" ht="14.25" customHeight="1" x14ac:dyDescent="0.2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</row>
    <row r="276" spans="1:29" ht="14.25" customHeight="1" x14ac:dyDescent="0.2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</row>
    <row r="277" spans="1:29" ht="14.25" customHeight="1" x14ac:dyDescent="0.2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</row>
    <row r="278" spans="1:29" ht="14.25" customHeight="1" x14ac:dyDescent="0.2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</row>
    <row r="279" spans="1:29" ht="14.25" customHeight="1" x14ac:dyDescent="0.2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</row>
    <row r="280" spans="1:29" ht="14.25" customHeight="1" x14ac:dyDescent="0.2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</row>
    <row r="281" spans="1:29" ht="14.25" customHeight="1" x14ac:dyDescent="0.2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</row>
    <row r="282" spans="1:29" ht="14.25" customHeight="1" x14ac:dyDescent="0.2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</row>
    <row r="283" spans="1:29" ht="14.25" customHeight="1" x14ac:dyDescent="0.2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</row>
    <row r="284" spans="1:29" ht="14.25" customHeight="1" x14ac:dyDescent="0.2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</row>
    <row r="285" spans="1:29" ht="14.25" customHeight="1" x14ac:dyDescent="0.2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</row>
    <row r="286" spans="1:29" ht="14.25" customHeight="1" x14ac:dyDescent="0.2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</row>
    <row r="287" spans="1:29" ht="14.25" customHeight="1" x14ac:dyDescent="0.2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</row>
    <row r="288" spans="1:29" ht="14.25" customHeight="1" x14ac:dyDescent="0.2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</row>
    <row r="289" spans="1:29" ht="14.25" customHeight="1" x14ac:dyDescent="0.2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</row>
    <row r="290" spans="1:29" ht="14.25" customHeight="1" x14ac:dyDescent="0.2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</row>
    <row r="291" spans="1:29" ht="14.25" customHeight="1" x14ac:dyDescent="0.2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</row>
    <row r="292" spans="1:29" ht="14.25" customHeight="1" x14ac:dyDescent="0.2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</row>
    <row r="293" spans="1:29" ht="14.25" customHeight="1" x14ac:dyDescent="0.2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</row>
    <row r="294" spans="1:29" ht="14.25" customHeight="1" x14ac:dyDescent="0.2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</row>
    <row r="295" spans="1:29" ht="14.25" customHeight="1" x14ac:dyDescent="0.2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</row>
    <row r="296" spans="1:29" ht="14.25" customHeight="1" x14ac:dyDescent="0.2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</row>
    <row r="297" spans="1:29" ht="14.25" customHeight="1" x14ac:dyDescent="0.2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</row>
    <row r="298" spans="1:29" ht="14.25" customHeight="1" x14ac:dyDescent="0.2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</row>
    <row r="299" spans="1:29" ht="14.25" customHeight="1" x14ac:dyDescent="0.2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</row>
    <row r="300" spans="1:29" ht="14.25" customHeight="1" x14ac:dyDescent="0.2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</row>
    <row r="301" spans="1:29" ht="14.25" customHeight="1" x14ac:dyDescent="0.2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</row>
    <row r="302" spans="1:29" ht="14.25" customHeight="1" x14ac:dyDescent="0.2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</row>
    <row r="303" spans="1:29" ht="14.25" customHeight="1" x14ac:dyDescent="0.2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</row>
    <row r="304" spans="1:29" ht="14.25" customHeight="1" x14ac:dyDescent="0.2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</row>
    <row r="305" spans="1:29" ht="14.25" customHeight="1" x14ac:dyDescent="0.2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</row>
    <row r="306" spans="1:29" ht="14.25" customHeight="1" x14ac:dyDescent="0.2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</row>
    <row r="307" spans="1:29" ht="14.25" customHeight="1" x14ac:dyDescent="0.2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</row>
    <row r="308" spans="1:29" ht="14.25" customHeight="1" x14ac:dyDescent="0.2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</row>
    <row r="309" spans="1:29" ht="14.25" customHeight="1" x14ac:dyDescent="0.2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</row>
    <row r="310" spans="1:29" ht="14.25" customHeight="1" x14ac:dyDescent="0.2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</row>
    <row r="311" spans="1:29" ht="14.25" customHeight="1" x14ac:dyDescent="0.2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</row>
    <row r="312" spans="1:29" ht="14.25" customHeight="1" x14ac:dyDescent="0.2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</row>
    <row r="313" spans="1:29" ht="14.25" customHeight="1" x14ac:dyDescent="0.2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</row>
    <row r="314" spans="1:29" ht="14.25" customHeight="1" x14ac:dyDescent="0.2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</row>
    <row r="315" spans="1:29" ht="14.25" customHeight="1" x14ac:dyDescent="0.2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</row>
    <row r="316" spans="1:29" ht="14.25" customHeight="1" x14ac:dyDescent="0.2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</row>
    <row r="317" spans="1:29" ht="14.25" customHeight="1" x14ac:dyDescent="0.2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</row>
    <row r="318" spans="1:29" ht="14.25" customHeight="1" x14ac:dyDescent="0.2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</row>
    <row r="319" spans="1:29" ht="14.25" customHeight="1" x14ac:dyDescent="0.2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</row>
    <row r="320" spans="1:29" ht="14.25" customHeight="1" x14ac:dyDescent="0.2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</row>
    <row r="321" spans="1:29" ht="14.25" customHeight="1" x14ac:dyDescent="0.2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</row>
    <row r="322" spans="1:29" ht="14.25" customHeight="1" x14ac:dyDescent="0.2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</row>
    <row r="323" spans="1:29" ht="14.25" customHeight="1" x14ac:dyDescent="0.2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</row>
    <row r="324" spans="1:29" ht="14.25" customHeight="1" x14ac:dyDescent="0.2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</row>
    <row r="325" spans="1:29" ht="14.25" customHeight="1" x14ac:dyDescent="0.2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</row>
    <row r="326" spans="1:29" ht="14.25" customHeight="1" x14ac:dyDescent="0.2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</row>
    <row r="327" spans="1:29" ht="14.25" customHeight="1" x14ac:dyDescent="0.2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</row>
    <row r="328" spans="1:29" ht="14.25" customHeight="1" x14ac:dyDescent="0.2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</row>
    <row r="329" spans="1:29" ht="14.25" customHeight="1" x14ac:dyDescent="0.2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</row>
    <row r="330" spans="1:29" ht="14.25" customHeight="1" x14ac:dyDescent="0.2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</row>
    <row r="331" spans="1:29" ht="14.25" customHeight="1" x14ac:dyDescent="0.2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</row>
    <row r="332" spans="1:29" ht="14.25" customHeight="1" x14ac:dyDescent="0.2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</row>
    <row r="333" spans="1:29" ht="14.25" customHeight="1" x14ac:dyDescent="0.2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</row>
    <row r="334" spans="1:29" ht="14.25" customHeight="1" x14ac:dyDescent="0.2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</row>
    <row r="335" spans="1:29" ht="14.25" customHeight="1" x14ac:dyDescent="0.2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</row>
    <row r="336" spans="1:29" ht="14.25" customHeight="1" x14ac:dyDescent="0.2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</row>
    <row r="337" spans="1:29" ht="14.25" customHeight="1" x14ac:dyDescent="0.2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</row>
    <row r="338" spans="1:29" ht="14.25" customHeight="1" x14ac:dyDescent="0.2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</row>
    <row r="339" spans="1:29" ht="14.25" customHeight="1" x14ac:dyDescent="0.2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</row>
    <row r="340" spans="1:29" ht="14.25" customHeight="1" x14ac:dyDescent="0.2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</row>
    <row r="341" spans="1:29" ht="14.25" customHeight="1" x14ac:dyDescent="0.2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</row>
    <row r="342" spans="1:29" ht="14.25" customHeight="1" x14ac:dyDescent="0.2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</row>
    <row r="343" spans="1:29" ht="14.25" customHeight="1" x14ac:dyDescent="0.2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</row>
    <row r="344" spans="1:29" ht="14.25" customHeight="1" x14ac:dyDescent="0.2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</row>
    <row r="345" spans="1:29" ht="14.25" customHeight="1" x14ac:dyDescent="0.2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</row>
    <row r="346" spans="1:29" ht="14.25" customHeight="1" x14ac:dyDescent="0.2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</row>
    <row r="347" spans="1:29" ht="14.25" customHeight="1" x14ac:dyDescent="0.2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</row>
    <row r="348" spans="1:29" ht="14.25" customHeight="1" x14ac:dyDescent="0.2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</row>
    <row r="349" spans="1:29" ht="14.25" customHeight="1" x14ac:dyDescent="0.2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</row>
    <row r="350" spans="1:29" ht="14.25" customHeight="1" x14ac:dyDescent="0.2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</row>
    <row r="351" spans="1:29" ht="14.25" customHeight="1" x14ac:dyDescent="0.2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</row>
    <row r="352" spans="1:29" ht="14.25" customHeight="1" x14ac:dyDescent="0.2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</row>
    <row r="353" spans="1:29" ht="14.25" customHeight="1" x14ac:dyDescent="0.2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</row>
    <row r="354" spans="1:29" ht="14.25" customHeight="1" x14ac:dyDescent="0.2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</row>
    <row r="355" spans="1:29" ht="14.25" customHeight="1" x14ac:dyDescent="0.2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</row>
    <row r="356" spans="1:29" ht="14.25" customHeight="1" x14ac:dyDescent="0.2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</row>
    <row r="357" spans="1:29" ht="14.25" customHeight="1" x14ac:dyDescent="0.2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</row>
    <row r="358" spans="1:29" ht="14.25" customHeight="1" x14ac:dyDescent="0.2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</row>
    <row r="359" spans="1:29" ht="14.25" customHeight="1" x14ac:dyDescent="0.2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</row>
    <row r="360" spans="1:29" ht="14.25" customHeight="1" x14ac:dyDescent="0.2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</row>
    <row r="361" spans="1:29" ht="14.25" customHeight="1" x14ac:dyDescent="0.2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</row>
    <row r="362" spans="1:29" ht="14.25" customHeight="1" x14ac:dyDescent="0.2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</row>
    <row r="363" spans="1:29" ht="14.25" customHeight="1" x14ac:dyDescent="0.2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</row>
    <row r="364" spans="1:29" ht="14.25" customHeight="1" x14ac:dyDescent="0.2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</row>
    <row r="365" spans="1:29" ht="14.25" customHeight="1" x14ac:dyDescent="0.2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</row>
    <row r="366" spans="1:29" ht="14.25" customHeight="1" x14ac:dyDescent="0.2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</row>
    <row r="367" spans="1:29" ht="14.25" customHeight="1" x14ac:dyDescent="0.2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</row>
    <row r="368" spans="1:29" ht="14.25" customHeight="1" x14ac:dyDescent="0.2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</row>
    <row r="369" spans="1:29" ht="14.25" customHeight="1" x14ac:dyDescent="0.2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</row>
    <row r="370" spans="1:29" ht="14.25" customHeight="1" x14ac:dyDescent="0.2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</row>
    <row r="371" spans="1:29" ht="14.25" customHeight="1" x14ac:dyDescent="0.2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</row>
    <row r="372" spans="1:29" ht="14.25" customHeight="1" x14ac:dyDescent="0.2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</row>
    <row r="373" spans="1:29" ht="14.25" customHeight="1" x14ac:dyDescent="0.2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</row>
    <row r="374" spans="1:29" ht="14.25" customHeight="1" x14ac:dyDescent="0.2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</row>
    <row r="375" spans="1:29" ht="14.25" customHeight="1" x14ac:dyDescent="0.2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</row>
    <row r="376" spans="1:29" ht="14.25" customHeight="1" x14ac:dyDescent="0.2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</row>
    <row r="377" spans="1:29" ht="14.25" customHeight="1" x14ac:dyDescent="0.2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</row>
    <row r="378" spans="1:29" ht="14.25" customHeight="1" x14ac:dyDescent="0.2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</row>
    <row r="379" spans="1:29" ht="14.25" customHeight="1" x14ac:dyDescent="0.2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</row>
    <row r="380" spans="1:29" ht="14.25" customHeight="1" x14ac:dyDescent="0.2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</row>
    <row r="381" spans="1:29" ht="14.25" customHeight="1" x14ac:dyDescent="0.2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</row>
    <row r="382" spans="1:29" ht="14.25" customHeight="1" x14ac:dyDescent="0.2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</row>
    <row r="383" spans="1:29" ht="14.25" customHeight="1" x14ac:dyDescent="0.2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</row>
    <row r="384" spans="1:29" ht="14.25" customHeight="1" x14ac:dyDescent="0.2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</row>
    <row r="385" spans="1:29" ht="14.25" customHeight="1" x14ac:dyDescent="0.2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</row>
    <row r="386" spans="1:29" ht="14.25" customHeight="1" x14ac:dyDescent="0.2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</row>
    <row r="387" spans="1:29" ht="14.25" customHeight="1" x14ac:dyDescent="0.2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</row>
    <row r="388" spans="1:29" ht="14.25" customHeight="1" x14ac:dyDescent="0.2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</row>
    <row r="389" spans="1:29" ht="14.25" customHeight="1" x14ac:dyDescent="0.2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</row>
    <row r="390" spans="1:29" ht="14.25" customHeight="1" x14ac:dyDescent="0.2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</row>
    <row r="391" spans="1:29" ht="14.25" customHeight="1" x14ac:dyDescent="0.2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</row>
    <row r="392" spans="1:29" ht="14.25" customHeight="1" x14ac:dyDescent="0.2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</row>
    <row r="393" spans="1:29" ht="14.25" customHeight="1" x14ac:dyDescent="0.2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</row>
    <row r="394" spans="1:29" ht="14.25" customHeight="1" x14ac:dyDescent="0.2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</row>
    <row r="395" spans="1:29" ht="14.25" customHeight="1" x14ac:dyDescent="0.2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</row>
    <row r="396" spans="1:29" ht="14.25" customHeight="1" x14ac:dyDescent="0.2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</row>
    <row r="397" spans="1:29" ht="14.25" customHeight="1" x14ac:dyDescent="0.2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</row>
    <row r="398" spans="1:29" ht="14.25" customHeight="1" x14ac:dyDescent="0.2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</row>
    <row r="399" spans="1:29" ht="14.25" customHeight="1" x14ac:dyDescent="0.2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</row>
    <row r="400" spans="1:29" ht="14.25" customHeight="1" x14ac:dyDescent="0.2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</row>
    <row r="401" spans="1:29" ht="14.25" customHeight="1" x14ac:dyDescent="0.2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</row>
    <row r="402" spans="1:29" ht="14.25" customHeight="1" x14ac:dyDescent="0.2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2"/>
    </row>
    <row r="403" spans="1:29" ht="14.25" customHeight="1" x14ac:dyDescent="0.2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</row>
    <row r="404" spans="1:29" ht="14.25" customHeight="1" x14ac:dyDescent="0.2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2"/>
    </row>
    <row r="405" spans="1:29" ht="14.25" customHeight="1" x14ac:dyDescent="0.2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</row>
    <row r="406" spans="1:29" ht="14.25" customHeight="1" x14ac:dyDescent="0.2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</row>
    <row r="407" spans="1:29" ht="14.25" customHeight="1" x14ac:dyDescent="0.2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</row>
    <row r="408" spans="1:29" ht="14.25" customHeight="1" x14ac:dyDescent="0.2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</row>
    <row r="409" spans="1:29" ht="14.25" customHeight="1" x14ac:dyDescent="0.2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</row>
    <row r="410" spans="1:29" ht="14.25" customHeight="1" x14ac:dyDescent="0.2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2"/>
    </row>
    <row r="411" spans="1:29" ht="14.25" customHeight="1" x14ac:dyDescent="0.2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</row>
    <row r="412" spans="1:29" ht="14.25" customHeight="1" x14ac:dyDescent="0.2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2"/>
    </row>
    <row r="413" spans="1:29" ht="14.25" customHeight="1" x14ac:dyDescent="0.2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</row>
    <row r="414" spans="1:29" ht="14.25" customHeight="1" x14ac:dyDescent="0.2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2"/>
    </row>
    <row r="415" spans="1:29" ht="14.25" customHeight="1" x14ac:dyDescent="0.2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</row>
    <row r="416" spans="1:29" ht="14.25" customHeight="1" x14ac:dyDescent="0.2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2"/>
    </row>
    <row r="417" spans="1:29" ht="14.25" customHeight="1" x14ac:dyDescent="0.2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</row>
    <row r="418" spans="1:29" ht="14.25" customHeight="1" x14ac:dyDescent="0.2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2"/>
    </row>
    <row r="419" spans="1:29" ht="14.25" customHeight="1" x14ac:dyDescent="0.2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</row>
    <row r="420" spans="1:29" ht="14.25" customHeight="1" x14ac:dyDescent="0.2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2"/>
    </row>
    <row r="421" spans="1:29" ht="14.25" customHeight="1" x14ac:dyDescent="0.2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</row>
    <row r="422" spans="1:29" ht="14.25" customHeight="1" x14ac:dyDescent="0.2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2"/>
    </row>
    <row r="423" spans="1:29" ht="14.25" customHeight="1" x14ac:dyDescent="0.2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</row>
    <row r="424" spans="1:29" ht="14.25" customHeight="1" x14ac:dyDescent="0.2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2"/>
    </row>
    <row r="425" spans="1:29" ht="14.25" customHeight="1" x14ac:dyDescent="0.2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</row>
    <row r="426" spans="1:29" ht="14.25" customHeight="1" x14ac:dyDescent="0.2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2"/>
    </row>
    <row r="427" spans="1:29" ht="14.25" customHeight="1" x14ac:dyDescent="0.2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</row>
    <row r="428" spans="1:29" ht="14.25" customHeight="1" x14ac:dyDescent="0.2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2"/>
    </row>
    <row r="429" spans="1:29" ht="14.25" customHeight="1" x14ac:dyDescent="0.2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</row>
    <row r="430" spans="1:29" ht="14.25" customHeight="1" x14ac:dyDescent="0.2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2"/>
    </row>
    <row r="431" spans="1:29" ht="14.25" customHeight="1" x14ac:dyDescent="0.2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</row>
    <row r="432" spans="1:29" ht="14.25" customHeight="1" x14ac:dyDescent="0.2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2"/>
    </row>
    <row r="433" spans="1:29" ht="14.25" customHeight="1" x14ac:dyDescent="0.2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</row>
    <row r="434" spans="1:29" ht="14.25" customHeight="1" x14ac:dyDescent="0.2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</row>
    <row r="435" spans="1:29" ht="14.25" customHeight="1" x14ac:dyDescent="0.2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</row>
    <row r="436" spans="1:29" ht="14.25" customHeight="1" x14ac:dyDescent="0.2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2"/>
    </row>
    <row r="437" spans="1:29" ht="14.25" customHeight="1" x14ac:dyDescent="0.2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</row>
    <row r="438" spans="1:29" ht="14.25" customHeight="1" x14ac:dyDescent="0.2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2"/>
    </row>
    <row r="439" spans="1:29" ht="14.25" customHeight="1" x14ac:dyDescent="0.2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</row>
    <row r="440" spans="1:29" ht="14.25" customHeight="1" x14ac:dyDescent="0.2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2"/>
    </row>
    <row r="441" spans="1:29" ht="14.25" customHeight="1" x14ac:dyDescent="0.2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</row>
    <row r="442" spans="1:29" ht="14.25" customHeight="1" x14ac:dyDescent="0.2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2"/>
    </row>
    <row r="443" spans="1:29" ht="14.25" customHeight="1" x14ac:dyDescent="0.2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</row>
    <row r="444" spans="1:29" ht="14.25" customHeight="1" x14ac:dyDescent="0.2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2"/>
    </row>
    <row r="445" spans="1:29" ht="14.25" customHeight="1" x14ac:dyDescent="0.2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</row>
    <row r="446" spans="1:29" ht="14.25" customHeight="1" x14ac:dyDescent="0.2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2"/>
    </row>
    <row r="447" spans="1:29" ht="14.25" customHeight="1" x14ac:dyDescent="0.2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</row>
    <row r="448" spans="1:29" ht="14.25" customHeight="1" x14ac:dyDescent="0.2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2"/>
    </row>
    <row r="449" spans="1:29" ht="14.25" customHeight="1" x14ac:dyDescent="0.2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</row>
    <row r="450" spans="1:29" ht="14.25" customHeight="1" x14ac:dyDescent="0.2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2"/>
    </row>
    <row r="451" spans="1:29" ht="14.25" customHeight="1" x14ac:dyDescent="0.2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</row>
    <row r="452" spans="1:29" ht="14.25" customHeight="1" x14ac:dyDescent="0.2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2"/>
    </row>
    <row r="453" spans="1:29" ht="14.25" customHeight="1" x14ac:dyDescent="0.2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</row>
    <row r="454" spans="1:29" ht="14.25" customHeight="1" x14ac:dyDescent="0.2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2"/>
    </row>
    <row r="455" spans="1:29" ht="14.25" customHeight="1" x14ac:dyDescent="0.2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</row>
    <row r="456" spans="1:29" ht="14.25" customHeight="1" x14ac:dyDescent="0.2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2"/>
    </row>
    <row r="457" spans="1:29" ht="14.25" customHeight="1" x14ac:dyDescent="0.2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</row>
    <row r="458" spans="1:29" ht="14.25" customHeight="1" x14ac:dyDescent="0.2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</row>
    <row r="459" spans="1:29" ht="14.25" customHeight="1" x14ac:dyDescent="0.2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</row>
    <row r="460" spans="1:29" ht="14.25" customHeight="1" x14ac:dyDescent="0.2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2"/>
    </row>
    <row r="461" spans="1:29" ht="14.25" customHeight="1" x14ac:dyDescent="0.2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</row>
    <row r="462" spans="1:29" ht="14.25" customHeight="1" x14ac:dyDescent="0.2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</row>
    <row r="463" spans="1:29" ht="14.25" customHeight="1" x14ac:dyDescent="0.2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</row>
    <row r="464" spans="1:29" ht="14.25" customHeight="1" x14ac:dyDescent="0.2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2"/>
    </row>
    <row r="465" spans="1:29" ht="14.25" customHeight="1" x14ac:dyDescent="0.2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</row>
    <row r="466" spans="1:29" ht="14.25" customHeight="1" x14ac:dyDescent="0.2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2"/>
    </row>
    <row r="467" spans="1:29" ht="14.25" customHeight="1" x14ac:dyDescent="0.2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</row>
    <row r="468" spans="1:29" ht="14.25" customHeight="1" x14ac:dyDescent="0.2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2"/>
    </row>
    <row r="469" spans="1:29" ht="14.25" customHeight="1" x14ac:dyDescent="0.2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</row>
    <row r="470" spans="1:29" ht="14.25" customHeight="1" x14ac:dyDescent="0.2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2"/>
    </row>
    <row r="471" spans="1:29" ht="14.25" customHeight="1" x14ac:dyDescent="0.2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</row>
    <row r="472" spans="1:29" ht="14.25" customHeight="1" x14ac:dyDescent="0.2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2"/>
    </row>
    <row r="473" spans="1:29" ht="14.25" customHeight="1" x14ac:dyDescent="0.2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</row>
    <row r="474" spans="1:29" ht="14.25" customHeight="1" x14ac:dyDescent="0.2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2"/>
    </row>
    <row r="475" spans="1:29" ht="14.25" customHeight="1" x14ac:dyDescent="0.2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</row>
    <row r="476" spans="1:29" ht="14.25" customHeight="1" x14ac:dyDescent="0.2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</row>
    <row r="477" spans="1:29" ht="14.25" customHeight="1" x14ac:dyDescent="0.2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</row>
    <row r="478" spans="1:29" ht="14.25" customHeight="1" x14ac:dyDescent="0.2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2"/>
    </row>
    <row r="479" spans="1:29" ht="14.25" customHeight="1" x14ac:dyDescent="0.2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</row>
    <row r="480" spans="1:29" ht="14.25" customHeight="1" x14ac:dyDescent="0.2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2"/>
    </row>
    <row r="481" spans="1:29" ht="14.25" customHeight="1" x14ac:dyDescent="0.2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</row>
    <row r="482" spans="1:29" ht="14.25" customHeight="1" x14ac:dyDescent="0.2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2"/>
    </row>
    <row r="483" spans="1:29" ht="14.25" customHeight="1" x14ac:dyDescent="0.2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</row>
    <row r="484" spans="1:29" ht="14.25" customHeight="1" x14ac:dyDescent="0.2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2"/>
    </row>
    <row r="485" spans="1:29" ht="14.25" customHeight="1" x14ac:dyDescent="0.2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</row>
    <row r="486" spans="1:29" ht="14.25" customHeight="1" x14ac:dyDescent="0.2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2"/>
    </row>
    <row r="487" spans="1:29" ht="14.25" customHeight="1" x14ac:dyDescent="0.2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</row>
    <row r="488" spans="1:29" ht="14.25" customHeight="1" x14ac:dyDescent="0.2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2"/>
    </row>
    <row r="489" spans="1:29" ht="14.25" customHeight="1" x14ac:dyDescent="0.2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</row>
    <row r="490" spans="1:29" ht="14.25" customHeight="1" x14ac:dyDescent="0.2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2"/>
    </row>
    <row r="491" spans="1:29" ht="14.25" customHeight="1" x14ac:dyDescent="0.2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</row>
    <row r="492" spans="1:29" ht="14.25" customHeight="1" x14ac:dyDescent="0.2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2"/>
    </row>
    <row r="493" spans="1:29" ht="14.25" customHeight="1" x14ac:dyDescent="0.2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</row>
    <row r="494" spans="1:29" ht="14.25" customHeight="1" x14ac:dyDescent="0.2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2"/>
    </row>
    <row r="495" spans="1:29" ht="14.25" customHeight="1" x14ac:dyDescent="0.2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</row>
    <row r="496" spans="1:29" ht="14.25" customHeight="1" x14ac:dyDescent="0.2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2"/>
    </row>
    <row r="497" spans="1:29" ht="14.25" customHeight="1" x14ac:dyDescent="0.2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</row>
    <row r="498" spans="1:29" ht="14.25" customHeight="1" x14ac:dyDescent="0.2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2"/>
    </row>
    <row r="499" spans="1:29" ht="14.25" customHeight="1" x14ac:dyDescent="0.2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</row>
    <row r="500" spans="1:29" ht="14.25" customHeight="1" x14ac:dyDescent="0.2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2"/>
    </row>
    <row r="501" spans="1:29" ht="14.25" customHeight="1" x14ac:dyDescent="0.2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</row>
    <row r="502" spans="1:29" ht="14.25" customHeight="1" x14ac:dyDescent="0.2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</row>
    <row r="503" spans="1:29" ht="14.25" customHeight="1" x14ac:dyDescent="0.2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</row>
    <row r="504" spans="1:29" ht="14.25" customHeight="1" x14ac:dyDescent="0.2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2"/>
    </row>
    <row r="505" spans="1:29" ht="14.25" customHeight="1" x14ac:dyDescent="0.2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</row>
    <row r="506" spans="1:29" ht="14.25" customHeight="1" x14ac:dyDescent="0.2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2"/>
    </row>
    <row r="507" spans="1:29" ht="14.25" customHeight="1" x14ac:dyDescent="0.2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</row>
    <row r="508" spans="1:29" ht="14.25" customHeight="1" x14ac:dyDescent="0.2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2"/>
    </row>
    <row r="509" spans="1:29" ht="14.25" customHeight="1" x14ac:dyDescent="0.2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</row>
    <row r="510" spans="1:29" ht="14.25" customHeight="1" x14ac:dyDescent="0.2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2"/>
    </row>
    <row r="511" spans="1:29" ht="14.25" customHeight="1" x14ac:dyDescent="0.2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</row>
    <row r="512" spans="1:29" ht="14.25" customHeight="1" x14ac:dyDescent="0.2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2"/>
    </row>
    <row r="513" spans="1:29" ht="14.25" customHeight="1" x14ac:dyDescent="0.2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</row>
    <row r="514" spans="1:29" ht="14.25" customHeight="1" x14ac:dyDescent="0.2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2"/>
    </row>
    <row r="515" spans="1:29" ht="14.25" customHeight="1" x14ac:dyDescent="0.2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</row>
    <row r="516" spans="1:29" ht="14.25" customHeight="1" x14ac:dyDescent="0.2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2"/>
    </row>
    <row r="517" spans="1:29" ht="14.25" customHeight="1" x14ac:dyDescent="0.2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</row>
    <row r="518" spans="1:29" ht="14.25" customHeight="1" x14ac:dyDescent="0.2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2"/>
    </row>
    <row r="519" spans="1:29" ht="14.25" customHeight="1" x14ac:dyDescent="0.2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</row>
    <row r="520" spans="1:29" ht="14.25" customHeight="1" x14ac:dyDescent="0.2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2"/>
    </row>
    <row r="521" spans="1:29" ht="14.25" customHeight="1" x14ac:dyDescent="0.2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</row>
    <row r="522" spans="1:29" ht="14.25" customHeight="1" x14ac:dyDescent="0.2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2"/>
    </row>
    <row r="523" spans="1:29" ht="14.25" customHeight="1" x14ac:dyDescent="0.2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</row>
    <row r="524" spans="1:29" ht="14.25" customHeight="1" x14ac:dyDescent="0.2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2"/>
    </row>
    <row r="525" spans="1:29" ht="14.25" customHeight="1" x14ac:dyDescent="0.2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</row>
    <row r="526" spans="1:29" ht="14.25" customHeight="1" x14ac:dyDescent="0.2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2"/>
    </row>
    <row r="527" spans="1:29" ht="14.25" customHeight="1" x14ac:dyDescent="0.2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</row>
    <row r="528" spans="1:29" ht="14.25" customHeight="1" x14ac:dyDescent="0.2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2"/>
    </row>
    <row r="529" spans="1:29" ht="14.25" customHeight="1" x14ac:dyDescent="0.2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</row>
    <row r="530" spans="1:29" ht="14.25" customHeight="1" x14ac:dyDescent="0.2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2"/>
    </row>
    <row r="531" spans="1:29" ht="14.25" customHeight="1" x14ac:dyDescent="0.2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</row>
    <row r="532" spans="1:29" ht="14.25" customHeight="1" x14ac:dyDescent="0.2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2"/>
    </row>
    <row r="533" spans="1:29" ht="14.25" customHeight="1" x14ac:dyDescent="0.2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</row>
    <row r="534" spans="1:29" ht="14.25" customHeight="1" x14ac:dyDescent="0.2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</row>
    <row r="535" spans="1:29" ht="14.25" customHeight="1" x14ac:dyDescent="0.2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</row>
    <row r="536" spans="1:29" ht="14.25" customHeight="1" x14ac:dyDescent="0.2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2"/>
    </row>
    <row r="537" spans="1:29" ht="14.25" customHeight="1" x14ac:dyDescent="0.2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</row>
    <row r="538" spans="1:29" ht="14.25" customHeight="1" x14ac:dyDescent="0.2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2"/>
    </row>
    <row r="539" spans="1:29" ht="14.25" customHeight="1" x14ac:dyDescent="0.2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</row>
    <row r="540" spans="1:29" ht="14.25" customHeight="1" x14ac:dyDescent="0.2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</row>
    <row r="541" spans="1:29" ht="14.25" customHeight="1" x14ac:dyDescent="0.2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</row>
    <row r="542" spans="1:29" ht="14.25" customHeight="1" x14ac:dyDescent="0.2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2"/>
    </row>
    <row r="543" spans="1:29" ht="14.25" customHeight="1" x14ac:dyDescent="0.2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</row>
    <row r="544" spans="1:29" ht="14.25" customHeight="1" x14ac:dyDescent="0.2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2"/>
    </row>
    <row r="545" spans="1:29" ht="14.25" customHeight="1" x14ac:dyDescent="0.2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</row>
    <row r="546" spans="1:29" ht="14.25" customHeight="1" x14ac:dyDescent="0.2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2"/>
    </row>
    <row r="547" spans="1:29" ht="14.25" customHeight="1" x14ac:dyDescent="0.2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</row>
    <row r="548" spans="1:29" ht="14.25" customHeight="1" x14ac:dyDescent="0.2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2"/>
    </row>
    <row r="549" spans="1:29" ht="14.25" customHeight="1" x14ac:dyDescent="0.2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</row>
    <row r="550" spans="1:29" ht="14.25" customHeight="1" x14ac:dyDescent="0.2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2"/>
    </row>
    <row r="551" spans="1:29" ht="14.25" customHeight="1" x14ac:dyDescent="0.2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</row>
    <row r="552" spans="1:29" ht="14.25" customHeight="1" x14ac:dyDescent="0.2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2"/>
    </row>
    <row r="553" spans="1:29" ht="14.25" customHeight="1" x14ac:dyDescent="0.2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</row>
    <row r="554" spans="1:29" ht="14.25" customHeight="1" x14ac:dyDescent="0.2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2"/>
    </row>
    <row r="555" spans="1:29" ht="14.25" customHeight="1" x14ac:dyDescent="0.2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</row>
    <row r="556" spans="1:29" ht="14.25" customHeight="1" x14ac:dyDescent="0.2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</row>
    <row r="557" spans="1:29" ht="14.25" customHeight="1" x14ac:dyDescent="0.2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</row>
    <row r="558" spans="1:29" ht="14.25" customHeight="1" x14ac:dyDescent="0.2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2"/>
    </row>
    <row r="559" spans="1:29" ht="14.25" customHeight="1" x14ac:dyDescent="0.2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</row>
    <row r="560" spans="1:29" ht="14.25" customHeight="1" x14ac:dyDescent="0.2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2"/>
    </row>
    <row r="561" spans="1:29" ht="14.25" customHeight="1" x14ac:dyDescent="0.2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</row>
    <row r="562" spans="1:29" ht="14.25" customHeight="1" x14ac:dyDescent="0.2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2"/>
    </row>
    <row r="563" spans="1:29" ht="14.25" customHeight="1" x14ac:dyDescent="0.2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</row>
    <row r="564" spans="1:29" ht="14.25" customHeight="1" x14ac:dyDescent="0.2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2"/>
    </row>
    <row r="565" spans="1:29" ht="14.25" customHeight="1" x14ac:dyDescent="0.2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</row>
    <row r="566" spans="1:29" ht="14.25" customHeight="1" x14ac:dyDescent="0.2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2"/>
    </row>
    <row r="567" spans="1:29" ht="14.25" customHeight="1" x14ac:dyDescent="0.2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</row>
    <row r="568" spans="1:29" ht="14.25" customHeight="1" x14ac:dyDescent="0.2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2"/>
    </row>
    <row r="569" spans="1:29" ht="14.25" customHeight="1" x14ac:dyDescent="0.2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</row>
    <row r="570" spans="1:29" ht="14.25" customHeight="1" x14ac:dyDescent="0.2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2"/>
    </row>
    <row r="571" spans="1:29" ht="14.25" customHeight="1" x14ac:dyDescent="0.2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</row>
    <row r="572" spans="1:29" ht="14.25" customHeight="1" x14ac:dyDescent="0.2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2"/>
    </row>
    <row r="573" spans="1:29" ht="14.25" customHeight="1" x14ac:dyDescent="0.2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</row>
    <row r="574" spans="1:29" ht="14.25" customHeight="1" x14ac:dyDescent="0.2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2"/>
    </row>
    <row r="575" spans="1:29" ht="14.25" customHeight="1" x14ac:dyDescent="0.2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</row>
    <row r="576" spans="1:29" ht="14.25" customHeight="1" x14ac:dyDescent="0.2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2"/>
    </row>
    <row r="577" spans="1:29" ht="14.25" customHeight="1" x14ac:dyDescent="0.2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</row>
    <row r="578" spans="1:29" ht="14.25" customHeight="1" x14ac:dyDescent="0.2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2"/>
    </row>
    <row r="579" spans="1:29" ht="14.25" customHeight="1" x14ac:dyDescent="0.2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</row>
    <row r="580" spans="1:29" ht="14.25" customHeight="1" x14ac:dyDescent="0.2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2"/>
    </row>
    <row r="581" spans="1:29" ht="14.25" customHeight="1" x14ac:dyDescent="0.2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</row>
    <row r="582" spans="1:29" ht="14.25" customHeight="1" x14ac:dyDescent="0.2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2"/>
    </row>
    <row r="583" spans="1:29" ht="14.25" customHeight="1" x14ac:dyDescent="0.2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</row>
    <row r="584" spans="1:29" ht="14.25" customHeight="1" x14ac:dyDescent="0.2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2"/>
    </row>
    <row r="585" spans="1:29" ht="14.25" customHeight="1" x14ac:dyDescent="0.2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</row>
    <row r="586" spans="1:29" ht="14.25" customHeight="1" x14ac:dyDescent="0.2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2"/>
    </row>
    <row r="587" spans="1:29" ht="14.25" customHeight="1" x14ac:dyDescent="0.2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</row>
    <row r="588" spans="1:29" ht="14.25" customHeight="1" x14ac:dyDescent="0.2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2"/>
    </row>
    <row r="589" spans="1:29" ht="14.25" customHeight="1" x14ac:dyDescent="0.2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</row>
    <row r="590" spans="1:29" ht="14.25" customHeight="1" x14ac:dyDescent="0.2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2"/>
    </row>
    <row r="591" spans="1:29" ht="14.25" customHeight="1" x14ac:dyDescent="0.2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</row>
    <row r="592" spans="1:29" ht="14.25" customHeight="1" x14ac:dyDescent="0.2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2"/>
    </row>
    <row r="593" spans="1:29" ht="14.25" customHeight="1" x14ac:dyDescent="0.2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</row>
    <row r="594" spans="1:29" ht="14.25" customHeight="1" x14ac:dyDescent="0.2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2"/>
    </row>
    <row r="595" spans="1:29" ht="14.25" customHeight="1" x14ac:dyDescent="0.2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</row>
    <row r="596" spans="1:29" ht="14.25" customHeight="1" x14ac:dyDescent="0.2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2"/>
    </row>
    <row r="597" spans="1:29" ht="14.25" customHeight="1" x14ac:dyDescent="0.2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</row>
    <row r="598" spans="1:29" ht="14.25" customHeight="1" x14ac:dyDescent="0.2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2"/>
    </row>
    <row r="599" spans="1:29" ht="14.25" customHeight="1" x14ac:dyDescent="0.2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</row>
    <row r="600" spans="1:29" ht="14.25" customHeight="1" x14ac:dyDescent="0.2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2"/>
    </row>
    <row r="601" spans="1:29" ht="14.25" customHeight="1" x14ac:dyDescent="0.2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</row>
    <row r="602" spans="1:29" ht="14.25" customHeight="1" x14ac:dyDescent="0.2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2"/>
    </row>
    <row r="603" spans="1:29" ht="14.25" customHeight="1" x14ac:dyDescent="0.2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</row>
    <row r="604" spans="1:29" ht="14.25" customHeight="1" x14ac:dyDescent="0.2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2"/>
    </row>
    <row r="605" spans="1:29" ht="14.25" customHeight="1" x14ac:dyDescent="0.2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</row>
    <row r="606" spans="1:29" ht="14.25" customHeight="1" x14ac:dyDescent="0.2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2"/>
    </row>
    <row r="607" spans="1:29" ht="14.25" customHeight="1" x14ac:dyDescent="0.2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</row>
    <row r="608" spans="1:29" ht="14.25" customHeight="1" x14ac:dyDescent="0.2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2"/>
    </row>
    <row r="609" spans="1:29" ht="14.25" customHeight="1" x14ac:dyDescent="0.2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</row>
    <row r="610" spans="1:29" ht="14.25" customHeight="1" x14ac:dyDescent="0.2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2"/>
    </row>
    <row r="611" spans="1:29" ht="14.25" customHeight="1" x14ac:dyDescent="0.2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</row>
    <row r="612" spans="1:29" ht="14.25" customHeight="1" x14ac:dyDescent="0.2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2"/>
    </row>
    <row r="613" spans="1:29" ht="14.25" customHeight="1" x14ac:dyDescent="0.2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</row>
    <row r="614" spans="1:29" ht="14.25" customHeight="1" x14ac:dyDescent="0.2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2"/>
    </row>
    <row r="615" spans="1:29" ht="14.25" customHeight="1" x14ac:dyDescent="0.2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</row>
    <row r="616" spans="1:29" ht="14.25" customHeight="1" x14ac:dyDescent="0.2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2"/>
    </row>
    <row r="617" spans="1:29" ht="14.25" customHeight="1" x14ac:dyDescent="0.2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</row>
    <row r="618" spans="1:29" ht="14.25" customHeight="1" x14ac:dyDescent="0.2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2"/>
    </row>
    <row r="619" spans="1:29" ht="14.25" customHeight="1" x14ac:dyDescent="0.2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</row>
    <row r="620" spans="1:29" ht="14.25" customHeight="1" x14ac:dyDescent="0.2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2"/>
    </row>
    <row r="621" spans="1:29" ht="14.25" customHeight="1" x14ac:dyDescent="0.2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</row>
    <row r="622" spans="1:29" ht="14.25" customHeight="1" x14ac:dyDescent="0.2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2"/>
    </row>
    <row r="623" spans="1:29" ht="14.25" customHeight="1" x14ac:dyDescent="0.2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</row>
    <row r="624" spans="1:29" ht="14.25" customHeight="1" x14ac:dyDescent="0.2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2"/>
    </row>
    <row r="625" spans="1:29" ht="14.25" customHeight="1" x14ac:dyDescent="0.2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</row>
    <row r="626" spans="1:29" ht="14.25" customHeight="1" x14ac:dyDescent="0.2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</row>
    <row r="627" spans="1:29" ht="14.25" customHeight="1" x14ac:dyDescent="0.2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</row>
    <row r="628" spans="1:29" ht="14.25" customHeight="1" x14ac:dyDescent="0.2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2"/>
    </row>
    <row r="629" spans="1:29" ht="14.25" customHeight="1" x14ac:dyDescent="0.2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</row>
    <row r="630" spans="1:29" ht="14.25" customHeight="1" x14ac:dyDescent="0.2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2"/>
    </row>
    <row r="631" spans="1:29" ht="14.25" customHeight="1" x14ac:dyDescent="0.2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</row>
    <row r="632" spans="1:29" ht="14.25" customHeight="1" x14ac:dyDescent="0.2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2"/>
    </row>
    <row r="633" spans="1:29" ht="14.25" customHeight="1" x14ac:dyDescent="0.2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</row>
    <row r="634" spans="1:29" ht="14.25" customHeight="1" x14ac:dyDescent="0.2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2"/>
    </row>
    <row r="635" spans="1:29" ht="14.25" customHeight="1" x14ac:dyDescent="0.2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</row>
    <row r="636" spans="1:29" ht="14.25" customHeight="1" x14ac:dyDescent="0.2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2"/>
    </row>
    <row r="637" spans="1:29" ht="14.25" customHeight="1" x14ac:dyDescent="0.2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</row>
    <row r="638" spans="1:29" ht="14.25" customHeight="1" x14ac:dyDescent="0.2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2"/>
    </row>
    <row r="639" spans="1:29" ht="14.25" customHeight="1" x14ac:dyDescent="0.2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</row>
    <row r="640" spans="1:29" ht="14.25" customHeight="1" x14ac:dyDescent="0.2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2"/>
    </row>
    <row r="641" spans="1:29" ht="14.25" customHeight="1" x14ac:dyDescent="0.2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</row>
    <row r="642" spans="1:29" ht="14.25" customHeight="1" x14ac:dyDescent="0.2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2"/>
    </row>
    <row r="643" spans="1:29" ht="14.25" customHeight="1" x14ac:dyDescent="0.2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</row>
    <row r="644" spans="1:29" ht="14.25" customHeight="1" x14ac:dyDescent="0.2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2"/>
    </row>
    <row r="645" spans="1:29" ht="14.25" customHeight="1" x14ac:dyDescent="0.2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</row>
    <row r="646" spans="1:29" ht="14.25" customHeight="1" x14ac:dyDescent="0.2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2"/>
    </row>
    <row r="647" spans="1:29" ht="14.25" customHeight="1" x14ac:dyDescent="0.2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</row>
    <row r="648" spans="1:29" ht="14.25" customHeight="1" x14ac:dyDescent="0.2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2"/>
    </row>
    <row r="649" spans="1:29" ht="14.25" customHeight="1" x14ac:dyDescent="0.2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</row>
    <row r="650" spans="1:29" ht="14.25" customHeight="1" x14ac:dyDescent="0.2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2"/>
    </row>
    <row r="651" spans="1:29" ht="14.25" customHeight="1" x14ac:dyDescent="0.2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</row>
    <row r="652" spans="1:29" ht="14.25" customHeight="1" x14ac:dyDescent="0.2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</row>
    <row r="653" spans="1:29" ht="14.25" customHeight="1" x14ac:dyDescent="0.2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</row>
    <row r="654" spans="1:29" ht="14.25" customHeight="1" x14ac:dyDescent="0.2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2"/>
    </row>
    <row r="655" spans="1:29" ht="14.25" customHeight="1" x14ac:dyDescent="0.2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</row>
    <row r="656" spans="1:29" ht="14.25" customHeight="1" x14ac:dyDescent="0.2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2"/>
    </row>
    <row r="657" spans="1:29" ht="14.25" customHeight="1" x14ac:dyDescent="0.2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</row>
    <row r="658" spans="1:29" ht="14.25" customHeight="1" x14ac:dyDescent="0.2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2"/>
    </row>
    <row r="659" spans="1:29" ht="14.25" customHeight="1" x14ac:dyDescent="0.2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</row>
    <row r="660" spans="1:29" ht="14.25" customHeight="1" x14ac:dyDescent="0.2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2"/>
    </row>
    <row r="661" spans="1:29" ht="14.25" customHeight="1" x14ac:dyDescent="0.2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</row>
    <row r="662" spans="1:29" ht="14.25" customHeight="1" x14ac:dyDescent="0.2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2"/>
    </row>
    <row r="663" spans="1:29" ht="14.25" customHeight="1" x14ac:dyDescent="0.2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</row>
    <row r="664" spans="1:29" ht="14.25" customHeight="1" x14ac:dyDescent="0.2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2"/>
    </row>
    <row r="665" spans="1:29" ht="14.25" customHeight="1" x14ac:dyDescent="0.2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</row>
    <row r="666" spans="1:29" ht="14.25" customHeight="1" x14ac:dyDescent="0.2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2"/>
    </row>
    <row r="667" spans="1:29" ht="14.25" customHeight="1" x14ac:dyDescent="0.2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</row>
    <row r="668" spans="1:29" ht="14.25" customHeight="1" x14ac:dyDescent="0.2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2"/>
    </row>
    <row r="669" spans="1:29" ht="14.25" customHeight="1" x14ac:dyDescent="0.2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</row>
    <row r="670" spans="1:29" ht="14.25" customHeight="1" x14ac:dyDescent="0.2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2"/>
    </row>
    <row r="671" spans="1:29" ht="14.25" customHeight="1" x14ac:dyDescent="0.2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</row>
    <row r="672" spans="1:29" ht="14.25" customHeight="1" x14ac:dyDescent="0.2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2"/>
    </row>
    <row r="673" spans="1:29" ht="14.25" customHeight="1" x14ac:dyDescent="0.2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</row>
    <row r="674" spans="1:29" ht="14.25" customHeight="1" x14ac:dyDescent="0.2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2"/>
    </row>
    <row r="675" spans="1:29" ht="14.25" customHeight="1" x14ac:dyDescent="0.2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</row>
    <row r="676" spans="1:29" ht="14.25" customHeight="1" x14ac:dyDescent="0.2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2"/>
    </row>
    <row r="677" spans="1:29" ht="14.25" customHeight="1" x14ac:dyDescent="0.2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</row>
    <row r="678" spans="1:29" ht="14.25" customHeight="1" x14ac:dyDescent="0.2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2"/>
    </row>
    <row r="679" spans="1:29" ht="14.25" customHeight="1" x14ac:dyDescent="0.2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</row>
    <row r="680" spans="1:29" ht="14.25" customHeight="1" x14ac:dyDescent="0.2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2"/>
    </row>
    <row r="681" spans="1:29" ht="14.25" customHeight="1" x14ac:dyDescent="0.2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</row>
    <row r="682" spans="1:29" ht="14.25" customHeight="1" x14ac:dyDescent="0.2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2"/>
    </row>
    <row r="683" spans="1:29" ht="14.25" customHeight="1" x14ac:dyDescent="0.2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</row>
    <row r="684" spans="1:29" ht="14.25" customHeight="1" x14ac:dyDescent="0.2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2"/>
    </row>
    <row r="685" spans="1:29" ht="14.25" customHeight="1" x14ac:dyDescent="0.2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</row>
    <row r="686" spans="1:29" ht="14.25" customHeight="1" x14ac:dyDescent="0.2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2"/>
    </row>
    <row r="687" spans="1:29" ht="14.25" customHeight="1" x14ac:dyDescent="0.2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</row>
    <row r="688" spans="1:29" ht="14.25" customHeight="1" x14ac:dyDescent="0.2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2"/>
    </row>
    <row r="689" spans="1:29" ht="14.25" customHeight="1" x14ac:dyDescent="0.2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</row>
    <row r="690" spans="1:29" ht="14.25" customHeight="1" x14ac:dyDescent="0.2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2"/>
    </row>
    <row r="691" spans="1:29" ht="14.25" customHeight="1" x14ac:dyDescent="0.2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</row>
    <row r="692" spans="1:29" ht="14.25" customHeight="1" x14ac:dyDescent="0.2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2"/>
    </row>
    <row r="693" spans="1:29" ht="14.25" customHeight="1" x14ac:dyDescent="0.2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</row>
    <row r="694" spans="1:29" ht="14.25" customHeight="1" x14ac:dyDescent="0.2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</row>
    <row r="695" spans="1:29" ht="14.25" customHeight="1" x14ac:dyDescent="0.2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</row>
    <row r="696" spans="1:29" ht="14.25" customHeight="1" x14ac:dyDescent="0.2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</row>
    <row r="697" spans="1:29" ht="14.25" customHeight="1" x14ac:dyDescent="0.2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</row>
    <row r="698" spans="1:29" ht="14.25" customHeight="1" x14ac:dyDescent="0.2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2"/>
    </row>
    <row r="699" spans="1:29" ht="14.25" customHeight="1" x14ac:dyDescent="0.2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</row>
    <row r="700" spans="1:29" ht="14.25" customHeight="1" x14ac:dyDescent="0.2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2"/>
    </row>
    <row r="701" spans="1:29" ht="14.25" customHeight="1" x14ac:dyDescent="0.2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</row>
    <row r="702" spans="1:29" ht="14.25" customHeight="1" x14ac:dyDescent="0.2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2"/>
    </row>
    <row r="703" spans="1:29" ht="14.25" customHeight="1" x14ac:dyDescent="0.2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</row>
    <row r="704" spans="1:29" ht="14.25" customHeight="1" x14ac:dyDescent="0.2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2"/>
    </row>
    <row r="705" spans="1:29" ht="14.25" customHeight="1" x14ac:dyDescent="0.2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</row>
    <row r="706" spans="1:29" ht="14.25" customHeight="1" x14ac:dyDescent="0.2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2"/>
    </row>
    <row r="707" spans="1:29" ht="14.25" customHeight="1" x14ac:dyDescent="0.2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</row>
    <row r="708" spans="1:29" ht="14.25" customHeight="1" x14ac:dyDescent="0.2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2"/>
    </row>
    <row r="709" spans="1:29" ht="14.25" customHeight="1" x14ac:dyDescent="0.2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</row>
    <row r="710" spans="1:29" ht="14.25" customHeight="1" x14ac:dyDescent="0.2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2"/>
    </row>
    <row r="711" spans="1:29" ht="14.25" customHeight="1" x14ac:dyDescent="0.2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</row>
    <row r="712" spans="1:29" ht="14.25" customHeight="1" x14ac:dyDescent="0.2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</row>
    <row r="713" spans="1:29" ht="14.25" customHeight="1" x14ac:dyDescent="0.2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</row>
    <row r="714" spans="1:29" ht="14.25" customHeight="1" x14ac:dyDescent="0.2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2"/>
    </row>
    <row r="715" spans="1:29" ht="14.25" customHeight="1" x14ac:dyDescent="0.2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</row>
    <row r="716" spans="1:29" ht="14.25" customHeight="1" x14ac:dyDescent="0.2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2"/>
    </row>
    <row r="717" spans="1:29" ht="14.25" customHeight="1" x14ac:dyDescent="0.2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</row>
    <row r="718" spans="1:29" ht="14.25" customHeight="1" x14ac:dyDescent="0.2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2"/>
    </row>
    <row r="719" spans="1:29" ht="14.25" customHeight="1" x14ac:dyDescent="0.2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</row>
    <row r="720" spans="1:29" ht="14.25" customHeight="1" x14ac:dyDescent="0.2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2"/>
    </row>
    <row r="721" spans="1:29" ht="14.25" customHeight="1" x14ac:dyDescent="0.2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</row>
    <row r="722" spans="1:29" ht="14.25" customHeight="1" x14ac:dyDescent="0.2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2"/>
    </row>
    <row r="723" spans="1:29" ht="14.25" customHeight="1" x14ac:dyDescent="0.2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</row>
    <row r="724" spans="1:29" ht="14.25" customHeight="1" x14ac:dyDescent="0.2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2"/>
    </row>
    <row r="725" spans="1:29" ht="14.25" customHeight="1" x14ac:dyDescent="0.2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</row>
    <row r="726" spans="1:29" ht="14.25" customHeight="1" x14ac:dyDescent="0.2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2"/>
    </row>
    <row r="727" spans="1:29" ht="14.25" customHeight="1" x14ac:dyDescent="0.2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</row>
    <row r="728" spans="1:29" ht="14.25" customHeight="1" x14ac:dyDescent="0.2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2"/>
    </row>
    <row r="729" spans="1:29" ht="14.25" customHeight="1" x14ac:dyDescent="0.2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</row>
    <row r="730" spans="1:29" ht="14.25" customHeight="1" x14ac:dyDescent="0.2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2"/>
    </row>
    <row r="731" spans="1:29" ht="14.25" customHeight="1" x14ac:dyDescent="0.2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</row>
    <row r="732" spans="1:29" ht="14.25" customHeight="1" x14ac:dyDescent="0.2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2"/>
    </row>
    <row r="733" spans="1:29" ht="14.25" customHeight="1" x14ac:dyDescent="0.2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</row>
    <row r="734" spans="1:29" ht="14.25" customHeight="1" x14ac:dyDescent="0.2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2"/>
    </row>
    <row r="735" spans="1:29" ht="14.25" customHeight="1" x14ac:dyDescent="0.2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</row>
    <row r="736" spans="1:29" ht="14.25" customHeight="1" x14ac:dyDescent="0.2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2"/>
    </row>
    <row r="737" spans="1:29" ht="14.25" customHeight="1" x14ac:dyDescent="0.2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</row>
    <row r="738" spans="1:29" ht="14.25" customHeight="1" x14ac:dyDescent="0.2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2"/>
    </row>
    <row r="739" spans="1:29" ht="14.25" customHeight="1" x14ac:dyDescent="0.2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</row>
    <row r="740" spans="1:29" ht="14.25" customHeight="1" x14ac:dyDescent="0.2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2"/>
    </row>
    <row r="741" spans="1:29" ht="14.25" customHeight="1" x14ac:dyDescent="0.2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</row>
    <row r="742" spans="1:29" ht="14.25" customHeight="1" x14ac:dyDescent="0.2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2"/>
    </row>
    <row r="743" spans="1:29" ht="14.25" customHeight="1" x14ac:dyDescent="0.2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</row>
    <row r="744" spans="1:29" ht="14.25" customHeight="1" x14ac:dyDescent="0.2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2"/>
    </row>
    <row r="745" spans="1:29" ht="14.25" customHeight="1" x14ac:dyDescent="0.2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</row>
    <row r="746" spans="1:29" ht="14.25" customHeight="1" x14ac:dyDescent="0.2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2"/>
    </row>
    <row r="747" spans="1:29" ht="14.25" customHeight="1" x14ac:dyDescent="0.2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</row>
    <row r="748" spans="1:29" ht="14.25" customHeight="1" x14ac:dyDescent="0.2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2"/>
    </row>
    <row r="749" spans="1:29" ht="14.25" customHeight="1" x14ac:dyDescent="0.2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</row>
    <row r="750" spans="1:29" ht="14.25" customHeight="1" x14ac:dyDescent="0.2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2"/>
    </row>
    <row r="751" spans="1:29" ht="14.25" customHeight="1" x14ac:dyDescent="0.2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</row>
    <row r="752" spans="1:29" ht="14.25" customHeight="1" x14ac:dyDescent="0.2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</row>
    <row r="753" spans="1:29" ht="14.25" customHeight="1" x14ac:dyDescent="0.2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</row>
    <row r="754" spans="1:29" ht="14.25" customHeight="1" x14ac:dyDescent="0.2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2"/>
    </row>
    <row r="755" spans="1:29" ht="14.25" customHeight="1" x14ac:dyDescent="0.2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</row>
    <row r="756" spans="1:29" ht="14.25" customHeight="1" x14ac:dyDescent="0.2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2"/>
    </row>
    <row r="757" spans="1:29" ht="14.25" customHeight="1" x14ac:dyDescent="0.2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</row>
    <row r="758" spans="1:29" ht="14.25" customHeight="1" x14ac:dyDescent="0.2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2"/>
    </row>
    <row r="759" spans="1:29" ht="14.25" customHeight="1" x14ac:dyDescent="0.2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</row>
    <row r="760" spans="1:29" ht="14.25" customHeight="1" x14ac:dyDescent="0.2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2"/>
    </row>
    <row r="761" spans="1:29" ht="14.25" customHeight="1" x14ac:dyDescent="0.2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</row>
    <row r="762" spans="1:29" ht="14.25" customHeight="1" x14ac:dyDescent="0.2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</row>
    <row r="763" spans="1:29" ht="14.25" customHeight="1" x14ac:dyDescent="0.2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</row>
    <row r="764" spans="1:29" ht="14.25" customHeight="1" x14ac:dyDescent="0.2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2"/>
    </row>
    <row r="765" spans="1:29" ht="14.25" customHeight="1" x14ac:dyDescent="0.2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</row>
    <row r="766" spans="1:29" ht="14.25" customHeight="1" x14ac:dyDescent="0.2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2"/>
    </row>
    <row r="767" spans="1:29" ht="14.25" customHeight="1" x14ac:dyDescent="0.2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</row>
    <row r="768" spans="1:29" ht="14.25" customHeight="1" x14ac:dyDescent="0.2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</row>
    <row r="769" spans="1:29" ht="14.25" customHeight="1" x14ac:dyDescent="0.2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</row>
    <row r="770" spans="1:29" ht="14.25" customHeight="1" x14ac:dyDescent="0.2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2"/>
    </row>
    <row r="771" spans="1:29" ht="14.25" customHeight="1" x14ac:dyDescent="0.2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</row>
    <row r="772" spans="1:29" ht="14.25" customHeight="1" x14ac:dyDescent="0.2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2"/>
    </row>
    <row r="773" spans="1:29" ht="14.25" customHeight="1" x14ac:dyDescent="0.2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</row>
    <row r="774" spans="1:29" ht="14.25" customHeight="1" x14ac:dyDescent="0.2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2"/>
    </row>
    <row r="775" spans="1:29" ht="14.25" customHeight="1" x14ac:dyDescent="0.2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</row>
    <row r="776" spans="1:29" ht="14.25" customHeight="1" x14ac:dyDescent="0.2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2"/>
    </row>
    <row r="777" spans="1:29" ht="14.25" customHeight="1" x14ac:dyDescent="0.2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</row>
    <row r="778" spans="1:29" ht="14.25" customHeight="1" x14ac:dyDescent="0.2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2"/>
    </row>
    <row r="779" spans="1:29" ht="14.25" customHeight="1" x14ac:dyDescent="0.2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</row>
    <row r="780" spans="1:29" ht="14.25" customHeight="1" x14ac:dyDescent="0.2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2"/>
    </row>
    <row r="781" spans="1:29" ht="14.25" customHeight="1" x14ac:dyDescent="0.2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</row>
    <row r="782" spans="1:29" ht="14.25" customHeight="1" x14ac:dyDescent="0.2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2"/>
    </row>
    <row r="783" spans="1:29" ht="14.25" customHeight="1" x14ac:dyDescent="0.2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</row>
    <row r="784" spans="1:29" ht="14.25" customHeight="1" x14ac:dyDescent="0.2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2"/>
    </row>
    <row r="785" spans="1:29" ht="14.25" customHeight="1" x14ac:dyDescent="0.2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</row>
    <row r="786" spans="1:29" ht="14.25" customHeight="1" x14ac:dyDescent="0.2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2"/>
    </row>
    <row r="787" spans="1:29" ht="14.25" customHeight="1" x14ac:dyDescent="0.2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</row>
    <row r="788" spans="1:29" ht="14.25" customHeight="1" x14ac:dyDescent="0.2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2"/>
    </row>
    <row r="789" spans="1:29" ht="14.25" customHeight="1" x14ac:dyDescent="0.2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</row>
    <row r="790" spans="1:29" ht="14.25" customHeight="1" x14ac:dyDescent="0.2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2"/>
    </row>
    <row r="791" spans="1:29" ht="14.25" customHeight="1" x14ac:dyDescent="0.2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</row>
    <row r="792" spans="1:29" ht="14.25" customHeight="1" x14ac:dyDescent="0.2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2"/>
    </row>
    <row r="793" spans="1:29" ht="14.25" customHeight="1" x14ac:dyDescent="0.2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</row>
    <row r="794" spans="1:29" ht="14.25" customHeight="1" x14ac:dyDescent="0.2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2"/>
    </row>
    <row r="795" spans="1:29" ht="14.25" customHeight="1" x14ac:dyDescent="0.2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</row>
    <row r="796" spans="1:29" ht="14.25" customHeight="1" x14ac:dyDescent="0.2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2"/>
    </row>
    <row r="797" spans="1:29" ht="14.25" customHeight="1" x14ac:dyDescent="0.2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</row>
    <row r="798" spans="1:29" ht="14.25" customHeight="1" x14ac:dyDescent="0.2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2"/>
    </row>
    <row r="799" spans="1:29" ht="14.25" customHeight="1" x14ac:dyDescent="0.2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</row>
    <row r="800" spans="1:29" ht="14.25" customHeight="1" x14ac:dyDescent="0.2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2"/>
    </row>
    <row r="801" spans="1:29" ht="14.25" customHeight="1" x14ac:dyDescent="0.2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</row>
    <row r="802" spans="1:29" ht="14.25" customHeight="1" x14ac:dyDescent="0.2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</row>
    <row r="803" spans="1:29" ht="14.25" customHeight="1" x14ac:dyDescent="0.2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</row>
    <row r="804" spans="1:29" ht="14.25" customHeight="1" x14ac:dyDescent="0.2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2"/>
    </row>
    <row r="805" spans="1:29" ht="14.25" customHeight="1" x14ac:dyDescent="0.2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</row>
    <row r="806" spans="1:29" ht="14.25" customHeight="1" x14ac:dyDescent="0.2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2"/>
    </row>
    <row r="807" spans="1:29" ht="14.25" customHeight="1" x14ac:dyDescent="0.2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</row>
    <row r="808" spans="1:29" ht="14.25" customHeight="1" x14ac:dyDescent="0.2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2"/>
    </row>
    <row r="809" spans="1:29" ht="14.25" customHeight="1" x14ac:dyDescent="0.2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</row>
    <row r="810" spans="1:29" ht="14.25" customHeight="1" x14ac:dyDescent="0.2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2"/>
    </row>
    <row r="811" spans="1:29" ht="14.25" customHeight="1" x14ac:dyDescent="0.2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</row>
    <row r="812" spans="1:29" ht="14.25" customHeight="1" x14ac:dyDescent="0.2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2"/>
    </row>
    <row r="813" spans="1:29" ht="14.25" customHeight="1" x14ac:dyDescent="0.2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</row>
    <row r="814" spans="1:29" ht="14.25" customHeight="1" x14ac:dyDescent="0.2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2"/>
    </row>
    <row r="815" spans="1:29" ht="14.25" customHeight="1" x14ac:dyDescent="0.2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</row>
    <row r="816" spans="1:29" ht="14.25" customHeight="1" x14ac:dyDescent="0.2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2"/>
    </row>
    <row r="817" spans="1:29" ht="14.25" customHeight="1" x14ac:dyDescent="0.2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</row>
    <row r="818" spans="1:29" ht="14.25" customHeight="1" x14ac:dyDescent="0.2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2"/>
    </row>
    <row r="819" spans="1:29" ht="14.25" customHeight="1" x14ac:dyDescent="0.2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</row>
    <row r="820" spans="1:29" ht="14.25" customHeight="1" x14ac:dyDescent="0.2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2"/>
    </row>
    <row r="821" spans="1:29" ht="14.25" customHeight="1" x14ac:dyDescent="0.2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</row>
    <row r="822" spans="1:29" ht="14.25" customHeight="1" x14ac:dyDescent="0.2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2"/>
    </row>
    <row r="823" spans="1:29" ht="14.25" customHeight="1" x14ac:dyDescent="0.2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</row>
    <row r="824" spans="1:29" ht="14.25" customHeight="1" x14ac:dyDescent="0.2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2"/>
    </row>
    <row r="825" spans="1:29" ht="14.25" customHeight="1" x14ac:dyDescent="0.2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</row>
    <row r="826" spans="1:29" ht="14.25" customHeight="1" x14ac:dyDescent="0.2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2"/>
    </row>
    <row r="827" spans="1:29" ht="14.25" customHeight="1" x14ac:dyDescent="0.2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</row>
    <row r="828" spans="1:29" ht="14.25" customHeight="1" x14ac:dyDescent="0.2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2"/>
    </row>
    <row r="829" spans="1:29" ht="14.25" customHeight="1" x14ac:dyDescent="0.2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</row>
    <row r="830" spans="1:29" ht="14.25" customHeight="1" x14ac:dyDescent="0.2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2"/>
    </row>
    <row r="831" spans="1:29" ht="14.25" customHeight="1" x14ac:dyDescent="0.2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</row>
    <row r="832" spans="1:29" ht="14.25" customHeight="1" x14ac:dyDescent="0.2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2"/>
    </row>
    <row r="833" spans="1:29" ht="14.25" customHeight="1" x14ac:dyDescent="0.2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</row>
    <row r="834" spans="1:29" ht="14.25" customHeight="1" x14ac:dyDescent="0.2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2"/>
    </row>
    <row r="835" spans="1:29" ht="14.25" customHeight="1" x14ac:dyDescent="0.2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</row>
    <row r="836" spans="1:29" ht="14.25" customHeight="1" x14ac:dyDescent="0.2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2"/>
    </row>
    <row r="837" spans="1:29" ht="14.25" customHeight="1" x14ac:dyDescent="0.2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</row>
    <row r="838" spans="1:29" ht="14.25" customHeight="1" x14ac:dyDescent="0.2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2"/>
    </row>
    <row r="839" spans="1:29" ht="14.25" customHeight="1" x14ac:dyDescent="0.2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</row>
    <row r="840" spans="1:29" ht="14.25" customHeight="1" x14ac:dyDescent="0.2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2"/>
    </row>
    <row r="841" spans="1:29" ht="14.25" customHeight="1" x14ac:dyDescent="0.2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</row>
    <row r="842" spans="1:29" ht="14.25" customHeight="1" x14ac:dyDescent="0.2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2"/>
    </row>
    <row r="843" spans="1:29" ht="14.25" customHeight="1" x14ac:dyDescent="0.2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</row>
    <row r="844" spans="1:29" ht="14.25" customHeight="1" x14ac:dyDescent="0.2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2"/>
    </row>
    <row r="845" spans="1:29" ht="14.25" customHeight="1" x14ac:dyDescent="0.2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</row>
    <row r="846" spans="1:29" ht="14.25" customHeight="1" x14ac:dyDescent="0.2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2"/>
    </row>
    <row r="847" spans="1:29" ht="14.25" customHeight="1" x14ac:dyDescent="0.2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</row>
    <row r="848" spans="1:29" ht="14.25" customHeight="1" x14ac:dyDescent="0.2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2"/>
    </row>
    <row r="849" spans="1:29" ht="14.25" customHeight="1" x14ac:dyDescent="0.2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</row>
    <row r="850" spans="1:29" ht="14.25" customHeight="1" x14ac:dyDescent="0.2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2"/>
    </row>
    <row r="851" spans="1:29" ht="14.25" customHeight="1" x14ac:dyDescent="0.2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</row>
    <row r="852" spans="1:29" ht="14.25" customHeight="1" x14ac:dyDescent="0.2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2"/>
    </row>
    <row r="853" spans="1:29" ht="14.25" customHeight="1" x14ac:dyDescent="0.2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</row>
    <row r="854" spans="1:29" ht="14.25" customHeight="1" x14ac:dyDescent="0.2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2"/>
    </row>
    <row r="855" spans="1:29" ht="14.25" customHeight="1" x14ac:dyDescent="0.2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2"/>
    </row>
    <row r="856" spans="1:29" ht="14.25" customHeight="1" x14ac:dyDescent="0.2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2"/>
    </row>
    <row r="857" spans="1:29" ht="14.25" customHeight="1" x14ac:dyDescent="0.2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2"/>
    </row>
    <row r="858" spans="1:29" ht="14.25" customHeight="1" x14ac:dyDescent="0.2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2"/>
    </row>
    <row r="859" spans="1:29" ht="14.25" customHeight="1" x14ac:dyDescent="0.2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2"/>
    </row>
    <row r="860" spans="1:29" ht="14.25" customHeight="1" x14ac:dyDescent="0.2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2"/>
    </row>
    <row r="861" spans="1:29" ht="14.25" customHeight="1" x14ac:dyDescent="0.2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2"/>
    </row>
    <row r="862" spans="1:29" ht="14.25" customHeight="1" x14ac:dyDescent="0.2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2"/>
    </row>
    <row r="863" spans="1:29" ht="14.25" customHeight="1" x14ac:dyDescent="0.2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2"/>
    </row>
    <row r="864" spans="1:29" ht="14.25" customHeight="1" x14ac:dyDescent="0.2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2"/>
    </row>
    <row r="865" spans="1:29" ht="14.25" customHeight="1" x14ac:dyDescent="0.2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2"/>
    </row>
    <row r="866" spans="1:29" ht="14.25" customHeight="1" x14ac:dyDescent="0.2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2"/>
    </row>
    <row r="867" spans="1:29" ht="14.25" customHeight="1" x14ac:dyDescent="0.2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2"/>
    </row>
    <row r="868" spans="1:29" ht="14.25" customHeight="1" x14ac:dyDescent="0.2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2"/>
    </row>
    <row r="869" spans="1:29" ht="14.25" customHeight="1" x14ac:dyDescent="0.2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2"/>
    </row>
    <row r="870" spans="1:29" ht="14.25" customHeight="1" x14ac:dyDescent="0.2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2"/>
    </row>
    <row r="871" spans="1:29" ht="14.25" customHeight="1" x14ac:dyDescent="0.2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2"/>
    </row>
    <row r="872" spans="1:29" ht="14.25" customHeight="1" x14ac:dyDescent="0.2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2"/>
    </row>
    <row r="873" spans="1:29" ht="14.25" customHeight="1" x14ac:dyDescent="0.2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2"/>
    </row>
    <row r="874" spans="1:29" ht="14.25" customHeight="1" x14ac:dyDescent="0.2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2"/>
    </row>
    <row r="875" spans="1:29" ht="14.25" customHeight="1" x14ac:dyDescent="0.2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</row>
    <row r="876" spans="1:29" ht="14.25" customHeight="1" x14ac:dyDescent="0.2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2"/>
    </row>
    <row r="877" spans="1:29" ht="14.25" customHeight="1" x14ac:dyDescent="0.2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2"/>
    </row>
    <row r="878" spans="1:29" ht="14.25" customHeight="1" x14ac:dyDescent="0.2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2"/>
    </row>
    <row r="879" spans="1:29" ht="14.25" customHeight="1" x14ac:dyDescent="0.2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2"/>
    </row>
    <row r="880" spans="1:29" ht="14.25" customHeight="1" x14ac:dyDescent="0.2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2"/>
    </row>
    <row r="881" spans="1:29" ht="14.25" customHeight="1" x14ac:dyDescent="0.2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2"/>
    </row>
    <row r="882" spans="1:29" ht="14.25" customHeight="1" x14ac:dyDescent="0.2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2"/>
    </row>
    <row r="883" spans="1:29" ht="14.25" customHeight="1" x14ac:dyDescent="0.2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2"/>
    </row>
    <row r="884" spans="1:29" ht="14.25" customHeight="1" x14ac:dyDescent="0.2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2"/>
    </row>
    <row r="885" spans="1:29" ht="14.25" customHeight="1" x14ac:dyDescent="0.2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</row>
    <row r="886" spans="1:29" ht="14.25" customHeight="1" x14ac:dyDescent="0.2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2"/>
    </row>
    <row r="887" spans="1:29" ht="14.25" customHeight="1" x14ac:dyDescent="0.2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</row>
    <row r="888" spans="1:29" ht="14.25" customHeight="1" x14ac:dyDescent="0.2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2"/>
    </row>
    <row r="889" spans="1:29" ht="14.25" customHeight="1" x14ac:dyDescent="0.2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</row>
    <row r="890" spans="1:29" ht="14.25" customHeight="1" x14ac:dyDescent="0.2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2"/>
    </row>
    <row r="891" spans="1:29" ht="14.25" customHeight="1" x14ac:dyDescent="0.2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</row>
    <row r="892" spans="1:29" ht="14.25" customHeight="1" x14ac:dyDescent="0.2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2"/>
    </row>
    <row r="893" spans="1:29" ht="14.25" customHeight="1" x14ac:dyDescent="0.2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</row>
    <row r="894" spans="1:29" ht="14.25" customHeight="1" x14ac:dyDescent="0.2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2"/>
    </row>
    <row r="895" spans="1:29" ht="14.25" customHeight="1" x14ac:dyDescent="0.2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</row>
    <row r="896" spans="1:29" ht="14.25" customHeight="1" x14ac:dyDescent="0.2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2"/>
    </row>
    <row r="897" spans="1:29" ht="14.25" customHeight="1" x14ac:dyDescent="0.2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</row>
    <row r="898" spans="1:29" ht="14.25" customHeight="1" x14ac:dyDescent="0.2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2"/>
    </row>
    <row r="899" spans="1:29" ht="14.25" customHeight="1" x14ac:dyDescent="0.2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</row>
    <row r="900" spans="1:29" ht="14.25" customHeight="1" x14ac:dyDescent="0.2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2"/>
    </row>
    <row r="901" spans="1:29" ht="14.25" customHeight="1" x14ac:dyDescent="0.2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</row>
    <row r="902" spans="1:29" ht="14.25" customHeight="1" x14ac:dyDescent="0.2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2"/>
    </row>
    <row r="903" spans="1:29" ht="14.25" customHeight="1" x14ac:dyDescent="0.2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2"/>
    </row>
    <row r="904" spans="1:29" ht="14.25" customHeight="1" x14ac:dyDescent="0.2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2"/>
    </row>
    <row r="905" spans="1:29" ht="14.25" customHeight="1" x14ac:dyDescent="0.2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2"/>
    </row>
    <row r="906" spans="1:29" ht="14.25" customHeight="1" x14ac:dyDescent="0.2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2"/>
    </row>
    <row r="907" spans="1:29" ht="14.25" customHeight="1" x14ac:dyDescent="0.2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2"/>
    </row>
    <row r="908" spans="1:29" ht="14.25" customHeight="1" x14ac:dyDescent="0.2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2"/>
    </row>
    <row r="909" spans="1:29" ht="14.25" customHeight="1" x14ac:dyDescent="0.2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2"/>
    </row>
    <row r="910" spans="1:29" ht="14.25" customHeight="1" x14ac:dyDescent="0.2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2"/>
    </row>
    <row r="911" spans="1:29" ht="14.25" customHeight="1" x14ac:dyDescent="0.2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2"/>
    </row>
    <row r="912" spans="1:29" ht="14.25" customHeight="1" x14ac:dyDescent="0.2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2"/>
    </row>
    <row r="913" spans="1:29" ht="14.25" customHeight="1" x14ac:dyDescent="0.2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2"/>
    </row>
    <row r="914" spans="1:29" ht="14.25" customHeight="1" x14ac:dyDescent="0.2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2"/>
    </row>
    <row r="915" spans="1:29" ht="14.25" customHeight="1" x14ac:dyDescent="0.2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2"/>
    </row>
    <row r="916" spans="1:29" ht="14.25" customHeight="1" x14ac:dyDescent="0.2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2"/>
    </row>
    <row r="917" spans="1:29" ht="14.25" customHeight="1" x14ac:dyDescent="0.2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2"/>
    </row>
    <row r="918" spans="1:29" ht="14.25" customHeight="1" x14ac:dyDescent="0.2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2"/>
    </row>
    <row r="919" spans="1:29" ht="14.25" customHeight="1" x14ac:dyDescent="0.2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2"/>
    </row>
    <row r="920" spans="1:29" ht="14.25" customHeight="1" x14ac:dyDescent="0.2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2"/>
    </row>
    <row r="921" spans="1:29" ht="14.25" customHeight="1" x14ac:dyDescent="0.2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2"/>
    </row>
    <row r="922" spans="1:29" ht="14.25" customHeight="1" x14ac:dyDescent="0.2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2"/>
    </row>
    <row r="923" spans="1:29" ht="14.25" customHeight="1" x14ac:dyDescent="0.2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2"/>
    </row>
    <row r="924" spans="1:29" ht="14.25" customHeight="1" x14ac:dyDescent="0.2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2"/>
    </row>
    <row r="925" spans="1:29" ht="14.25" customHeight="1" x14ac:dyDescent="0.2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2"/>
    </row>
    <row r="926" spans="1:29" ht="14.25" customHeight="1" x14ac:dyDescent="0.2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2"/>
    </row>
    <row r="927" spans="1:29" ht="14.25" customHeight="1" x14ac:dyDescent="0.2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2"/>
    </row>
    <row r="928" spans="1:29" ht="14.25" customHeight="1" x14ac:dyDescent="0.2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2"/>
    </row>
    <row r="929" spans="1:29" ht="14.25" customHeight="1" x14ac:dyDescent="0.2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2"/>
    </row>
    <row r="930" spans="1:29" ht="14.25" customHeight="1" x14ac:dyDescent="0.2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2"/>
    </row>
    <row r="931" spans="1:29" ht="14.25" customHeight="1" x14ac:dyDescent="0.2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2"/>
    </row>
    <row r="932" spans="1:29" ht="14.25" customHeight="1" x14ac:dyDescent="0.2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2"/>
    </row>
    <row r="933" spans="1:29" ht="14.25" customHeight="1" x14ac:dyDescent="0.2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2"/>
    </row>
    <row r="934" spans="1:29" ht="14.25" customHeight="1" x14ac:dyDescent="0.2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2"/>
    </row>
    <row r="935" spans="1:29" ht="14.25" customHeight="1" x14ac:dyDescent="0.2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2"/>
    </row>
    <row r="936" spans="1:29" ht="14.25" customHeight="1" x14ac:dyDescent="0.2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2"/>
    </row>
    <row r="937" spans="1:29" ht="14.25" customHeight="1" x14ac:dyDescent="0.2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2"/>
    </row>
    <row r="938" spans="1:29" ht="14.25" customHeight="1" x14ac:dyDescent="0.2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2"/>
    </row>
    <row r="939" spans="1:29" ht="14.25" customHeight="1" x14ac:dyDescent="0.2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2"/>
    </row>
    <row r="940" spans="1:29" ht="14.25" customHeight="1" x14ac:dyDescent="0.2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2"/>
    </row>
    <row r="941" spans="1:29" ht="14.25" customHeight="1" x14ac:dyDescent="0.2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2"/>
    </row>
    <row r="942" spans="1:29" ht="14.25" customHeight="1" x14ac:dyDescent="0.2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2"/>
    </row>
    <row r="943" spans="1:29" ht="14.25" customHeight="1" x14ac:dyDescent="0.2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2"/>
    </row>
    <row r="944" spans="1:29" ht="14.25" customHeight="1" x14ac:dyDescent="0.2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2"/>
    </row>
    <row r="945" spans="1:29" ht="14.25" customHeight="1" x14ac:dyDescent="0.2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2"/>
    </row>
    <row r="946" spans="1:29" ht="14.25" customHeight="1" x14ac:dyDescent="0.2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2"/>
    </row>
    <row r="947" spans="1:29" ht="14.25" customHeight="1" x14ac:dyDescent="0.2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</row>
    <row r="948" spans="1:29" ht="14.25" customHeight="1" x14ac:dyDescent="0.2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2"/>
    </row>
    <row r="949" spans="1:29" ht="14.25" customHeight="1" x14ac:dyDescent="0.2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2"/>
    </row>
    <row r="950" spans="1:29" ht="14.25" customHeight="1" x14ac:dyDescent="0.2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2"/>
    </row>
    <row r="951" spans="1:29" ht="14.25" customHeight="1" x14ac:dyDescent="0.2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2"/>
    </row>
    <row r="952" spans="1:29" ht="14.25" customHeight="1" x14ac:dyDescent="0.2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2"/>
    </row>
    <row r="953" spans="1:29" ht="14.25" customHeight="1" x14ac:dyDescent="0.2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2"/>
    </row>
    <row r="954" spans="1:29" ht="14.25" customHeight="1" x14ac:dyDescent="0.2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2"/>
    </row>
    <row r="955" spans="1:29" ht="14.25" customHeight="1" x14ac:dyDescent="0.2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2"/>
    </row>
    <row r="956" spans="1:29" ht="14.25" customHeight="1" x14ac:dyDescent="0.2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2"/>
    </row>
    <row r="957" spans="1:29" ht="14.25" customHeight="1" x14ac:dyDescent="0.2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2"/>
    </row>
    <row r="958" spans="1:29" ht="14.25" customHeight="1" x14ac:dyDescent="0.2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2"/>
    </row>
    <row r="959" spans="1:29" ht="14.25" customHeight="1" x14ac:dyDescent="0.2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2"/>
    </row>
    <row r="960" spans="1:29" ht="14.25" customHeight="1" x14ac:dyDescent="0.2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2"/>
    </row>
    <row r="961" spans="1:29" ht="14.25" customHeight="1" x14ac:dyDescent="0.2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2"/>
    </row>
    <row r="962" spans="1:29" ht="14.25" customHeight="1" x14ac:dyDescent="0.2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2"/>
    </row>
    <row r="963" spans="1:29" ht="14.25" customHeight="1" x14ac:dyDescent="0.2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2"/>
    </row>
    <row r="964" spans="1:29" ht="14.25" customHeight="1" x14ac:dyDescent="0.2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2"/>
    </row>
    <row r="965" spans="1:29" ht="14.25" customHeight="1" x14ac:dyDescent="0.2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2"/>
    </row>
    <row r="966" spans="1:29" ht="14.25" customHeight="1" x14ac:dyDescent="0.2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2"/>
    </row>
    <row r="967" spans="1:29" ht="14.25" customHeight="1" x14ac:dyDescent="0.2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2"/>
    </row>
    <row r="968" spans="1:29" ht="14.25" customHeight="1" x14ac:dyDescent="0.2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2"/>
    </row>
    <row r="969" spans="1:29" ht="14.25" customHeight="1" x14ac:dyDescent="0.2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2"/>
    </row>
    <row r="970" spans="1:29" ht="14.25" customHeight="1" x14ac:dyDescent="0.2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2"/>
    </row>
    <row r="971" spans="1:29" ht="14.25" customHeight="1" x14ac:dyDescent="0.2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2"/>
    </row>
    <row r="972" spans="1:29" ht="14.25" customHeight="1" x14ac:dyDescent="0.2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2"/>
    </row>
    <row r="973" spans="1:29" ht="14.25" customHeight="1" x14ac:dyDescent="0.2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2"/>
    </row>
    <row r="974" spans="1:29" ht="14.25" customHeight="1" x14ac:dyDescent="0.2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2"/>
    </row>
    <row r="975" spans="1:29" ht="14.25" customHeight="1" x14ac:dyDescent="0.2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</row>
    <row r="976" spans="1:29" ht="14.25" customHeight="1" x14ac:dyDescent="0.2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2"/>
    </row>
    <row r="977" spans="1:29" ht="14.25" customHeight="1" x14ac:dyDescent="0.2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2"/>
    </row>
    <row r="978" spans="1:29" ht="14.25" customHeight="1" x14ac:dyDescent="0.2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2"/>
    </row>
    <row r="979" spans="1:29" ht="14.25" customHeight="1" x14ac:dyDescent="0.2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2"/>
    </row>
    <row r="980" spans="1:29" ht="14.25" customHeight="1" x14ac:dyDescent="0.2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2"/>
    </row>
    <row r="981" spans="1:29" ht="14.25" customHeight="1" x14ac:dyDescent="0.2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2"/>
    </row>
    <row r="982" spans="1:29" ht="14.25" customHeight="1" x14ac:dyDescent="0.2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2"/>
    </row>
    <row r="983" spans="1:29" ht="14.25" customHeight="1" x14ac:dyDescent="0.2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2"/>
    </row>
    <row r="984" spans="1:29" ht="14.25" customHeight="1" x14ac:dyDescent="0.2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2"/>
    </row>
    <row r="985" spans="1:29" ht="14.25" customHeight="1" x14ac:dyDescent="0.2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2"/>
    </row>
    <row r="986" spans="1:29" ht="14.25" customHeight="1" x14ac:dyDescent="0.2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2"/>
    </row>
    <row r="987" spans="1:29" ht="14.25" customHeight="1" x14ac:dyDescent="0.2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2"/>
    </row>
    <row r="988" spans="1:29" ht="14.25" customHeight="1" x14ac:dyDescent="0.2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2"/>
    </row>
    <row r="989" spans="1:29" ht="14.25" customHeight="1" x14ac:dyDescent="0.2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2"/>
    </row>
    <row r="990" spans="1:29" ht="14.25" customHeight="1" x14ac:dyDescent="0.2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2"/>
    </row>
    <row r="991" spans="1:29" ht="14.25" customHeight="1" x14ac:dyDescent="0.2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2"/>
    </row>
    <row r="992" spans="1:29" ht="14.25" customHeight="1" x14ac:dyDescent="0.2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2"/>
    </row>
    <row r="993" spans="1:29" ht="14.25" customHeight="1" x14ac:dyDescent="0.2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2"/>
    </row>
    <row r="994" spans="1:29" ht="14.25" customHeight="1" x14ac:dyDescent="0.2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2"/>
    </row>
    <row r="995" spans="1:29" ht="14.25" customHeight="1" x14ac:dyDescent="0.2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2"/>
    </row>
    <row r="996" spans="1:29" ht="14.25" customHeight="1" x14ac:dyDescent="0.2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2"/>
    </row>
    <row r="997" spans="1:29" ht="14.25" customHeight="1" x14ac:dyDescent="0.2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2"/>
    </row>
    <row r="998" spans="1:29" ht="14.25" customHeight="1" x14ac:dyDescent="0.2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2"/>
    </row>
    <row r="999" spans="1:29" ht="14.25" customHeight="1" x14ac:dyDescent="0.2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2"/>
    </row>
    <row r="1000" spans="1:29" ht="15" customHeight="1" x14ac:dyDescent="0.25"/>
  </sheetData>
  <mergeCells count="15">
    <mergeCell ref="A1:I1"/>
    <mergeCell ref="A3:B3"/>
    <mergeCell ref="A5:A6"/>
    <mergeCell ref="B5:B6"/>
    <mergeCell ref="C5:C6"/>
    <mergeCell ref="D5:D6"/>
    <mergeCell ref="E5:G5"/>
    <mergeCell ref="H5:H6"/>
    <mergeCell ref="I5:I6"/>
    <mergeCell ref="J5:J6"/>
    <mergeCell ref="K5:K6"/>
    <mergeCell ref="M5:M6"/>
    <mergeCell ref="N5:P5"/>
    <mergeCell ref="M17:M18"/>
    <mergeCell ref="N17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3EA2-23A1-4E11-8883-42B1601BF8DE}">
  <dimension ref="A2:O30"/>
  <sheetViews>
    <sheetView workbookViewId="0">
      <selection activeCell="M16" sqref="M16"/>
    </sheetView>
  </sheetViews>
  <sheetFormatPr defaultRowHeight="15" x14ac:dyDescent="0.25"/>
  <cols>
    <col min="1" max="1" width="5.28515625" customWidth="1"/>
    <col min="2" max="2" width="11.7109375" customWidth="1"/>
    <col min="3" max="3" width="22.28515625" customWidth="1"/>
    <col min="7" max="7" width="16.5703125" customWidth="1"/>
    <col min="9" max="9" width="11.7109375" bestFit="1" customWidth="1"/>
    <col min="10" max="10" width="11.5703125" bestFit="1" customWidth="1"/>
    <col min="11" max="11" width="11.28515625" customWidth="1"/>
    <col min="13" max="13" width="15.5703125" customWidth="1"/>
    <col min="14" max="14" width="12.28515625" customWidth="1"/>
    <col min="257" max="257" width="5.28515625" customWidth="1"/>
    <col min="258" max="258" width="11.7109375" customWidth="1"/>
    <col min="259" max="259" width="22.28515625" customWidth="1"/>
    <col min="265" max="265" width="11.7109375" bestFit="1" customWidth="1"/>
    <col min="267" max="267" width="11.28515625" customWidth="1"/>
    <col min="513" max="513" width="5.28515625" customWidth="1"/>
    <col min="514" max="514" width="11.7109375" customWidth="1"/>
    <col min="515" max="515" width="22.28515625" customWidth="1"/>
    <col min="521" max="521" width="11.7109375" bestFit="1" customWidth="1"/>
    <col min="523" max="523" width="11.28515625" customWidth="1"/>
    <col min="769" max="769" width="5.28515625" customWidth="1"/>
    <col min="770" max="770" width="11.7109375" customWidth="1"/>
    <col min="771" max="771" width="22.28515625" customWidth="1"/>
    <col min="777" max="777" width="11.7109375" bestFit="1" customWidth="1"/>
    <col min="779" max="779" width="11.28515625" customWidth="1"/>
    <col min="1025" max="1025" width="5.28515625" customWidth="1"/>
    <col min="1026" max="1026" width="11.7109375" customWidth="1"/>
    <col min="1027" max="1027" width="22.28515625" customWidth="1"/>
    <col min="1033" max="1033" width="11.7109375" bestFit="1" customWidth="1"/>
    <col min="1035" max="1035" width="11.28515625" customWidth="1"/>
    <col min="1281" max="1281" width="5.28515625" customWidth="1"/>
    <col min="1282" max="1282" width="11.7109375" customWidth="1"/>
    <col min="1283" max="1283" width="22.28515625" customWidth="1"/>
    <col min="1289" max="1289" width="11.7109375" bestFit="1" customWidth="1"/>
    <col min="1291" max="1291" width="11.28515625" customWidth="1"/>
    <col min="1537" max="1537" width="5.28515625" customWidth="1"/>
    <col min="1538" max="1538" width="11.7109375" customWidth="1"/>
    <col min="1539" max="1539" width="22.28515625" customWidth="1"/>
    <col min="1545" max="1545" width="11.7109375" bestFit="1" customWidth="1"/>
    <col min="1547" max="1547" width="11.28515625" customWidth="1"/>
    <col min="1793" max="1793" width="5.28515625" customWidth="1"/>
    <col min="1794" max="1794" width="11.7109375" customWidth="1"/>
    <col min="1795" max="1795" width="22.28515625" customWidth="1"/>
    <col min="1801" max="1801" width="11.7109375" bestFit="1" customWidth="1"/>
    <col min="1803" max="1803" width="11.28515625" customWidth="1"/>
    <col min="2049" max="2049" width="5.28515625" customWidth="1"/>
    <col min="2050" max="2050" width="11.7109375" customWidth="1"/>
    <col min="2051" max="2051" width="22.28515625" customWidth="1"/>
    <col min="2057" max="2057" width="11.7109375" bestFit="1" customWidth="1"/>
    <col min="2059" max="2059" width="11.28515625" customWidth="1"/>
    <col min="2305" max="2305" width="5.28515625" customWidth="1"/>
    <col min="2306" max="2306" width="11.7109375" customWidth="1"/>
    <col min="2307" max="2307" width="22.28515625" customWidth="1"/>
    <col min="2313" max="2313" width="11.7109375" bestFit="1" customWidth="1"/>
    <col min="2315" max="2315" width="11.28515625" customWidth="1"/>
    <col min="2561" max="2561" width="5.28515625" customWidth="1"/>
    <col min="2562" max="2562" width="11.7109375" customWidth="1"/>
    <col min="2563" max="2563" width="22.28515625" customWidth="1"/>
    <col min="2569" max="2569" width="11.7109375" bestFit="1" customWidth="1"/>
    <col min="2571" max="2571" width="11.28515625" customWidth="1"/>
    <col min="2817" max="2817" width="5.28515625" customWidth="1"/>
    <col min="2818" max="2818" width="11.7109375" customWidth="1"/>
    <col min="2819" max="2819" width="22.28515625" customWidth="1"/>
    <col min="2825" max="2825" width="11.7109375" bestFit="1" customWidth="1"/>
    <col min="2827" max="2827" width="11.28515625" customWidth="1"/>
    <col min="3073" max="3073" width="5.28515625" customWidth="1"/>
    <col min="3074" max="3074" width="11.7109375" customWidth="1"/>
    <col min="3075" max="3075" width="22.28515625" customWidth="1"/>
    <col min="3081" max="3081" width="11.7109375" bestFit="1" customWidth="1"/>
    <col min="3083" max="3083" width="11.28515625" customWidth="1"/>
    <col min="3329" max="3329" width="5.28515625" customWidth="1"/>
    <col min="3330" max="3330" width="11.7109375" customWidth="1"/>
    <col min="3331" max="3331" width="22.28515625" customWidth="1"/>
    <col min="3337" max="3337" width="11.7109375" bestFit="1" customWidth="1"/>
    <col min="3339" max="3339" width="11.28515625" customWidth="1"/>
    <col min="3585" max="3585" width="5.28515625" customWidth="1"/>
    <col min="3586" max="3586" width="11.7109375" customWidth="1"/>
    <col min="3587" max="3587" width="22.28515625" customWidth="1"/>
    <col min="3593" max="3593" width="11.7109375" bestFit="1" customWidth="1"/>
    <col min="3595" max="3595" width="11.28515625" customWidth="1"/>
    <col min="3841" max="3841" width="5.28515625" customWidth="1"/>
    <col min="3842" max="3842" width="11.7109375" customWidth="1"/>
    <col min="3843" max="3843" width="22.28515625" customWidth="1"/>
    <col min="3849" max="3849" width="11.7109375" bestFit="1" customWidth="1"/>
    <col min="3851" max="3851" width="11.28515625" customWidth="1"/>
    <col min="4097" max="4097" width="5.28515625" customWidth="1"/>
    <col min="4098" max="4098" width="11.7109375" customWidth="1"/>
    <col min="4099" max="4099" width="22.28515625" customWidth="1"/>
    <col min="4105" max="4105" width="11.7109375" bestFit="1" customWidth="1"/>
    <col min="4107" max="4107" width="11.28515625" customWidth="1"/>
    <col min="4353" max="4353" width="5.28515625" customWidth="1"/>
    <col min="4354" max="4354" width="11.7109375" customWidth="1"/>
    <col min="4355" max="4355" width="22.28515625" customWidth="1"/>
    <col min="4361" max="4361" width="11.7109375" bestFit="1" customWidth="1"/>
    <col min="4363" max="4363" width="11.28515625" customWidth="1"/>
    <col min="4609" max="4609" width="5.28515625" customWidth="1"/>
    <col min="4610" max="4610" width="11.7109375" customWidth="1"/>
    <col min="4611" max="4611" width="22.28515625" customWidth="1"/>
    <col min="4617" max="4617" width="11.7109375" bestFit="1" customWidth="1"/>
    <col min="4619" max="4619" width="11.28515625" customWidth="1"/>
    <col min="4865" max="4865" width="5.28515625" customWidth="1"/>
    <col min="4866" max="4866" width="11.7109375" customWidth="1"/>
    <col min="4867" max="4867" width="22.28515625" customWidth="1"/>
    <col min="4873" max="4873" width="11.7109375" bestFit="1" customWidth="1"/>
    <col min="4875" max="4875" width="11.28515625" customWidth="1"/>
    <col min="5121" max="5121" width="5.28515625" customWidth="1"/>
    <col min="5122" max="5122" width="11.7109375" customWidth="1"/>
    <col min="5123" max="5123" width="22.28515625" customWidth="1"/>
    <col min="5129" max="5129" width="11.7109375" bestFit="1" customWidth="1"/>
    <col min="5131" max="5131" width="11.28515625" customWidth="1"/>
    <col min="5377" max="5377" width="5.28515625" customWidth="1"/>
    <col min="5378" max="5378" width="11.7109375" customWidth="1"/>
    <col min="5379" max="5379" width="22.28515625" customWidth="1"/>
    <col min="5385" max="5385" width="11.7109375" bestFit="1" customWidth="1"/>
    <col min="5387" max="5387" width="11.28515625" customWidth="1"/>
    <col min="5633" max="5633" width="5.28515625" customWidth="1"/>
    <col min="5634" max="5634" width="11.7109375" customWidth="1"/>
    <col min="5635" max="5635" width="22.28515625" customWidth="1"/>
    <col min="5641" max="5641" width="11.7109375" bestFit="1" customWidth="1"/>
    <col min="5643" max="5643" width="11.28515625" customWidth="1"/>
    <col min="5889" max="5889" width="5.28515625" customWidth="1"/>
    <col min="5890" max="5890" width="11.7109375" customWidth="1"/>
    <col min="5891" max="5891" width="22.28515625" customWidth="1"/>
    <col min="5897" max="5897" width="11.7109375" bestFit="1" customWidth="1"/>
    <col min="5899" max="5899" width="11.28515625" customWidth="1"/>
    <col min="6145" max="6145" width="5.28515625" customWidth="1"/>
    <col min="6146" max="6146" width="11.7109375" customWidth="1"/>
    <col min="6147" max="6147" width="22.28515625" customWidth="1"/>
    <col min="6153" max="6153" width="11.7109375" bestFit="1" customWidth="1"/>
    <col min="6155" max="6155" width="11.28515625" customWidth="1"/>
    <col min="6401" max="6401" width="5.28515625" customWidth="1"/>
    <col min="6402" max="6402" width="11.7109375" customWidth="1"/>
    <col min="6403" max="6403" width="22.28515625" customWidth="1"/>
    <col min="6409" max="6409" width="11.7109375" bestFit="1" customWidth="1"/>
    <col min="6411" max="6411" width="11.28515625" customWidth="1"/>
    <col min="6657" max="6657" width="5.28515625" customWidth="1"/>
    <col min="6658" max="6658" width="11.7109375" customWidth="1"/>
    <col min="6659" max="6659" width="22.28515625" customWidth="1"/>
    <col min="6665" max="6665" width="11.7109375" bestFit="1" customWidth="1"/>
    <col min="6667" max="6667" width="11.28515625" customWidth="1"/>
    <col min="6913" max="6913" width="5.28515625" customWidth="1"/>
    <col min="6914" max="6914" width="11.7109375" customWidth="1"/>
    <col min="6915" max="6915" width="22.28515625" customWidth="1"/>
    <col min="6921" max="6921" width="11.7109375" bestFit="1" customWidth="1"/>
    <col min="6923" max="6923" width="11.28515625" customWidth="1"/>
    <col min="7169" max="7169" width="5.28515625" customWidth="1"/>
    <col min="7170" max="7170" width="11.7109375" customWidth="1"/>
    <col min="7171" max="7171" width="22.28515625" customWidth="1"/>
    <col min="7177" max="7177" width="11.7109375" bestFit="1" customWidth="1"/>
    <col min="7179" max="7179" width="11.28515625" customWidth="1"/>
    <col min="7425" max="7425" width="5.28515625" customWidth="1"/>
    <col min="7426" max="7426" width="11.7109375" customWidth="1"/>
    <col min="7427" max="7427" width="22.28515625" customWidth="1"/>
    <col min="7433" max="7433" width="11.7109375" bestFit="1" customWidth="1"/>
    <col min="7435" max="7435" width="11.28515625" customWidth="1"/>
    <col min="7681" max="7681" width="5.28515625" customWidth="1"/>
    <col min="7682" max="7682" width="11.7109375" customWidth="1"/>
    <col min="7683" max="7683" width="22.28515625" customWidth="1"/>
    <col min="7689" max="7689" width="11.7109375" bestFit="1" customWidth="1"/>
    <col min="7691" max="7691" width="11.28515625" customWidth="1"/>
    <col min="7937" max="7937" width="5.28515625" customWidth="1"/>
    <col min="7938" max="7938" width="11.7109375" customWidth="1"/>
    <col min="7939" max="7939" width="22.28515625" customWidth="1"/>
    <col min="7945" max="7945" width="11.7109375" bestFit="1" customWidth="1"/>
    <col min="7947" max="7947" width="11.28515625" customWidth="1"/>
    <col min="8193" max="8193" width="5.28515625" customWidth="1"/>
    <col min="8194" max="8194" width="11.7109375" customWidth="1"/>
    <col min="8195" max="8195" width="22.28515625" customWidth="1"/>
    <col min="8201" max="8201" width="11.7109375" bestFit="1" customWidth="1"/>
    <col min="8203" max="8203" width="11.28515625" customWidth="1"/>
    <col min="8449" max="8449" width="5.28515625" customWidth="1"/>
    <col min="8450" max="8450" width="11.7109375" customWidth="1"/>
    <col min="8451" max="8451" width="22.28515625" customWidth="1"/>
    <col min="8457" max="8457" width="11.7109375" bestFit="1" customWidth="1"/>
    <col min="8459" max="8459" width="11.28515625" customWidth="1"/>
    <col min="8705" max="8705" width="5.28515625" customWidth="1"/>
    <col min="8706" max="8706" width="11.7109375" customWidth="1"/>
    <col min="8707" max="8707" width="22.28515625" customWidth="1"/>
    <col min="8713" max="8713" width="11.7109375" bestFit="1" customWidth="1"/>
    <col min="8715" max="8715" width="11.28515625" customWidth="1"/>
    <col min="8961" max="8961" width="5.28515625" customWidth="1"/>
    <col min="8962" max="8962" width="11.7109375" customWidth="1"/>
    <col min="8963" max="8963" width="22.28515625" customWidth="1"/>
    <col min="8969" max="8969" width="11.7109375" bestFit="1" customWidth="1"/>
    <col min="8971" max="8971" width="11.28515625" customWidth="1"/>
    <col min="9217" max="9217" width="5.28515625" customWidth="1"/>
    <col min="9218" max="9218" width="11.7109375" customWidth="1"/>
    <col min="9219" max="9219" width="22.28515625" customWidth="1"/>
    <col min="9225" max="9225" width="11.7109375" bestFit="1" customWidth="1"/>
    <col min="9227" max="9227" width="11.28515625" customWidth="1"/>
    <col min="9473" max="9473" width="5.28515625" customWidth="1"/>
    <col min="9474" max="9474" width="11.7109375" customWidth="1"/>
    <col min="9475" max="9475" width="22.28515625" customWidth="1"/>
    <col min="9481" max="9481" width="11.7109375" bestFit="1" customWidth="1"/>
    <col min="9483" max="9483" width="11.28515625" customWidth="1"/>
    <col min="9729" max="9729" width="5.28515625" customWidth="1"/>
    <col min="9730" max="9730" width="11.7109375" customWidth="1"/>
    <col min="9731" max="9731" width="22.28515625" customWidth="1"/>
    <col min="9737" max="9737" width="11.7109375" bestFit="1" customWidth="1"/>
    <col min="9739" max="9739" width="11.28515625" customWidth="1"/>
    <col min="9985" max="9985" width="5.28515625" customWidth="1"/>
    <col min="9986" max="9986" width="11.7109375" customWidth="1"/>
    <col min="9987" max="9987" width="22.28515625" customWidth="1"/>
    <col min="9993" max="9993" width="11.7109375" bestFit="1" customWidth="1"/>
    <col min="9995" max="9995" width="11.28515625" customWidth="1"/>
    <col min="10241" max="10241" width="5.28515625" customWidth="1"/>
    <col min="10242" max="10242" width="11.7109375" customWidth="1"/>
    <col min="10243" max="10243" width="22.28515625" customWidth="1"/>
    <col min="10249" max="10249" width="11.7109375" bestFit="1" customWidth="1"/>
    <col min="10251" max="10251" width="11.28515625" customWidth="1"/>
    <col min="10497" max="10497" width="5.28515625" customWidth="1"/>
    <col min="10498" max="10498" width="11.7109375" customWidth="1"/>
    <col min="10499" max="10499" width="22.28515625" customWidth="1"/>
    <col min="10505" max="10505" width="11.7109375" bestFit="1" customWidth="1"/>
    <col min="10507" max="10507" width="11.28515625" customWidth="1"/>
    <col min="10753" max="10753" width="5.28515625" customWidth="1"/>
    <col min="10754" max="10754" width="11.7109375" customWidth="1"/>
    <col min="10755" max="10755" width="22.28515625" customWidth="1"/>
    <col min="10761" max="10761" width="11.7109375" bestFit="1" customWidth="1"/>
    <col min="10763" max="10763" width="11.28515625" customWidth="1"/>
    <col min="11009" max="11009" width="5.28515625" customWidth="1"/>
    <col min="11010" max="11010" width="11.7109375" customWidth="1"/>
    <col min="11011" max="11011" width="22.28515625" customWidth="1"/>
    <col min="11017" max="11017" width="11.7109375" bestFit="1" customWidth="1"/>
    <col min="11019" max="11019" width="11.28515625" customWidth="1"/>
    <col min="11265" max="11265" width="5.28515625" customWidth="1"/>
    <col min="11266" max="11266" width="11.7109375" customWidth="1"/>
    <col min="11267" max="11267" width="22.28515625" customWidth="1"/>
    <col min="11273" max="11273" width="11.7109375" bestFit="1" customWidth="1"/>
    <col min="11275" max="11275" width="11.28515625" customWidth="1"/>
    <col min="11521" max="11521" width="5.28515625" customWidth="1"/>
    <col min="11522" max="11522" width="11.7109375" customWidth="1"/>
    <col min="11523" max="11523" width="22.28515625" customWidth="1"/>
    <col min="11529" max="11529" width="11.7109375" bestFit="1" customWidth="1"/>
    <col min="11531" max="11531" width="11.28515625" customWidth="1"/>
    <col min="11777" max="11777" width="5.28515625" customWidth="1"/>
    <col min="11778" max="11778" width="11.7109375" customWidth="1"/>
    <col min="11779" max="11779" width="22.28515625" customWidth="1"/>
    <col min="11785" max="11785" width="11.7109375" bestFit="1" customWidth="1"/>
    <col min="11787" max="11787" width="11.28515625" customWidth="1"/>
    <col min="12033" max="12033" width="5.28515625" customWidth="1"/>
    <col min="12034" max="12034" width="11.7109375" customWidth="1"/>
    <col min="12035" max="12035" width="22.28515625" customWidth="1"/>
    <col min="12041" max="12041" width="11.7109375" bestFit="1" customWidth="1"/>
    <col min="12043" max="12043" width="11.28515625" customWidth="1"/>
    <col min="12289" max="12289" width="5.28515625" customWidth="1"/>
    <col min="12290" max="12290" width="11.7109375" customWidth="1"/>
    <col min="12291" max="12291" width="22.28515625" customWidth="1"/>
    <col min="12297" max="12297" width="11.7109375" bestFit="1" customWidth="1"/>
    <col min="12299" max="12299" width="11.28515625" customWidth="1"/>
    <col min="12545" max="12545" width="5.28515625" customWidth="1"/>
    <col min="12546" max="12546" width="11.7109375" customWidth="1"/>
    <col min="12547" max="12547" width="22.28515625" customWidth="1"/>
    <col min="12553" max="12553" width="11.7109375" bestFit="1" customWidth="1"/>
    <col min="12555" max="12555" width="11.28515625" customWidth="1"/>
    <col min="12801" max="12801" width="5.28515625" customWidth="1"/>
    <col min="12802" max="12802" width="11.7109375" customWidth="1"/>
    <col min="12803" max="12803" width="22.28515625" customWidth="1"/>
    <col min="12809" max="12809" width="11.7109375" bestFit="1" customWidth="1"/>
    <col min="12811" max="12811" width="11.28515625" customWidth="1"/>
    <col min="13057" max="13057" width="5.28515625" customWidth="1"/>
    <col min="13058" max="13058" width="11.7109375" customWidth="1"/>
    <col min="13059" max="13059" width="22.28515625" customWidth="1"/>
    <col min="13065" max="13065" width="11.7109375" bestFit="1" customWidth="1"/>
    <col min="13067" max="13067" width="11.28515625" customWidth="1"/>
    <col min="13313" max="13313" width="5.28515625" customWidth="1"/>
    <col min="13314" max="13314" width="11.7109375" customWidth="1"/>
    <col min="13315" max="13315" width="22.28515625" customWidth="1"/>
    <col min="13321" max="13321" width="11.7109375" bestFit="1" customWidth="1"/>
    <col min="13323" max="13323" width="11.28515625" customWidth="1"/>
    <col min="13569" max="13569" width="5.28515625" customWidth="1"/>
    <col min="13570" max="13570" width="11.7109375" customWidth="1"/>
    <col min="13571" max="13571" width="22.28515625" customWidth="1"/>
    <col min="13577" max="13577" width="11.7109375" bestFit="1" customWidth="1"/>
    <col min="13579" max="13579" width="11.28515625" customWidth="1"/>
    <col min="13825" max="13825" width="5.28515625" customWidth="1"/>
    <col min="13826" max="13826" width="11.7109375" customWidth="1"/>
    <col min="13827" max="13827" width="22.28515625" customWidth="1"/>
    <col min="13833" max="13833" width="11.7109375" bestFit="1" customWidth="1"/>
    <col min="13835" max="13835" width="11.28515625" customWidth="1"/>
    <col min="14081" max="14081" width="5.28515625" customWidth="1"/>
    <col min="14082" max="14082" width="11.7109375" customWidth="1"/>
    <col min="14083" max="14083" width="22.28515625" customWidth="1"/>
    <col min="14089" max="14089" width="11.7109375" bestFit="1" customWidth="1"/>
    <col min="14091" max="14091" width="11.28515625" customWidth="1"/>
    <col min="14337" max="14337" width="5.28515625" customWidth="1"/>
    <col min="14338" max="14338" width="11.7109375" customWidth="1"/>
    <col min="14339" max="14339" width="22.28515625" customWidth="1"/>
    <col min="14345" max="14345" width="11.7109375" bestFit="1" customWidth="1"/>
    <col min="14347" max="14347" width="11.28515625" customWidth="1"/>
    <col min="14593" max="14593" width="5.28515625" customWidth="1"/>
    <col min="14594" max="14594" width="11.7109375" customWidth="1"/>
    <col min="14595" max="14595" width="22.28515625" customWidth="1"/>
    <col min="14601" max="14601" width="11.7109375" bestFit="1" customWidth="1"/>
    <col min="14603" max="14603" width="11.28515625" customWidth="1"/>
    <col min="14849" max="14849" width="5.28515625" customWidth="1"/>
    <col min="14850" max="14850" width="11.7109375" customWidth="1"/>
    <col min="14851" max="14851" width="22.28515625" customWidth="1"/>
    <col min="14857" max="14857" width="11.7109375" bestFit="1" customWidth="1"/>
    <col min="14859" max="14859" width="11.28515625" customWidth="1"/>
    <col min="15105" max="15105" width="5.28515625" customWidth="1"/>
    <col min="15106" max="15106" width="11.7109375" customWidth="1"/>
    <col min="15107" max="15107" width="22.28515625" customWidth="1"/>
    <col min="15113" max="15113" width="11.7109375" bestFit="1" customWidth="1"/>
    <col min="15115" max="15115" width="11.28515625" customWidth="1"/>
    <col min="15361" max="15361" width="5.28515625" customWidth="1"/>
    <col min="15362" max="15362" width="11.7109375" customWidth="1"/>
    <col min="15363" max="15363" width="22.28515625" customWidth="1"/>
    <col min="15369" max="15369" width="11.7109375" bestFit="1" customWidth="1"/>
    <col min="15371" max="15371" width="11.28515625" customWidth="1"/>
    <col min="15617" max="15617" width="5.28515625" customWidth="1"/>
    <col min="15618" max="15618" width="11.7109375" customWidth="1"/>
    <col min="15619" max="15619" width="22.28515625" customWidth="1"/>
    <col min="15625" max="15625" width="11.7109375" bestFit="1" customWidth="1"/>
    <col min="15627" max="15627" width="11.28515625" customWidth="1"/>
    <col min="15873" max="15873" width="5.28515625" customWidth="1"/>
    <col min="15874" max="15874" width="11.7109375" customWidth="1"/>
    <col min="15875" max="15875" width="22.28515625" customWidth="1"/>
    <col min="15881" max="15881" width="11.7109375" bestFit="1" customWidth="1"/>
    <col min="15883" max="15883" width="11.28515625" customWidth="1"/>
    <col min="16129" max="16129" width="5.28515625" customWidth="1"/>
    <col min="16130" max="16130" width="11.7109375" customWidth="1"/>
    <col min="16131" max="16131" width="22.28515625" customWidth="1"/>
    <col min="16137" max="16137" width="11.7109375" bestFit="1" customWidth="1"/>
    <col min="16139" max="16139" width="11.28515625" customWidth="1"/>
  </cols>
  <sheetData>
    <row r="2" spans="1:15" x14ac:dyDescent="0.25">
      <c r="A2" t="s">
        <v>566</v>
      </c>
    </row>
    <row r="3" spans="1:15" x14ac:dyDescent="0.25">
      <c r="A3" s="205" t="s">
        <v>567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</row>
    <row r="4" spans="1:15" x14ac:dyDescent="0.25">
      <c r="A4" s="205" t="s">
        <v>568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</row>
    <row r="5" spans="1:15" ht="15.75" thickBot="1" x14ac:dyDescent="0.3">
      <c r="A5" s="206" t="s">
        <v>569</v>
      </c>
      <c r="B5" s="206"/>
      <c r="C5" s="206"/>
      <c r="D5" t="s">
        <v>570</v>
      </c>
      <c r="N5" s="166"/>
    </row>
    <row r="6" spans="1:15" ht="30.75" thickTop="1" x14ac:dyDescent="0.25">
      <c r="A6" s="167" t="s">
        <v>149</v>
      </c>
      <c r="B6" s="168" t="s">
        <v>571</v>
      </c>
      <c r="C6" s="169" t="s">
        <v>232</v>
      </c>
      <c r="D6" s="169" t="s">
        <v>572</v>
      </c>
      <c r="E6" s="169" t="s">
        <v>573</v>
      </c>
      <c r="F6" s="169" t="s">
        <v>574</v>
      </c>
      <c r="G6" s="169" t="s">
        <v>575</v>
      </c>
      <c r="H6" s="169" t="s">
        <v>576</v>
      </c>
      <c r="I6" s="169" t="s">
        <v>577</v>
      </c>
      <c r="J6" s="169" t="s">
        <v>257</v>
      </c>
      <c r="K6" s="169" t="s">
        <v>578</v>
      </c>
      <c r="L6" s="169" t="s">
        <v>579</v>
      </c>
      <c r="M6" s="169" t="s">
        <v>580</v>
      </c>
      <c r="N6" s="170" t="s">
        <v>581</v>
      </c>
      <c r="O6" s="171"/>
    </row>
    <row r="7" spans="1:15" x14ac:dyDescent="0.25">
      <c r="A7" s="172">
        <v>1</v>
      </c>
      <c r="B7" s="173" t="s">
        <v>582</v>
      </c>
      <c r="C7" s="48" t="s">
        <v>583</v>
      </c>
      <c r="D7" s="40" t="s">
        <v>517</v>
      </c>
      <c r="E7" s="40">
        <v>3</v>
      </c>
      <c r="F7" s="174" t="str">
        <f>IF(RIGHT(B7,1)="K","Kawin","Belum")</f>
        <v>Kawin</v>
      </c>
      <c r="G7" s="48" t="str">
        <f>IFERROR(CHOOSE(MATCH(LEFT(B7,2),{"KR","DR","ST"},0),"Karyawan","Direktur","Staff"),"Kepala")</f>
        <v>Karyawan</v>
      </c>
      <c r="H7" s="48" t="str">
        <f>ROMAN(MID(B7,6,1))</f>
        <v>III</v>
      </c>
      <c r="I7" s="48" t="str">
        <f>IFERROR(CHOOSE(MATCH(MID(B7,4,1),{"I","R"},0),"Induk","Recepcionist"),"Front Office")</f>
        <v>Induk</v>
      </c>
      <c r="J7" s="84">
        <f>IFERROR(CHOOSE(MATCH(H7,{"I","II","III"},0),500000,650000,700000),825000)</f>
        <v>700000</v>
      </c>
      <c r="K7" s="84">
        <f>_xlfn.XLOOKUP(G7,$K$21:$K$24,$L$21:$L$24)</f>
        <v>50000</v>
      </c>
      <c r="L7" s="48">
        <f>IF(VALUE(MID(B7,8,2))&lt;50,
    2000+VALUE(MID(B7,8,2)),
    1900+VALUE(MID(B7,8,2))
)</f>
        <v>1990</v>
      </c>
      <c r="M7" s="182">
        <f>J7*10%*(AND(D7="L",F7="Kawin"))</f>
        <v>70000</v>
      </c>
      <c r="N7" s="183">
        <f>J7+K7+M7</f>
        <v>820000</v>
      </c>
      <c r="O7" s="175"/>
    </row>
    <row r="8" spans="1:15" x14ac:dyDescent="0.25">
      <c r="A8" s="172">
        <v>2</v>
      </c>
      <c r="B8" s="173" t="s">
        <v>584</v>
      </c>
      <c r="C8" s="48" t="s">
        <v>585</v>
      </c>
      <c r="D8" s="40" t="s">
        <v>517</v>
      </c>
      <c r="E8" s="40">
        <v>2</v>
      </c>
      <c r="F8" s="174" t="str">
        <f t="shared" ref="F8:F16" si="0">IF(RIGHT(B8,1)="K","Kawin","Belum")</f>
        <v>Kawin</v>
      </c>
      <c r="G8" s="48" t="str">
        <f>IFERROR(CHOOSE(MATCH(LEFT(B8,2),{"KR","DR","ST"},0),"Karyawan","Direktur","Staff"),"Kepala")</f>
        <v>Kepala</v>
      </c>
      <c r="H8" s="48" t="str">
        <f t="shared" ref="H8:H16" si="1">ROMAN(MID(B8,6,1))</f>
        <v>IV</v>
      </c>
      <c r="I8" s="48" t="str">
        <f>IFERROR(CHOOSE(MATCH(MID(B8,4,1),{"I","R"},0),"Induk","Recepcionist"),"Front Office")</f>
        <v>Front Office</v>
      </c>
      <c r="J8" s="84">
        <f>IFERROR(CHOOSE(MATCH(H8,{"I","II","III"},0),500000,650000,700000),825000)</f>
        <v>825000</v>
      </c>
      <c r="K8" s="84">
        <f t="shared" ref="K8:K16" si="2">_xlfn.XLOOKUP(G8,$K$21:$K$24,$L$21:$L$24)</f>
        <v>100000</v>
      </c>
      <c r="L8" s="48">
        <f t="shared" ref="L8:L16" si="3">IF(VALUE(MID(B8,8,2))&lt;50,
    2000+VALUE(MID(B8,8,2)),
    1900+VALUE(MID(B8,8,2))
)</f>
        <v>1989</v>
      </c>
      <c r="M8" s="182">
        <f t="shared" ref="M8:M16" si="4">J8*10%*(AND(D8="L",F8="Kawin"))</f>
        <v>82500</v>
      </c>
      <c r="N8" s="183">
        <f t="shared" ref="N8:N16" si="5">J8+K8+M8</f>
        <v>1007500</v>
      </c>
      <c r="O8" s="175"/>
    </row>
    <row r="9" spans="1:15" x14ac:dyDescent="0.25">
      <c r="A9" s="172">
        <v>3</v>
      </c>
      <c r="B9" s="173" t="s">
        <v>586</v>
      </c>
      <c r="C9" s="48" t="s">
        <v>587</v>
      </c>
      <c r="D9" s="40" t="s">
        <v>517</v>
      </c>
      <c r="E9" s="40">
        <v>0</v>
      </c>
      <c r="F9" s="174" t="str">
        <f t="shared" si="0"/>
        <v>Belum</v>
      </c>
      <c r="G9" s="48" t="str">
        <f>IFERROR(CHOOSE(MATCH(LEFT(B9,2),{"KR","DR","ST"},0),"Karyawan","Direktur","Staff"),"Kepala")</f>
        <v>Direktur</v>
      </c>
      <c r="H9" s="48" t="str">
        <f t="shared" si="1"/>
        <v>III</v>
      </c>
      <c r="I9" s="48" t="str">
        <f>IFERROR(CHOOSE(MATCH(MID(B9,4,1),{"I","R"},0),"Induk","Recepcionist"),"Front Office")</f>
        <v>Induk</v>
      </c>
      <c r="J9" s="84">
        <f>IFERROR(CHOOSE(MATCH(H9,{"I","II","III"},0),500000,650000,700000),825000)</f>
        <v>700000</v>
      </c>
      <c r="K9" s="84">
        <f t="shared" si="2"/>
        <v>150000</v>
      </c>
      <c r="L9" s="48">
        <f t="shared" si="3"/>
        <v>1989</v>
      </c>
      <c r="M9" s="182">
        <f t="shared" si="4"/>
        <v>0</v>
      </c>
      <c r="N9" s="183">
        <f t="shared" si="5"/>
        <v>850000</v>
      </c>
      <c r="O9" s="175"/>
    </row>
    <row r="10" spans="1:15" x14ac:dyDescent="0.25">
      <c r="A10" s="172">
        <v>4</v>
      </c>
      <c r="B10" s="173" t="s">
        <v>588</v>
      </c>
      <c r="C10" s="48" t="s">
        <v>589</v>
      </c>
      <c r="D10" s="40" t="s">
        <v>517</v>
      </c>
      <c r="E10" s="40">
        <v>3</v>
      </c>
      <c r="F10" s="174" t="str">
        <f t="shared" si="0"/>
        <v>Kawin</v>
      </c>
      <c r="G10" s="48" t="str">
        <f>IFERROR(CHOOSE(MATCH(LEFT(B10,2),{"KR","DR","ST"},0),"Karyawan","Direktur","Staff"),"Kepala")</f>
        <v>Staff</v>
      </c>
      <c r="H10" s="48" t="str">
        <f t="shared" si="1"/>
        <v>II</v>
      </c>
      <c r="I10" s="48" t="str">
        <f>IFERROR(CHOOSE(MATCH(MID(B10,4,1),{"I","R"},0),"Induk","Recepcionist"),"Front Office")</f>
        <v>Front Office</v>
      </c>
      <c r="J10" s="84">
        <f>IFERROR(CHOOSE(MATCH(H10,{"I","II","III"},0),500000,650000,700000),825000)</f>
        <v>650000</v>
      </c>
      <c r="K10" s="84">
        <f t="shared" si="2"/>
        <v>75000</v>
      </c>
      <c r="L10" s="48">
        <f t="shared" si="3"/>
        <v>1991</v>
      </c>
      <c r="M10" s="182">
        <f t="shared" si="4"/>
        <v>65000</v>
      </c>
      <c r="N10" s="183">
        <f t="shared" si="5"/>
        <v>790000</v>
      </c>
      <c r="O10" s="175"/>
    </row>
    <row r="11" spans="1:15" x14ac:dyDescent="0.25">
      <c r="A11" s="172">
        <v>5</v>
      </c>
      <c r="B11" s="176" t="s">
        <v>590</v>
      </c>
      <c r="C11" s="48" t="s">
        <v>591</v>
      </c>
      <c r="D11" s="40" t="s">
        <v>517</v>
      </c>
      <c r="E11" s="40">
        <v>2</v>
      </c>
      <c r="F11" s="174" t="str">
        <f t="shared" si="0"/>
        <v>Kawin</v>
      </c>
      <c r="G11" s="48" t="str">
        <f>IFERROR(CHOOSE(MATCH(LEFT(B11,2),{"KR","DR","ST"},0),"Karyawan","Direktur","Staff"),"Kepala")</f>
        <v>Kepala</v>
      </c>
      <c r="H11" s="48" t="str">
        <f t="shared" si="1"/>
        <v>IV</v>
      </c>
      <c r="I11" s="48" t="str">
        <f>IFERROR(CHOOSE(MATCH(MID(B11,4,1),{"I","R"},0),"Induk","Recepcionist"),"Front Office")</f>
        <v>Recepcionist</v>
      </c>
      <c r="J11" s="84">
        <f>IFERROR(CHOOSE(MATCH(H11,{"I","II","III"},0),500000,650000,700000),825000)</f>
        <v>825000</v>
      </c>
      <c r="K11" s="84">
        <f t="shared" si="2"/>
        <v>100000</v>
      </c>
      <c r="L11" s="48">
        <f t="shared" si="3"/>
        <v>1991</v>
      </c>
      <c r="M11" s="182">
        <f t="shared" si="4"/>
        <v>82500</v>
      </c>
      <c r="N11" s="183">
        <f t="shared" si="5"/>
        <v>1007500</v>
      </c>
      <c r="O11" s="175"/>
    </row>
    <row r="12" spans="1:15" x14ac:dyDescent="0.25">
      <c r="A12" s="172">
        <v>6</v>
      </c>
      <c r="B12" s="173" t="s">
        <v>592</v>
      </c>
      <c r="C12" s="48" t="s">
        <v>593</v>
      </c>
      <c r="D12" s="40" t="s">
        <v>517</v>
      </c>
      <c r="E12" s="40">
        <v>2</v>
      </c>
      <c r="F12" s="174" t="str">
        <f t="shared" si="0"/>
        <v>Kawin</v>
      </c>
      <c r="G12" s="48" t="str">
        <f>IFERROR(CHOOSE(MATCH(LEFT(B12,2),{"KR","DR","ST"},0),"Karyawan","Direktur","Staff"),"Kepala")</f>
        <v>Staff</v>
      </c>
      <c r="H12" s="48" t="str">
        <f t="shared" si="1"/>
        <v>IV</v>
      </c>
      <c r="I12" s="48" t="str">
        <f>IFERROR(CHOOSE(MATCH(MID(B12,4,1),{"I","R"},0),"Induk","Recepcionist"),"Front Office")</f>
        <v>Recepcionist</v>
      </c>
      <c r="J12" s="84">
        <f>IFERROR(CHOOSE(MATCH(H12,{"I","II","III"},0),500000,650000,700000),825000)</f>
        <v>825000</v>
      </c>
      <c r="K12" s="84">
        <f t="shared" si="2"/>
        <v>75000</v>
      </c>
      <c r="L12" s="48">
        <f t="shared" si="3"/>
        <v>1991</v>
      </c>
      <c r="M12" s="182">
        <f t="shared" si="4"/>
        <v>82500</v>
      </c>
      <c r="N12" s="183">
        <f t="shared" si="5"/>
        <v>982500</v>
      </c>
      <c r="O12" s="175"/>
    </row>
    <row r="13" spans="1:15" x14ac:dyDescent="0.25">
      <c r="A13" s="172">
        <v>7</v>
      </c>
      <c r="B13" s="173" t="s">
        <v>594</v>
      </c>
      <c r="C13" s="48" t="s">
        <v>595</v>
      </c>
      <c r="D13" s="40" t="s">
        <v>517</v>
      </c>
      <c r="E13" s="40">
        <v>2</v>
      </c>
      <c r="F13" s="174" t="str">
        <f t="shared" si="0"/>
        <v>Belum</v>
      </c>
      <c r="G13" s="48" t="str">
        <f>IFERROR(CHOOSE(MATCH(LEFT(B13,2),{"KR","DR","ST"},0),"Karyawan","Direktur","Staff"),"Kepala")</f>
        <v>Staff</v>
      </c>
      <c r="H13" s="48" t="str">
        <f t="shared" si="1"/>
        <v>IV</v>
      </c>
      <c r="I13" s="48" t="str">
        <f>IFERROR(CHOOSE(MATCH(MID(B13,4,1),{"I","R"},0),"Induk","Recepcionist"),"Front Office")</f>
        <v>Recepcionist</v>
      </c>
      <c r="J13" s="84">
        <f>IFERROR(CHOOSE(MATCH(H13,{"I","II","III"},0),500000,650000,700000),825000)</f>
        <v>825000</v>
      </c>
      <c r="K13" s="84">
        <f t="shared" si="2"/>
        <v>75000</v>
      </c>
      <c r="L13" s="48">
        <f t="shared" si="3"/>
        <v>1991</v>
      </c>
      <c r="M13" s="182">
        <f t="shared" si="4"/>
        <v>0</v>
      </c>
      <c r="N13" s="183">
        <f t="shared" si="5"/>
        <v>900000</v>
      </c>
      <c r="O13" s="175"/>
    </row>
    <row r="14" spans="1:15" x14ac:dyDescent="0.25">
      <c r="A14" s="172">
        <v>8</v>
      </c>
      <c r="B14" s="173" t="s">
        <v>596</v>
      </c>
      <c r="C14" s="48" t="s">
        <v>597</v>
      </c>
      <c r="D14" s="40" t="s">
        <v>517</v>
      </c>
      <c r="E14" s="40">
        <v>2</v>
      </c>
      <c r="F14" s="174" t="str">
        <f t="shared" si="0"/>
        <v>Kawin</v>
      </c>
      <c r="G14" s="48" t="str">
        <f>IFERROR(CHOOSE(MATCH(LEFT(B14,2),{"KR","DR","ST"},0),"Karyawan","Direktur","Staff"),"Kepala")</f>
        <v>Kepala</v>
      </c>
      <c r="H14" s="48" t="str">
        <f t="shared" si="1"/>
        <v>III</v>
      </c>
      <c r="I14" s="48" t="str">
        <f>IFERROR(CHOOSE(MATCH(MID(B14,4,1),{"I","R"},0),"Induk","Recepcionist"),"Front Office")</f>
        <v>Induk</v>
      </c>
      <c r="J14" s="84">
        <f>IFERROR(CHOOSE(MATCH(H14,{"I","II","III"},0),500000,650000,700000),825000)</f>
        <v>700000</v>
      </c>
      <c r="K14" s="84">
        <f t="shared" si="2"/>
        <v>100000</v>
      </c>
      <c r="L14" s="48">
        <f t="shared" si="3"/>
        <v>1980</v>
      </c>
      <c r="M14" s="182">
        <f t="shared" si="4"/>
        <v>70000</v>
      </c>
      <c r="N14" s="183">
        <f t="shared" si="5"/>
        <v>870000</v>
      </c>
      <c r="O14" s="175"/>
    </row>
    <row r="15" spans="1:15" x14ac:dyDescent="0.25">
      <c r="A15" s="172">
        <v>9</v>
      </c>
      <c r="B15" s="173" t="s">
        <v>582</v>
      </c>
      <c r="C15" s="48" t="s">
        <v>598</v>
      </c>
      <c r="D15" s="40" t="s">
        <v>599</v>
      </c>
      <c r="E15" s="40">
        <v>1</v>
      </c>
      <c r="F15" s="174" t="str">
        <f t="shared" si="0"/>
        <v>Kawin</v>
      </c>
      <c r="G15" s="48" t="str">
        <f>IFERROR(CHOOSE(MATCH(LEFT(B15,2),{"KR","DR","ST"},0),"Karyawan","Direktur","Staff"),"Kepala")</f>
        <v>Karyawan</v>
      </c>
      <c r="H15" s="48" t="str">
        <f t="shared" si="1"/>
        <v>III</v>
      </c>
      <c r="I15" s="48" t="str">
        <f>IFERROR(CHOOSE(MATCH(MID(B15,4,1),{"I","R"},0),"Induk","Recepcionist"),"Front Office")</f>
        <v>Induk</v>
      </c>
      <c r="J15" s="84">
        <f>IFERROR(CHOOSE(MATCH(H15,{"I","II","III"},0),500000,650000,700000),825000)</f>
        <v>700000</v>
      </c>
      <c r="K15" s="84">
        <f t="shared" si="2"/>
        <v>50000</v>
      </c>
      <c r="L15" s="48">
        <f t="shared" si="3"/>
        <v>1990</v>
      </c>
      <c r="M15" s="182">
        <f t="shared" si="4"/>
        <v>0</v>
      </c>
      <c r="N15" s="183">
        <f t="shared" si="5"/>
        <v>750000</v>
      </c>
      <c r="O15" s="175"/>
    </row>
    <row r="16" spans="1:15" ht="15.75" thickBot="1" x14ac:dyDescent="0.3">
      <c r="A16" s="177">
        <v>10</v>
      </c>
      <c r="B16" s="178" t="s">
        <v>600</v>
      </c>
      <c r="C16" s="179" t="s">
        <v>601</v>
      </c>
      <c r="D16" s="180" t="s">
        <v>599</v>
      </c>
      <c r="E16" s="180">
        <v>0</v>
      </c>
      <c r="F16" s="174" t="str">
        <f t="shared" si="0"/>
        <v>Belum</v>
      </c>
      <c r="G16" s="48" t="str">
        <f>IFERROR(CHOOSE(MATCH(LEFT(B16,2),{"KR","DR","ST"},0),"Karyawan","Direktur","Staff"),"Kepala")</f>
        <v>Staff</v>
      </c>
      <c r="H16" s="48" t="str">
        <f t="shared" si="1"/>
        <v>III</v>
      </c>
      <c r="I16" s="48" t="str">
        <f>IFERROR(CHOOSE(MATCH(MID(B16,4,1),{"I","R"},0),"Induk","Recepcionist"),"Front Office")</f>
        <v>Recepcionist</v>
      </c>
      <c r="J16" s="84">
        <f>IFERROR(CHOOSE(MATCH(H16,{"I","II","III"},0),500000,650000,700000),825000)</f>
        <v>700000</v>
      </c>
      <c r="K16" s="84">
        <f t="shared" si="2"/>
        <v>75000</v>
      </c>
      <c r="L16" s="48">
        <f t="shared" si="3"/>
        <v>1992</v>
      </c>
      <c r="M16" s="182">
        <f t="shared" si="4"/>
        <v>0</v>
      </c>
      <c r="N16" s="183">
        <f t="shared" si="5"/>
        <v>775000</v>
      </c>
      <c r="O16" s="175"/>
    </row>
    <row r="17" spans="1:12" ht="15.75" thickTop="1" x14ac:dyDescent="0.25"/>
    <row r="18" spans="1:12" x14ac:dyDescent="0.25">
      <c r="A18" s="181" t="s">
        <v>602</v>
      </c>
    </row>
    <row r="19" spans="1:12" x14ac:dyDescent="0.25">
      <c r="A19" t="s">
        <v>603</v>
      </c>
    </row>
    <row r="20" spans="1:12" x14ac:dyDescent="0.25">
      <c r="A20" t="s">
        <v>604</v>
      </c>
      <c r="K20" s="48" t="s">
        <v>575</v>
      </c>
      <c r="L20" s="48" t="s">
        <v>239</v>
      </c>
    </row>
    <row r="21" spans="1:12" x14ac:dyDescent="0.25">
      <c r="B21" t="s">
        <v>605</v>
      </c>
      <c r="K21" s="48" t="s">
        <v>606</v>
      </c>
      <c r="L21" s="48">
        <v>50000</v>
      </c>
    </row>
    <row r="22" spans="1:12" x14ac:dyDescent="0.25">
      <c r="A22" t="s">
        <v>607</v>
      </c>
      <c r="K22" s="48" t="s">
        <v>608</v>
      </c>
      <c r="L22" s="48">
        <v>75000</v>
      </c>
    </row>
    <row r="23" spans="1:12" x14ac:dyDescent="0.25">
      <c r="A23" t="s">
        <v>609</v>
      </c>
      <c r="K23" s="48" t="s">
        <v>610</v>
      </c>
      <c r="L23" s="48">
        <v>100000</v>
      </c>
    </row>
    <row r="24" spans="1:12" x14ac:dyDescent="0.25">
      <c r="B24" t="s">
        <v>611</v>
      </c>
      <c r="K24" s="48" t="s">
        <v>18</v>
      </c>
      <c r="L24" s="48">
        <v>150000</v>
      </c>
    </row>
    <row r="25" spans="1:12" x14ac:dyDescent="0.25">
      <c r="A25" t="s">
        <v>612</v>
      </c>
    </row>
    <row r="26" spans="1:12" x14ac:dyDescent="0.25">
      <c r="A26" t="s">
        <v>613</v>
      </c>
    </row>
    <row r="27" spans="1:12" x14ac:dyDescent="0.25">
      <c r="A27" t="s">
        <v>614</v>
      </c>
    </row>
    <row r="28" spans="1:12" x14ac:dyDescent="0.25">
      <c r="B28" t="s">
        <v>615</v>
      </c>
    </row>
    <row r="29" spans="1:12" x14ac:dyDescent="0.25">
      <c r="A29" t="s">
        <v>616</v>
      </c>
    </row>
    <row r="30" spans="1:12" x14ac:dyDescent="0.25">
      <c r="A30" t="s">
        <v>617</v>
      </c>
    </row>
  </sheetData>
  <mergeCells count="3">
    <mergeCell ref="A3:O3"/>
    <mergeCell ref="A4:O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zoomScale="120" zoomScaleNormal="120" zoomScaleSheetLayoutView="130" workbookViewId="0">
      <selection activeCell="C31" sqref="C31"/>
    </sheetView>
  </sheetViews>
  <sheetFormatPr defaultRowHeight="15" x14ac:dyDescent="0.25"/>
  <cols>
    <col min="1" max="1" width="5.85546875" style="2" bestFit="1" customWidth="1"/>
    <col min="2" max="2" width="17.7109375" style="2" bestFit="1" customWidth="1"/>
    <col min="3" max="3" width="15.5703125" style="2" bestFit="1" customWidth="1"/>
    <col min="4" max="4" width="14" style="2" bestFit="1" customWidth="1"/>
    <col min="5" max="5" width="15" style="2" customWidth="1"/>
    <col min="6" max="6" width="9.28515625" style="2" customWidth="1"/>
    <col min="7" max="10" width="15.140625" style="2" customWidth="1"/>
    <col min="11" max="11" width="9.140625" style="2"/>
    <col min="12" max="12" width="18.28515625" style="2" bestFit="1" customWidth="1"/>
    <col min="13" max="16384" width="9.140625" style="2"/>
  </cols>
  <sheetData>
    <row r="1" spans="1:12" x14ac:dyDescent="0.25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2" x14ac:dyDescent="0.25">
      <c r="A2" s="215" t="s">
        <v>22</v>
      </c>
      <c r="B2" s="215"/>
      <c r="C2" s="215"/>
      <c r="D2" s="215"/>
      <c r="E2" s="215"/>
      <c r="F2" s="215"/>
      <c r="G2" s="215"/>
      <c r="H2" s="215"/>
      <c r="I2" s="215"/>
      <c r="J2" s="215"/>
    </row>
    <row r="3" spans="1:12" ht="15.75" thickBot="1" x14ac:dyDescent="0.3">
      <c r="A3" s="216" t="s">
        <v>10</v>
      </c>
      <c r="B3" s="216"/>
      <c r="C3" s="216"/>
      <c r="D3" s="216"/>
      <c r="E3" s="216"/>
      <c r="F3" s="216"/>
      <c r="G3" s="216"/>
      <c r="H3" s="216"/>
      <c r="I3" s="216"/>
      <c r="J3" s="216"/>
    </row>
    <row r="4" spans="1:1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2" s="1" customFormat="1" x14ac:dyDescent="0.25">
      <c r="A5" s="213" t="s">
        <v>1</v>
      </c>
      <c r="B5" s="213" t="s">
        <v>2</v>
      </c>
      <c r="C5" s="213" t="s">
        <v>41</v>
      </c>
      <c r="D5" s="213" t="s">
        <v>4</v>
      </c>
      <c r="E5" s="213" t="s">
        <v>5</v>
      </c>
      <c r="F5" s="207" t="s">
        <v>11</v>
      </c>
      <c r="G5" s="207" t="s">
        <v>12</v>
      </c>
      <c r="H5" s="207" t="s">
        <v>6</v>
      </c>
      <c r="I5" s="207" t="s">
        <v>14</v>
      </c>
      <c r="J5" s="207" t="s">
        <v>13</v>
      </c>
    </row>
    <row r="6" spans="1:12" s="1" customFormat="1" ht="15.75" thickBot="1" x14ac:dyDescent="0.3">
      <c r="A6" s="214"/>
      <c r="B6" s="214"/>
      <c r="C6" s="214"/>
      <c r="D6" s="214"/>
      <c r="E6" s="214"/>
      <c r="F6" s="208"/>
      <c r="G6" s="208"/>
      <c r="H6" s="208"/>
      <c r="I6" s="208"/>
      <c r="J6" s="208"/>
    </row>
    <row r="7" spans="1:12" ht="15.75" thickTop="1" x14ac:dyDescent="0.25">
      <c r="A7" s="4">
        <v>1</v>
      </c>
      <c r="B7" s="5" t="s">
        <v>40</v>
      </c>
      <c r="C7" s="4" t="s">
        <v>25</v>
      </c>
      <c r="D7" s="4" t="str">
        <f>_xlfn.XLOOKUP(LEFT(C7,2),$A$17:$A$20,$B$17:$B$20)</f>
        <v>Direktur</v>
      </c>
      <c r="E7" s="4" t="str">
        <f>IF(MID(C7,4,1) = "K", "Kawin", "Belum Kawin")</f>
        <v>Kawin</v>
      </c>
      <c r="F7" s="4" t="str">
        <f>(MID(C7,7,4))</f>
        <v>1995</v>
      </c>
      <c r="G7" s="30">
        <f>VLOOKUP(D7,$B$15:$E$20,4,0)</f>
        <v>4000000</v>
      </c>
      <c r="H7" s="30">
        <f>VLOOKUP(D7,$B$17:$E$20,IF(E7="Kawin",2,3),0)</f>
        <v>1000000</v>
      </c>
      <c r="I7" s="30">
        <f>HLOOKUP(MID(C7,5,1),TABELASURANSI,2,0)</f>
        <v>300000</v>
      </c>
      <c r="J7" s="30">
        <f>G7+H7+-I7</f>
        <v>4700000</v>
      </c>
      <c r="K7" s="8"/>
      <c r="L7" s="116"/>
    </row>
    <row r="8" spans="1:12" x14ac:dyDescent="0.25">
      <c r="A8" s="9">
        <v>2</v>
      </c>
      <c r="B8" s="10" t="s">
        <v>34</v>
      </c>
      <c r="C8" s="9" t="s">
        <v>26</v>
      </c>
      <c r="D8" s="4" t="str">
        <f t="shared" ref="D8:D11" si="0">_xlfn.XLOOKUP(LEFT(C8,2),$A$17:$A$20,$B$17:$B$20)</f>
        <v>Teknisi</v>
      </c>
      <c r="E8" s="4" t="str">
        <f t="shared" ref="E8:E11" si="1">IF(MID(C8,4,1) = "K", "Kawin", "Belum Kawin")</f>
        <v>Kawin</v>
      </c>
      <c r="F8" s="4" t="str">
        <f t="shared" ref="F8:F11" si="2">(MID(C8,7,4))</f>
        <v>2002</v>
      </c>
      <c r="G8" s="30">
        <f t="shared" ref="G8:G11" si="3">VLOOKUP(D8,$B$15:$E$20,4,0)</f>
        <v>2750000</v>
      </c>
      <c r="H8" s="30">
        <f t="shared" ref="H8:H11" si="4">VLOOKUP(D8,$B$17:$E$20,IF(E8="Kawin",2,3),0)</f>
        <v>250000</v>
      </c>
      <c r="I8" s="30">
        <f>HLOOKUP(MID(C8,5,1),TABELASURANSI,2,0)</f>
        <v>200000</v>
      </c>
      <c r="J8" s="30">
        <f t="shared" ref="J8:J11" si="5">G8+H8+-I8</f>
        <v>2800000</v>
      </c>
      <c r="L8" s="116"/>
    </row>
    <row r="9" spans="1:12" x14ac:dyDescent="0.25">
      <c r="A9" s="9">
        <v>3</v>
      </c>
      <c r="B9" s="10" t="s">
        <v>37</v>
      </c>
      <c r="C9" s="9" t="s">
        <v>28</v>
      </c>
      <c r="D9" s="4" t="str">
        <f t="shared" si="0"/>
        <v>Manajemen</v>
      </c>
      <c r="E9" s="4" t="str">
        <f t="shared" si="1"/>
        <v>Kawin</v>
      </c>
      <c r="F9" s="4" t="str">
        <f t="shared" si="2"/>
        <v>1997</v>
      </c>
      <c r="G9" s="30">
        <f t="shared" si="3"/>
        <v>3500000</v>
      </c>
      <c r="H9" s="30">
        <f t="shared" si="4"/>
        <v>750000</v>
      </c>
      <c r="I9" s="30">
        <f>HLOOKUP(MID(C9,5,1),TABELASURANSI,2,0)</f>
        <v>300000</v>
      </c>
      <c r="J9" s="30">
        <f t="shared" si="5"/>
        <v>3950000</v>
      </c>
      <c r="L9" s="116"/>
    </row>
    <row r="10" spans="1:12" x14ac:dyDescent="0.25">
      <c r="A10" s="9">
        <v>4</v>
      </c>
      <c r="B10" s="10" t="s">
        <v>35</v>
      </c>
      <c r="C10" s="9" t="s">
        <v>27</v>
      </c>
      <c r="D10" s="4" t="str">
        <f t="shared" si="0"/>
        <v>Teknisi</v>
      </c>
      <c r="E10" s="4" t="str">
        <f t="shared" si="1"/>
        <v>Belum Kawin</v>
      </c>
      <c r="F10" s="4" t="str">
        <f t="shared" si="2"/>
        <v>2000</v>
      </c>
      <c r="G10" s="30">
        <f t="shared" si="3"/>
        <v>2750000</v>
      </c>
      <c r="H10" s="30">
        <f t="shared" si="4"/>
        <v>150000</v>
      </c>
      <c r="I10" s="30">
        <f>HLOOKUP(MID(C10,5,1),TABELASURANSI,2,0)</f>
        <v>100000</v>
      </c>
      <c r="J10" s="30">
        <f t="shared" si="5"/>
        <v>2800000</v>
      </c>
      <c r="L10" s="116"/>
    </row>
    <row r="11" spans="1:12" ht="15.75" thickBot="1" x14ac:dyDescent="0.3">
      <c r="A11" s="19">
        <v>5</v>
      </c>
      <c r="B11" s="18" t="s">
        <v>36</v>
      </c>
      <c r="C11" s="19" t="s">
        <v>29</v>
      </c>
      <c r="D11" s="4" t="str">
        <f t="shared" si="0"/>
        <v>Administrasi</v>
      </c>
      <c r="E11" s="4" t="str">
        <f t="shared" si="1"/>
        <v>Kawin</v>
      </c>
      <c r="F11" s="4" t="str">
        <f t="shared" si="2"/>
        <v>1999</v>
      </c>
      <c r="G11" s="30">
        <f t="shared" si="3"/>
        <v>3000000</v>
      </c>
      <c r="H11" s="30">
        <f t="shared" si="4"/>
        <v>500000</v>
      </c>
      <c r="I11" s="30">
        <f>HLOOKUP(MID(C11,5,1),TABELASURANSI,2,0)</f>
        <v>200000</v>
      </c>
      <c r="J11" s="30">
        <f t="shared" si="5"/>
        <v>3300000</v>
      </c>
      <c r="L11" s="116"/>
    </row>
    <row r="12" spans="1:12" ht="15.75" thickTop="1" x14ac:dyDescent="0.25">
      <c r="A12" s="209" t="s">
        <v>39</v>
      </c>
      <c r="B12" s="209"/>
      <c r="C12" s="209"/>
      <c r="D12" s="209"/>
      <c r="E12" s="209"/>
      <c r="F12" s="209"/>
      <c r="G12" s="20">
        <f>SUM(G7:G11)</f>
        <v>16000000</v>
      </c>
      <c r="H12" s="20">
        <f>SUM(H7:H11)</f>
        <v>2650000</v>
      </c>
      <c r="I12" s="20">
        <f>SUM(I7:I11)</f>
        <v>1100000</v>
      </c>
      <c r="J12" s="20">
        <f>SUM(J7:J11)</f>
        <v>17550000</v>
      </c>
    </row>
    <row r="14" spans="1:12" x14ac:dyDescent="0.25">
      <c r="A14" s="13" t="s">
        <v>23</v>
      </c>
      <c r="G14" s="14" t="s">
        <v>24</v>
      </c>
    </row>
    <row r="15" spans="1:12" ht="15.75" thickBot="1" x14ac:dyDescent="0.3">
      <c r="A15" s="213" t="s">
        <v>3</v>
      </c>
      <c r="B15" s="217" t="s">
        <v>4</v>
      </c>
      <c r="C15" s="34" t="s">
        <v>6</v>
      </c>
      <c r="D15" s="34"/>
      <c r="E15" s="207" t="s">
        <v>12</v>
      </c>
      <c r="G15" s="210" t="s">
        <v>33</v>
      </c>
      <c r="H15" s="211"/>
      <c r="I15" s="212"/>
    </row>
    <row r="16" spans="1:12" ht="16.5" thickTop="1" thickBot="1" x14ac:dyDescent="0.3">
      <c r="A16" s="214"/>
      <c r="B16" s="218"/>
      <c r="C16" s="3" t="s">
        <v>15</v>
      </c>
      <c r="D16" s="3" t="s">
        <v>16</v>
      </c>
      <c r="E16" s="208"/>
      <c r="G16" s="17" t="s">
        <v>30</v>
      </c>
      <c r="H16" s="17" t="s">
        <v>31</v>
      </c>
      <c r="I16" s="17" t="s">
        <v>32</v>
      </c>
    </row>
    <row r="17" spans="1:9" ht="15.75" thickTop="1" x14ac:dyDescent="0.25">
      <c r="A17" s="4" t="s">
        <v>21</v>
      </c>
      <c r="B17" s="6" t="s">
        <v>20</v>
      </c>
      <c r="C17" s="7">
        <v>250000</v>
      </c>
      <c r="D17" s="7">
        <v>150000</v>
      </c>
      <c r="E17" s="7">
        <v>2750000</v>
      </c>
      <c r="G17" s="7">
        <v>300000</v>
      </c>
      <c r="H17" s="7">
        <v>200000</v>
      </c>
      <c r="I17" s="7">
        <v>100000</v>
      </c>
    </row>
    <row r="18" spans="1:9" x14ac:dyDescent="0.25">
      <c r="A18" s="9" t="s">
        <v>9</v>
      </c>
      <c r="B18" s="11" t="s">
        <v>17</v>
      </c>
      <c r="C18" s="12">
        <v>500000</v>
      </c>
      <c r="D18" s="12">
        <v>300000</v>
      </c>
      <c r="E18" s="12">
        <v>3000000</v>
      </c>
    </row>
    <row r="19" spans="1:9" x14ac:dyDescent="0.25">
      <c r="A19" s="9" t="s">
        <v>8</v>
      </c>
      <c r="B19" s="11" t="s">
        <v>19</v>
      </c>
      <c r="C19" s="12">
        <v>750000</v>
      </c>
      <c r="D19" s="12">
        <v>450000</v>
      </c>
      <c r="E19" s="12">
        <v>3500000</v>
      </c>
    </row>
    <row r="20" spans="1:9" x14ac:dyDescent="0.25">
      <c r="A20" s="9" t="s">
        <v>7</v>
      </c>
      <c r="B20" s="11" t="s">
        <v>18</v>
      </c>
      <c r="C20" s="12">
        <v>1000000</v>
      </c>
      <c r="D20" s="12">
        <v>600000</v>
      </c>
      <c r="E20" s="12">
        <v>4000000</v>
      </c>
    </row>
    <row r="21" spans="1:9" ht="15.75" thickBot="1" x14ac:dyDescent="0.3"/>
    <row r="22" spans="1:9" x14ac:dyDescent="0.25">
      <c r="B22" s="21" t="s">
        <v>4</v>
      </c>
      <c r="C22" s="22" t="s">
        <v>43</v>
      </c>
      <c r="D22" s="22"/>
      <c r="E22" s="22"/>
      <c r="F22" s="22"/>
      <c r="G22" s="22"/>
      <c r="H22" s="22"/>
      <c r="I22" s="23"/>
    </row>
    <row r="23" spans="1:9" x14ac:dyDescent="0.25">
      <c r="A23" s="15"/>
      <c r="B23" s="24" t="s">
        <v>5</v>
      </c>
      <c r="C23" s="25" t="s">
        <v>44</v>
      </c>
      <c r="D23" s="25"/>
      <c r="E23" s="25"/>
      <c r="F23" s="25"/>
      <c r="G23" s="25"/>
      <c r="H23" s="25"/>
      <c r="I23" s="26"/>
    </row>
    <row r="24" spans="1:9" x14ac:dyDescent="0.25">
      <c r="A24" s="15"/>
      <c r="B24" s="24" t="s">
        <v>11</v>
      </c>
      <c r="C24" s="25" t="s">
        <v>46</v>
      </c>
      <c r="D24" s="25"/>
      <c r="E24" s="25"/>
      <c r="F24" s="25"/>
      <c r="G24" s="25"/>
      <c r="H24" s="25"/>
      <c r="I24" s="26"/>
    </row>
    <row r="25" spans="1:9" x14ac:dyDescent="0.25">
      <c r="A25" s="15"/>
      <c r="B25" s="24" t="s">
        <v>12</v>
      </c>
      <c r="C25" s="25" t="s">
        <v>47</v>
      </c>
      <c r="D25" s="25"/>
      <c r="E25" s="25"/>
      <c r="F25" s="25"/>
      <c r="G25" s="25"/>
      <c r="H25" s="25"/>
      <c r="I25" s="26"/>
    </row>
    <row r="26" spans="1:9" x14ac:dyDescent="0.25">
      <c r="A26" s="15"/>
      <c r="B26" s="24" t="s">
        <v>6</v>
      </c>
      <c r="C26" s="25" t="s">
        <v>42</v>
      </c>
      <c r="D26" s="25"/>
      <c r="E26" s="25"/>
      <c r="F26" s="25"/>
      <c r="G26" s="25"/>
      <c r="H26" s="25"/>
      <c r="I26" s="26"/>
    </row>
    <row r="27" spans="1:9" x14ac:dyDescent="0.25">
      <c r="B27" s="24" t="s">
        <v>14</v>
      </c>
      <c r="C27" s="25" t="s">
        <v>45</v>
      </c>
      <c r="D27" s="25"/>
      <c r="E27" s="25"/>
      <c r="F27" s="25"/>
      <c r="G27" s="25"/>
      <c r="H27" s="25"/>
      <c r="I27" s="26"/>
    </row>
    <row r="28" spans="1:9" x14ac:dyDescent="0.25">
      <c r="B28" s="24" t="s">
        <v>13</v>
      </c>
      <c r="C28" s="25" t="s">
        <v>49</v>
      </c>
      <c r="D28" s="25"/>
      <c r="E28" s="25"/>
      <c r="F28" s="25"/>
      <c r="G28" s="25"/>
      <c r="H28" s="25"/>
      <c r="I28" s="26"/>
    </row>
    <row r="29" spans="1:9" ht="15.75" thickBot="1" x14ac:dyDescent="0.3">
      <c r="B29" s="27" t="s">
        <v>38</v>
      </c>
      <c r="C29" s="28" t="s">
        <v>48</v>
      </c>
      <c r="D29" s="28"/>
      <c r="E29" s="28"/>
      <c r="F29" s="28"/>
      <c r="G29" s="28"/>
      <c r="H29" s="28"/>
      <c r="I29" s="29"/>
    </row>
  </sheetData>
  <sortState xmlns:xlrd2="http://schemas.microsoft.com/office/spreadsheetml/2017/richdata2" ref="A15:E18">
    <sortCondition ref="A15"/>
  </sortState>
  <mergeCells count="18">
    <mergeCell ref="A1:J1"/>
    <mergeCell ref="A2:J2"/>
    <mergeCell ref="A3:J3"/>
    <mergeCell ref="A5:A6"/>
    <mergeCell ref="C5:C6"/>
    <mergeCell ref="D5:D6"/>
    <mergeCell ref="E5:E6"/>
    <mergeCell ref="H5:H6"/>
    <mergeCell ref="B5:B6"/>
    <mergeCell ref="F5:F6"/>
    <mergeCell ref="G5:G6"/>
    <mergeCell ref="J5:J6"/>
    <mergeCell ref="I5:I6"/>
    <mergeCell ref="A12:F12"/>
    <mergeCell ref="E15:E16"/>
    <mergeCell ref="G15:I15"/>
    <mergeCell ref="A15:A16"/>
    <mergeCell ref="B15:B16"/>
  </mergeCells>
  <pageMargins left="0.7" right="0.7" top="0.75" bottom="0.75" header="0.3" footer="0.3"/>
  <pageSetup paperSize="9" scale="6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opLeftCell="A3" workbookViewId="0">
      <selection activeCell="M12" sqref="M12"/>
    </sheetView>
  </sheetViews>
  <sheetFormatPr defaultRowHeight="15" x14ac:dyDescent="0.25"/>
  <cols>
    <col min="1" max="1" width="6.28515625" customWidth="1"/>
    <col min="2" max="2" width="18.5703125" bestFit="1" customWidth="1"/>
    <col min="3" max="4" width="14.5703125" customWidth="1"/>
    <col min="5" max="5" width="18.5703125" bestFit="1" customWidth="1"/>
    <col min="6" max="6" width="13.28515625" customWidth="1"/>
    <col min="7" max="7" width="11.7109375" customWidth="1"/>
    <col min="8" max="8" width="15" customWidth="1"/>
    <col min="9" max="11" width="13.28515625" customWidth="1"/>
  </cols>
  <sheetData>
    <row r="1" spans="1:11" ht="16.5" thickBot="1" x14ac:dyDescent="0.3">
      <c r="A1" s="225" t="s">
        <v>50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</row>
    <row r="2" spans="1:11" ht="15.75" thickTop="1" x14ac:dyDescent="0.25"/>
    <row r="3" spans="1:11" ht="30.75" thickBot="1" x14ac:dyDescent="0.3">
      <c r="A3" s="32" t="s">
        <v>51</v>
      </c>
      <c r="B3" s="32" t="s">
        <v>52</v>
      </c>
      <c r="C3" s="33" t="s">
        <v>53</v>
      </c>
      <c r="D3" s="33" t="s">
        <v>54</v>
      </c>
      <c r="E3" s="32" t="s">
        <v>55</v>
      </c>
      <c r="F3" s="32" t="s">
        <v>56</v>
      </c>
      <c r="G3" s="33" t="s">
        <v>57</v>
      </c>
      <c r="H3" s="32" t="s">
        <v>58</v>
      </c>
      <c r="I3" s="33" t="s">
        <v>59</v>
      </c>
      <c r="J3" s="32" t="s">
        <v>60</v>
      </c>
      <c r="K3" s="32" t="s">
        <v>61</v>
      </c>
    </row>
    <row r="4" spans="1:11" ht="15.75" thickTop="1" x14ac:dyDescent="0.25">
      <c r="A4" s="35">
        <v>1</v>
      </c>
      <c r="B4" s="35" t="s">
        <v>62</v>
      </c>
      <c r="C4" s="36" t="s">
        <v>63</v>
      </c>
      <c r="D4" s="37">
        <v>45170</v>
      </c>
      <c r="E4" s="38" t="str">
        <f>_xlfn.XLOOKUP(LEFT(B4,2),$A$15:$A$18,$B$15:$B$18)</f>
        <v>Jakarta - Yogyakarta</v>
      </c>
      <c r="F4" s="38" t="str">
        <f>_xlfn.XLOOKUP(MID(B4,5,2),$G$14:$G$16,$H$14:$H$16)</f>
        <v>Eksekutif</v>
      </c>
      <c r="G4" s="39">
        <f>VLOOKUP(E4,$B$15:$E$18,MATCH(F4,$B$14:$E$14,0),0)</f>
        <v>2500000</v>
      </c>
      <c r="H4" s="38" t="str">
        <f>_xlfn.XLOOKUP(MID(B4,3,2),$B$21:$D$21,$B$22:$D$22)</f>
        <v>Paket OK</v>
      </c>
      <c r="I4" s="39">
        <f>HLOOKUP(H4,$B$22:$D$23,2,0)</f>
        <v>35000</v>
      </c>
      <c r="J4" s="184">
        <f>IF(D4&lt;DATE(2023,9,1), VLOOKUP(F4,$H$13:$I$16,2,0), 0)*G4</f>
        <v>0</v>
      </c>
      <c r="K4" s="39">
        <f>G4+I4-J4</f>
        <v>2535000</v>
      </c>
    </row>
    <row r="5" spans="1:11" x14ac:dyDescent="0.25">
      <c r="A5" s="40">
        <v>2</v>
      </c>
      <c r="B5" s="40" t="s">
        <v>64</v>
      </c>
      <c r="C5" s="41" t="s">
        <v>65</v>
      </c>
      <c r="D5" s="42">
        <v>45153</v>
      </c>
      <c r="E5" s="38" t="str">
        <f t="shared" ref="E5:E10" si="0">_xlfn.XLOOKUP(LEFT(B5,2),$A$15:$A$18,$B$15:$B$18)</f>
        <v>Jakarta - Surabaya</v>
      </c>
      <c r="F5" s="38" t="str">
        <f t="shared" ref="F5:F10" si="1">_xlfn.XLOOKUP(MID(B5,5,2),$G$14:$G$16,$H$14:$H$16)</f>
        <v>Eksekutif</v>
      </c>
      <c r="G5" s="39">
        <f t="shared" ref="G5:G10" si="2">VLOOKUP(E5,$B$15:$E$18,MATCH(F5,$B$14:$E$14,0),0)</f>
        <v>3000000</v>
      </c>
      <c r="H5" s="38" t="str">
        <f t="shared" ref="H5:H10" si="3">_xlfn.XLOOKUP(MID(B5,3,2),$B$21:$D$21,$B$22:$D$22)</f>
        <v>Paket YES</v>
      </c>
      <c r="I5" s="39">
        <f t="shared" ref="I5:I10" si="4">HLOOKUP(H5,$B$22:$D$23,2,0)</f>
        <v>50000</v>
      </c>
      <c r="J5" s="184">
        <f t="shared" ref="J5:J10" si="5">IF(D5&lt;DATE(2023,9,1), VLOOKUP(F5,$H$13:$I$16,2,0), 0)*G5</f>
        <v>150000</v>
      </c>
      <c r="K5" s="39">
        <f t="shared" ref="K5:K10" si="6">G5+I5-J5</f>
        <v>2900000</v>
      </c>
    </row>
    <row r="6" spans="1:11" x14ac:dyDescent="0.25">
      <c r="A6" s="40">
        <v>3</v>
      </c>
      <c r="B6" s="40" t="s">
        <v>66</v>
      </c>
      <c r="C6" s="41" t="s">
        <v>67</v>
      </c>
      <c r="D6" s="42">
        <v>45169</v>
      </c>
      <c r="E6" s="38" t="str">
        <f t="shared" si="0"/>
        <v>Jakarta - Bandung</v>
      </c>
      <c r="F6" s="38" t="str">
        <f t="shared" si="1"/>
        <v>Bisnis</v>
      </c>
      <c r="G6" s="39">
        <f t="shared" si="2"/>
        <v>750000</v>
      </c>
      <c r="H6" s="38" t="str">
        <f t="shared" si="3"/>
        <v>Paket OK</v>
      </c>
      <c r="I6" s="39">
        <f t="shared" si="4"/>
        <v>35000</v>
      </c>
      <c r="J6" s="184">
        <f t="shared" si="5"/>
        <v>30000</v>
      </c>
      <c r="K6" s="39">
        <f t="shared" si="6"/>
        <v>755000</v>
      </c>
    </row>
    <row r="7" spans="1:11" x14ac:dyDescent="0.25">
      <c r="A7" s="40">
        <v>4</v>
      </c>
      <c r="B7" s="40" t="s">
        <v>68</v>
      </c>
      <c r="C7" s="41" t="s">
        <v>69</v>
      </c>
      <c r="D7" s="42">
        <v>45174</v>
      </c>
      <c r="E7" s="38" t="str">
        <f t="shared" si="0"/>
        <v>Jakarta - Surabaya</v>
      </c>
      <c r="F7" s="38" t="str">
        <f t="shared" si="1"/>
        <v>Ekonomi</v>
      </c>
      <c r="G7" s="39">
        <f t="shared" si="2"/>
        <v>2000000</v>
      </c>
      <c r="H7" s="38" t="str">
        <f t="shared" si="3"/>
        <v>Paket HORE</v>
      </c>
      <c r="I7" s="39">
        <f t="shared" si="4"/>
        <v>75000</v>
      </c>
      <c r="J7" s="184">
        <f t="shared" si="5"/>
        <v>0</v>
      </c>
      <c r="K7" s="39">
        <f t="shared" si="6"/>
        <v>2075000</v>
      </c>
    </row>
    <row r="8" spans="1:11" x14ac:dyDescent="0.25">
      <c r="A8" s="40">
        <v>5</v>
      </c>
      <c r="B8" s="40" t="s">
        <v>70</v>
      </c>
      <c r="C8" s="41" t="s">
        <v>71</v>
      </c>
      <c r="D8" s="42">
        <v>45161</v>
      </c>
      <c r="E8" s="38" t="str">
        <f t="shared" si="0"/>
        <v>Jakarta - Yogyakarta</v>
      </c>
      <c r="F8" s="38" t="str">
        <f t="shared" si="1"/>
        <v>Bisnis</v>
      </c>
      <c r="G8" s="39">
        <f t="shared" si="2"/>
        <v>2000000</v>
      </c>
      <c r="H8" s="38" t="str">
        <f t="shared" si="3"/>
        <v>Paket YES</v>
      </c>
      <c r="I8" s="39">
        <f t="shared" si="4"/>
        <v>50000</v>
      </c>
      <c r="J8" s="184">
        <f t="shared" si="5"/>
        <v>80000</v>
      </c>
      <c r="K8" s="39">
        <f t="shared" si="6"/>
        <v>1970000</v>
      </c>
    </row>
    <row r="9" spans="1:11" x14ac:dyDescent="0.25">
      <c r="A9" s="40">
        <v>6</v>
      </c>
      <c r="B9" s="40" t="s">
        <v>72</v>
      </c>
      <c r="C9" s="41" t="s">
        <v>73</v>
      </c>
      <c r="D9" s="42">
        <v>45180</v>
      </c>
      <c r="E9" s="38" t="str">
        <f t="shared" si="0"/>
        <v>Jakarta - Bandung</v>
      </c>
      <c r="F9" s="38" t="str">
        <f t="shared" si="1"/>
        <v>Ekonomi</v>
      </c>
      <c r="G9" s="39">
        <f t="shared" si="2"/>
        <v>500000</v>
      </c>
      <c r="H9" s="38" t="str">
        <f t="shared" si="3"/>
        <v>Paket HORE</v>
      </c>
      <c r="I9" s="39">
        <f t="shared" si="4"/>
        <v>75000</v>
      </c>
      <c r="J9" s="184">
        <f t="shared" si="5"/>
        <v>0</v>
      </c>
      <c r="K9" s="39">
        <f t="shared" si="6"/>
        <v>575000</v>
      </c>
    </row>
    <row r="10" spans="1:11" x14ac:dyDescent="0.25">
      <c r="A10" s="40">
        <v>7</v>
      </c>
      <c r="B10" s="40" t="s">
        <v>74</v>
      </c>
      <c r="C10" s="41" t="s">
        <v>75</v>
      </c>
      <c r="D10" s="42">
        <v>45168</v>
      </c>
      <c r="E10" s="38" t="str">
        <f t="shared" si="0"/>
        <v>Jakarta - Surabaya</v>
      </c>
      <c r="F10" s="38" t="str">
        <f t="shared" si="1"/>
        <v>Bisnis</v>
      </c>
      <c r="G10" s="39">
        <f t="shared" si="2"/>
        <v>2500000</v>
      </c>
      <c r="H10" s="38" t="str">
        <f t="shared" si="3"/>
        <v>Paket YES</v>
      </c>
      <c r="I10" s="39">
        <f t="shared" si="4"/>
        <v>50000</v>
      </c>
      <c r="J10" s="184">
        <f t="shared" si="5"/>
        <v>100000</v>
      </c>
      <c r="K10" s="39">
        <f t="shared" si="6"/>
        <v>2450000</v>
      </c>
    </row>
    <row r="12" spans="1:11" x14ac:dyDescent="0.25">
      <c r="A12" s="43" t="s">
        <v>76</v>
      </c>
      <c r="G12" s="44" t="s">
        <v>77</v>
      </c>
    </row>
    <row r="13" spans="1:11" x14ac:dyDescent="0.25">
      <c r="A13" s="217" t="s">
        <v>78</v>
      </c>
      <c r="B13" s="217" t="s">
        <v>79</v>
      </c>
      <c r="C13" s="227" t="s">
        <v>80</v>
      </c>
      <c r="D13" s="228"/>
      <c r="E13" s="229"/>
      <c r="G13" s="31" t="s">
        <v>3</v>
      </c>
      <c r="H13" s="45" t="s">
        <v>56</v>
      </c>
      <c r="I13" s="45" t="s">
        <v>60</v>
      </c>
    </row>
    <row r="14" spans="1:11" x14ac:dyDescent="0.25">
      <c r="A14" s="226"/>
      <c r="B14" s="226"/>
      <c r="C14" s="31" t="s">
        <v>81</v>
      </c>
      <c r="D14" s="31" t="s">
        <v>82</v>
      </c>
      <c r="E14" s="31" t="s">
        <v>83</v>
      </c>
      <c r="G14" s="40" t="s">
        <v>84</v>
      </c>
      <c r="H14" s="46" t="s">
        <v>81</v>
      </c>
      <c r="I14" s="46">
        <v>0.03</v>
      </c>
    </row>
    <row r="15" spans="1:11" x14ac:dyDescent="0.25">
      <c r="A15" s="47" t="s">
        <v>85</v>
      </c>
      <c r="B15" s="48" t="s">
        <v>86</v>
      </c>
      <c r="C15" s="49">
        <v>2000000</v>
      </c>
      <c r="D15" s="49">
        <v>2500000</v>
      </c>
      <c r="E15" s="49">
        <v>3000000</v>
      </c>
      <c r="G15" s="40" t="s">
        <v>87</v>
      </c>
      <c r="H15" s="46" t="s">
        <v>82</v>
      </c>
      <c r="I15" s="46">
        <v>0.04</v>
      </c>
    </row>
    <row r="16" spans="1:11" x14ac:dyDescent="0.25">
      <c r="A16" s="47" t="s">
        <v>88</v>
      </c>
      <c r="B16" s="48" t="s">
        <v>89</v>
      </c>
      <c r="C16" s="49">
        <v>1500000</v>
      </c>
      <c r="D16" s="49">
        <v>2000000</v>
      </c>
      <c r="E16" s="49">
        <v>2500000</v>
      </c>
      <c r="G16" s="40" t="s">
        <v>90</v>
      </c>
      <c r="H16" s="46" t="s">
        <v>83</v>
      </c>
      <c r="I16" s="46">
        <v>0.05</v>
      </c>
    </row>
    <row r="17" spans="1:8" x14ac:dyDescent="0.25">
      <c r="A17" s="47" t="s">
        <v>91</v>
      </c>
      <c r="B17" s="48" t="s">
        <v>92</v>
      </c>
      <c r="C17" s="49">
        <v>500000</v>
      </c>
      <c r="D17" s="49">
        <v>750000</v>
      </c>
      <c r="E17" s="49">
        <v>1000000</v>
      </c>
    </row>
    <row r="18" spans="1:8" x14ac:dyDescent="0.25">
      <c r="A18" s="47" t="s">
        <v>93</v>
      </c>
      <c r="B18" s="48" t="s">
        <v>94</v>
      </c>
      <c r="C18" s="49">
        <v>2500000</v>
      </c>
      <c r="D18" s="49">
        <v>3000000</v>
      </c>
      <c r="E18" s="49">
        <v>3500000</v>
      </c>
    </row>
    <row r="20" spans="1:8" x14ac:dyDescent="0.25">
      <c r="A20" s="44" t="s">
        <v>95</v>
      </c>
    </row>
    <row r="21" spans="1:8" x14ac:dyDescent="0.25">
      <c r="A21" s="50" t="s">
        <v>78</v>
      </c>
      <c r="B21" s="41" t="s">
        <v>96</v>
      </c>
      <c r="C21" s="41" t="s">
        <v>97</v>
      </c>
      <c r="D21" s="41" t="s">
        <v>98</v>
      </c>
    </row>
    <row r="22" spans="1:8" x14ac:dyDescent="0.25">
      <c r="A22" s="50" t="s">
        <v>99</v>
      </c>
      <c r="B22" s="41" t="s">
        <v>100</v>
      </c>
      <c r="C22" s="41" t="s">
        <v>101</v>
      </c>
      <c r="D22" s="41" t="s">
        <v>102</v>
      </c>
    </row>
    <row r="23" spans="1:8" x14ac:dyDescent="0.25">
      <c r="A23" s="50" t="s">
        <v>103</v>
      </c>
      <c r="B23" s="51">
        <v>35000</v>
      </c>
      <c r="C23" s="51">
        <v>50000</v>
      </c>
      <c r="D23" s="51">
        <v>75000</v>
      </c>
    </row>
    <row r="25" spans="1:8" x14ac:dyDescent="0.25">
      <c r="A25" s="230" t="s">
        <v>104</v>
      </c>
      <c r="B25" s="231"/>
      <c r="C25" s="231"/>
      <c r="D25" s="231"/>
      <c r="E25" s="231"/>
      <c r="F25" s="231"/>
      <c r="G25" s="231"/>
      <c r="H25" s="232"/>
    </row>
    <row r="26" spans="1:8" x14ac:dyDescent="0.25">
      <c r="A26" s="233" t="s">
        <v>105</v>
      </c>
      <c r="B26" s="234"/>
      <c r="C26" s="234"/>
      <c r="D26" s="234"/>
      <c r="E26" s="234"/>
      <c r="F26" s="234"/>
      <c r="G26" s="234"/>
      <c r="H26" s="235"/>
    </row>
    <row r="27" spans="1:8" x14ac:dyDescent="0.25">
      <c r="A27" s="219" t="s">
        <v>106</v>
      </c>
      <c r="B27" s="220"/>
      <c r="C27" s="220"/>
      <c r="D27" s="220"/>
      <c r="E27" s="220"/>
      <c r="F27" s="220"/>
      <c r="G27" s="220"/>
      <c r="H27" s="221"/>
    </row>
    <row r="28" spans="1:8" x14ac:dyDescent="0.25">
      <c r="A28" s="219" t="s">
        <v>107</v>
      </c>
      <c r="B28" s="220"/>
      <c r="C28" s="220"/>
      <c r="D28" s="220"/>
      <c r="E28" s="220"/>
      <c r="F28" s="220"/>
      <c r="G28" s="220"/>
      <c r="H28" s="221"/>
    </row>
    <row r="29" spans="1:8" x14ac:dyDescent="0.25">
      <c r="A29" s="219" t="s">
        <v>108</v>
      </c>
      <c r="B29" s="220"/>
      <c r="C29" s="220"/>
      <c r="D29" s="220"/>
      <c r="E29" s="220"/>
      <c r="F29" s="220"/>
      <c r="G29" s="220"/>
      <c r="H29" s="221"/>
    </row>
    <row r="30" spans="1:8" x14ac:dyDescent="0.25">
      <c r="A30" s="219" t="s">
        <v>109</v>
      </c>
      <c r="B30" s="220"/>
      <c r="C30" s="220"/>
      <c r="D30" s="220"/>
      <c r="E30" s="220"/>
      <c r="F30" s="220"/>
      <c r="G30" s="220"/>
      <c r="H30" s="221"/>
    </row>
    <row r="31" spans="1:8" x14ac:dyDescent="0.25">
      <c r="A31" s="222" t="s">
        <v>110</v>
      </c>
      <c r="B31" s="223"/>
      <c r="C31" s="223"/>
      <c r="D31" s="223"/>
      <c r="E31" s="223"/>
      <c r="F31" s="223"/>
      <c r="G31" s="223"/>
      <c r="H31" s="224"/>
    </row>
  </sheetData>
  <mergeCells count="11">
    <mergeCell ref="A26:H26"/>
    <mergeCell ref="A1:K1"/>
    <mergeCell ref="A13:A14"/>
    <mergeCell ref="B13:B14"/>
    <mergeCell ref="C13:E13"/>
    <mergeCell ref="A25:H25"/>
    <mergeCell ref="A27:H27"/>
    <mergeCell ref="A28:H28"/>
    <mergeCell ref="A29:H29"/>
    <mergeCell ref="A30:H30"/>
    <mergeCell ref="A31:H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I44" sqref="I44"/>
    </sheetView>
  </sheetViews>
  <sheetFormatPr defaultRowHeight="12.75" x14ac:dyDescent="0.2"/>
  <cols>
    <col min="1" max="1" width="7.42578125" style="52" customWidth="1"/>
    <col min="2" max="2" width="10.42578125" style="52" customWidth="1"/>
    <col min="3" max="3" width="12" style="52" customWidth="1"/>
    <col min="4" max="4" width="8.85546875" style="52" customWidth="1"/>
    <col min="5" max="7" width="14.5703125" style="52" customWidth="1"/>
    <col min="8" max="8" width="5.5703125" style="52" customWidth="1"/>
    <col min="9" max="9" width="6.42578125" style="52" customWidth="1"/>
    <col min="10" max="12" width="13.140625" style="52" customWidth="1"/>
    <col min="13" max="16384" width="9.140625" style="52"/>
  </cols>
  <sheetData>
    <row r="1" spans="1:12" ht="21" x14ac:dyDescent="0.35">
      <c r="A1" s="250" t="s">
        <v>111</v>
      </c>
      <c r="B1" s="250"/>
      <c r="C1" s="250"/>
      <c r="D1" s="250"/>
      <c r="E1" s="250"/>
      <c r="F1" s="250"/>
      <c r="G1" s="250"/>
    </row>
    <row r="2" spans="1:12" ht="13.5" thickBot="1" x14ac:dyDescent="0.25">
      <c r="A2" s="251" t="s">
        <v>112</v>
      </c>
      <c r="B2" s="251"/>
      <c r="C2" s="251"/>
      <c r="D2" s="251"/>
      <c r="E2" s="251"/>
      <c r="F2" s="251"/>
      <c r="G2" s="251"/>
    </row>
    <row r="3" spans="1:12" ht="13.5" thickTop="1" x14ac:dyDescent="0.2">
      <c r="A3" s="53"/>
      <c r="B3" s="53"/>
      <c r="C3" s="53"/>
      <c r="D3" s="53"/>
      <c r="E3" s="53"/>
      <c r="F3" s="53"/>
      <c r="G3" s="53"/>
      <c r="I3" s="54" t="s">
        <v>76</v>
      </c>
      <c r="J3" s="54"/>
      <c r="K3" s="54"/>
    </row>
    <row r="4" spans="1:12" x14ac:dyDescent="0.2">
      <c r="A4" s="252" t="s">
        <v>113</v>
      </c>
      <c r="B4" s="252" t="s">
        <v>114</v>
      </c>
      <c r="C4" s="252" t="s">
        <v>115</v>
      </c>
      <c r="D4" s="252" t="s">
        <v>116</v>
      </c>
      <c r="E4" s="252" t="s">
        <v>117</v>
      </c>
      <c r="F4" s="252" t="s">
        <v>60</v>
      </c>
      <c r="G4" s="252" t="s">
        <v>118</v>
      </c>
      <c r="I4" s="239" t="s">
        <v>119</v>
      </c>
      <c r="J4" s="241" t="s">
        <v>120</v>
      </c>
      <c r="K4" s="242"/>
      <c r="L4" s="243"/>
    </row>
    <row r="5" spans="1:12" ht="13.5" thickBot="1" x14ac:dyDescent="0.25">
      <c r="A5" s="253"/>
      <c r="B5" s="253"/>
      <c r="C5" s="253"/>
      <c r="D5" s="253"/>
      <c r="E5" s="253"/>
      <c r="F5" s="253"/>
      <c r="G5" s="253"/>
      <c r="I5" s="240"/>
      <c r="J5" s="55" t="s">
        <v>121</v>
      </c>
      <c r="K5" s="55" t="s">
        <v>122</v>
      </c>
      <c r="L5" s="55" t="s">
        <v>123</v>
      </c>
    </row>
    <row r="6" spans="1:12" ht="13.5" thickTop="1" x14ac:dyDescent="0.2">
      <c r="A6" s="56" t="s">
        <v>124</v>
      </c>
      <c r="B6" s="57" t="s">
        <v>125</v>
      </c>
      <c r="C6" s="58" t="str">
        <f>CHOOSE(MATCH(LEFT(A6,1),{"S","M","B"},0),"Sedan","Minibus","Bak Terbuka")</f>
        <v>Sedan</v>
      </c>
      <c r="D6" s="56">
        <v>2</v>
      </c>
      <c r="E6" s="59">
        <f>VLOOKUP(MID(A6,2,1),$I$6:$L$8,IF(C6="Sedan",2,IF(C6="Minibus",3,4)),0)*D6</f>
        <v>1000000</v>
      </c>
      <c r="F6" s="185">
        <f>IF(D6&gt;=3,_xlfn.XLOOKUP(LEFT(A6,1),$J$12:$K$12,$J$13:$K$13,0),0)*E6</f>
        <v>0</v>
      </c>
      <c r="G6" s="186">
        <f>E6-F6</f>
        <v>1000000</v>
      </c>
      <c r="I6" s="60" t="s">
        <v>126</v>
      </c>
      <c r="J6" s="61">
        <v>500000</v>
      </c>
      <c r="K6" s="61">
        <v>650000</v>
      </c>
      <c r="L6" s="61">
        <v>400000</v>
      </c>
    </row>
    <row r="7" spans="1:12" x14ac:dyDescent="0.2">
      <c r="A7" s="62" t="s">
        <v>127</v>
      </c>
      <c r="B7" s="52" t="s">
        <v>128</v>
      </c>
      <c r="C7" s="58" t="str">
        <f>CHOOSE(MATCH(LEFT(A7,1),{"S","M","B"},0),"Sedan","Minibus","Bak Terbuka")</f>
        <v>Minibus</v>
      </c>
      <c r="D7" s="62">
        <v>4</v>
      </c>
      <c r="E7" s="59">
        <f t="shared" ref="E7:E10" si="0">VLOOKUP(MID(A7,2,1),$I$6:$L$8,IF(C7="Sedan",2,IF(C7="Minibus",3,4)),0)*D7</f>
        <v>2000000</v>
      </c>
      <c r="F7" s="185">
        <f t="shared" ref="F7:F10" si="1">IF(D7&gt;=3,_xlfn.XLOOKUP(LEFT(A7,1),$J$12:$K$12,$J$13:$K$13,0),0)*E7</f>
        <v>100000</v>
      </c>
      <c r="G7" s="186">
        <f t="shared" ref="G7:G10" si="2">E7-F7</f>
        <v>1900000</v>
      </c>
      <c r="I7" s="60" t="s">
        <v>129</v>
      </c>
      <c r="J7" s="61">
        <v>400000</v>
      </c>
      <c r="K7" s="61">
        <v>500000</v>
      </c>
      <c r="L7" s="61">
        <v>300000</v>
      </c>
    </row>
    <row r="8" spans="1:12" x14ac:dyDescent="0.2">
      <c r="A8" s="62" t="s">
        <v>130</v>
      </c>
      <c r="B8" s="63" t="s">
        <v>131</v>
      </c>
      <c r="C8" s="58" t="str">
        <f>CHOOSE(MATCH(LEFT(A8,1),{"S","M","B"},0),"Sedan","Minibus","Bak Terbuka")</f>
        <v>Sedan</v>
      </c>
      <c r="D8" s="62">
        <v>3</v>
      </c>
      <c r="E8" s="59">
        <f t="shared" si="0"/>
        <v>1200000</v>
      </c>
      <c r="F8" s="185">
        <f t="shared" si="1"/>
        <v>120000</v>
      </c>
      <c r="G8" s="186">
        <f t="shared" si="2"/>
        <v>1080000</v>
      </c>
      <c r="I8" s="60" t="s">
        <v>132</v>
      </c>
      <c r="J8" s="61">
        <v>300000</v>
      </c>
      <c r="K8" s="61">
        <v>200000</v>
      </c>
      <c r="L8" s="61">
        <v>200000</v>
      </c>
    </row>
    <row r="9" spans="1:12" x14ac:dyDescent="0.2">
      <c r="A9" s="62" t="s">
        <v>133</v>
      </c>
      <c r="B9" s="63" t="s">
        <v>134</v>
      </c>
      <c r="C9" s="58" t="str">
        <f>CHOOSE(MATCH(LEFT(A9,1),{"S","M","B"},0),"Sedan","Minibus","Bak Terbuka")</f>
        <v>Minibus</v>
      </c>
      <c r="D9" s="62">
        <v>1</v>
      </c>
      <c r="E9" s="59">
        <f t="shared" si="0"/>
        <v>200000</v>
      </c>
      <c r="F9" s="185">
        <f t="shared" si="1"/>
        <v>0</v>
      </c>
      <c r="G9" s="186">
        <f t="shared" si="2"/>
        <v>200000</v>
      </c>
    </row>
    <row r="10" spans="1:12" x14ac:dyDescent="0.2">
      <c r="A10" s="64" t="s">
        <v>135</v>
      </c>
      <c r="B10" s="63" t="s">
        <v>136</v>
      </c>
      <c r="C10" s="58" t="str">
        <f>CHOOSE(MATCH(LEFT(A10,1),{"S","M","B"},0),"Sedan","Minibus","Bak Terbuka")</f>
        <v>Bak Terbuka</v>
      </c>
      <c r="D10" s="62">
        <v>5</v>
      </c>
      <c r="E10" s="59">
        <f t="shared" si="0"/>
        <v>1000000</v>
      </c>
      <c r="F10" s="185">
        <f t="shared" si="1"/>
        <v>0</v>
      </c>
      <c r="G10" s="186">
        <f t="shared" si="2"/>
        <v>1000000</v>
      </c>
    </row>
    <row r="11" spans="1:12" x14ac:dyDescent="0.2">
      <c r="A11" s="241" t="s">
        <v>39</v>
      </c>
      <c r="B11" s="242"/>
      <c r="C11" s="242"/>
      <c r="D11" s="242"/>
      <c r="E11" s="243"/>
      <c r="F11" s="65"/>
      <c r="G11" s="66">
        <f>SUM(G6:G10)</f>
        <v>5180000</v>
      </c>
      <c r="I11" s="54" t="s">
        <v>137</v>
      </c>
      <c r="J11" s="54"/>
      <c r="K11" s="54"/>
    </row>
    <row r="12" spans="1:12" x14ac:dyDescent="0.2">
      <c r="I12" s="55" t="s">
        <v>78</v>
      </c>
      <c r="J12" s="62" t="s">
        <v>138</v>
      </c>
      <c r="K12" s="62" t="s">
        <v>139</v>
      </c>
    </row>
    <row r="13" spans="1:12" ht="13.5" thickBot="1" x14ac:dyDescent="0.25">
      <c r="A13" s="67" t="s">
        <v>140</v>
      </c>
      <c r="I13" s="55" t="s">
        <v>141</v>
      </c>
      <c r="J13" s="68">
        <v>0.1</v>
      </c>
      <c r="K13" s="68">
        <v>0.05</v>
      </c>
    </row>
    <row r="14" spans="1:12" x14ac:dyDescent="0.2">
      <c r="A14" s="244" t="s">
        <v>142</v>
      </c>
      <c r="B14" s="245"/>
      <c r="C14" s="245"/>
      <c r="D14" s="245"/>
      <c r="E14" s="245"/>
      <c r="F14" s="245"/>
      <c r="G14" s="246"/>
    </row>
    <row r="15" spans="1:12" x14ac:dyDescent="0.2">
      <c r="A15" s="247" t="s">
        <v>143</v>
      </c>
      <c r="B15" s="248"/>
      <c r="C15" s="248"/>
      <c r="D15" s="248"/>
      <c r="E15" s="248"/>
      <c r="F15" s="248"/>
      <c r="G15" s="249"/>
    </row>
    <row r="16" spans="1:12" x14ac:dyDescent="0.2">
      <c r="A16" s="247" t="s">
        <v>144</v>
      </c>
      <c r="B16" s="248"/>
      <c r="C16" s="248"/>
      <c r="D16" s="248"/>
      <c r="E16" s="248"/>
      <c r="F16" s="248"/>
      <c r="G16" s="249"/>
    </row>
    <row r="17" spans="1:7" ht="13.5" thickBot="1" x14ac:dyDescent="0.25">
      <c r="A17" s="236" t="s">
        <v>145</v>
      </c>
      <c r="B17" s="237"/>
      <c r="C17" s="237"/>
      <c r="D17" s="237"/>
      <c r="E17" s="237"/>
      <c r="F17" s="237"/>
      <c r="G17" s="238"/>
    </row>
    <row r="19" spans="1:7" x14ac:dyDescent="0.2">
      <c r="A19" s="69"/>
      <c r="B19" s="70"/>
      <c r="C19" s="70"/>
    </row>
    <row r="20" spans="1:7" x14ac:dyDescent="0.2">
      <c r="D20" s="71"/>
    </row>
  </sheetData>
  <mergeCells count="16">
    <mergeCell ref="A1:G1"/>
    <mergeCell ref="A2:G2"/>
    <mergeCell ref="A4:A5"/>
    <mergeCell ref="B4:B5"/>
    <mergeCell ref="C4:C5"/>
    <mergeCell ref="D4:D5"/>
    <mergeCell ref="E4:E5"/>
    <mergeCell ref="F4:F5"/>
    <mergeCell ref="G4:G5"/>
    <mergeCell ref="A17:G17"/>
    <mergeCell ref="I4:I5"/>
    <mergeCell ref="J4:L4"/>
    <mergeCell ref="A11:E11"/>
    <mergeCell ref="A14:G14"/>
    <mergeCell ref="A15:G15"/>
    <mergeCell ref="A16:G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6233-6B25-4C7D-BF11-99F526CE4706}">
  <dimension ref="A1:O27"/>
  <sheetViews>
    <sheetView workbookViewId="0">
      <selection activeCell="L15" sqref="L15"/>
    </sheetView>
  </sheetViews>
  <sheetFormatPr defaultRowHeight="15" x14ac:dyDescent="0.25"/>
  <cols>
    <col min="1" max="1" width="10.5703125" customWidth="1"/>
    <col min="2" max="2" width="16.28515625" customWidth="1"/>
    <col min="3" max="4" width="14.42578125" customWidth="1"/>
    <col min="5" max="5" width="13.42578125" customWidth="1"/>
    <col min="6" max="7" width="13.85546875" customWidth="1"/>
    <col min="8" max="9" width="13.28515625" customWidth="1"/>
    <col min="10" max="12" width="14.85546875" customWidth="1"/>
    <col min="13" max="13" width="13.85546875" customWidth="1"/>
    <col min="14" max="14" width="15.28515625" bestFit="1" customWidth="1"/>
  </cols>
  <sheetData>
    <row r="1" spans="1:15" ht="16.5" thickBot="1" x14ac:dyDescent="0.3">
      <c r="A1" s="254" t="s">
        <v>146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</row>
    <row r="2" spans="1:15" x14ac:dyDescent="0.25">
      <c r="N2" s="72" t="s">
        <v>147</v>
      </c>
      <c r="O2" s="73" t="s">
        <v>148</v>
      </c>
    </row>
    <row r="3" spans="1:15" x14ac:dyDescent="0.25">
      <c r="A3" s="45" t="s">
        <v>149</v>
      </c>
      <c r="B3" s="45" t="s">
        <v>150</v>
      </c>
      <c r="C3" s="45" t="s">
        <v>147</v>
      </c>
      <c r="D3" s="45" t="s">
        <v>151</v>
      </c>
      <c r="E3" s="45" t="s">
        <v>152</v>
      </c>
      <c r="F3" s="45" t="s">
        <v>153</v>
      </c>
      <c r="G3" s="45" t="s">
        <v>154</v>
      </c>
      <c r="H3" s="45" t="s">
        <v>155</v>
      </c>
      <c r="I3" s="45" t="s">
        <v>156</v>
      </c>
      <c r="J3" s="45" t="s">
        <v>157</v>
      </c>
      <c r="K3" s="45" t="s">
        <v>158</v>
      </c>
      <c r="L3" s="45" t="s">
        <v>159</v>
      </c>
      <c r="N3" s="72" t="s">
        <v>151</v>
      </c>
      <c r="O3" s="73" t="s">
        <v>160</v>
      </c>
    </row>
    <row r="4" spans="1:15" x14ac:dyDescent="0.25">
      <c r="A4" s="40">
        <v>1</v>
      </c>
      <c r="B4" s="40" t="s">
        <v>161</v>
      </c>
      <c r="C4" s="48" t="str">
        <f>_xlfn.XLOOKUP(LEFT(B4,2),$A$19:$A$25,$B$19:$B$25)</f>
        <v>Pesona Bahari</v>
      </c>
      <c r="D4" s="48" t="str">
        <f>_xlfn.XLOOKUP(MID(B4,3,1),$D$19:$D$22,$E$19:$E$22)</f>
        <v>Pelabuhan 1</v>
      </c>
      <c r="E4" s="48" t="str">
        <f>_xlfn.XLOOKUP(MID(B4,3,1),$D$19:$D$22,$F$19:$F$22)</f>
        <v>Randhika</v>
      </c>
      <c r="F4" s="48" t="str">
        <f>_xlfn.XLOOKUP(RIGHT(B4,4),$B$13:$E$13,$B$14:$E$14)</f>
        <v>Jakarta</v>
      </c>
      <c r="G4" s="48" t="str">
        <f>_xlfn.XLOOKUP(RIGHT(B4,4),$B$13:$E$13,$B$15:$E$15)</f>
        <v>Surabaya</v>
      </c>
      <c r="H4" s="74" t="str">
        <f>_xlfn.XLOOKUP(MID(B4,5,2),$H$19:$H$26,$I$19:$I$26)</f>
        <v>Batubara</v>
      </c>
      <c r="I4" s="74" t="str">
        <f>_xlfn.XLOOKUP(MID(B4,7,2),$H$19:$H$26,$I$19:$I$26)</f>
        <v>Pasir Kuarsa</v>
      </c>
      <c r="J4" s="75">
        <f>_xlfn.XLOOKUP(H4,$I$19:$I$26,$J$19:$J$26)</f>
        <v>350000</v>
      </c>
      <c r="K4" s="75">
        <f>_xlfn.XLOOKUP(I4,$I$19:$I$26,$K$19:$K$26)</f>
        <v>450000</v>
      </c>
      <c r="L4" s="76">
        <f>SUM(J4:K4)</f>
        <v>800000</v>
      </c>
      <c r="N4" s="72" t="s">
        <v>152</v>
      </c>
      <c r="O4" s="73" t="s">
        <v>160</v>
      </c>
    </row>
    <row r="5" spans="1:15" x14ac:dyDescent="0.25">
      <c r="A5" s="40">
        <v>2</v>
      </c>
      <c r="B5" s="40" t="s">
        <v>162</v>
      </c>
      <c r="C5" s="48" t="str">
        <f t="shared" ref="C5:C10" si="0">_xlfn.XLOOKUP(LEFT(B5,2),$A$19:$A$25,$B$19:$B$25)</f>
        <v>Tanjung Karang</v>
      </c>
      <c r="D5" s="48" t="str">
        <f t="shared" ref="D5:D10" si="1">_xlfn.XLOOKUP(MID(B5,3,1),$D$19:$D$22,$E$19:$E$22)</f>
        <v>Pelabuhan 3</v>
      </c>
      <c r="E5" s="48" t="str">
        <f t="shared" ref="E5:E10" si="2">_xlfn.XLOOKUP(MID(B5,3,1),$D$19:$D$22,$F$19:$F$22)</f>
        <v>Ferdianto</v>
      </c>
      <c r="F5" s="48" t="str">
        <f t="shared" ref="F5:F10" si="3">_xlfn.XLOOKUP(RIGHT(B5,4),$B$13:$E$13,$B$14:$E$14)</f>
        <v>Surabaya</v>
      </c>
      <c r="G5" s="48" t="str">
        <f t="shared" ref="G5:G10" si="4">_xlfn.XLOOKUP(RIGHT(B5,4),$B$13:$E$13,$B$15:$E$15)</f>
        <v>Singapura</v>
      </c>
      <c r="H5" s="74" t="str">
        <f t="shared" ref="H5:H10" si="5">_xlfn.XLOOKUP(MID(B5,5,2),$H$19:$H$26,$I$19:$I$26)</f>
        <v>Beras</v>
      </c>
      <c r="I5" s="74" t="str">
        <f t="shared" ref="I5:I10" si="6">_xlfn.XLOOKUP(MID(B5,7,2),$H$19:$H$26,$I$19:$I$26)</f>
        <v>Pupuk</v>
      </c>
      <c r="J5" s="75">
        <f t="shared" ref="J5:J10" si="7">_xlfn.XLOOKUP(H5,$I$19:$I$26,$J$19:$J$26)</f>
        <v>400000</v>
      </c>
      <c r="K5" s="75">
        <f t="shared" ref="K5:K10" si="8">_xlfn.XLOOKUP(I5,$I$19:$I$26,$K$19:$K$26)</f>
        <v>500000</v>
      </c>
      <c r="L5" s="76">
        <f t="shared" ref="L5:L10" si="9">SUM(J5:K5)</f>
        <v>900000</v>
      </c>
      <c r="N5" s="72" t="s">
        <v>153</v>
      </c>
      <c r="O5" s="73" t="s">
        <v>163</v>
      </c>
    </row>
    <row r="6" spans="1:15" x14ac:dyDescent="0.25">
      <c r="A6" s="40">
        <v>3</v>
      </c>
      <c r="B6" s="40" t="s">
        <v>164</v>
      </c>
      <c r="C6" s="48" t="str">
        <f t="shared" si="0"/>
        <v>Nyiur Hijau</v>
      </c>
      <c r="D6" s="48" t="str">
        <f t="shared" si="1"/>
        <v>Pelabuhan 2</v>
      </c>
      <c r="E6" s="48" t="str">
        <f t="shared" si="2"/>
        <v>Ardhana</v>
      </c>
      <c r="F6" s="48" t="str">
        <f t="shared" si="3"/>
        <v>Medan</v>
      </c>
      <c r="G6" s="48" t="str">
        <f t="shared" si="4"/>
        <v>Padang</v>
      </c>
      <c r="H6" s="74" t="str">
        <f t="shared" si="5"/>
        <v>Beras</v>
      </c>
      <c r="I6" s="74" t="str">
        <f t="shared" si="6"/>
        <v>Mobil</v>
      </c>
      <c r="J6" s="75">
        <f t="shared" si="7"/>
        <v>400000</v>
      </c>
      <c r="K6" s="75">
        <f t="shared" si="8"/>
        <v>600000</v>
      </c>
      <c r="L6" s="76">
        <f t="shared" si="9"/>
        <v>1000000</v>
      </c>
      <c r="N6" s="72" t="s">
        <v>154</v>
      </c>
      <c r="O6" s="73" t="s">
        <v>163</v>
      </c>
    </row>
    <row r="7" spans="1:15" x14ac:dyDescent="0.25">
      <c r="A7" s="40">
        <v>4</v>
      </c>
      <c r="B7" s="40" t="s">
        <v>165</v>
      </c>
      <c r="C7" s="48" t="str">
        <f t="shared" si="0"/>
        <v>Biru Langit</v>
      </c>
      <c r="D7" s="48" t="str">
        <f t="shared" si="1"/>
        <v>Pelabuhan 1</v>
      </c>
      <c r="E7" s="48" t="str">
        <f t="shared" si="2"/>
        <v>Randhika</v>
      </c>
      <c r="F7" s="48" t="str">
        <f t="shared" si="3"/>
        <v>Jakarta</v>
      </c>
      <c r="G7" s="48" t="str">
        <f t="shared" si="4"/>
        <v>Surabaya</v>
      </c>
      <c r="H7" s="74" t="str">
        <f t="shared" si="5"/>
        <v>Semen</v>
      </c>
      <c r="I7" s="74" t="str">
        <f t="shared" si="6"/>
        <v>CPO</v>
      </c>
      <c r="J7" s="75">
        <f t="shared" si="7"/>
        <v>450000</v>
      </c>
      <c r="K7" s="75">
        <f t="shared" si="8"/>
        <v>550000</v>
      </c>
      <c r="L7" s="76">
        <f t="shared" si="9"/>
        <v>1000000</v>
      </c>
      <c r="N7" s="72" t="s">
        <v>155</v>
      </c>
      <c r="O7" s="73" t="s">
        <v>166</v>
      </c>
    </row>
    <row r="8" spans="1:15" x14ac:dyDescent="0.25">
      <c r="A8" s="40">
        <v>5</v>
      </c>
      <c r="B8" s="40" t="s">
        <v>167</v>
      </c>
      <c r="C8" s="48" t="str">
        <f t="shared" si="0"/>
        <v>Sabda Alam</v>
      </c>
      <c r="D8" s="48" t="str">
        <f t="shared" si="1"/>
        <v>Pelabuhan 3</v>
      </c>
      <c r="E8" s="48" t="str">
        <f t="shared" si="2"/>
        <v>Ferdianto</v>
      </c>
      <c r="F8" s="48" t="str">
        <f t="shared" si="3"/>
        <v>Belawan</v>
      </c>
      <c r="G8" s="48" t="str">
        <f t="shared" si="4"/>
        <v>Pekanbaru</v>
      </c>
      <c r="H8" s="74" t="str">
        <f t="shared" si="5"/>
        <v>Nikel</v>
      </c>
      <c r="I8" s="74" t="str">
        <f t="shared" si="6"/>
        <v>Batubara</v>
      </c>
      <c r="J8" s="75">
        <f t="shared" si="7"/>
        <v>550000</v>
      </c>
      <c r="K8" s="75">
        <f t="shared" si="8"/>
        <v>450000</v>
      </c>
      <c r="L8" s="76">
        <f t="shared" si="9"/>
        <v>1000000</v>
      </c>
      <c r="N8" s="72" t="s">
        <v>156</v>
      </c>
      <c r="O8" s="73" t="s">
        <v>168</v>
      </c>
    </row>
    <row r="9" spans="1:15" x14ac:dyDescent="0.25">
      <c r="A9" s="40">
        <v>6</v>
      </c>
      <c r="B9" s="40" t="s">
        <v>169</v>
      </c>
      <c r="C9" s="48" t="str">
        <f t="shared" si="0"/>
        <v>Era Baru</v>
      </c>
      <c r="D9" s="48" t="str">
        <f t="shared" si="1"/>
        <v>Pelabuhan 2</v>
      </c>
      <c r="E9" s="48" t="str">
        <f t="shared" si="2"/>
        <v>Ardhana</v>
      </c>
      <c r="F9" s="48" t="str">
        <f t="shared" si="3"/>
        <v>Medan</v>
      </c>
      <c r="G9" s="48" t="str">
        <f t="shared" si="4"/>
        <v>Padang</v>
      </c>
      <c r="H9" s="74" t="str">
        <f t="shared" si="5"/>
        <v>Pupuk</v>
      </c>
      <c r="I9" s="74" t="str">
        <f t="shared" si="6"/>
        <v>Semen</v>
      </c>
      <c r="J9" s="75">
        <f t="shared" si="7"/>
        <v>400000</v>
      </c>
      <c r="K9" s="75">
        <f t="shared" si="8"/>
        <v>550000</v>
      </c>
      <c r="L9" s="76">
        <f t="shared" si="9"/>
        <v>950000</v>
      </c>
      <c r="N9" s="72" t="s">
        <v>157</v>
      </c>
      <c r="O9" s="73" t="s">
        <v>166</v>
      </c>
    </row>
    <row r="10" spans="1:15" x14ac:dyDescent="0.25">
      <c r="A10" s="40">
        <v>7</v>
      </c>
      <c r="B10" s="40" t="s">
        <v>170</v>
      </c>
      <c r="C10" s="48" t="str">
        <f t="shared" si="0"/>
        <v>Raja Samudera</v>
      </c>
      <c r="D10" s="48" t="str">
        <f t="shared" si="1"/>
        <v>Pelabuhan 4</v>
      </c>
      <c r="E10" s="48" t="str">
        <f t="shared" si="2"/>
        <v>Arimbi</v>
      </c>
      <c r="F10" s="48" t="str">
        <f t="shared" si="3"/>
        <v>Surabaya</v>
      </c>
      <c r="G10" s="48" t="str">
        <f t="shared" si="4"/>
        <v>Singapura</v>
      </c>
      <c r="H10" s="74" t="str">
        <f t="shared" si="5"/>
        <v>Pupuk</v>
      </c>
      <c r="I10" s="74" t="str">
        <f t="shared" si="6"/>
        <v>Beras</v>
      </c>
      <c r="J10" s="75">
        <f t="shared" si="7"/>
        <v>400000</v>
      </c>
      <c r="K10" s="75">
        <f t="shared" si="8"/>
        <v>500000</v>
      </c>
      <c r="L10" s="76">
        <f t="shared" si="9"/>
        <v>900000</v>
      </c>
      <c r="N10" s="72" t="s">
        <v>158</v>
      </c>
      <c r="O10" s="73" t="s">
        <v>168</v>
      </c>
    </row>
    <row r="11" spans="1:15" ht="15.75" thickBot="1" x14ac:dyDescent="0.3">
      <c r="A11" s="77"/>
      <c r="B11" s="77"/>
      <c r="C11" s="77"/>
      <c r="D11" s="77"/>
      <c r="E11" s="77"/>
      <c r="F11" s="77"/>
      <c r="G11" s="77"/>
      <c r="I11" s="255" t="s">
        <v>171</v>
      </c>
      <c r="J11" s="256"/>
      <c r="K11" s="257"/>
      <c r="L11" s="76">
        <f>SUM(L4:L10)</f>
        <v>6550000</v>
      </c>
      <c r="N11" s="72" t="s">
        <v>159</v>
      </c>
      <c r="O11" s="73" t="s">
        <v>172</v>
      </c>
    </row>
    <row r="12" spans="1:15" x14ac:dyDescent="0.25">
      <c r="A12" s="78" t="s">
        <v>173</v>
      </c>
      <c r="H12" s="79"/>
      <c r="I12" s="255" t="s">
        <v>174</v>
      </c>
      <c r="J12" s="256"/>
      <c r="K12" s="257"/>
      <c r="L12" s="76">
        <f>MAX(L4:L10)</f>
        <v>1000000</v>
      </c>
    </row>
    <row r="13" spans="1:15" x14ac:dyDescent="0.25">
      <c r="A13" s="80" t="s">
        <v>78</v>
      </c>
      <c r="B13" s="80" t="s">
        <v>175</v>
      </c>
      <c r="C13" s="80" t="s">
        <v>176</v>
      </c>
      <c r="D13" s="80" t="s">
        <v>177</v>
      </c>
      <c r="E13" s="80" t="s">
        <v>178</v>
      </c>
      <c r="H13" s="79"/>
      <c r="I13" s="255" t="s">
        <v>179</v>
      </c>
      <c r="J13" s="256"/>
      <c r="K13" s="257"/>
      <c r="L13" s="76">
        <f>MIN(L4:L10)</f>
        <v>800000</v>
      </c>
    </row>
    <row r="14" spans="1:15" x14ac:dyDescent="0.25">
      <c r="A14" s="80" t="s">
        <v>180</v>
      </c>
      <c r="B14" s="48" t="s">
        <v>181</v>
      </c>
      <c r="C14" s="48" t="s">
        <v>182</v>
      </c>
      <c r="D14" s="48" t="s">
        <v>183</v>
      </c>
      <c r="E14" s="48" t="s">
        <v>184</v>
      </c>
      <c r="H14" s="79"/>
      <c r="I14" s="255" t="s">
        <v>185</v>
      </c>
      <c r="J14" s="256"/>
      <c r="K14" s="257"/>
      <c r="L14" s="76">
        <f>AVERAGE(L4:L10)</f>
        <v>935714.28571428568</v>
      </c>
    </row>
    <row r="15" spans="1:15" ht="15.75" thickBot="1" x14ac:dyDescent="0.3">
      <c r="A15" s="80" t="s">
        <v>154</v>
      </c>
      <c r="B15" s="48" t="s">
        <v>186</v>
      </c>
      <c r="C15" s="48" t="s">
        <v>184</v>
      </c>
      <c r="D15" s="48" t="s">
        <v>187</v>
      </c>
      <c r="E15" s="48" t="s">
        <v>188</v>
      </c>
      <c r="H15" s="81"/>
      <c r="I15" s="77"/>
      <c r="J15" s="77"/>
      <c r="K15" s="77"/>
      <c r="L15" s="77"/>
    </row>
    <row r="17" spans="1:11" x14ac:dyDescent="0.25">
      <c r="A17" s="78" t="s">
        <v>189</v>
      </c>
      <c r="D17" s="78" t="s">
        <v>190</v>
      </c>
      <c r="H17" s="78" t="s">
        <v>191</v>
      </c>
    </row>
    <row r="18" spans="1:11" x14ac:dyDescent="0.25">
      <c r="A18" s="45" t="s">
        <v>78</v>
      </c>
      <c r="B18" s="45" t="s">
        <v>147</v>
      </c>
      <c r="D18" s="45" t="s">
        <v>78</v>
      </c>
      <c r="E18" s="45" t="s">
        <v>151</v>
      </c>
      <c r="F18" s="45" t="s">
        <v>152</v>
      </c>
      <c r="H18" s="45" t="s">
        <v>78</v>
      </c>
      <c r="I18" s="45" t="s">
        <v>192</v>
      </c>
      <c r="J18" s="45" t="s">
        <v>157</v>
      </c>
      <c r="K18" s="45" t="s">
        <v>158</v>
      </c>
    </row>
    <row r="19" spans="1:11" x14ac:dyDescent="0.25">
      <c r="A19" s="40" t="s">
        <v>193</v>
      </c>
      <c r="B19" s="48" t="s">
        <v>194</v>
      </c>
      <c r="D19" s="82" t="s">
        <v>30</v>
      </c>
      <c r="E19" s="48" t="s">
        <v>195</v>
      </c>
      <c r="F19" s="48" t="s">
        <v>196</v>
      </c>
      <c r="H19" s="40" t="s">
        <v>88</v>
      </c>
      <c r="I19" s="48" t="s">
        <v>197</v>
      </c>
      <c r="J19" s="74">
        <v>350000</v>
      </c>
      <c r="K19" s="74">
        <v>450000</v>
      </c>
    </row>
    <row r="20" spans="1:11" x14ac:dyDescent="0.25">
      <c r="A20" s="40" t="s">
        <v>198</v>
      </c>
      <c r="B20" s="48" t="s">
        <v>199</v>
      </c>
      <c r="D20" s="82" t="s">
        <v>31</v>
      </c>
      <c r="E20" s="48" t="s">
        <v>200</v>
      </c>
      <c r="F20" s="48" t="s">
        <v>201</v>
      </c>
      <c r="H20" s="40" t="s">
        <v>202</v>
      </c>
      <c r="I20" s="48" t="s">
        <v>203</v>
      </c>
      <c r="J20" s="74">
        <v>350000</v>
      </c>
      <c r="K20" s="74">
        <v>450000</v>
      </c>
    </row>
    <row r="21" spans="1:11" x14ac:dyDescent="0.25">
      <c r="A21" s="40" t="s">
        <v>21</v>
      </c>
      <c r="B21" s="48" t="s">
        <v>204</v>
      </c>
      <c r="D21" s="82" t="s">
        <v>32</v>
      </c>
      <c r="E21" s="48" t="s">
        <v>205</v>
      </c>
      <c r="F21" s="48" t="s">
        <v>206</v>
      </c>
      <c r="H21" s="40" t="s">
        <v>207</v>
      </c>
      <c r="I21" s="48" t="s">
        <v>208</v>
      </c>
      <c r="J21" s="74">
        <v>450000</v>
      </c>
      <c r="K21" s="74">
        <v>550000</v>
      </c>
    </row>
    <row r="22" spans="1:11" x14ac:dyDescent="0.25">
      <c r="A22" s="40" t="s">
        <v>209</v>
      </c>
      <c r="B22" s="48" t="s">
        <v>210</v>
      </c>
      <c r="D22" s="82" t="s">
        <v>211</v>
      </c>
      <c r="E22" s="48" t="s">
        <v>212</v>
      </c>
      <c r="F22" s="48" t="s">
        <v>213</v>
      </c>
      <c r="H22" s="40" t="s">
        <v>214</v>
      </c>
      <c r="I22" s="48" t="s">
        <v>215</v>
      </c>
      <c r="J22" s="74">
        <v>500000</v>
      </c>
      <c r="K22" s="74">
        <v>600000</v>
      </c>
    </row>
    <row r="23" spans="1:11" x14ac:dyDescent="0.25">
      <c r="A23" s="40" t="s">
        <v>216</v>
      </c>
      <c r="B23" s="48" t="s">
        <v>217</v>
      </c>
      <c r="H23" s="40" t="s">
        <v>218</v>
      </c>
      <c r="I23" s="48" t="s">
        <v>219</v>
      </c>
      <c r="J23" s="74">
        <v>400000</v>
      </c>
      <c r="K23" s="74">
        <v>500000</v>
      </c>
    </row>
    <row r="24" spans="1:11" x14ac:dyDescent="0.25">
      <c r="A24" s="40" t="s">
        <v>220</v>
      </c>
      <c r="B24" s="48" t="s">
        <v>221</v>
      </c>
      <c r="H24" s="40" t="s">
        <v>222</v>
      </c>
      <c r="I24" s="48" t="s">
        <v>223</v>
      </c>
      <c r="J24" s="74">
        <v>450000</v>
      </c>
      <c r="K24" s="74">
        <v>550000</v>
      </c>
    </row>
    <row r="25" spans="1:11" x14ac:dyDescent="0.25">
      <c r="A25" s="40" t="s">
        <v>224</v>
      </c>
      <c r="B25" s="48" t="s">
        <v>225</v>
      </c>
      <c r="H25" s="40" t="s">
        <v>226</v>
      </c>
      <c r="I25" s="48" t="s">
        <v>227</v>
      </c>
      <c r="J25" s="74">
        <v>400000</v>
      </c>
      <c r="K25" s="74">
        <v>500000</v>
      </c>
    </row>
    <row r="26" spans="1:11" x14ac:dyDescent="0.25">
      <c r="H26" s="40" t="s">
        <v>228</v>
      </c>
      <c r="I26" s="48" t="s">
        <v>229</v>
      </c>
      <c r="J26" s="74">
        <v>550000</v>
      </c>
      <c r="K26" s="74">
        <v>650000</v>
      </c>
    </row>
    <row r="27" spans="1:11" x14ac:dyDescent="0.25">
      <c r="D27" s="83"/>
    </row>
  </sheetData>
  <mergeCells count="5">
    <mergeCell ref="A1:L1"/>
    <mergeCell ref="I11:K11"/>
    <mergeCell ref="I12:K12"/>
    <mergeCell ref="I13:K13"/>
    <mergeCell ref="I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975F-3052-4837-9970-A81573CCB46E}">
  <dimension ref="A1:N18"/>
  <sheetViews>
    <sheetView workbookViewId="0">
      <selection activeCell="M11" sqref="M11"/>
    </sheetView>
  </sheetViews>
  <sheetFormatPr defaultRowHeight="15" x14ac:dyDescent="0.25"/>
  <cols>
    <col min="1" max="2" width="7.7109375" customWidth="1"/>
    <col min="3" max="3" width="10" customWidth="1"/>
    <col min="4" max="4" width="7.7109375" customWidth="1"/>
    <col min="5" max="10" width="12.85546875" customWidth="1"/>
    <col min="12" max="14" width="15.5703125" bestFit="1" customWidth="1"/>
  </cols>
  <sheetData>
    <row r="1" spans="1:14" ht="15.75" thickBot="1" x14ac:dyDescent="0.3">
      <c r="A1" s="259" t="s">
        <v>230</v>
      </c>
      <c r="B1" s="259"/>
      <c r="C1" s="259"/>
      <c r="D1" s="259"/>
      <c r="E1" s="259"/>
      <c r="F1" s="259"/>
      <c r="G1" s="259"/>
      <c r="H1" s="259"/>
      <c r="I1" s="259"/>
      <c r="J1" s="259"/>
    </row>
    <row r="2" spans="1:14" ht="15.75" thickTop="1" x14ac:dyDescent="0.25"/>
    <row r="3" spans="1:14" x14ac:dyDescent="0.25">
      <c r="A3" s="213" t="s">
        <v>149</v>
      </c>
      <c r="B3" s="213" t="s">
        <v>231</v>
      </c>
      <c r="C3" s="207" t="s">
        <v>232</v>
      </c>
      <c r="D3" s="213" t="s">
        <v>233</v>
      </c>
      <c r="E3" s="260" t="s">
        <v>234</v>
      </c>
      <c r="F3" s="260"/>
      <c r="G3" s="260"/>
      <c r="H3" s="207" t="s">
        <v>235</v>
      </c>
      <c r="I3" s="213" t="s">
        <v>236</v>
      </c>
      <c r="J3" s="213" t="s">
        <v>237</v>
      </c>
    </row>
    <row r="4" spans="1:14" x14ac:dyDescent="0.25">
      <c r="A4" s="213"/>
      <c r="B4" s="213"/>
      <c r="C4" s="207"/>
      <c r="D4" s="213"/>
      <c r="E4" s="45" t="s">
        <v>238</v>
      </c>
      <c r="F4" s="45" t="s">
        <v>239</v>
      </c>
      <c r="G4" s="45" t="s">
        <v>240</v>
      </c>
      <c r="H4" s="207"/>
      <c r="I4" s="213"/>
      <c r="J4" s="213"/>
    </row>
    <row r="5" spans="1:14" x14ac:dyDescent="0.25">
      <c r="A5" s="40">
        <v>1</v>
      </c>
      <c r="B5" s="40" t="s">
        <v>241</v>
      </c>
      <c r="C5" s="41" t="s">
        <v>242</v>
      </c>
      <c r="D5" s="40">
        <v>2</v>
      </c>
      <c r="E5" s="84" cm="1">
        <f t="array" ref="E5">_xlfn.XLOOKUP($D5,$F$15:$F$18, CHOOSE(MATCH(E$4,{"Pokok","Tunjangan","Transport"},0), $G$15:$G$18, $H$15:$H$18, $I$15:$I$18))</f>
        <v>4000000</v>
      </c>
      <c r="F5" s="84" cm="1">
        <f t="array" ref="F5">_xlfn.XLOOKUP($D5,$F$15:$F$18, CHOOSE(MATCH(F$4,{"Pokok","Tunjangan","Transport"},0), $G$15:$G$18, $H$15:$H$18, $I$15:$I$18))</f>
        <v>1000000</v>
      </c>
      <c r="G5" s="84" cm="1">
        <f t="array" ref="G5">_xlfn.XLOOKUP($D5,$F$15:$F$18, CHOOSE(MATCH(G$4,{"Pokok","Tunjangan","Transport"},0), $G$15:$G$18, $H$15:$H$18, $I$15:$I$18))</f>
        <v>1500000</v>
      </c>
      <c r="H5" s="84">
        <f>SUM(E5:G5)</f>
        <v>6500000</v>
      </c>
      <c r="I5" s="84">
        <f>_xlfn.XLOOKUP(D5,$B$15:$D$15,$B$16:$D$16) * H5</f>
        <v>227500.00000000003</v>
      </c>
      <c r="J5" s="84">
        <f>H5-I5</f>
        <v>6272500</v>
      </c>
      <c r="L5" s="280"/>
      <c r="M5" s="280"/>
      <c r="N5" s="280"/>
    </row>
    <row r="6" spans="1:14" x14ac:dyDescent="0.25">
      <c r="A6" s="40">
        <v>2</v>
      </c>
      <c r="B6" s="40" t="s">
        <v>243</v>
      </c>
      <c r="C6" s="41" t="s">
        <v>244</v>
      </c>
      <c r="D6" s="40">
        <v>3</v>
      </c>
      <c r="E6" s="84" cm="1">
        <f t="array" ref="E6">_xlfn.XLOOKUP($D6,$F$15:$F$18, CHOOSE(MATCH(E$4,{"Pokok","Tunjangan","Transport"},0), $G$15:$G$18, $H$15:$H$18, $I$15:$I$18))</f>
        <v>7000000</v>
      </c>
      <c r="F6" s="84" cm="1">
        <f t="array" ref="F6">_xlfn.XLOOKUP($D6,$F$15:$F$18, CHOOSE(MATCH(F$4,{"Pokok","Tunjangan","Transport"},0), $G$15:$G$18, $H$15:$H$18, $I$15:$I$18))</f>
        <v>1500000</v>
      </c>
      <c r="G6" s="84" cm="1">
        <f t="array" ref="G6">_xlfn.XLOOKUP($D6,$F$15:$F$18, CHOOSE(MATCH(G$4,{"Pokok","Tunjangan","Transport"},0), $G$15:$G$18, $H$15:$H$18, $I$15:$I$18))</f>
        <v>2000000</v>
      </c>
      <c r="H6" s="84">
        <f t="shared" ref="H6:H11" si="0">SUM(E6:G6)</f>
        <v>10500000</v>
      </c>
      <c r="I6" s="84">
        <f t="shared" ref="I6:I11" si="1">_xlfn.XLOOKUP(D6,$B$15:$D$15,$B$16:$D$16) * H6</f>
        <v>525000</v>
      </c>
      <c r="J6" s="84">
        <f t="shared" ref="J6:J11" si="2">H6-I6</f>
        <v>9975000</v>
      </c>
      <c r="L6" s="280"/>
      <c r="M6" s="280"/>
      <c r="N6" s="280"/>
    </row>
    <row r="7" spans="1:14" x14ac:dyDescent="0.25">
      <c r="A7" s="40">
        <v>3</v>
      </c>
      <c r="B7" s="40" t="s">
        <v>245</v>
      </c>
      <c r="C7" s="41" t="s">
        <v>246</v>
      </c>
      <c r="D7" s="40">
        <v>1</v>
      </c>
      <c r="E7" s="84" cm="1">
        <f t="array" ref="E7">_xlfn.XLOOKUP($D7,$F$15:$F$18, CHOOSE(MATCH(E$4,{"Pokok","Tunjangan","Transport"},0), $G$15:$G$18, $H$15:$H$18, $I$15:$I$18))</f>
        <v>2500000</v>
      </c>
      <c r="F7" s="84" cm="1">
        <f t="array" ref="F7">_xlfn.XLOOKUP($D7,$F$15:$F$18, CHOOSE(MATCH(F$4,{"Pokok","Tunjangan","Transport"},0), $G$15:$G$18, $H$15:$H$18, $I$15:$I$18))</f>
        <v>750000</v>
      </c>
      <c r="G7" s="84" cm="1">
        <f t="array" ref="G7">_xlfn.XLOOKUP($D7,$F$15:$F$18, CHOOSE(MATCH(G$4,{"Pokok","Tunjangan","Transport"},0), $G$15:$G$18, $H$15:$H$18, $I$15:$I$18))</f>
        <v>1000000</v>
      </c>
      <c r="H7" s="84">
        <f t="shared" si="0"/>
        <v>4250000</v>
      </c>
      <c r="I7" s="84">
        <f t="shared" si="1"/>
        <v>106250</v>
      </c>
      <c r="J7" s="84">
        <f t="shared" si="2"/>
        <v>4143750</v>
      </c>
      <c r="L7" s="280"/>
      <c r="M7" s="280"/>
      <c r="N7" s="280"/>
    </row>
    <row r="8" spans="1:14" x14ac:dyDescent="0.25">
      <c r="A8" s="40">
        <v>4</v>
      </c>
      <c r="B8" s="40" t="s">
        <v>247</v>
      </c>
      <c r="C8" s="41" t="s">
        <v>248</v>
      </c>
      <c r="D8" s="40">
        <v>2</v>
      </c>
      <c r="E8" s="84" cm="1">
        <f t="array" ref="E8">_xlfn.XLOOKUP($D8,$F$15:$F$18, CHOOSE(MATCH(E$4,{"Pokok","Tunjangan","Transport"},0), $G$15:$G$18, $H$15:$H$18, $I$15:$I$18))</f>
        <v>4000000</v>
      </c>
      <c r="F8" s="84" cm="1">
        <f t="array" ref="F8">_xlfn.XLOOKUP($D8,$F$15:$F$18, CHOOSE(MATCH(F$4,{"Pokok","Tunjangan","Transport"},0), $G$15:$G$18, $H$15:$H$18, $I$15:$I$18))</f>
        <v>1000000</v>
      </c>
      <c r="G8" s="84" cm="1">
        <f t="array" ref="G8">_xlfn.XLOOKUP($D8,$F$15:$F$18, CHOOSE(MATCH(G$4,{"Pokok","Tunjangan","Transport"},0), $G$15:$G$18, $H$15:$H$18, $I$15:$I$18))</f>
        <v>1500000</v>
      </c>
      <c r="H8" s="84">
        <f t="shared" si="0"/>
        <v>6500000</v>
      </c>
      <c r="I8" s="84">
        <f t="shared" si="1"/>
        <v>227500.00000000003</v>
      </c>
      <c r="J8" s="84">
        <f t="shared" si="2"/>
        <v>6272500</v>
      </c>
      <c r="L8" s="280"/>
      <c r="M8" s="280"/>
      <c r="N8" s="280"/>
    </row>
    <row r="9" spans="1:14" x14ac:dyDescent="0.25">
      <c r="A9" s="40">
        <v>5</v>
      </c>
      <c r="B9" s="40" t="s">
        <v>249</v>
      </c>
      <c r="C9" s="41" t="s">
        <v>250</v>
      </c>
      <c r="D9" s="40">
        <v>2</v>
      </c>
      <c r="E9" s="84" cm="1">
        <f t="array" ref="E9">_xlfn.XLOOKUP($D9,$F$15:$F$18, CHOOSE(MATCH(E$4,{"Pokok","Tunjangan","Transport"},0), $G$15:$G$18, $H$15:$H$18, $I$15:$I$18))</f>
        <v>4000000</v>
      </c>
      <c r="F9" s="84" cm="1">
        <f t="array" ref="F9">_xlfn.XLOOKUP($D9,$F$15:$F$18, CHOOSE(MATCH(F$4,{"Pokok","Tunjangan","Transport"},0), $G$15:$G$18, $H$15:$H$18, $I$15:$I$18))</f>
        <v>1000000</v>
      </c>
      <c r="G9" s="84" cm="1">
        <f t="array" ref="G9">_xlfn.XLOOKUP($D9,$F$15:$F$18, CHOOSE(MATCH(G$4,{"Pokok","Tunjangan","Transport"},0), $G$15:$G$18, $H$15:$H$18, $I$15:$I$18))</f>
        <v>1500000</v>
      </c>
      <c r="H9" s="84">
        <f t="shared" si="0"/>
        <v>6500000</v>
      </c>
      <c r="I9" s="84">
        <f t="shared" si="1"/>
        <v>227500.00000000003</v>
      </c>
      <c r="J9" s="84">
        <f t="shared" si="2"/>
        <v>6272500</v>
      </c>
      <c r="L9" s="280"/>
      <c r="M9" s="280"/>
      <c r="N9" s="280"/>
    </row>
    <row r="10" spans="1:14" x14ac:dyDescent="0.25">
      <c r="A10" s="40">
        <v>6</v>
      </c>
      <c r="B10" s="40" t="s">
        <v>251</v>
      </c>
      <c r="C10" s="41" t="s">
        <v>252</v>
      </c>
      <c r="D10" s="40">
        <v>1</v>
      </c>
      <c r="E10" s="84" cm="1">
        <f t="array" ref="E10">_xlfn.XLOOKUP($D10,$F$15:$F$18, CHOOSE(MATCH(E$4,{"Pokok","Tunjangan","Transport"},0), $G$15:$G$18, $H$15:$H$18, $I$15:$I$18))</f>
        <v>2500000</v>
      </c>
      <c r="F10" s="84" cm="1">
        <f t="array" ref="F10">_xlfn.XLOOKUP($D10,$F$15:$F$18, CHOOSE(MATCH(F$4,{"Pokok","Tunjangan","Transport"},0), $G$15:$G$18, $H$15:$H$18, $I$15:$I$18))</f>
        <v>750000</v>
      </c>
      <c r="G10" s="84" cm="1">
        <f t="array" ref="G10">_xlfn.XLOOKUP($D10,$F$15:$F$18, CHOOSE(MATCH(G$4,{"Pokok","Tunjangan","Transport"},0), $G$15:$G$18, $H$15:$H$18, $I$15:$I$18))</f>
        <v>1000000</v>
      </c>
      <c r="H10" s="84">
        <f t="shared" si="0"/>
        <v>4250000</v>
      </c>
      <c r="I10" s="84">
        <f t="shared" si="1"/>
        <v>106250</v>
      </c>
      <c r="J10" s="84">
        <f t="shared" si="2"/>
        <v>4143750</v>
      </c>
      <c r="L10" s="280"/>
      <c r="M10" s="280"/>
      <c r="N10" s="280"/>
    </row>
    <row r="11" spans="1:14" x14ac:dyDescent="0.25">
      <c r="A11" s="40">
        <v>7</v>
      </c>
      <c r="B11" s="40" t="s">
        <v>253</v>
      </c>
      <c r="C11" s="41" t="s">
        <v>254</v>
      </c>
      <c r="D11" s="40">
        <v>3</v>
      </c>
      <c r="E11" s="84" cm="1">
        <f t="array" ref="E11">_xlfn.XLOOKUP($D11,$F$15:$F$18, CHOOSE(MATCH(E$4,{"Pokok","Tunjangan","Transport"},0), $G$15:$G$18, $H$15:$H$18, $I$15:$I$18))</f>
        <v>7000000</v>
      </c>
      <c r="F11" s="84" cm="1">
        <f t="array" ref="F11">_xlfn.XLOOKUP($D11,$F$15:$F$18, CHOOSE(MATCH(F$4,{"Pokok","Tunjangan","Transport"},0), $G$15:$G$18, $H$15:$H$18, $I$15:$I$18))</f>
        <v>1500000</v>
      </c>
      <c r="G11" s="84" cm="1">
        <f t="array" ref="G11">_xlfn.XLOOKUP($D11,$F$15:$F$18, CHOOSE(MATCH(G$4,{"Pokok","Tunjangan","Transport"},0), $G$15:$G$18, $H$15:$H$18, $I$15:$I$18))</f>
        <v>2000000</v>
      </c>
      <c r="H11" s="84">
        <f t="shared" si="0"/>
        <v>10500000</v>
      </c>
      <c r="I11" s="84">
        <f t="shared" si="1"/>
        <v>525000</v>
      </c>
      <c r="J11" s="84">
        <f t="shared" si="2"/>
        <v>9975000</v>
      </c>
      <c r="L11" s="280"/>
      <c r="M11" s="280"/>
      <c r="N11" s="280"/>
    </row>
    <row r="12" spans="1:14" x14ac:dyDescent="0.25">
      <c r="A12" s="258" t="s">
        <v>39</v>
      </c>
      <c r="B12" s="258"/>
      <c r="C12" s="258"/>
      <c r="D12" s="258"/>
      <c r="E12" s="258"/>
      <c r="F12" s="258"/>
      <c r="G12" s="258"/>
      <c r="H12" s="258"/>
      <c r="I12" s="85"/>
      <c r="J12" s="85">
        <f>SUM(J5:J11)</f>
        <v>47055000</v>
      </c>
    </row>
    <row r="13" spans="1:14" x14ac:dyDescent="0.25">
      <c r="A13" s="86"/>
      <c r="B13" s="86"/>
      <c r="C13" s="86"/>
      <c r="D13" s="86"/>
      <c r="E13" s="86"/>
      <c r="F13" s="86"/>
      <c r="G13" s="86"/>
      <c r="H13" s="86"/>
    </row>
    <row r="14" spans="1:14" x14ac:dyDescent="0.25">
      <c r="A14" s="44" t="s">
        <v>255</v>
      </c>
      <c r="F14" s="44" t="s">
        <v>256</v>
      </c>
    </row>
    <row r="15" spans="1:14" x14ac:dyDescent="0.25">
      <c r="A15" s="45" t="s">
        <v>233</v>
      </c>
      <c r="B15" s="40">
        <v>1</v>
      </c>
      <c r="C15" s="40">
        <v>2</v>
      </c>
      <c r="D15" s="40">
        <v>3</v>
      </c>
      <c r="F15" s="45" t="s">
        <v>233</v>
      </c>
      <c r="G15" s="45" t="s">
        <v>257</v>
      </c>
      <c r="H15" s="45" t="s">
        <v>239</v>
      </c>
      <c r="I15" s="45" t="s">
        <v>240</v>
      </c>
    </row>
    <row r="16" spans="1:14" x14ac:dyDescent="0.25">
      <c r="A16" s="45" t="s">
        <v>236</v>
      </c>
      <c r="B16" s="87">
        <v>2.5000000000000001E-2</v>
      </c>
      <c r="C16" s="87">
        <v>3.5000000000000003E-2</v>
      </c>
      <c r="D16" s="46">
        <v>0.05</v>
      </c>
      <c r="F16" s="40">
        <v>1</v>
      </c>
      <c r="G16" s="84">
        <v>2500000</v>
      </c>
      <c r="H16" s="84">
        <v>750000</v>
      </c>
      <c r="I16" s="84">
        <v>1000000</v>
      </c>
    </row>
    <row r="17" spans="6:9" x14ac:dyDescent="0.25">
      <c r="F17" s="40">
        <v>2</v>
      </c>
      <c r="G17" s="84">
        <v>4000000</v>
      </c>
      <c r="H17" s="84">
        <v>1000000</v>
      </c>
      <c r="I17" s="84">
        <v>1500000</v>
      </c>
    </row>
    <row r="18" spans="6:9" x14ac:dyDescent="0.25">
      <c r="F18" s="40">
        <v>3</v>
      </c>
      <c r="G18" s="84">
        <v>7000000</v>
      </c>
      <c r="H18" s="84">
        <v>1500000</v>
      </c>
      <c r="I18" s="84">
        <v>2000000</v>
      </c>
    </row>
  </sheetData>
  <mergeCells count="10">
    <mergeCell ref="A12:H12"/>
    <mergeCell ref="A1:J1"/>
    <mergeCell ref="A3:A4"/>
    <mergeCell ref="B3:B4"/>
    <mergeCell ref="C3:C4"/>
    <mergeCell ref="D3:D4"/>
    <mergeCell ref="E3:G3"/>
    <mergeCell ref="H3:H4"/>
    <mergeCell ref="I3:I4"/>
    <mergeCell ref="J3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899-7A4F-4836-9F0C-FA2E47B5EAAF}">
  <dimension ref="A1:O47"/>
  <sheetViews>
    <sheetView workbookViewId="0">
      <selection activeCell="K3" sqref="K3"/>
    </sheetView>
  </sheetViews>
  <sheetFormatPr defaultRowHeight="15" x14ac:dyDescent="0.25"/>
  <cols>
    <col min="2" max="2" width="17.85546875" bestFit="1" customWidth="1"/>
    <col min="11" max="11" width="13.5703125" customWidth="1"/>
    <col min="13" max="13" width="9.140625" style="86"/>
    <col min="14" max="14" width="7.42578125" style="91" bestFit="1" customWidth="1"/>
    <col min="15" max="15" width="14" bestFit="1" customWidth="1"/>
    <col min="258" max="258" width="17.85546875" bestFit="1" customWidth="1"/>
    <col min="267" max="267" width="13.5703125" customWidth="1"/>
    <col min="270" max="270" width="7.42578125" bestFit="1" customWidth="1"/>
    <col min="271" max="271" width="14" bestFit="1" customWidth="1"/>
    <col min="514" max="514" width="17.85546875" bestFit="1" customWidth="1"/>
    <col min="523" max="523" width="13.5703125" customWidth="1"/>
    <col min="526" max="526" width="7.42578125" bestFit="1" customWidth="1"/>
    <col min="527" max="527" width="14" bestFit="1" customWidth="1"/>
    <col min="770" max="770" width="17.85546875" bestFit="1" customWidth="1"/>
    <col min="779" max="779" width="13.5703125" customWidth="1"/>
    <col min="782" max="782" width="7.42578125" bestFit="1" customWidth="1"/>
    <col min="783" max="783" width="14" bestFit="1" customWidth="1"/>
    <col min="1026" max="1026" width="17.85546875" bestFit="1" customWidth="1"/>
    <col min="1035" max="1035" width="13.5703125" customWidth="1"/>
    <col min="1038" max="1038" width="7.42578125" bestFit="1" customWidth="1"/>
    <col min="1039" max="1039" width="14" bestFit="1" customWidth="1"/>
    <col min="1282" max="1282" width="17.85546875" bestFit="1" customWidth="1"/>
    <col min="1291" max="1291" width="13.5703125" customWidth="1"/>
    <col min="1294" max="1294" width="7.42578125" bestFit="1" customWidth="1"/>
    <col min="1295" max="1295" width="14" bestFit="1" customWidth="1"/>
    <col min="1538" max="1538" width="17.85546875" bestFit="1" customWidth="1"/>
    <col min="1547" max="1547" width="13.5703125" customWidth="1"/>
    <col min="1550" max="1550" width="7.42578125" bestFit="1" customWidth="1"/>
    <col min="1551" max="1551" width="14" bestFit="1" customWidth="1"/>
    <col min="1794" max="1794" width="17.85546875" bestFit="1" customWidth="1"/>
    <col min="1803" max="1803" width="13.5703125" customWidth="1"/>
    <col min="1806" max="1806" width="7.42578125" bestFit="1" customWidth="1"/>
    <col min="1807" max="1807" width="14" bestFit="1" customWidth="1"/>
    <col min="2050" max="2050" width="17.85546875" bestFit="1" customWidth="1"/>
    <col min="2059" max="2059" width="13.5703125" customWidth="1"/>
    <col min="2062" max="2062" width="7.42578125" bestFit="1" customWidth="1"/>
    <col min="2063" max="2063" width="14" bestFit="1" customWidth="1"/>
    <col min="2306" max="2306" width="17.85546875" bestFit="1" customWidth="1"/>
    <col min="2315" max="2315" width="13.5703125" customWidth="1"/>
    <col min="2318" max="2318" width="7.42578125" bestFit="1" customWidth="1"/>
    <col min="2319" max="2319" width="14" bestFit="1" customWidth="1"/>
    <col min="2562" max="2562" width="17.85546875" bestFit="1" customWidth="1"/>
    <col min="2571" max="2571" width="13.5703125" customWidth="1"/>
    <col min="2574" max="2574" width="7.42578125" bestFit="1" customWidth="1"/>
    <col min="2575" max="2575" width="14" bestFit="1" customWidth="1"/>
    <col min="2818" max="2818" width="17.85546875" bestFit="1" customWidth="1"/>
    <col min="2827" max="2827" width="13.5703125" customWidth="1"/>
    <col min="2830" max="2830" width="7.42578125" bestFit="1" customWidth="1"/>
    <col min="2831" max="2831" width="14" bestFit="1" customWidth="1"/>
    <col min="3074" max="3074" width="17.85546875" bestFit="1" customWidth="1"/>
    <col min="3083" max="3083" width="13.5703125" customWidth="1"/>
    <col min="3086" max="3086" width="7.42578125" bestFit="1" customWidth="1"/>
    <col min="3087" max="3087" width="14" bestFit="1" customWidth="1"/>
    <col min="3330" max="3330" width="17.85546875" bestFit="1" customWidth="1"/>
    <col min="3339" max="3339" width="13.5703125" customWidth="1"/>
    <col min="3342" max="3342" width="7.42578125" bestFit="1" customWidth="1"/>
    <col min="3343" max="3343" width="14" bestFit="1" customWidth="1"/>
    <col min="3586" max="3586" width="17.85546875" bestFit="1" customWidth="1"/>
    <col min="3595" max="3595" width="13.5703125" customWidth="1"/>
    <col min="3598" max="3598" width="7.42578125" bestFit="1" customWidth="1"/>
    <col min="3599" max="3599" width="14" bestFit="1" customWidth="1"/>
    <col min="3842" max="3842" width="17.85546875" bestFit="1" customWidth="1"/>
    <col min="3851" max="3851" width="13.5703125" customWidth="1"/>
    <col min="3854" max="3854" width="7.42578125" bestFit="1" customWidth="1"/>
    <col min="3855" max="3855" width="14" bestFit="1" customWidth="1"/>
    <col min="4098" max="4098" width="17.85546875" bestFit="1" customWidth="1"/>
    <col min="4107" max="4107" width="13.5703125" customWidth="1"/>
    <col min="4110" max="4110" width="7.42578125" bestFit="1" customWidth="1"/>
    <col min="4111" max="4111" width="14" bestFit="1" customWidth="1"/>
    <col min="4354" max="4354" width="17.85546875" bestFit="1" customWidth="1"/>
    <col min="4363" max="4363" width="13.5703125" customWidth="1"/>
    <col min="4366" max="4366" width="7.42578125" bestFit="1" customWidth="1"/>
    <col min="4367" max="4367" width="14" bestFit="1" customWidth="1"/>
    <col min="4610" max="4610" width="17.85546875" bestFit="1" customWidth="1"/>
    <col min="4619" max="4619" width="13.5703125" customWidth="1"/>
    <col min="4622" max="4622" width="7.42578125" bestFit="1" customWidth="1"/>
    <col min="4623" max="4623" width="14" bestFit="1" customWidth="1"/>
    <col min="4866" max="4866" width="17.85546875" bestFit="1" customWidth="1"/>
    <col min="4875" max="4875" width="13.5703125" customWidth="1"/>
    <col min="4878" max="4878" width="7.42578125" bestFit="1" customWidth="1"/>
    <col min="4879" max="4879" width="14" bestFit="1" customWidth="1"/>
    <col min="5122" max="5122" width="17.85546875" bestFit="1" customWidth="1"/>
    <col min="5131" max="5131" width="13.5703125" customWidth="1"/>
    <col min="5134" max="5134" width="7.42578125" bestFit="1" customWidth="1"/>
    <col min="5135" max="5135" width="14" bestFit="1" customWidth="1"/>
    <col min="5378" max="5378" width="17.85546875" bestFit="1" customWidth="1"/>
    <col min="5387" max="5387" width="13.5703125" customWidth="1"/>
    <col min="5390" max="5390" width="7.42578125" bestFit="1" customWidth="1"/>
    <col min="5391" max="5391" width="14" bestFit="1" customWidth="1"/>
    <col min="5634" max="5634" width="17.85546875" bestFit="1" customWidth="1"/>
    <col min="5643" max="5643" width="13.5703125" customWidth="1"/>
    <col min="5646" max="5646" width="7.42578125" bestFit="1" customWidth="1"/>
    <col min="5647" max="5647" width="14" bestFit="1" customWidth="1"/>
    <col min="5890" max="5890" width="17.85546875" bestFit="1" customWidth="1"/>
    <col min="5899" max="5899" width="13.5703125" customWidth="1"/>
    <col min="5902" max="5902" width="7.42578125" bestFit="1" customWidth="1"/>
    <col min="5903" max="5903" width="14" bestFit="1" customWidth="1"/>
    <col min="6146" max="6146" width="17.85546875" bestFit="1" customWidth="1"/>
    <col min="6155" max="6155" width="13.5703125" customWidth="1"/>
    <col min="6158" max="6158" width="7.42578125" bestFit="1" customWidth="1"/>
    <col min="6159" max="6159" width="14" bestFit="1" customWidth="1"/>
    <col min="6402" max="6402" width="17.85546875" bestFit="1" customWidth="1"/>
    <col min="6411" max="6411" width="13.5703125" customWidth="1"/>
    <col min="6414" max="6414" width="7.42578125" bestFit="1" customWidth="1"/>
    <col min="6415" max="6415" width="14" bestFit="1" customWidth="1"/>
    <col min="6658" max="6658" width="17.85546875" bestFit="1" customWidth="1"/>
    <col min="6667" max="6667" width="13.5703125" customWidth="1"/>
    <col min="6670" max="6670" width="7.42578125" bestFit="1" customWidth="1"/>
    <col min="6671" max="6671" width="14" bestFit="1" customWidth="1"/>
    <col min="6914" max="6914" width="17.85546875" bestFit="1" customWidth="1"/>
    <col min="6923" max="6923" width="13.5703125" customWidth="1"/>
    <col min="6926" max="6926" width="7.42578125" bestFit="1" customWidth="1"/>
    <col min="6927" max="6927" width="14" bestFit="1" customWidth="1"/>
    <col min="7170" max="7170" width="17.85546875" bestFit="1" customWidth="1"/>
    <col min="7179" max="7179" width="13.5703125" customWidth="1"/>
    <col min="7182" max="7182" width="7.42578125" bestFit="1" customWidth="1"/>
    <col min="7183" max="7183" width="14" bestFit="1" customWidth="1"/>
    <col min="7426" max="7426" width="17.85546875" bestFit="1" customWidth="1"/>
    <col min="7435" max="7435" width="13.5703125" customWidth="1"/>
    <col min="7438" max="7438" width="7.42578125" bestFit="1" customWidth="1"/>
    <col min="7439" max="7439" width="14" bestFit="1" customWidth="1"/>
    <col min="7682" max="7682" width="17.85546875" bestFit="1" customWidth="1"/>
    <col min="7691" max="7691" width="13.5703125" customWidth="1"/>
    <col min="7694" max="7694" width="7.42578125" bestFit="1" customWidth="1"/>
    <col min="7695" max="7695" width="14" bestFit="1" customWidth="1"/>
    <col min="7938" max="7938" width="17.85546875" bestFit="1" customWidth="1"/>
    <col min="7947" max="7947" width="13.5703125" customWidth="1"/>
    <col min="7950" max="7950" width="7.42578125" bestFit="1" customWidth="1"/>
    <col min="7951" max="7951" width="14" bestFit="1" customWidth="1"/>
    <col min="8194" max="8194" width="17.85546875" bestFit="1" customWidth="1"/>
    <col min="8203" max="8203" width="13.5703125" customWidth="1"/>
    <col min="8206" max="8206" width="7.42578125" bestFit="1" customWidth="1"/>
    <col min="8207" max="8207" width="14" bestFit="1" customWidth="1"/>
    <col min="8450" max="8450" width="17.85546875" bestFit="1" customWidth="1"/>
    <col min="8459" max="8459" width="13.5703125" customWidth="1"/>
    <col min="8462" max="8462" width="7.42578125" bestFit="1" customWidth="1"/>
    <col min="8463" max="8463" width="14" bestFit="1" customWidth="1"/>
    <col min="8706" max="8706" width="17.85546875" bestFit="1" customWidth="1"/>
    <col min="8715" max="8715" width="13.5703125" customWidth="1"/>
    <col min="8718" max="8718" width="7.42578125" bestFit="1" customWidth="1"/>
    <col min="8719" max="8719" width="14" bestFit="1" customWidth="1"/>
    <col min="8962" max="8962" width="17.85546875" bestFit="1" customWidth="1"/>
    <col min="8971" max="8971" width="13.5703125" customWidth="1"/>
    <col min="8974" max="8974" width="7.42578125" bestFit="1" customWidth="1"/>
    <col min="8975" max="8975" width="14" bestFit="1" customWidth="1"/>
    <col min="9218" max="9218" width="17.85546875" bestFit="1" customWidth="1"/>
    <col min="9227" max="9227" width="13.5703125" customWidth="1"/>
    <col min="9230" max="9230" width="7.42578125" bestFit="1" customWidth="1"/>
    <col min="9231" max="9231" width="14" bestFit="1" customWidth="1"/>
    <col min="9474" max="9474" width="17.85546875" bestFit="1" customWidth="1"/>
    <col min="9483" max="9483" width="13.5703125" customWidth="1"/>
    <col min="9486" max="9486" width="7.42578125" bestFit="1" customWidth="1"/>
    <col min="9487" max="9487" width="14" bestFit="1" customWidth="1"/>
    <col min="9730" max="9730" width="17.85546875" bestFit="1" customWidth="1"/>
    <col min="9739" max="9739" width="13.5703125" customWidth="1"/>
    <col min="9742" max="9742" width="7.42578125" bestFit="1" customWidth="1"/>
    <col min="9743" max="9743" width="14" bestFit="1" customWidth="1"/>
    <col min="9986" max="9986" width="17.85546875" bestFit="1" customWidth="1"/>
    <col min="9995" max="9995" width="13.5703125" customWidth="1"/>
    <col min="9998" max="9998" width="7.42578125" bestFit="1" customWidth="1"/>
    <col min="9999" max="9999" width="14" bestFit="1" customWidth="1"/>
    <col min="10242" max="10242" width="17.85546875" bestFit="1" customWidth="1"/>
    <col min="10251" max="10251" width="13.5703125" customWidth="1"/>
    <col min="10254" max="10254" width="7.42578125" bestFit="1" customWidth="1"/>
    <col min="10255" max="10255" width="14" bestFit="1" customWidth="1"/>
    <col min="10498" max="10498" width="17.85546875" bestFit="1" customWidth="1"/>
    <col min="10507" max="10507" width="13.5703125" customWidth="1"/>
    <col min="10510" max="10510" width="7.42578125" bestFit="1" customWidth="1"/>
    <col min="10511" max="10511" width="14" bestFit="1" customWidth="1"/>
    <col min="10754" max="10754" width="17.85546875" bestFit="1" customWidth="1"/>
    <col min="10763" max="10763" width="13.5703125" customWidth="1"/>
    <col min="10766" max="10766" width="7.42578125" bestFit="1" customWidth="1"/>
    <col min="10767" max="10767" width="14" bestFit="1" customWidth="1"/>
    <col min="11010" max="11010" width="17.85546875" bestFit="1" customWidth="1"/>
    <col min="11019" max="11019" width="13.5703125" customWidth="1"/>
    <col min="11022" max="11022" width="7.42578125" bestFit="1" customWidth="1"/>
    <col min="11023" max="11023" width="14" bestFit="1" customWidth="1"/>
    <col min="11266" max="11266" width="17.85546875" bestFit="1" customWidth="1"/>
    <col min="11275" max="11275" width="13.5703125" customWidth="1"/>
    <col min="11278" max="11278" width="7.42578125" bestFit="1" customWidth="1"/>
    <col min="11279" max="11279" width="14" bestFit="1" customWidth="1"/>
    <col min="11522" max="11522" width="17.85546875" bestFit="1" customWidth="1"/>
    <col min="11531" max="11531" width="13.5703125" customWidth="1"/>
    <col min="11534" max="11534" width="7.42578125" bestFit="1" customWidth="1"/>
    <col min="11535" max="11535" width="14" bestFit="1" customWidth="1"/>
    <col min="11778" max="11778" width="17.85546875" bestFit="1" customWidth="1"/>
    <col min="11787" max="11787" width="13.5703125" customWidth="1"/>
    <col min="11790" max="11790" width="7.42578125" bestFit="1" customWidth="1"/>
    <col min="11791" max="11791" width="14" bestFit="1" customWidth="1"/>
    <col min="12034" max="12034" width="17.85546875" bestFit="1" customWidth="1"/>
    <col min="12043" max="12043" width="13.5703125" customWidth="1"/>
    <col min="12046" max="12046" width="7.42578125" bestFit="1" customWidth="1"/>
    <col min="12047" max="12047" width="14" bestFit="1" customWidth="1"/>
    <col min="12290" max="12290" width="17.85546875" bestFit="1" customWidth="1"/>
    <col min="12299" max="12299" width="13.5703125" customWidth="1"/>
    <col min="12302" max="12302" width="7.42578125" bestFit="1" customWidth="1"/>
    <col min="12303" max="12303" width="14" bestFit="1" customWidth="1"/>
    <col min="12546" max="12546" width="17.85546875" bestFit="1" customWidth="1"/>
    <col min="12555" max="12555" width="13.5703125" customWidth="1"/>
    <col min="12558" max="12558" width="7.42578125" bestFit="1" customWidth="1"/>
    <col min="12559" max="12559" width="14" bestFit="1" customWidth="1"/>
    <col min="12802" max="12802" width="17.85546875" bestFit="1" customWidth="1"/>
    <col min="12811" max="12811" width="13.5703125" customWidth="1"/>
    <col min="12814" max="12814" width="7.42578125" bestFit="1" customWidth="1"/>
    <col min="12815" max="12815" width="14" bestFit="1" customWidth="1"/>
    <col min="13058" max="13058" width="17.85546875" bestFit="1" customWidth="1"/>
    <col min="13067" max="13067" width="13.5703125" customWidth="1"/>
    <col min="13070" max="13070" width="7.42578125" bestFit="1" customWidth="1"/>
    <col min="13071" max="13071" width="14" bestFit="1" customWidth="1"/>
    <col min="13314" max="13314" width="17.85546875" bestFit="1" customWidth="1"/>
    <col min="13323" max="13323" width="13.5703125" customWidth="1"/>
    <col min="13326" max="13326" width="7.42578125" bestFit="1" customWidth="1"/>
    <col min="13327" max="13327" width="14" bestFit="1" customWidth="1"/>
    <col min="13570" max="13570" width="17.85546875" bestFit="1" customWidth="1"/>
    <col min="13579" max="13579" width="13.5703125" customWidth="1"/>
    <col min="13582" max="13582" width="7.42578125" bestFit="1" customWidth="1"/>
    <col min="13583" max="13583" width="14" bestFit="1" customWidth="1"/>
    <col min="13826" max="13826" width="17.85546875" bestFit="1" customWidth="1"/>
    <col min="13835" max="13835" width="13.5703125" customWidth="1"/>
    <col min="13838" max="13838" width="7.42578125" bestFit="1" customWidth="1"/>
    <col min="13839" max="13839" width="14" bestFit="1" customWidth="1"/>
    <col min="14082" max="14082" width="17.85546875" bestFit="1" customWidth="1"/>
    <col min="14091" max="14091" width="13.5703125" customWidth="1"/>
    <col min="14094" max="14094" width="7.42578125" bestFit="1" customWidth="1"/>
    <col min="14095" max="14095" width="14" bestFit="1" customWidth="1"/>
    <col min="14338" max="14338" width="17.85546875" bestFit="1" customWidth="1"/>
    <col min="14347" max="14347" width="13.5703125" customWidth="1"/>
    <col min="14350" max="14350" width="7.42578125" bestFit="1" customWidth="1"/>
    <col min="14351" max="14351" width="14" bestFit="1" customWidth="1"/>
    <col min="14594" max="14594" width="17.85546875" bestFit="1" customWidth="1"/>
    <col min="14603" max="14603" width="13.5703125" customWidth="1"/>
    <col min="14606" max="14606" width="7.42578125" bestFit="1" customWidth="1"/>
    <col min="14607" max="14607" width="14" bestFit="1" customWidth="1"/>
    <col min="14850" max="14850" width="17.85546875" bestFit="1" customWidth="1"/>
    <col min="14859" max="14859" width="13.5703125" customWidth="1"/>
    <col min="14862" max="14862" width="7.42578125" bestFit="1" customWidth="1"/>
    <col min="14863" max="14863" width="14" bestFit="1" customWidth="1"/>
    <col min="15106" max="15106" width="17.85546875" bestFit="1" customWidth="1"/>
    <col min="15115" max="15115" width="13.5703125" customWidth="1"/>
    <col min="15118" max="15118" width="7.42578125" bestFit="1" customWidth="1"/>
    <col min="15119" max="15119" width="14" bestFit="1" customWidth="1"/>
    <col min="15362" max="15362" width="17.85546875" bestFit="1" customWidth="1"/>
    <col min="15371" max="15371" width="13.5703125" customWidth="1"/>
    <col min="15374" max="15374" width="7.42578125" bestFit="1" customWidth="1"/>
    <col min="15375" max="15375" width="14" bestFit="1" customWidth="1"/>
    <col min="15618" max="15618" width="17.85546875" bestFit="1" customWidth="1"/>
    <col min="15627" max="15627" width="13.5703125" customWidth="1"/>
    <col min="15630" max="15630" width="7.42578125" bestFit="1" customWidth="1"/>
    <col min="15631" max="15631" width="14" bestFit="1" customWidth="1"/>
    <col min="15874" max="15874" width="17.85546875" bestFit="1" customWidth="1"/>
    <col min="15883" max="15883" width="13.5703125" customWidth="1"/>
    <col min="15886" max="15886" width="7.42578125" bestFit="1" customWidth="1"/>
    <col min="15887" max="15887" width="14" bestFit="1" customWidth="1"/>
    <col min="16130" max="16130" width="17.85546875" bestFit="1" customWidth="1"/>
    <col min="16139" max="16139" width="13.5703125" customWidth="1"/>
    <col min="16142" max="16142" width="7.42578125" bestFit="1" customWidth="1"/>
    <col min="16143" max="16143" width="14" bestFit="1" customWidth="1"/>
  </cols>
  <sheetData>
    <row r="1" spans="1:14" ht="25.5" x14ac:dyDescent="0.25">
      <c r="A1" s="263" t="s">
        <v>51</v>
      </c>
      <c r="B1" s="264" t="s">
        <v>2</v>
      </c>
      <c r="C1" s="264" t="s">
        <v>258</v>
      </c>
      <c r="D1" s="264"/>
      <c r="E1" s="264"/>
      <c r="F1" s="261" t="s">
        <v>259</v>
      </c>
      <c r="G1" s="261" t="s">
        <v>260</v>
      </c>
      <c r="H1" s="261" t="s">
        <v>261</v>
      </c>
      <c r="I1" s="88" t="s">
        <v>262</v>
      </c>
      <c r="J1" s="89" t="s">
        <v>263</v>
      </c>
      <c r="K1" s="261" t="s">
        <v>264</v>
      </c>
      <c r="M1" s="90" t="s">
        <v>265</v>
      </c>
    </row>
    <row r="2" spans="1:14" x14ac:dyDescent="0.25">
      <c r="A2" s="263"/>
      <c r="B2" s="264"/>
      <c r="C2" s="92" t="s">
        <v>266</v>
      </c>
      <c r="D2" s="92" t="s">
        <v>267</v>
      </c>
      <c r="E2" s="92" t="s">
        <v>268</v>
      </c>
      <c r="F2" s="262"/>
      <c r="G2" s="262"/>
      <c r="H2" s="262"/>
      <c r="I2" s="93">
        <v>1</v>
      </c>
      <c r="J2" s="92" t="s">
        <v>269</v>
      </c>
      <c r="K2" s="262"/>
      <c r="M2" s="94" t="s">
        <v>270</v>
      </c>
      <c r="N2" s="92" t="s">
        <v>271</v>
      </c>
    </row>
    <row r="3" spans="1:14" x14ac:dyDescent="0.25">
      <c r="A3" s="9">
        <v>1</v>
      </c>
      <c r="B3" s="95" t="s">
        <v>272</v>
      </c>
      <c r="C3" s="40">
        <v>76</v>
      </c>
      <c r="D3" s="40">
        <v>50</v>
      </c>
      <c r="E3" s="40">
        <v>87</v>
      </c>
      <c r="F3" s="40">
        <v>50</v>
      </c>
      <c r="G3" s="40">
        <v>83</v>
      </c>
      <c r="H3" s="40">
        <v>50</v>
      </c>
      <c r="I3" s="96">
        <f xml:space="preserve"> C3*$N$3+ D3*$N$4+E3*$N$5+ F3*$N$6 + G3*$N$7 + H3*$N$8</f>
        <v>63.16</v>
      </c>
      <c r="J3" s="9" t="str">
        <f>IF(I3&lt;54.99,"E",IF(I3&lt;64.99, "D",IF(I3&lt;74.99,"C",IF(I3&lt;84.99,"B","A"))))</f>
        <v>D</v>
      </c>
      <c r="K3" s="9" t="str">
        <f>IF(OR(J3="A",J3="B",J3="C"),"Lulus","Belum Lulus")</f>
        <v>Belum Lulus</v>
      </c>
      <c r="M3" s="94" t="s">
        <v>266</v>
      </c>
      <c r="N3" s="97">
        <v>0.04</v>
      </c>
    </row>
    <row r="4" spans="1:14" x14ac:dyDescent="0.25">
      <c r="A4" s="9">
        <v>2</v>
      </c>
      <c r="B4" s="95" t="s">
        <v>273</v>
      </c>
      <c r="C4" s="9">
        <v>83</v>
      </c>
      <c r="D4" s="9">
        <v>34</v>
      </c>
      <c r="E4" s="9">
        <v>76</v>
      </c>
      <c r="F4" s="9">
        <v>34</v>
      </c>
      <c r="G4" s="9">
        <v>77</v>
      </c>
      <c r="H4" s="9">
        <v>34</v>
      </c>
      <c r="I4" s="98">
        <f t="shared" ref="I4:I47" si="0" xml:space="preserve"> C4*$N$3+ D4*$N$4+E4*$N$5+ F4*$N$6 + G4*$N$7 + H4*$N$8</f>
        <v>51.38</v>
      </c>
      <c r="J4" s="9" t="str">
        <f t="shared" ref="J4:J47" si="1">IF(I4&lt;54.99,"E",IF(I4&lt;64.99, "D",IF(I4&lt;74.99,"C",IF(I4&lt;84.99,"B","A"))))</f>
        <v>E</v>
      </c>
      <c r="K4" s="9" t="str">
        <f t="shared" ref="K4:K47" si="2">IF(OR(J4="A",J4="B",J4="C"),"Lulus","Belum Lulus")</f>
        <v>Belum Lulus</v>
      </c>
      <c r="M4" s="94" t="s">
        <v>267</v>
      </c>
      <c r="N4" s="97">
        <v>0.05</v>
      </c>
    </row>
    <row r="5" spans="1:14" x14ac:dyDescent="0.25">
      <c r="A5" s="9">
        <v>3</v>
      </c>
      <c r="B5" s="95" t="s">
        <v>274</v>
      </c>
      <c r="C5" s="9">
        <v>67</v>
      </c>
      <c r="D5" s="9">
        <v>72</v>
      </c>
      <c r="E5" s="9">
        <v>50</v>
      </c>
      <c r="F5" s="9">
        <v>72</v>
      </c>
      <c r="G5" s="9">
        <v>75</v>
      </c>
      <c r="H5" s="9">
        <v>72</v>
      </c>
      <c r="I5" s="98">
        <f t="shared" si="0"/>
        <v>71.38</v>
      </c>
      <c r="J5" s="9" t="str">
        <f t="shared" si="1"/>
        <v>C</v>
      </c>
      <c r="K5" s="9" t="str">
        <f t="shared" si="2"/>
        <v>Lulus</v>
      </c>
      <c r="M5" s="94" t="s">
        <v>268</v>
      </c>
      <c r="N5" s="97">
        <v>0.06</v>
      </c>
    </row>
    <row r="6" spans="1:14" x14ac:dyDescent="0.25">
      <c r="A6" s="9">
        <v>4</v>
      </c>
      <c r="B6" s="95" t="s">
        <v>275</v>
      </c>
      <c r="C6" s="9">
        <v>56</v>
      </c>
      <c r="D6" s="9">
        <v>66</v>
      </c>
      <c r="E6" s="9">
        <v>34</v>
      </c>
      <c r="F6" s="9">
        <v>66</v>
      </c>
      <c r="G6" s="9">
        <v>81</v>
      </c>
      <c r="H6" s="9">
        <v>66</v>
      </c>
      <c r="I6" s="98">
        <f t="shared" si="0"/>
        <v>68.179999999999993</v>
      </c>
      <c r="J6" s="9" t="str">
        <f t="shared" si="1"/>
        <v>C</v>
      </c>
      <c r="K6" s="9" t="str">
        <f t="shared" si="2"/>
        <v>Lulus</v>
      </c>
      <c r="M6" s="94" t="s">
        <v>259</v>
      </c>
      <c r="N6" s="97">
        <v>0.2</v>
      </c>
    </row>
    <row r="7" spans="1:14" x14ac:dyDescent="0.25">
      <c r="A7" s="9">
        <v>5</v>
      </c>
      <c r="B7" s="95" t="s">
        <v>276</v>
      </c>
      <c r="C7" s="9">
        <v>87</v>
      </c>
      <c r="D7" s="9">
        <v>65</v>
      </c>
      <c r="E7" s="9">
        <v>72</v>
      </c>
      <c r="F7" s="9">
        <v>65</v>
      </c>
      <c r="G7" s="9">
        <v>80</v>
      </c>
      <c r="H7" s="9">
        <v>65</v>
      </c>
      <c r="I7" s="98">
        <f t="shared" si="0"/>
        <v>70.8</v>
      </c>
      <c r="J7" s="9" t="str">
        <f t="shared" si="1"/>
        <v>C</v>
      </c>
      <c r="K7" s="9" t="str">
        <f t="shared" si="2"/>
        <v>Lulus</v>
      </c>
      <c r="M7" s="94" t="s">
        <v>260</v>
      </c>
      <c r="N7" s="97">
        <v>0.3</v>
      </c>
    </row>
    <row r="8" spans="1:14" x14ac:dyDescent="0.25">
      <c r="A8" s="9">
        <v>6</v>
      </c>
      <c r="B8" s="95" t="s">
        <v>277</v>
      </c>
      <c r="C8" s="9">
        <v>54</v>
      </c>
      <c r="D8" s="9">
        <v>76</v>
      </c>
      <c r="E8" s="9">
        <v>66</v>
      </c>
      <c r="F8" s="9">
        <v>76</v>
      </c>
      <c r="G8" s="9">
        <v>66</v>
      </c>
      <c r="H8" s="9">
        <v>76</v>
      </c>
      <c r="I8" s="98">
        <f t="shared" si="0"/>
        <v>71.52</v>
      </c>
      <c r="J8" s="9" t="str">
        <f t="shared" si="1"/>
        <v>C</v>
      </c>
      <c r="K8" s="9" t="str">
        <f t="shared" si="2"/>
        <v>Lulus</v>
      </c>
      <c r="M8" s="94" t="s">
        <v>261</v>
      </c>
      <c r="N8" s="97">
        <v>0.35</v>
      </c>
    </row>
    <row r="9" spans="1:14" x14ac:dyDescent="0.25">
      <c r="A9" s="9">
        <v>7</v>
      </c>
      <c r="B9" s="95" t="s">
        <v>278</v>
      </c>
      <c r="C9" s="9">
        <v>83</v>
      </c>
      <c r="D9" s="9">
        <v>83</v>
      </c>
      <c r="E9" s="9">
        <v>65</v>
      </c>
      <c r="F9" s="9">
        <v>81</v>
      </c>
      <c r="G9" s="9">
        <v>43</v>
      </c>
      <c r="H9" s="9">
        <v>81</v>
      </c>
      <c r="I9" s="98">
        <f t="shared" si="0"/>
        <v>68.819999999999993</v>
      </c>
      <c r="J9" s="9" t="str">
        <f t="shared" si="1"/>
        <v>C</v>
      </c>
      <c r="K9" s="9" t="str">
        <f t="shared" si="2"/>
        <v>Lulus</v>
      </c>
      <c r="N9" s="99"/>
    </row>
    <row r="10" spans="1:14" x14ac:dyDescent="0.25">
      <c r="A10" s="9">
        <v>8</v>
      </c>
      <c r="B10" s="95" t="s">
        <v>279</v>
      </c>
      <c r="C10" s="9">
        <v>77</v>
      </c>
      <c r="D10" s="9">
        <v>77</v>
      </c>
      <c r="E10" s="9">
        <v>76</v>
      </c>
      <c r="F10" s="9">
        <v>80</v>
      </c>
      <c r="G10" s="9">
        <v>76</v>
      </c>
      <c r="H10" s="9">
        <v>80</v>
      </c>
      <c r="I10" s="98">
        <f t="shared" si="0"/>
        <v>78.289999999999992</v>
      </c>
      <c r="J10" s="9" t="str">
        <f t="shared" si="1"/>
        <v>B</v>
      </c>
      <c r="K10" s="9" t="str">
        <f t="shared" si="2"/>
        <v>Lulus</v>
      </c>
      <c r="M10" s="90" t="s">
        <v>280</v>
      </c>
    </row>
    <row r="11" spans="1:14" x14ac:dyDescent="0.25">
      <c r="A11" s="9">
        <v>9</v>
      </c>
      <c r="B11" s="95" t="s">
        <v>281</v>
      </c>
      <c r="C11" s="9">
        <v>75</v>
      </c>
      <c r="D11" s="9">
        <v>75</v>
      </c>
      <c r="E11" s="9">
        <v>81</v>
      </c>
      <c r="F11" s="9">
        <v>66</v>
      </c>
      <c r="G11" s="9">
        <v>81</v>
      </c>
      <c r="H11" s="9">
        <v>66</v>
      </c>
      <c r="I11" s="98">
        <f t="shared" si="0"/>
        <v>72.209999999999994</v>
      </c>
      <c r="J11" s="9" t="str">
        <f t="shared" si="1"/>
        <v>C</v>
      </c>
      <c r="K11" s="9" t="str">
        <f t="shared" si="2"/>
        <v>Lulus</v>
      </c>
      <c r="M11" s="94" t="s">
        <v>263</v>
      </c>
      <c r="N11" s="100" t="s">
        <v>282</v>
      </c>
    </row>
    <row r="12" spans="1:14" x14ac:dyDescent="0.25">
      <c r="A12" s="9">
        <v>10</v>
      </c>
      <c r="B12" s="95" t="s">
        <v>283</v>
      </c>
      <c r="C12" s="9">
        <v>81</v>
      </c>
      <c r="D12" s="9">
        <v>81</v>
      </c>
      <c r="E12" s="9">
        <v>80</v>
      </c>
      <c r="F12" s="9">
        <v>43</v>
      </c>
      <c r="G12" s="9">
        <v>80</v>
      </c>
      <c r="H12" s="9">
        <v>43</v>
      </c>
      <c r="I12" s="98">
        <f t="shared" si="0"/>
        <v>59.739999999999995</v>
      </c>
      <c r="J12" s="9" t="str">
        <f t="shared" si="1"/>
        <v>D</v>
      </c>
      <c r="K12" s="9" t="str">
        <f t="shared" si="2"/>
        <v>Belum Lulus</v>
      </c>
      <c r="M12" s="94" t="s">
        <v>126</v>
      </c>
      <c r="N12" s="100" t="s">
        <v>284</v>
      </c>
    </row>
    <row r="13" spans="1:14" x14ac:dyDescent="0.25">
      <c r="A13" s="9">
        <v>11</v>
      </c>
      <c r="B13" s="95" t="s">
        <v>285</v>
      </c>
      <c r="C13" s="9">
        <v>80</v>
      </c>
      <c r="D13" s="9">
        <v>80</v>
      </c>
      <c r="E13" s="9">
        <v>66</v>
      </c>
      <c r="F13" s="9">
        <v>66</v>
      </c>
      <c r="G13" s="9">
        <v>66</v>
      </c>
      <c r="H13" s="9">
        <v>54</v>
      </c>
      <c r="I13" s="98">
        <f t="shared" si="0"/>
        <v>63.059999999999995</v>
      </c>
      <c r="J13" s="9" t="str">
        <f t="shared" si="1"/>
        <v>D</v>
      </c>
      <c r="K13" s="9" t="str">
        <f t="shared" si="2"/>
        <v>Belum Lulus</v>
      </c>
      <c r="M13" s="94" t="s">
        <v>129</v>
      </c>
      <c r="N13" s="100" t="s">
        <v>286</v>
      </c>
    </row>
    <row r="14" spans="1:14" x14ac:dyDescent="0.25">
      <c r="A14" s="9">
        <v>12</v>
      </c>
      <c r="B14" s="95" t="s">
        <v>287</v>
      </c>
      <c r="C14" s="9">
        <v>66</v>
      </c>
      <c r="D14" s="9">
        <v>66</v>
      </c>
      <c r="E14" s="9">
        <v>43</v>
      </c>
      <c r="F14" s="9">
        <v>43</v>
      </c>
      <c r="G14" s="9">
        <v>43</v>
      </c>
      <c r="H14" s="9">
        <v>90</v>
      </c>
      <c r="I14" s="98">
        <f t="shared" si="0"/>
        <v>61.519999999999996</v>
      </c>
      <c r="J14" s="9" t="str">
        <f t="shared" si="1"/>
        <v>D</v>
      </c>
      <c r="K14" s="9" t="str">
        <f t="shared" si="2"/>
        <v>Belum Lulus</v>
      </c>
      <c r="M14" s="94" t="s">
        <v>132</v>
      </c>
      <c r="N14" s="100" t="s">
        <v>288</v>
      </c>
    </row>
    <row r="15" spans="1:14" x14ac:dyDescent="0.25">
      <c r="A15" s="9">
        <v>13</v>
      </c>
      <c r="B15" s="95" t="s">
        <v>289</v>
      </c>
      <c r="C15" s="9">
        <v>43</v>
      </c>
      <c r="D15" s="9">
        <v>43</v>
      </c>
      <c r="E15" s="9">
        <v>67</v>
      </c>
      <c r="F15" s="9">
        <v>56</v>
      </c>
      <c r="G15" s="9">
        <v>80</v>
      </c>
      <c r="H15" s="9">
        <v>83</v>
      </c>
      <c r="I15" s="98">
        <f t="shared" si="0"/>
        <v>72.14</v>
      </c>
      <c r="J15" s="9" t="str">
        <f t="shared" si="1"/>
        <v>C</v>
      </c>
      <c r="K15" s="9" t="str">
        <f t="shared" si="2"/>
        <v>Lulus</v>
      </c>
      <c r="M15" s="94" t="s">
        <v>290</v>
      </c>
      <c r="N15" s="100" t="s">
        <v>291</v>
      </c>
    </row>
    <row r="16" spans="1:14" x14ac:dyDescent="0.25">
      <c r="A16" s="9">
        <v>14</v>
      </c>
      <c r="B16" s="95" t="s">
        <v>292</v>
      </c>
      <c r="C16" s="9">
        <v>76</v>
      </c>
      <c r="D16" s="9">
        <v>76</v>
      </c>
      <c r="E16" s="9">
        <v>56</v>
      </c>
      <c r="F16" s="9">
        <v>87</v>
      </c>
      <c r="G16" s="9">
        <v>66</v>
      </c>
      <c r="H16" s="9">
        <v>77</v>
      </c>
      <c r="I16" s="98">
        <f t="shared" si="0"/>
        <v>74.350000000000009</v>
      </c>
      <c r="J16" s="9" t="str">
        <f t="shared" si="1"/>
        <v>C</v>
      </c>
      <c r="K16" s="9" t="str">
        <f t="shared" si="2"/>
        <v>Lulus</v>
      </c>
      <c r="M16" s="94" t="s">
        <v>293</v>
      </c>
      <c r="N16" s="100" t="s">
        <v>294</v>
      </c>
    </row>
    <row r="17" spans="1:15" x14ac:dyDescent="0.25">
      <c r="A17" s="9">
        <v>15</v>
      </c>
      <c r="B17" s="95" t="s">
        <v>295</v>
      </c>
      <c r="C17" s="9">
        <v>81</v>
      </c>
      <c r="D17" s="9">
        <v>81</v>
      </c>
      <c r="E17" s="9">
        <v>83</v>
      </c>
      <c r="F17" s="9">
        <v>54</v>
      </c>
      <c r="G17" s="9">
        <v>43</v>
      </c>
      <c r="H17" s="9">
        <v>75</v>
      </c>
      <c r="I17" s="98">
        <f t="shared" si="0"/>
        <v>62.22</v>
      </c>
      <c r="J17" s="9" t="str">
        <f t="shared" si="1"/>
        <v>D</v>
      </c>
      <c r="K17" s="9" t="str">
        <f t="shared" si="2"/>
        <v>Belum Lulus</v>
      </c>
    </row>
    <row r="18" spans="1:15" x14ac:dyDescent="0.25">
      <c r="A18" s="9">
        <v>16</v>
      </c>
      <c r="B18" s="95" t="s">
        <v>296</v>
      </c>
      <c r="C18" s="9">
        <v>80</v>
      </c>
      <c r="D18" s="9">
        <v>80</v>
      </c>
      <c r="E18" s="9">
        <v>77</v>
      </c>
      <c r="F18" s="9">
        <v>90</v>
      </c>
      <c r="G18" s="9">
        <v>76</v>
      </c>
      <c r="H18" s="9">
        <v>50</v>
      </c>
      <c r="I18" s="98">
        <f t="shared" si="0"/>
        <v>70.12</v>
      </c>
      <c r="J18" s="9" t="str">
        <f t="shared" si="1"/>
        <v>C</v>
      </c>
      <c r="K18" s="9" t="str">
        <f t="shared" si="2"/>
        <v>Lulus</v>
      </c>
    </row>
    <row r="19" spans="1:15" x14ac:dyDescent="0.25">
      <c r="A19" s="9">
        <v>17</v>
      </c>
      <c r="B19" s="95" t="s">
        <v>297</v>
      </c>
      <c r="C19" s="9">
        <v>66</v>
      </c>
      <c r="D19" s="9">
        <v>66</v>
      </c>
      <c r="E19" s="9">
        <v>75</v>
      </c>
      <c r="F19" s="9">
        <v>83</v>
      </c>
      <c r="G19" s="9">
        <v>81</v>
      </c>
      <c r="H19" s="9">
        <v>34</v>
      </c>
      <c r="I19" s="98">
        <f t="shared" si="0"/>
        <v>63.24</v>
      </c>
      <c r="J19" s="9" t="str">
        <f t="shared" si="1"/>
        <v>D</v>
      </c>
      <c r="K19" s="9" t="str">
        <f t="shared" si="2"/>
        <v>Belum Lulus</v>
      </c>
      <c r="M19" s="90" t="s">
        <v>298</v>
      </c>
    </row>
    <row r="20" spans="1:15" x14ac:dyDescent="0.25">
      <c r="A20" s="9">
        <v>18</v>
      </c>
      <c r="B20" s="95" t="s">
        <v>299</v>
      </c>
      <c r="C20" s="9">
        <v>43</v>
      </c>
      <c r="D20" s="9">
        <v>43</v>
      </c>
      <c r="E20" s="9">
        <v>81</v>
      </c>
      <c r="F20" s="9">
        <v>77</v>
      </c>
      <c r="G20" s="9">
        <v>80</v>
      </c>
      <c r="H20" s="9">
        <v>72</v>
      </c>
      <c r="I20" s="98">
        <f t="shared" si="0"/>
        <v>73.33</v>
      </c>
      <c r="J20" s="9" t="str">
        <f t="shared" si="1"/>
        <v>C</v>
      </c>
      <c r="K20" s="9" t="str">
        <f t="shared" si="2"/>
        <v>Lulus</v>
      </c>
      <c r="M20" s="94" t="s">
        <v>263</v>
      </c>
      <c r="N20" s="101" t="s">
        <v>300</v>
      </c>
      <c r="O20" s="100" t="s">
        <v>301</v>
      </c>
    </row>
    <row r="21" spans="1:15" x14ac:dyDescent="0.25">
      <c r="A21" s="9">
        <v>19</v>
      </c>
      <c r="B21" s="95" t="s">
        <v>302</v>
      </c>
      <c r="C21" s="9">
        <v>43</v>
      </c>
      <c r="D21" s="9">
        <v>56</v>
      </c>
      <c r="E21" s="9">
        <v>80</v>
      </c>
      <c r="F21" s="9">
        <v>75</v>
      </c>
      <c r="G21" s="9">
        <v>66</v>
      </c>
      <c r="H21" s="9">
        <v>66</v>
      </c>
      <c r="I21" s="98">
        <f t="shared" si="0"/>
        <v>67.22</v>
      </c>
      <c r="J21" s="9" t="str">
        <f t="shared" si="1"/>
        <v>C</v>
      </c>
      <c r="K21" s="9" t="str">
        <f t="shared" si="2"/>
        <v>Lulus</v>
      </c>
      <c r="M21" s="94" t="s">
        <v>264</v>
      </c>
      <c r="N21" s="101" t="s">
        <v>303</v>
      </c>
      <c r="O21" s="100" t="s">
        <v>304</v>
      </c>
    </row>
    <row r="22" spans="1:15" x14ac:dyDescent="0.25">
      <c r="A22" s="9">
        <v>20</v>
      </c>
      <c r="B22" s="95" t="s">
        <v>305</v>
      </c>
      <c r="C22" s="9">
        <v>56</v>
      </c>
      <c r="D22" s="9">
        <v>87</v>
      </c>
      <c r="E22" s="9">
        <v>66</v>
      </c>
      <c r="F22" s="9">
        <v>81</v>
      </c>
      <c r="G22" s="9">
        <v>43</v>
      </c>
      <c r="H22" s="9">
        <v>65</v>
      </c>
      <c r="I22" s="98">
        <f t="shared" si="0"/>
        <v>62.4</v>
      </c>
      <c r="J22" s="9" t="str">
        <f t="shared" si="1"/>
        <v>D</v>
      </c>
      <c r="K22" s="9" t="str">
        <f t="shared" si="2"/>
        <v>Belum Lulus</v>
      </c>
    </row>
    <row r="23" spans="1:15" x14ac:dyDescent="0.25">
      <c r="A23" s="9">
        <v>21</v>
      </c>
      <c r="B23" s="48" t="s">
        <v>272</v>
      </c>
      <c r="C23" s="9">
        <v>87</v>
      </c>
      <c r="D23" s="9">
        <v>54</v>
      </c>
      <c r="E23" s="9">
        <v>43</v>
      </c>
      <c r="F23" s="9">
        <v>43</v>
      </c>
      <c r="G23" s="9">
        <v>81</v>
      </c>
      <c r="H23" s="9">
        <v>76</v>
      </c>
      <c r="I23" s="98">
        <f t="shared" si="0"/>
        <v>68.259999999999991</v>
      </c>
      <c r="J23" s="9" t="str">
        <f t="shared" si="1"/>
        <v>C</v>
      </c>
      <c r="K23" s="9" t="str">
        <f t="shared" si="2"/>
        <v>Lulus</v>
      </c>
    </row>
    <row r="24" spans="1:15" x14ac:dyDescent="0.25">
      <c r="A24" s="9">
        <v>22</v>
      </c>
      <c r="B24" s="48" t="s">
        <v>306</v>
      </c>
      <c r="C24" s="9">
        <v>54</v>
      </c>
      <c r="D24" s="9">
        <v>90</v>
      </c>
      <c r="E24" s="9">
        <v>76</v>
      </c>
      <c r="F24" s="9">
        <v>56</v>
      </c>
      <c r="G24" s="9">
        <v>80</v>
      </c>
      <c r="H24" s="9">
        <v>81</v>
      </c>
      <c r="I24" s="98">
        <f t="shared" si="0"/>
        <v>74.77</v>
      </c>
      <c r="J24" s="9" t="str">
        <f t="shared" si="1"/>
        <v>C</v>
      </c>
      <c r="K24" s="9" t="str">
        <f t="shared" si="2"/>
        <v>Lulus</v>
      </c>
    </row>
    <row r="25" spans="1:15" x14ac:dyDescent="0.25">
      <c r="A25" s="9">
        <v>23</v>
      </c>
      <c r="B25" s="48" t="s">
        <v>307</v>
      </c>
      <c r="C25" s="9">
        <v>90</v>
      </c>
      <c r="D25" s="9">
        <v>83</v>
      </c>
      <c r="E25" s="9">
        <v>81</v>
      </c>
      <c r="F25" s="9">
        <v>87</v>
      </c>
      <c r="G25" s="9">
        <v>66</v>
      </c>
      <c r="H25" s="9">
        <v>80</v>
      </c>
      <c r="I25" s="98">
        <f t="shared" si="0"/>
        <v>77.81</v>
      </c>
      <c r="J25" s="9" t="str">
        <f t="shared" si="1"/>
        <v>B</v>
      </c>
      <c r="K25" s="9" t="str">
        <f t="shared" si="2"/>
        <v>Lulus</v>
      </c>
    </row>
    <row r="26" spans="1:15" x14ac:dyDescent="0.25">
      <c r="A26" s="9">
        <v>24</v>
      </c>
      <c r="B26" s="48" t="s">
        <v>308</v>
      </c>
      <c r="C26" s="9">
        <v>83</v>
      </c>
      <c r="D26" s="9">
        <v>77</v>
      </c>
      <c r="E26" s="9">
        <v>80</v>
      </c>
      <c r="F26" s="9">
        <v>54</v>
      </c>
      <c r="G26" s="9">
        <v>43</v>
      </c>
      <c r="H26" s="9">
        <v>66</v>
      </c>
      <c r="I26" s="98">
        <f t="shared" si="0"/>
        <v>58.769999999999996</v>
      </c>
      <c r="J26" s="9" t="str">
        <f t="shared" si="1"/>
        <v>D</v>
      </c>
      <c r="K26" s="9" t="str">
        <f t="shared" si="2"/>
        <v>Belum Lulus</v>
      </c>
    </row>
    <row r="27" spans="1:15" x14ac:dyDescent="0.25">
      <c r="A27" s="9">
        <v>25</v>
      </c>
      <c r="B27" s="48" t="s">
        <v>309</v>
      </c>
      <c r="C27" s="9">
        <v>77</v>
      </c>
      <c r="D27" s="9">
        <v>75</v>
      </c>
      <c r="E27" s="9">
        <v>66</v>
      </c>
      <c r="F27" s="9">
        <v>90</v>
      </c>
      <c r="G27" s="9">
        <v>87</v>
      </c>
      <c r="H27" s="9">
        <v>43</v>
      </c>
      <c r="I27" s="98">
        <f t="shared" si="0"/>
        <v>69.94</v>
      </c>
      <c r="J27" s="9" t="str">
        <f t="shared" si="1"/>
        <v>C</v>
      </c>
      <c r="K27" s="9" t="str">
        <f t="shared" si="2"/>
        <v>Lulus</v>
      </c>
    </row>
    <row r="28" spans="1:15" x14ac:dyDescent="0.25">
      <c r="A28" s="9">
        <v>26</v>
      </c>
      <c r="B28" s="95" t="s">
        <v>310</v>
      </c>
      <c r="C28" s="9">
        <v>75</v>
      </c>
      <c r="D28" s="9">
        <v>43</v>
      </c>
      <c r="E28" s="9">
        <v>43</v>
      </c>
      <c r="F28" s="9">
        <v>83</v>
      </c>
      <c r="G28" s="9">
        <v>54</v>
      </c>
      <c r="H28" s="9">
        <v>66</v>
      </c>
      <c r="I28" s="98">
        <f t="shared" si="0"/>
        <v>63.629999999999995</v>
      </c>
      <c r="J28" s="9" t="str">
        <f t="shared" si="1"/>
        <v>D</v>
      </c>
      <c r="K28" s="9" t="str">
        <f t="shared" si="2"/>
        <v>Belum Lulus</v>
      </c>
    </row>
    <row r="29" spans="1:15" x14ac:dyDescent="0.25">
      <c r="A29" s="9">
        <v>27</v>
      </c>
      <c r="B29" s="95" t="s">
        <v>311</v>
      </c>
      <c r="C29" s="9">
        <v>81</v>
      </c>
      <c r="D29" s="9">
        <v>56</v>
      </c>
      <c r="E29" s="9">
        <v>87</v>
      </c>
      <c r="F29" s="9">
        <v>77</v>
      </c>
      <c r="G29" s="9">
        <v>90</v>
      </c>
      <c r="H29" s="9">
        <v>43</v>
      </c>
      <c r="I29" s="98">
        <f t="shared" si="0"/>
        <v>68.710000000000008</v>
      </c>
      <c r="J29" s="9" t="str">
        <f t="shared" si="1"/>
        <v>C</v>
      </c>
      <c r="K29" s="9" t="str">
        <f t="shared" si="2"/>
        <v>Lulus</v>
      </c>
    </row>
    <row r="30" spans="1:15" x14ac:dyDescent="0.25">
      <c r="A30" s="9">
        <v>28</v>
      </c>
      <c r="B30" s="95" t="s">
        <v>312</v>
      </c>
      <c r="C30" s="9">
        <v>80</v>
      </c>
      <c r="D30" s="9">
        <v>87</v>
      </c>
      <c r="E30" s="9">
        <v>54</v>
      </c>
      <c r="F30" s="9">
        <v>83</v>
      </c>
      <c r="G30" s="9">
        <v>43</v>
      </c>
      <c r="H30" s="9">
        <v>56</v>
      </c>
      <c r="I30" s="98">
        <f t="shared" si="0"/>
        <v>59.89</v>
      </c>
      <c r="J30" s="9" t="str">
        <f t="shared" si="1"/>
        <v>D</v>
      </c>
      <c r="K30" s="9" t="str">
        <f t="shared" si="2"/>
        <v>Belum Lulus</v>
      </c>
    </row>
    <row r="31" spans="1:15" x14ac:dyDescent="0.25">
      <c r="A31" s="9">
        <v>29</v>
      </c>
      <c r="B31" s="95" t="s">
        <v>313</v>
      </c>
      <c r="C31" s="9">
        <v>66</v>
      </c>
      <c r="D31" s="9">
        <v>54</v>
      </c>
      <c r="E31" s="9">
        <v>90</v>
      </c>
      <c r="F31" s="9">
        <v>77</v>
      </c>
      <c r="G31" s="9">
        <v>56</v>
      </c>
      <c r="H31" s="9">
        <v>87</v>
      </c>
      <c r="I31" s="98">
        <f t="shared" si="0"/>
        <v>73.39</v>
      </c>
      <c r="J31" s="9" t="str">
        <f t="shared" si="1"/>
        <v>C</v>
      </c>
      <c r="K31" s="9" t="str">
        <f t="shared" si="2"/>
        <v>Lulus</v>
      </c>
    </row>
    <row r="32" spans="1:15" x14ac:dyDescent="0.25">
      <c r="A32" s="9">
        <v>30</v>
      </c>
      <c r="B32" s="95" t="s">
        <v>314</v>
      </c>
      <c r="C32" s="9">
        <v>43</v>
      </c>
      <c r="D32" s="9">
        <v>90</v>
      </c>
      <c r="E32" s="9">
        <v>83</v>
      </c>
      <c r="F32" s="9">
        <v>75</v>
      </c>
      <c r="G32" s="9">
        <v>87</v>
      </c>
      <c r="H32" s="9">
        <v>54</v>
      </c>
      <c r="I32" s="98">
        <f t="shared" si="0"/>
        <v>71.199999999999989</v>
      </c>
      <c r="J32" s="9" t="str">
        <f t="shared" si="1"/>
        <v>C</v>
      </c>
      <c r="K32" s="9" t="str">
        <f t="shared" si="2"/>
        <v>Lulus</v>
      </c>
    </row>
    <row r="33" spans="1:11" x14ac:dyDescent="0.25">
      <c r="A33" s="9">
        <v>31</v>
      </c>
      <c r="B33" s="95" t="s">
        <v>315</v>
      </c>
      <c r="C33" s="9">
        <v>54</v>
      </c>
      <c r="D33" s="9">
        <v>83</v>
      </c>
      <c r="E33" s="9">
        <v>77</v>
      </c>
      <c r="F33" s="9">
        <v>81</v>
      </c>
      <c r="G33" s="9">
        <v>54</v>
      </c>
      <c r="H33" s="9">
        <v>90</v>
      </c>
      <c r="I33" s="98">
        <f t="shared" si="0"/>
        <v>74.83</v>
      </c>
      <c r="J33" s="9" t="str">
        <f t="shared" si="1"/>
        <v>C</v>
      </c>
      <c r="K33" s="9" t="str">
        <f t="shared" si="2"/>
        <v>Lulus</v>
      </c>
    </row>
    <row r="34" spans="1:11" x14ac:dyDescent="0.25">
      <c r="A34" s="9">
        <v>32</v>
      </c>
      <c r="B34" s="95" t="s">
        <v>316</v>
      </c>
      <c r="C34" s="9">
        <v>90</v>
      </c>
      <c r="D34" s="9">
        <v>77</v>
      </c>
      <c r="E34" s="9">
        <v>75</v>
      </c>
      <c r="F34" s="9">
        <v>80</v>
      </c>
      <c r="G34" s="9">
        <v>90</v>
      </c>
      <c r="H34" s="9">
        <v>83</v>
      </c>
      <c r="I34" s="98">
        <f t="shared" si="0"/>
        <v>84</v>
      </c>
      <c r="J34" s="9" t="str">
        <f t="shared" si="1"/>
        <v>B</v>
      </c>
      <c r="K34" s="9" t="str">
        <f t="shared" si="2"/>
        <v>Lulus</v>
      </c>
    </row>
    <row r="35" spans="1:11" x14ac:dyDescent="0.25">
      <c r="A35" s="9">
        <v>33</v>
      </c>
      <c r="B35" s="95" t="s">
        <v>317</v>
      </c>
      <c r="C35" s="9">
        <v>83</v>
      </c>
      <c r="D35" s="9">
        <v>75</v>
      </c>
      <c r="E35" s="9">
        <v>81</v>
      </c>
      <c r="F35" s="9">
        <v>66</v>
      </c>
      <c r="G35" s="9">
        <v>83</v>
      </c>
      <c r="H35" s="9">
        <v>77</v>
      </c>
      <c r="I35" s="98">
        <f t="shared" si="0"/>
        <v>76.98</v>
      </c>
      <c r="J35" s="9" t="str">
        <f t="shared" si="1"/>
        <v>B</v>
      </c>
      <c r="K35" s="9" t="str">
        <f t="shared" si="2"/>
        <v>Lulus</v>
      </c>
    </row>
    <row r="36" spans="1:11" x14ac:dyDescent="0.25">
      <c r="A36" s="9">
        <v>34</v>
      </c>
      <c r="B36" s="95" t="s">
        <v>318</v>
      </c>
      <c r="C36" s="9">
        <v>83</v>
      </c>
      <c r="D36" s="9">
        <v>81</v>
      </c>
      <c r="E36" s="9">
        <v>80</v>
      </c>
      <c r="F36" s="9">
        <v>83</v>
      </c>
      <c r="G36" s="9">
        <v>77</v>
      </c>
      <c r="H36" s="9">
        <v>83</v>
      </c>
      <c r="I36" s="98">
        <f t="shared" si="0"/>
        <v>80.92</v>
      </c>
      <c r="J36" s="9" t="str">
        <f t="shared" si="1"/>
        <v>B</v>
      </c>
      <c r="K36" s="9" t="str">
        <f t="shared" si="2"/>
        <v>Lulus</v>
      </c>
    </row>
    <row r="37" spans="1:11" x14ac:dyDescent="0.25">
      <c r="A37" s="9">
        <v>35</v>
      </c>
      <c r="B37" s="95" t="s">
        <v>319</v>
      </c>
      <c r="C37" s="9">
        <v>77</v>
      </c>
      <c r="D37" s="9">
        <v>83</v>
      </c>
      <c r="E37" s="9">
        <v>83</v>
      </c>
      <c r="F37" s="9">
        <v>77</v>
      </c>
      <c r="G37" s="9">
        <v>75</v>
      </c>
      <c r="H37" s="9">
        <v>77</v>
      </c>
      <c r="I37" s="98">
        <f t="shared" si="0"/>
        <v>77.06</v>
      </c>
      <c r="J37" s="9" t="str">
        <f t="shared" si="1"/>
        <v>B</v>
      </c>
      <c r="K37" s="9" t="str">
        <f t="shared" si="2"/>
        <v>Lulus</v>
      </c>
    </row>
    <row r="38" spans="1:11" x14ac:dyDescent="0.25">
      <c r="A38" s="9">
        <v>36</v>
      </c>
      <c r="B38" s="95" t="s">
        <v>320</v>
      </c>
      <c r="C38" s="9">
        <v>75</v>
      </c>
      <c r="D38" s="9">
        <v>77</v>
      </c>
      <c r="E38" s="9">
        <v>77</v>
      </c>
      <c r="F38" s="9">
        <v>75</v>
      </c>
      <c r="G38" s="9">
        <v>81</v>
      </c>
      <c r="H38" s="9">
        <v>75</v>
      </c>
      <c r="I38" s="98">
        <f t="shared" si="0"/>
        <v>77.02</v>
      </c>
      <c r="J38" s="9" t="str">
        <f t="shared" si="1"/>
        <v>B</v>
      </c>
      <c r="K38" s="9" t="str">
        <f t="shared" si="2"/>
        <v>Lulus</v>
      </c>
    </row>
    <row r="39" spans="1:11" x14ac:dyDescent="0.25">
      <c r="A39" s="9">
        <v>37</v>
      </c>
      <c r="B39" s="95" t="s">
        <v>321</v>
      </c>
      <c r="C39" s="9">
        <v>81</v>
      </c>
      <c r="D39" s="9">
        <v>75</v>
      </c>
      <c r="E39" s="9">
        <v>75</v>
      </c>
      <c r="F39" s="9">
        <v>81</v>
      </c>
      <c r="G39" s="9">
        <v>80</v>
      </c>
      <c r="H39" s="9">
        <v>81</v>
      </c>
      <c r="I39" s="98">
        <f t="shared" si="0"/>
        <v>80.039999999999992</v>
      </c>
      <c r="J39" s="9" t="str">
        <f t="shared" si="1"/>
        <v>B</v>
      </c>
      <c r="K39" s="9" t="str">
        <f t="shared" si="2"/>
        <v>Lulus</v>
      </c>
    </row>
    <row r="40" spans="1:11" x14ac:dyDescent="0.25">
      <c r="A40" s="9">
        <v>38</v>
      </c>
      <c r="B40" s="95" t="s">
        <v>322</v>
      </c>
      <c r="C40" s="9">
        <v>80</v>
      </c>
      <c r="D40" s="9">
        <v>81</v>
      </c>
      <c r="E40" s="9">
        <v>81</v>
      </c>
      <c r="F40" s="9">
        <v>80</v>
      </c>
      <c r="G40" s="9">
        <v>66</v>
      </c>
      <c r="H40" s="9">
        <v>80</v>
      </c>
      <c r="I40" s="98">
        <f t="shared" si="0"/>
        <v>75.91</v>
      </c>
      <c r="J40" s="9" t="str">
        <f t="shared" si="1"/>
        <v>B</v>
      </c>
      <c r="K40" s="9" t="str">
        <f t="shared" si="2"/>
        <v>Lulus</v>
      </c>
    </row>
    <row r="41" spans="1:11" x14ac:dyDescent="0.25">
      <c r="A41" s="9">
        <v>39</v>
      </c>
      <c r="B41" s="95" t="s">
        <v>323</v>
      </c>
      <c r="C41" s="9">
        <v>66</v>
      </c>
      <c r="D41" s="9">
        <v>80</v>
      </c>
      <c r="E41" s="9">
        <v>80</v>
      </c>
      <c r="F41" s="9">
        <v>66</v>
      </c>
      <c r="G41" s="9">
        <v>43</v>
      </c>
      <c r="H41" s="9">
        <v>66</v>
      </c>
      <c r="I41" s="98">
        <f t="shared" si="0"/>
        <v>60.64</v>
      </c>
      <c r="J41" s="9" t="str">
        <f t="shared" si="1"/>
        <v>D</v>
      </c>
      <c r="K41" s="9" t="str">
        <f t="shared" si="2"/>
        <v>Belum Lulus</v>
      </c>
    </row>
    <row r="42" spans="1:11" x14ac:dyDescent="0.25">
      <c r="A42" s="9">
        <v>40</v>
      </c>
      <c r="B42" s="95" t="s">
        <v>324</v>
      </c>
      <c r="C42" s="9">
        <v>43</v>
      </c>
      <c r="D42" s="9">
        <v>66</v>
      </c>
      <c r="E42" s="9">
        <v>66</v>
      </c>
      <c r="F42" s="9">
        <v>43</v>
      </c>
      <c r="G42" s="9">
        <v>54</v>
      </c>
      <c r="H42" s="9">
        <v>43</v>
      </c>
      <c r="I42" s="98">
        <f t="shared" si="0"/>
        <v>48.83</v>
      </c>
      <c r="J42" s="9" t="str">
        <f t="shared" si="1"/>
        <v>E</v>
      </c>
      <c r="K42" s="9" t="str">
        <f t="shared" si="2"/>
        <v>Belum Lulus</v>
      </c>
    </row>
    <row r="43" spans="1:11" x14ac:dyDescent="0.25">
      <c r="A43" s="9">
        <v>41</v>
      </c>
      <c r="B43" s="95" t="s">
        <v>310</v>
      </c>
      <c r="C43" s="9">
        <v>76</v>
      </c>
      <c r="D43" s="9">
        <v>43</v>
      </c>
      <c r="E43" s="9">
        <v>43</v>
      </c>
      <c r="F43" s="9">
        <v>76</v>
      </c>
      <c r="G43" s="9">
        <v>90</v>
      </c>
      <c r="H43" s="9">
        <v>76</v>
      </c>
      <c r="I43" s="98">
        <f t="shared" si="0"/>
        <v>76.569999999999993</v>
      </c>
      <c r="J43" s="9" t="str">
        <f t="shared" si="1"/>
        <v>B</v>
      </c>
      <c r="K43" s="9" t="str">
        <f t="shared" si="2"/>
        <v>Lulus</v>
      </c>
    </row>
    <row r="44" spans="1:11" x14ac:dyDescent="0.25">
      <c r="A44" s="9">
        <v>42</v>
      </c>
      <c r="B44" s="95" t="s">
        <v>311</v>
      </c>
      <c r="C44" s="9">
        <v>81</v>
      </c>
      <c r="D44" s="9">
        <v>76</v>
      </c>
      <c r="E44" s="9">
        <v>76</v>
      </c>
      <c r="F44" s="9">
        <v>81</v>
      </c>
      <c r="G44" s="9">
        <v>83</v>
      </c>
      <c r="H44" s="9">
        <v>81</v>
      </c>
      <c r="I44" s="98">
        <f t="shared" si="0"/>
        <v>81.05</v>
      </c>
      <c r="J44" s="9" t="str">
        <f t="shared" si="1"/>
        <v>B</v>
      </c>
      <c r="K44" s="9" t="str">
        <f t="shared" si="2"/>
        <v>Lulus</v>
      </c>
    </row>
    <row r="45" spans="1:11" x14ac:dyDescent="0.25">
      <c r="A45" s="9">
        <v>43</v>
      </c>
      <c r="B45" s="95" t="s">
        <v>312</v>
      </c>
      <c r="C45" s="9">
        <v>80</v>
      </c>
      <c r="D45" s="9">
        <v>81</v>
      </c>
      <c r="E45" s="9">
        <v>81</v>
      </c>
      <c r="F45" s="9">
        <v>80</v>
      </c>
      <c r="G45" s="9">
        <v>77</v>
      </c>
      <c r="H45" s="9">
        <v>80</v>
      </c>
      <c r="I45" s="98">
        <f t="shared" si="0"/>
        <v>79.209999999999994</v>
      </c>
      <c r="J45" s="9" t="str">
        <f t="shared" si="1"/>
        <v>B</v>
      </c>
      <c r="K45" s="9" t="str">
        <f t="shared" si="2"/>
        <v>Lulus</v>
      </c>
    </row>
    <row r="46" spans="1:11" x14ac:dyDescent="0.25">
      <c r="A46" s="9">
        <v>44</v>
      </c>
      <c r="B46" s="95" t="s">
        <v>313</v>
      </c>
      <c r="C46" s="9">
        <v>66</v>
      </c>
      <c r="D46" s="9">
        <v>80</v>
      </c>
      <c r="E46" s="9">
        <v>80</v>
      </c>
      <c r="F46" s="9">
        <v>66</v>
      </c>
      <c r="G46" s="9">
        <v>75</v>
      </c>
      <c r="H46" s="9">
        <v>66</v>
      </c>
      <c r="I46" s="98">
        <f t="shared" si="0"/>
        <v>70.239999999999995</v>
      </c>
      <c r="J46" s="9" t="str">
        <f t="shared" si="1"/>
        <v>C</v>
      </c>
      <c r="K46" s="9" t="str">
        <f t="shared" si="2"/>
        <v>Lulus</v>
      </c>
    </row>
    <row r="47" spans="1:11" x14ac:dyDescent="0.25">
      <c r="A47" s="9">
        <v>45</v>
      </c>
      <c r="B47" s="95" t="s">
        <v>314</v>
      </c>
      <c r="C47" s="9">
        <v>43</v>
      </c>
      <c r="D47" s="9">
        <v>66</v>
      </c>
      <c r="E47" s="9">
        <v>66</v>
      </c>
      <c r="F47" s="9">
        <v>43</v>
      </c>
      <c r="G47" s="9">
        <v>66</v>
      </c>
      <c r="H47" s="9">
        <v>43</v>
      </c>
      <c r="I47" s="98">
        <f t="shared" si="0"/>
        <v>52.429999999999993</v>
      </c>
      <c r="J47" s="9" t="str">
        <f t="shared" si="1"/>
        <v>E</v>
      </c>
      <c r="K47" s="9" t="str">
        <f t="shared" si="2"/>
        <v>Belum Lulus</v>
      </c>
    </row>
  </sheetData>
  <mergeCells count="7">
    <mergeCell ref="K1:K2"/>
    <mergeCell ref="A1:A2"/>
    <mergeCell ref="B1:B2"/>
    <mergeCell ref="C1:E1"/>
    <mergeCell ref="F1:F2"/>
    <mergeCell ref="G1:G2"/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A48-AF14-4A4C-BD66-D42E447600E7}">
  <dimension ref="A1:I24"/>
  <sheetViews>
    <sheetView workbookViewId="0">
      <selection activeCell="I16" sqref="I16"/>
    </sheetView>
  </sheetViews>
  <sheetFormatPr defaultRowHeight="15" x14ac:dyDescent="0.25"/>
  <cols>
    <col min="1" max="1" width="7.28515625" customWidth="1"/>
    <col min="2" max="2" width="17.42578125" customWidth="1"/>
    <col min="3" max="3" width="11.42578125" customWidth="1"/>
    <col min="4" max="4" width="14.42578125" customWidth="1"/>
    <col min="5" max="5" width="7.42578125" customWidth="1"/>
    <col min="6" max="6" width="12.85546875" customWidth="1"/>
    <col min="7" max="7" width="14.28515625" bestFit="1" customWidth="1"/>
    <col min="8" max="8" width="13.140625" bestFit="1" customWidth="1"/>
    <col min="9" max="9" width="13.7109375" customWidth="1"/>
  </cols>
  <sheetData>
    <row r="1" spans="1:9" ht="15.75" thickBot="1" x14ac:dyDescent="0.3"/>
    <row r="2" spans="1:9" ht="15.75" x14ac:dyDescent="0.25">
      <c r="B2" s="268" t="s">
        <v>479</v>
      </c>
      <c r="C2" s="269"/>
      <c r="D2" s="270"/>
    </row>
    <row r="3" spans="1:9" ht="15.75" x14ac:dyDescent="0.25">
      <c r="B3" s="271" t="s">
        <v>480</v>
      </c>
      <c r="C3" s="272"/>
      <c r="D3" s="273"/>
    </row>
    <row r="4" spans="1:9" ht="15.75" thickBot="1" x14ac:dyDescent="0.3">
      <c r="B4" s="274" t="s">
        <v>481</v>
      </c>
      <c r="C4" s="275"/>
      <c r="D4" s="276"/>
    </row>
    <row r="6" spans="1:9" ht="45" x14ac:dyDescent="0.25">
      <c r="A6" s="141" t="s">
        <v>51</v>
      </c>
      <c r="B6" s="141" t="s">
        <v>482</v>
      </c>
      <c r="C6" s="142" t="s">
        <v>483</v>
      </c>
      <c r="D6" s="142" t="s">
        <v>484</v>
      </c>
      <c r="E6" s="142" t="s">
        <v>485</v>
      </c>
      <c r="F6" s="142" t="s">
        <v>486</v>
      </c>
      <c r="G6" s="142" t="s">
        <v>487</v>
      </c>
      <c r="H6" s="141" t="s">
        <v>488</v>
      </c>
      <c r="I6" s="142" t="s">
        <v>118</v>
      </c>
    </row>
    <row r="7" spans="1:9" x14ac:dyDescent="0.25">
      <c r="A7" s="40">
        <v>1</v>
      </c>
      <c r="B7" s="48" t="s">
        <v>489</v>
      </c>
      <c r="C7" s="48" t="s">
        <v>214</v>
      </c>
      <c r="D7" s="48" t="str">
        <f>CHOOSE(MATCH(C7,{"MB","TR","SD"},0),"Mini Bus","Truk","Sedan")</f>
        <v>Mini Bus</v>
      </c>
      <c r="E7" s="40">
        <v>26</v>
      </c>
      <c r="F7" s="143">
        <f>CHOOSE(MATCH(C7,{"MB","TR","SD"},0),12500,15000,10000)</f>
        <v>12500</v>
      </c>
      <c r="G7" s="143">
        <f>F7*E7</f>
        <v>325000</v>
      </c>
      <c r="H7" s="143">
        <f>IF(E7&gt;24,5%,0)*G7</f>
        <v>16250</v>
      </c>
      <c r="I7" s="143">
        <f>SUM(G7:H7)</f>
        <v>341250</v>
      </c>
    </row>
    <row r="8" spans="1:9" x14ac:dyDescent="0.25">
      <c r="A8" s="40">
        <v>2</v>
      </c>
      <c r="B8" s="48" t="s">
        <v>490</v>
      </c>
      <c r="C8" s="48" t="s">
        <v>491</v>
      </c>
      <c r="D8" s="48" t="str">
        <f>CHOOSE(MATCH(C8,{"MB","TR","SD"},0),"Mini Bus","Truk","Sedan")</f>
        <v>Truk</v>
      </c>
      <c r="E8" s="40">
        <v>12</v>
      </c>
      <c r="F8" s="143">
        <f>CHOOSE(MATCH(C8,{"MB","TR","SD"},0),12500,15000,10000)</f>
        <v>15000</v>
      </c>
      <c r="G8" s="143">
        <f t="shared" ref="G8:G11" si="0">F8*E8</f>
        <v>180000</v>
      </c>
      <c r="H8" s="143">
        <f t="shared" ref="H8:H11" si="1">IF(E8&gt;24,5%,0)*G8</f>
        <v>0</v>
      </c>
      <c r="I8" s="143">
        <f t="shared" ref="I8:I11" si="2">SUM(G8:H8)</f>
        <v>180000</v>
      </c>
    </row>
    <row r="9" spans="1:9" x14ac:dyDescent="0.25">
      <c r="A9" s="40">
        <v>3</v>
      </c>
      <c r="B9" s="48" t="s">
        <v>492</v>
      </c>
      <c r="C9" s="48" t="s">
        <v>493</v>
      </c>
      <c r="D9" s="48" t="str">
        <f>CHOOSE(MATCH(C9,{"MB","TR","SD"},0),"Mini Bus","Truk","Sedan")</f>
        <v>Sedan</v>
      </c>
      <c r="E9" s="40">
        <v>10</v>
      </c>
      <c r="F9" s="143">
        <f>CHOOSE(MATCH(C9,{"MB","TR","SD"},0),12500,15000,10000)</f>
        <v>10000</v>
      </c>
      <c r="G9" s="143">
        <f t="shared" si="0"/>
        <v>100000</v>
      </c>
      <c r="H9" s="143">
        <f t="shared" si="1"/>
        <v>0</v>
      </c>
      <c r="I9" s="143">
        <f t="shared" si="2"/>
        <v>100000</v>
      </c>
    </row>
    <row r="10" spans="1:9" x14ac:dyDescent="0.25">
      <c r="A10" s="40">
        <v>4</v>
      </c>
      <c r="B10" s="48" t="s">
        <v>494</v>
      </c>
      <c r="C10" s="48" t="s">
        <v>491</v>
      </c>
      <c r="D10" s="48" t="str">
        <f>CHOOSE(MATCH(C10,{"MB","TR","SD"},0),"Mini Bus","Truk","Sedan")</f>
        <v>Truk</v>
      </c>
      <c r="E10" s="40">
        <v>24</v>
      </c>
      <c r="F10" s="143">
        <f>CHOOSE(MATCH(C10,{"MB","TR","SD"},0),12500,15000,10000)</f>
        <v>15000</v>
      </c>
      <c r="G10" s="143">
        <f t="shared" si="0"/>
        <v>360000</v>
      </c>
      <c r="H10" s="143">
        <f t="shared" si="1"/>
        <v>0</v>
      </c>
      <c r="I10" s="143">
        <f t="shared" si="2"/>
        <v>360000</v>
      </c>
    </row>
    <row r="11" spans="1:9" x14ac:dyDescent="0.25">
      <c r="A11" s="40">
        <v>5</v>
      </c>
      <c r="B11" s="48" t="s">
        <v>495</v>
      </c>
      <c r="C11" s="48" t="s">
        <v>214</v>
      </c>
      <c r="D11" s="48" t="str">
        <f>CHOOSE(MATCH(C11,{"MB","TR","SD"},0),"Mini Bus","Truk","Sedan")</f>
        <v>Mini Bus</v>
      </c>
      <c r="E11" s="40">
        <v>30</v>
      </c>
      <c r="F11" s="143">
        <f>CHOOSE(MATCH(C11,{"MB","TR","SD"},0),12500,15000,10000)</f>
        <v>12500</v>
      </c>
      <c r="G11" s="143">
        <f t="shared" si="0"/>
        <v>375000</v>
      </c>
      <c r="H11" s="143">
        <f t="shared" si="1"/>
        <v>18750</v>
      </c>
      <c r="I11" s="143">
        <f t="shared" si="2"/>
        <v>393750</v>
      </c>
    </row>
    <row r="12" spans="1:9" x14ac:dyDescent="0.25">
      <c r="A12" s="265" t="s">
        <v>496</v>
      </c>
      <c r="B12" s="266"/>
      <c r="C12" s="266"/>
      <c r="D12" s="266"/>
      <c r="E12" s="266"/>
      <c r="F12" s="266"/>
      <c r="G12" s="266"/>
      <c r="H12" s="267"/>
      <c r="I12" s="143">
        <f>SUM(I7:I11)</f>
        <v>1375000</v>
      </c>
    </row>
    <row r="13" spans="1:9" x14ac:dyDescent="0.25">
      <c r="A13" s="265" t="s">
        <v>497</v>
      </c>
      <c r="B13" s="266"/>
      <c r="C13" s="266"/>
      <c r="D13" s="266"/>
      <c r="E13" s="266"/>
      <c r="F13" s="266"/>
      <c r="G13" s="266"/>
      <c r="H13" s="267"/>
      <c r="I13" s="143">
        <f>AVERAGE(I7:I11)</f>
        <v>275000</v>
      </c>
    </row>
    <row r="14" spans="1:9" x14ac:dyDescent="0.25">
      <c r="A14" s="265" t="s">
        <v>498</v>
      </c>
      <c r="B14" s="266"/>
      <c r="C14" s="266"/>
      <c r="D14" s="266"/>
      <c r="E14" s="266"/>
      <c r="F14" s="266"/>
      <c r="G14" s="266"/>
      <c r="H14" s="267"/>
      <c r="I14" s="143">
        <f>MAX(I7:I11)</f>
        <v>393750</v>
      </c>
    </row>
    <row r="15" spans="1:9" x14ac:dyDescent="0.25">
      <c r="A15" s="265" t="s">
        <v>499</v>
      </c>
      <c r="B15" s="266"/>
      <c r="C15" s="266"/>
      <c r="D15" s="266"/>
      <c r="E15" s="266"/>
      <c r="F15" s="266"/>
      <c r="G15" s="266"/>
      <c r="H15" s="267"/>
      <c r="I15" s="143">
        <f>MIN(I7:I11)</f>
        <v>100000</v>
      </c>
    </row>
    <row r="17" spans="1:5" x14ac:dyDescent="0.25">
      <c r="A17" t="s">
        <v>500</v>
      </c>
    </row>
    <row r="18" spans="1:5" x14ac:dyDescent="0.25">
      <c r="A18" t="s">
        <v>501</v>
      </c>
    </row>
    <row r="19" spans="1:5" x14ac:dyDescent="0.25">
      <c r="A19" t="s">
        <v>502</v>
      </c>
    </row>
    <row r="20" spans="1:5" x14ac:dyDescent="0.25">
      <c r="A20" t="s">
        <v>503</v>
      </c>
      <c r="C20" t="s">
        <v>504</v>
      </c>
      <c r="E20" t="s">
        <v>505</v>
      </c>
    </row>
    <row r="21" spans="1:5" x14ac:dyDescent="0.25">
      <c r="A21" t="s">
        <v>506</v>
      </c>
    </row>
    <row r="22" spans="1:5" x14ac:dyDescent="0.25">
      <c r="A22" t="s">
        <v>507</v>
      </c>
    </row>
    <row r="23" spans="1:5" x14ac:dyDescent="0.25">
      <c r="A23" t="s">
        <v>508</v>
      </c>
    </row>
    <row r="24" spans="1:5" x14ac:dyDescent="0.25">
      <c r="A24" t="s">
        <v>509</v>
      </c>
    </row>
  </sheetData>
  <mergeCells count="7">
    <mergeCell ref="A15:H15"/>
    <mergeCell ref="B2:D2"/>
    <mergeCell ref="B3:D3"/>
    <mergeCell ref="B4:D4"/>
    <mergeCell ref="A12:H12"/>
    <mergeCell ref="A13:H13"/>
    <mergeCell ref="A14:H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C3A3-4EB0-4390-B147-E8A6D59658A2}">
  <dimension ref="A1:L31"/>
  <sheetViews>
    <sheetView workbookViewId="0">
      <selection activeCell="L27" sqref="L27"/>
    </sheetView>
  </sheetViews>
  <sheetFormatPr defaultRowHeight="15" x14ac:dyDescent="0.25"/>
  <cols>
    <col min="1" max="1" width="7.28515625" customWidth="1"/>
    <col min="2" max="2" width="17.42578125" customWidth="1"/>
    <col min="3" max="3" width="8.28515625" customWidth="1"/>
    <col min="4" max="4" width="11.42578125" customWidth="1"/>
    <col min="5" max="5" width="12.42578125" customWidth="1"/>
    <col min="6" max="6" width="11" customWidth="1"/>
    <col min="7" max="7" width="14.5703125" bestFit="1" customWidth="1"/>
    <col min="8" max="8" width="12.140625" customWidth="1"/>
    <col min="9" max="9" width="17.5703125" customWidth="1"/>
  </cols>
  <sheetData>
    <row r="1" spans="1:9" ht="15.75" thickBot="1" x14ac:dyDescent="0.3"/>
    <row r="2" spans="1:9" ht="15.75" x14ac:dyDescent="0.25">
      <c r="B2" s="268" t="s">
        <v>510</v>
      </c>
      <c r="C2" s="269"/>
      <c r="D2" s="270"/>
    </row>
    <row r="3" spans="1:9" ht="15.75" x14ac:dyDescent="0.25">
      <c r="B3" s="271" t="s">
        <v>480</v>
      </c>
      <c r="C3" s="272"/>
      <c r="D3" s="273"/>
    </row>
    <row r="4" spans="1:9" ht="15.75" thickBot="1" x14ac:dyDescent="0.3">
      <c r="B4" s="274" t="s">
        <v>481</v>
      </c>
      <c r="C4" s="275"/>
      <c r="D4" s="276"/>
    </row>
    <row r="6" spans="1:9" ht="25.5" x14ac:dyDescent="0.25">
      <c r="A6" s="144" t="s">
        <v>51</v>
      </c>
      <c r="B6" s="144" t="s">
        <v>482</v>
      </c>
      <c r="C6" s="145" t="s">
        <v>511</v>
      </c>
      <c r="D6" s="145" t="s">
        <v>512</v>
      </c>
      <c r="E6" s="145" t="s">
        <v>513</v>
      </c>
      <c r="F6" s="145" t="s">
        <v>514</v>
      </c>
      <c r="G6" s="145" t="s">
        <v>515</v>
      </c>
      <c r="H6" s="144" t="s">
        <v>516</v>
      </c>
      <c r="I6" s="145" t="s">
        <v>118</v>
      </c>
    </row>
    <row r="7" spans="1:9" x14ac:dyDescent="0.25">
      <c r="A7" s="146">
        <v>1</v>
      </c>
      <c r="B7" s="147" t="s">
        <v>489</v>
      </c>
      <c r="C7" s="146" t="s">
        <v>517</v>
      </c>
      <c r="D7" s="147" t="str">
        <f>_xlfn.XLOOKUP(C7,$A$20:$A$22,$B$20:$B$22)</f>
        <v>LUX</v>
      </c>
      <c r="E7" s="146">
        <v>2</v>
      </c>
      <c r="F7" s="281">
        <f>_xlfn.XLOOKUP(C7,$F$19:$H$19,$F$20:$H$20)</f>
        <v>750000</v>
      </c>
      <c r="G7" s="281">
        <f>F7*E7</f>
        <v>1500000</v>
      </c>
      <c r="H7" s="281">
        <f>IF(E7&gt;5,5%,0)*G7</f>
        <v>0</v>
      </c>
      <c r="I7" s="281">
        <f>G7-H7</f>
        <v>1500000</v>
      </c>
    </row>
    <row r="8" spans="1:9" x14ac:dyDescent="0.25">
      <c r="A8" s="146">
        <v>2</v>
      </c>
      <c r="B8" s="147" t="s">
        <v>490</v>
      </c>
      <c r="C8" s="146" t="s">
        <v>518</v>
      </c>
      <c r="D8" s="147" t="str">
        <f t="shared" ref="D8:D11" si="0">_xlfn.XLOOKUP(C8,$A$20:$A$22,$B$20:$B$22)</f>
        <v>VIP</v>
      </c>
      <c r="E8" s="146">
        <v>4</v>
      </c>
      <c r="F8" s="281">
        <f t="shared" ref="F8:F11" si="1">_xlfn.XLOOKUP(C8,$F$19:$H$19,$F$20:$H$20)</f>
        <v>500000</v>
      </c>
      <c r="G8" s="281">
        <f t="shared" ref="G8:G11" si="2">F8*E8</f>
        <v>2000000</v>
      </c>
      <c r="H8" s="281">
        <f t="shared" ref="H8:H11" si="3">IF(E8&gt;5,5%,0)*G8</f>
        <v>0</v>
      </c>
      <c r="I8" s="281">
        <f t="shared" ref="I8:I11" si="4">G8-H8</f>
        <v>2000000</v>
      </c>
    </row>
    <row r="9" spans="1:9" x14ac:dyDescent="0.25">
      <c r="A9" s="146">
        <v>3</v>
      </c>
      <c r="B9" s="147" t="s">
        <v>492</v>
      </c>
      <c r="C9" s="146" t="s">
        <v>517</v>
      </c>
      <c r="D9" s="147" t="str">
        <f t="shared" si="0"/>
        <v>LUX</v>
      </c>
      <c r="E9" s="146">
        <v>7</v>
      </c>
      <c r="F9" s="281">
        <f t="shared" si="1"/>
        <v>750000</v>
      </c>
      <c r="G9" s="281">
        <f t="shared" si="2"/>
        <v>5250000</v>
      </c>
      <c r="H9" s="281">
        <f t="shared" si="3"/>
        <v>262500</v>
      </c>
      <c r="I9" s="281">
        <f t="shared" si="4"/>
        <v>4987500</v>
      </c>
    </row>
    <row r="10" spans="1:9" x14ac:dyDescent="0.25">
      <c r="A10" s="146">
        <v>4</v>
      </c>
      <c r="B10" s="147" t="s">
        <v>494</v>
      </c>
      <c r="C10" s="146" t="s">
        <v>293</v>
      </c>
      <c r="D10" s="147" t="str">
        <f t="shared" si="0"/>
        <v>EKONOMIS</v>
      </c>
      <c r="E10" s="146">
        <v>5</v>
      </c>
      <c r="F10" s="281">
        <f t="shared" si="1"/>
        <v>250000</v>
      </c>
      <c r="G10" s="281">
        <f t="shared" si="2"/>
        <v>1250000</v>
      </c>
      <c r="H10" s="281">
        <f t="shared" si="3"/>
        <v>0</v>
      </c>
      <c r="I10" s="281">
        <f t="shared" si="4"/>
        <v>1250000</v>
      </c>
    </row>
    <row r="11" spans="1:9" x14ac:dyDescent="0.25">
      <c r="A11" s="146">
        <v>5</v>
      </c>
      <c r="B11" s="147" t="s">
        <v>495</v>
      </c>
      <c r="C11" s="146" t="s">
        <v>518</v>
      </c>
      <c r="D11" s="147" t="str">
        <f t="shared" si="0"/>
        <v>VIP</v>
      </c>
      <c r="E11" s="146">
        <v>3</v>
      </c>
      <c r="F11" s="281">
        <f t="shared" si="1"/>
        <v>500000</v>
      </c>
      <c r="G11" s="281">
        <f t="shared" si="2"/>
        <v>1500000</v>
      </c>
      <c r="H11" s="281">
        <f t="shared" si="3"/>
        <v>0</v>
      </c>
      <c r="I11" s="281">
        <f t="shared" si="4"/>
        <v>1500000</v>
      </c>
    </row>
    <row r="12" spans="1:9" x14ac:dyDescent="0.25">
      <c r="A12" s="277" t="s">
        <v>496</v>
      </c>
      <c r="B12" s="278"/>
      <c r="C12" s="278"/>
      <c r="D12" s="278"/>
      <c r="E12" s="278"/>
      <c r="F12" s="278"/>
      <c r="G12" s="278"/>
      <c r="H12" s="279"/>
      <c r="I12" s="282">
        <f>SUM(I7:I11)</f>
        <v>11237500</v>
      </c>
    </row>
    <row r="13" spans="1:9" x14ac:dyDescent="0.25">
      <c r="A13" s="277" t="s">
        <v>497</v>
      </c>
      <c r="B13" s="278"/>
      <c r="C13" s="278"/>
      <c r="D13" s="278"/>
      <c r="E13" s="278"/>
      <c r="F13" s="278"/>
      <c r="G13" s="278"/>
      <c r="H13" s="279"/>
      <c r="I13" s="282">
        <f>AVERAGE(I7:I11)</f>
        <v>2247500</v>
      </c>
    </row>
    <row r="14" spans="1:9" x14ac:dyDescent="0.25">
      <c r="A14" s="277" t="s">
        <v>498</v>
      </c>
      <c r="B14" s="278"/>
      <c r="C14" s="278"/>
      <c r="D14" s="278"/>
      <c r="E14" s="278"/>
      <c r="F14" s="278"/>
      <c r="G14" s="278"/>
      <c r="H14" s="279"/>
      <c r="I14" s="282">
        <f>MAX(I7:I11)</f>
        <v>4987500</v>
      </c>
    </row>
    <row r="15" spans="1:9" x14ac:dyDescent="0.25">
      <c r="A15" s="277" t="s">
        <v>499</v>
      </c>
      <c r="B15" s="278"/>
      <c r="C15" s="278"/>
      <c r="D15" s="278"/>
      <c r="E15" s="278"/>
      <c r="F15" s="278"/>
      <c r="G15" s="278"/>
      <c r="H15" s="279"/>
      <c r="I15" s="282">
        <f>MIN(I7:I11)</f>
        <v>1250000</v>
      </c>
    </row>
    <row r="16" spans="1:9" x14ac:dyDescent="0.25">
      <c r="A16" s="148"/>
      <c r="B16" s="148"/>
      <c r="C16" s="148"/>
      <c r="D16" s="148"/>
      <c r="E16" s="148"/>
      <c r="F16" s="148"/>
      <c r="G16" s="148"/>
      <c r="H16" s="148"/>
      <c r="I16" s="148"/>
    </row>
    <row r="17" spans="1:12" x14ac:dyDescent="0.25">
      <c r="A17" s="148" t="s">
        <v>519</v>
      </c>
      <c r="B17" s="148"/>
      <c r="C17" s="148"/>
      <c r="D17" s="148"/>
      <c r="E17" s="148"/>
      <c r="F17" s="148"/>
      <c r="G17" s="148"/>
      <c r="H17" s="148"/>
      <c r="I17" s="148"/>
    </row>
    <row r="18" spans="1:12" x14ac:dyDescent="0.25">
      <c r="A18" s="148"/>
      <c r="B18" s="148"/>
      <c r="C18" s="148"/>
      <c r="D18" s="148"/>
      <c r="E18" s="148"/>
      <c r="F18" s="148"/>
      <c r="G18" s="148"/>
      <c r="H18" s="148"/>
      <c r="I18" s="148"/>
    </row>
    <row r="19" spans="1:12" ht="25.5" x14ac:dyDescent="0.25">
      <c r="A19" s="145" t="s">
        <v>511</v>
      </c>
      <c r="B19" s="144" t="s">
        <v>512</v>
      </c>
      <c r="C19" s="148"/>
      <c r="D19" s="148"/>
      <c r="E19" s="149" t="s">
        <v>520</v>
      </c>
      <c r="F19" s="150" t="s">
        <v>517</v>
      </c>
      <c r="G19" s="150" t="s">
        <v>518</v>
      </c>
      <c r="H19" s="150" t="s">
        <v>293</v>
      </c>
      <c r="I19" s="148"/>
    </row>
    <row r="20" spans="1:12" ht="20.25" customHeight="1" x14ac:dyDescent="0.25">
      <c r="A20" s="147" t="s">
        <v>517</v>
      </c>
      <c r="B20" s="147" t="s">
        <v>521</v>
      </c>
      <c r="C20" s="148"/>
      <c r="D20" s="148"/>
      <c r="E20" s="151" t="s">
        <v>523</v>
      </c>
      <c r="F20" s="152">
        <v>750000</v>
      </c>
      <c r="G20" s="152">
        <v>500000</v>
      </c>
      <c r="H20" s="152">
        <v>250000</v>
      </c>
    </row>
    <row r="21" spans="1:12" ht="15" customHeight="1" x14ac:dyDescent="0.25">
      <c r="A21" s="147" t="s">
        <v>518</v>
      </c>
      <c r="B21" s="147" t="s">
        <v>522</v>
      </c>
      <c r="C21" s="148"/>
      <c r="D21" s="148"/>
      <c r="I21" s="148"/>
    </row>
    <row r="22" spans="1:12" x14ac:dyDescent="0.25">
      <c r="A22" s="147" t="s">
        <v>293</v>
      </c>
      <c r="B22" s="147" t="s">
        <v>524</v>
      </c>
      <c r="C22" s="148"/>
      <c r="D22" s="148"/>
      <c r="E22" s="148"/>
      <c r="F22" s="148"/>
      <c r="G22" s="148"/>
      <c r="H22" s="148"/>
      <c r="I22" s="148"/>
    </row>
    <row r="23" spans="1:12" x14ac:dyDescent="0.25">
      <c r="A23" s="148"/>
      <c r="B23" s="148"/>
      <c r="C23" s="148"/>
      <c r="D23" s="148"/>
      <c r="E23" s="148"/>
      <c r="F23" s="148"/>
      <c r="G23" s="148"/>
      <c r="H23" s="148"/>
      <c r="I23" s="148"/>
    </row>
    <row r="24" spans="1:12" x14ac:dyDescent="0.25">
      <c r="A24" s="148"/>
      <c r="B24" s="148"/>
      <c r="C24" s="148"/>
      <c r="D24" s="148"/>
      <c r="E24" s="148"/>
      <c r="F24" s="148"/>
      <c r="G24" s="148"/>
      <c r="H24" s="148"/>
      <c r="I24" s="148"/>
      <c r="L24" t="s">
        <v>525</v>
      </c>
    </row>
    <row r="25" spans="1:12" x14ac:dyDescent="0.25">
      <c r="A25" s="148" t="s">
        <v>500</v>
      </c>
      <c r="B25" s="148"/>
      <c r="C25" s="148"/>
      <c r="D25" s="148"/>
      <c r="E25" s="148"/>
      <c r="F25" s="148"/>
      <c r="G25" s="148"/>
      <c r="H25" s="148"/>
      <c r="I25" s="148"/>
    </row>
    <row r="26" spans="1:12" x14ac:dyDescent="0.25">
      <c r="A26" s="148" t="s">
        <v>526</v>
      </c>
      <c r="B26" s="148"/>
      <c r="C26" s="148"/>
      <c r="D26" s="148"/>
      <c r="E26" s="148"/>
      <c r="F26" s="148"/>
      <c r="G26" s="148"/>
      <c r="H26" s="148"/>
      <c r="I26" s="148"/>
    </row>
    <row r="27" spans="1:12" x14ac:dyDescent="0.25">
      <c r="A27" s="148" t="s">
        <v>527</v>
      </c>
      <c r="B27" s="148"/>
      <c r="C27" s="148"/>
      <c r="D27" s="148"/>
      <c r="E27" s="148"/>
      <c r="F27" s="148"/>
      <c r="G27" s="148"/>
      <c r="H27" s="148"/>
      <c r="I27" s="148"/>
    </row>
    <row r="28" spans="1:12" x14ac:dyDescent="0.25">
      <c r="A28" s="148" t="s">
        <v>528</v>
      </c>
      <c r="B28" s="148"/>
      <c r="C28" s="148"/>
      <c r="D28" s="148"/>
      <c r="E28" s="148"/>
      <c r="F28" s="148"/>
      <c r="G28" s="148"/>
      <c r="H28" s="148"/>
      <c r="I28" s="148"/>
    </row>
    <row r="29" spans="1:12" x14ac:dyDescent="0.25">
      <c r="A29" s="148" t="s">
        <v>529</v>
      </c>
      <c r="B29" s="148"/>
      <c r="C29" s="148"/>
      <c r="D29" s="148"/>
      <c r="E29" s="148"/>
      <c r="F29" s="148"/>
      <c r="G29" s="148"/>
      <c r="H29" s="148"/>
      <c r="I29" s="148"/>
    </row>
    <row r="30" spans="1:12" x14ac:dyDescent="0.25">
      <c r="A30" s="148" t="s">
        <v>530</v>
      </c>
      <c r="B30" s="148"/>
      <c r="C30" s="148"/>
      <c r="D30" s="148"/>
      <c r="E30" s="148"/>
      <c r="F30" s="148"/>
      <c r="G30" s="148"/>
      <c r="H30" s="148"/>
      <c r="I30" s="148"/>
    </row>
    <row r="31" spans="1:12" x14ac:dyDescent="0.25">
      <c r="A31" s="148"/>
      <c r="B31" s="148"/>
      <c r="C31" s="148"/>
      <c r="D31" s="148"/>
      <c r="E31" s="148"/>
      <c r="F31" s="148"/>
      <c r="G31" s="148"/>
      <c r="H31" s="148"/>
      <c r="I31" s="148"/>
    </row>
  </sheetData>
  <mergeCells count="7">
    <mergeCell ref="A15:H15"/>
    <mergeCell ref="B2:D2"/>
    <mergeCell ref="B3:D3"/>
    <mergeCell ref="B4:D4"/>
    <mergeCell ref="A12:H12"/>
    <mergeCell ref="A13:H13"/>
    <mergeCell ref="A14:H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E5A8-1242-434D-9BB9-25113F0AC35D}">
  <dimension ref="B2:L17"/>
  <sheetViews>
    <sheetView workbookViewId="0">
      <selection activeCell="H23" sqref="H23"/>
    </sheetView>
  </sheetViews>
  <sheetFormatPr defaultRowHeight="15" x14ac:dyDescent="0.25"/>
  <cols>
    <col min="1" max="1" width="4.28515625" customWidth="1"/>
    <col min="2" max="2" width="16.7109375" bestFit="1" customWidth="1"/>
    <col min="3" max="3" width="13.140625" customWidth="1"/>
    <col min="4" max="5" width="18" customWidth="1"/>
    <col min="6" max="6" width="14.140625" customWidth="1"/>
    <col min="7" max="7" width="17" customWidth="1"/>
    <col min="8" max="8" width="16.140625" customWidth="1"/>
    <col min="11" max="11" width="14.28515625" bestFit="1" customWidth="1"/>
    <col min="12" max="12" width="10.5703125" bestFit="1" customWidth="1"/>
  </cols>
  <sheetData>
    <row r="2" spans="2:12" x14ac:dyDescent="0.25">
      <c r="B2" s="153" t="s">
        <v>531</v>
      </c>
      <c r="C2" s="153" t="s">
        <v>532</v>
      </c>
      <c r="D2" s="153" t="s">
        <v>533</v>
      </c>
      <c r="E2" s="153" t="s">
        <v>534</v>
      </c>
      <c r="F2" s="153" t="s">
        <v>535</v>
      </c>
      <c r="G2" s="153" t="s">
        <v>234</v>
      </c>
      <c r="H2" s="153" t="s">
        <v>536</v>
      </c>
    </row>
    <row r="3" spans="2:12" x14ac:dyDescent="0.25">
      <c r="B3" s="48" t="s">
        <v>537</v>
      </c>
      <c r="C3" s="48" t="s">
        <v>346</v>
      </c>
      <c r="D3" s="154">
        <v>13000000</v>
      </c>
      <c r="E3" s="154">
        <v>28000000</v>
      </c>
      <c r="F3" s="48" t="str">
        <f>IF(OR(D3&lt;20000000,E3&lt;20000000),"Buruk","Baik")</f>
        <v>Buruk</v>
      </c>
      <c r="G3" s="154">
        <f>IF(ISNUMBER(MATCH(C3,{"Bandung","Surabaya"},0)),4000000,5000000)</f>
        <v>4000000</v>
      </c>
      <c r="H3" s="84">
        <f>IF(SUM(D3:E3)&gt;40000000,15%,10%) *SUM(D3:E3)</f>
        <v>6150000</v>
      </c>
      <c r="K3" s="156"/>
      <c r="L3" s="157"/>
    </row>
    <row r="4" spans="2:12" x14ac:dyDescent="0.25">
      <c r="B4" s="48" t="s">
        <v>538</v>
      </c>
      <c r="C4" s="48" t="s">
        <v>182</v>
      </c>
      <c r="D4" s="154">
        <v>21000000</v>
      </c>
      <c r="E4" s="154">
        <v>23000000</v>
      </c>
      <c r="F4" s="48" t="str">
        <f t="shared" ref="F4:F12" si="0">IF(OR(D4&lt;20000000,E4&lt;20000000),"Buruk","Baik")</f>
        <v>Baik</v>
      </c>
      <c r="G4" s="154">
        <f>IF(ISNUMBER(MATCH(C4,{"Bandung","Surabaya"},0)),4000000,5000000)</f>
        <v>5000000</v>
      </c>
      <c r="H4" s="84">
        <f t="shared" ref="H4:H12" si="1">IF(SUM(D4:E4)&gt;40000000,15%,10%) *SUM(D4:E4)</f>
        <v>6600000</v>
      </c>
      <c r="K4" s="156"/>
      <c r="L4" s="157"/>
    </row>
    <row r="5" spans="2:12" x14ac:dyDescent="0.25">
      <c r="B5" s="48" t="s">
        <v>539</v>
      </c>
      <c r="C5" s="48" t="s">
        <v>346</v>
      </c>
      <c r="D5" s="154">
        <v>11000000</v>
      </c>
      <c r="E5" s="154">
        <v>44000000</v>
      </c>
      <c r="F5" s="48" t="str">
        <f t="shared" si="0"/>
        <v>Buruk</v>
      </c>
      <c r="G5" s="154">
        <f>IF(ISNUMBER(MATCH(C5,{"Bandung","Surabaya"},0)),4000000,5000000)</f>
        <v>4000000</v>
      </c>
      <c r="H5" s="84">
        <f t="shared" si="1"/>
        <v>8250000</v>
      </c>
      <c r="K5" s="156"/>
      <c r="L5" s="157"/>
    </row>
    <row r="6" spans="2:12" x14ac:dyDescent="0.25">
      <c r="B6" s="48" t="s">
        <v>540</v>
      </c>
      <c r="C6" s="48" t="s">
        <v>184</v>
      </c>
      <c r="D6" s="154">
        <v>12000000</v>
      </c>
      <c r="E6" s="154">
        <v>37000000</v>
      </c>
      <c r="F6" s="48" t="str">
        <f t="shared" si="0"/>
        <v>Buruk</v>
      </c>
      <c r="G6" s="154">
        <f>IF(ISNUMBER(MATCH(C6,{"Bandung","Surabaya"},0)),4000000,5000000)</f>
        <v>4000000</v>
      </c>
      <c r="H6" s="84">
        <f t="shared" si="1"/>
        <v>7350000</v>
      </c>
      <c r="K6" s="156"/>
      <c r="L6" s="157"/>
    </row>
    <row r="7" spans="2:12" x14ac:dyDescent="0.25">
      <c r="B7" s="48" t="s">
        <v>541</v>
      </c>
      <c r="C7" s="48" t="s">
        <v>182</v>
      </c>
      <c r="D7" s="154">
        <v>21000000</v>
      </c>
      <c r="E7" s="154">
        <v>36000000</v>
      </c>
      <c r="F7" s="48" t="str">
        <f t="shared" si="0"/>
        <v>Baik</v>
      </c>
      <c r="G7" s="154">
        <f>IF(ISNUMBER(MATCH(C7,{"Bandung","Surabaya"},0)),4000000,5000000)</f>
        <v>5000000</v>
      </c>
      <c r="H7" s="84">
        <f t="shared" si="1"/>
        <v>8550000</v>
      </c>
      <c r="K7" s="156"/>
      <c r="L7" s="157"/>
    </row>
    <row r="8" spans="2:12" x14ac:dyDescent="0.25">
      <c r="B8" s="48" t="s">
        <v>542</v>
      </c>
      <c r="C8" s="48" t="s">
        <v>182</v>
      </c>
      <c r="D8" s="154">
        <v>21000000</v>
      </c>
      <c r="E8" s="154">
        <v>16000000</v>
      </c>
      <c r="F8" s="48" t="str">
        <f t="shared" si="0"/>
        <v>Buruk</v>
      </c>
      <c r="G8" s="154">
        <f>IF(ISNUMBER(MATCH(C8,{"Bandung","Surabaya"},0)),4000000,5000000)</f>
        <v>5000000</v>
      </c>
      <c r="H8" s="84">
        <f t="shared" si="1"/>
        <v>3700000</v>
      </c>
      <c r="K8" s="156"/>
      <c r="L8" s="157"/>
    </row>
    <row r="9" spans="2:12" x14ac:dyDescent="0.25">
      <c r="B9" s="48" t="s">
        <v>543</v>
      </c>
      <c r="C9" s="48" t="s">
        <v>184</v>
      </c>
      <c r="D9" s="154">
        <v>25000000</v>
      </c>
      <c r="E9" s="154">
        <v>36000000</v>
      </c>
      <c r="F9" s="48" t="str">
        <f t="shared" si="0"/>
        <v>Baik</v>
      </c>
      <c r="G9" s="154">
        <f>IF(ISNUMBER(MATCH(C9,{"Bandung","Surabaya"},0)),4000000,5000000)</f>
        <v>4000000</v>
      </c>
      <c r="H9" s="84">
        <f t="shared" si="1"/>
        <v>9150000</v>
      </c>
      <c r="K9" s="156"/>
      <c r="L9" s="157"/>
    </row>
    <row r="10" spans="2:12" x14ac:dyDescent="0.25">
      <c r="B10" s="48" t="s">
        <v>544</v>
      </c>
      <c r="C10" s="48" t="s">
        <v>346</v>
      </c>
      <c r="D10" s="154">
        <v>13000000</v>
      </c>
      <c r="E10" s="154">
        <v>45000000</v>
      </c>
      <c r="F10" s="48" t="str">
        <f t="shared" si="0"/>
        <v>Buruk</v>
      </c>
      <c r="G10" s="154">
        <f>IF(ISNUMBER(MATCH(C10,{"Bandung","Surabaya"},0)),4000000,5000000)</f>
        <v>4000000</v>
      </c>
      <c r="H10" s="84">
        <f t="shared" si="1"/>
        <v>8700000</v>
      </c>
      <c r="K10" s="156"/>
      <c r="L10" s="157"/>
    </row>
    <row r="11" spans="2:12" x14ac:dyDescent="0.25">
      <c r="B11" s="48" t="s">
        <v>545</v>
      </c>
      <c r="C11" s="48" t="s">
        <v>182</v>
      </c>
      <c r="D11" s="154">
        <v>24000000</v>
      </c>
      <c r="E11" s="154">
        <v>21000000</v>
      </c>
      <c r="F11" s="48" t="str">
        <f t="shared" si="0"/>
        <v>Baik</v>
      </c>
      <c r="G11" s="154">
        <f>IF(ISNUMBER(MATCH(C11,{"Bandung","Surabaya"},0)),4000000,5000000)</f>
        <v>5000000</v>
      </c>
      <c r="H11" s="84">
        <f t="shared" si="1"/>
        <v>6750000</v>
      </c>
      <c r="K11" s="156"/>
      <c r="L11" s="157"/>
    </row>
    <row r="12" spans="2:12" x14ac:dyDescent="0.25">
      <c r="B12" s="48" t="s">
        <v>546</v>
      </c>
      <c r="C12" s="48" t="s">
        <v>184</v>
      </c>
      <c r="D12" s="154">
        <v>29000000</v>
      </c>
      <c r="E12" s="154">
        <v>45000000</v>
      </c>
      <c r="F12" s="48" t="str">
        <f t="shared" si="0"/>
        <v>Baik</v>
      </c>
      <c r="G12" s="154">
        <f>IF(ISNUMBER(MATCH(C12,{"Bandung","Surabaya"},0)),4000000,5000000)</f>
        <v>4000000</v>
      </c>
      <c r="H12" s="84">
        <f t="shared" si="1"/>
        <v>11100000</v>
      </c>
      <c r="K12" s="156"/>
      <c r="L12" s="157"/>
    </row>
    <row r="14" spans="2:12" x14ac:dyDescent="0.25">
      <c r="B14" s="155" t="s">
        <v>547</v>
      </c>
      <c r="C14" s="155"/>
    </row>
    <row r="15" spans="2:12" x14ac:dyDescent="0.25">
      <c r="B15" t="s">
        <v>548</v>
      </c>
    </row>
    <row r="16" spans="2:12" x14ac:dyDescent="0.25">
      <c r="B16" t="s">
        <v>549</v>
      </c>
    </row>
    <row r="17" spans="2:2" x14ac:dyDescent="0.25">
      <c r="B17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6985-5C09-4D43-AAC1-0F3362029D35}">
  <dimension ref="A1:H10"/>
  <sheetViews>
    <sheetView tabSelected="1" workbookViewId="0">
      <selection activeCell="K7" sqref="K7"/>
    </sheetView>
  </sheetViews>
  <sheetFormatPr defaultRowHeight="15" x14ac:dyDescent="0.25"/>
  <cols>
    <col min="1" max="1" width="16" customWidth="1"/>
    <col min="2" max="2" width="8.7109375" customWidth="1"/>
    <col min="3" max="5" width="10.5703125" bestFit="1" customWidth="1"/>
    <col min="8" max="8" width="11.85546875" customWidth="1"/>
  </cols>
  <sheetData>
    <row r="1" spans="1:8" x14ac:dyDescent="0.25">
      <c r="A1" s="48"/>
      <c r="B1" s="158" t="s">
        <v>551</v>
      </c>
      <c r="C1" s="158" t="s">
        <v>552</v>
      </c>
      <c r="D1" s="158" t="s">
        <v>553</v>
      </c>
      <c r="E1" s="158" t="s">
        <v>554</v>
      </c>
    </row>
    <row r="2" spans="1:8" x14ac:dyDescent="0.25">
      <c r="A2" s="159" t="s">
        <v>555</v>
      </c>
      <c r="B2" s="165">
        <v>15000</v>
      </c>
      <c r="C2" s="165">
        <v>25000</v>
      </c>
      <c r="D2" s="165">
        <v>35000</v>
      </c>
      <c r="E2" s="165">
        <v>45000</v>
      </c>
      <c r="G2" s="160" t="s">
        <v>99</v>
      </c>
      <c r="H2" s="161" t="s">
        <v>556</v>
      </c>
    </row>
    <row r="3" spans="1:8" x14ac:dyDescent="0.25">
      <c r="A3" s="159" t="s">
        <v>556</v>
      </c>
      <c r="B3" s="165">
        <v>20000</v>
      </c>
      <c r="C3" s="165">
        <v>25000</v>
      </c>
      <c r="D3" s="165">
        <v>30000</v>
      </c>
      <c r="E3" s="165">
        <v>40000</v>
      </c>
      <c r="G3" s="162" t="s">
        <v>557</v>
      </c>
      <c r="H3" s="161" t="s">
        <v>554</v>
      </c>
    </row>
    <row r="4" spans="1:8" x14ac:dyDescent="0.25">
      <c r="A4" s="159" t="s">
        <v>558</v>
      </c>
      <c r="B4" s="165">
        <v>12000</v>
      </c>
      <c r="C4" s="165">
        <v>15000</v>
      </c>
      <c r="D4" s="165">
        <v>18000</v>
      </c>
      <c r="E4" s="165">
        <v>21000</v>
      </c>
      <c r="G4" s="162" t="s">
        <v>103</v>
      </c>
      <c r="H4" s="154">
        <f>INDEX(B2:E7,MATCH(H2,$A$2:$A$7,0),MATCH(H3,$B$1:$E$1,0))</f>
        <v>40000</v>
      </c>
    </row>
    <row r="5" spans="1:8" x14ac:dyDescent="0.25">
      <c r="A5" s="159" t="s">
        <v>559</v>
      </c>
      <c r="B5" s="165">
        <v>33000</v>
      </c>
      <c r="C5" s="165">
        <v>38000</v>
      </c>
      <c r="D5" s="165">
        <v>41000</v>
      </c>
      <c r="E5" s="165">
        <v>45000</v>
      </c>
    </row>
    <row r="6" spans="1:8" x14ac:dyDescent="0.25">
      <c r="A6" s="159" t="s">
        <v>560</v>
      </c>
      <c r="B6" s="165">
        <v>22000</v>
      </c>
      <c r="C6" s="165">
        <v>25000</v>
      </c>
      <c r="D6" s="165">
        <v>28000</v>
      </c>
      <c r="E6" s="165">
        <v>30000</v>
      </c>
    </row>
    <row r="7" spans="1:8" x14ac:dyDescent="0.25">
      <c r="A7" s="159" t="s">
        <v>561</v>
      </c>
      <c r="B7" s="165">
        <v>27000</v>
      </c>
      <c r="C7" s="165">
        <v>30000</v>
      </c>
      <c r="D7" s="165">
        <v>33000</v>
      </c>
      <c r="E7" s="165">
        <v>36000</v>
      </c>
    </row>
    <row r="9" spans="1:8" x14ac:dyDescent="0.25">
      <c r="A9" s="163" t="s">
        <v>562</v>
      </c>
      <c r="B9" s="164" t="s">
        <v>563</v>
      </c>
    </row>
    <row r="10" spans="1:8" x14ac:dyDescent="0.25">
      <c r="A10" s="163" t="s">
        <v>564</v>
      </c>
      <c r="B10" s="164" t="s">
        <v>565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'4'!Print_Area</vt:lpstr>
      <vt:lpstr>TABELASURANSI</vt:lpstr>
      <vt:lpstr>TABELGAJI</vt:lpstr>
    </vt:vector>
  </TitlesOfParts>
  <Company>SMAN 7 TASIKMALAYA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Siswa</dc:creator>
  <cp:lastModifiedBy>Faridz Salman Al Parissy</cp:lastModifiedBy>
  <cp:lastPrinted>2011-09-27T00:17:27Z</cp:lastPrinted>
  <dcterms:created xsi:type="dcterms:W3CDTF">2008-12-31T19:57:41Z</dcterms:created>
  <dcterms:modified xsi:type="dcterms:W3CDTF">2025-08-14T07:49:20Z</dcterms:modified>
</cp:coreProperties>
</file>