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frdilla/Desktop/Oracle DCF/"/>
    </mc:Choice>
  </mc:AlternateContent>
  <xr:revisionPtr revIDLastSave="0" documentId="13_ncr:1_{2F662EF0-7BB9-6849-A0C4-6DA78ABC1BA0}" xr6:coauthVersionLast="47" xr6:coauthVersionMax="47" xr10:uidLastSave="{00000000-0000-0000-0000-000000000000}"/>
  <bookViews>
    <workbookView xWindow="0" yWindow="520" windowWidth="28800" windowHeight="15680" xr2:uid="{00000000-000D-0000-FFFF-FFFF00000000}"/>
  </bookViews>
  <sheets>
    <sheet name="Income Statement" sheetId="1" r:id="rId1"/>
    <sheet name="Balance Sheet" sheetId="2" r:id="rId2"/>
    <sheet name="Cash Flow" sheetId="3" r:id="rId3"/>
    <sheet name="Forecast" sheetId="10" r:id="rId4"/>
    <sheet name="DCF Table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7" l="1"/>
  <c r="B15" i="7" s="1"/>
  <c r="B16" i="7" s="1"/>
  <c r="D8" i="7"/>
  <c r="B30" i="10"/>
  <c r="B12" i="10"/>
  <c r="B14" i="7"/>
  <c r="B19" i="7"/>
  <c r="B17" i="7"/>
  <c r="B4" i="7"/>
  <c r="B5" i="7"/>
  <c r="B6" i="7"/>
  <c r="B7" i="7"/>
  <c r="B3" i="7"/>
  <c r="D3" i="7" s="1"/>
  <c r="B31" i="10"/>
  <c r="B32" i="10"/>
  <c r="B33" i="10"/>
  <c r="B34" i="10"/>
  <c r="C22" i="10"/>
  <c r="C23" i="10"/>
  <c r="C24" i="10"/>
  <c r="C25" i="10"/>
  <c r="C21" i="10"/>
  <c r="B13" i="10"/>
  <c r="B14" i="10"/>
  <c r="B15" i="10"/>
  <c r="B16" i="10"/>
  <c r="B3" i="10"/>
  <c r="B5" i="10"/>
  <c r="B6" i="10"/>
  <c r="B7" i="10" s="1"/>
  <c r="B4" i="10"/>
  <c r="C7" i="7"/>
  <c r="C6" i="7"/>
  <c r="C5" i="7"/>
  <c r="C4" i="7"/>
  <c r="C3" i="7"/>
  <c r="D4" i="7"/>
  <c r="D5" i="7"/>
  <c r="D6" i="7"/>
  <c r="D7" i="7"/>
  <c r="B18" i="7" l="1"/>
  <c r="B20" i="7" s="1"/>
</calcChain>
</file>

<file path=xl/sharedStrings.xml><?xml version="1.0" encoding="utf-8"?>
<sst xmlns="http://schemas.openxmlformats.org/spreadsheetml/2006/main" count="218" uniqueCount="210">
  <si>
    <t>Tax Effect Of Unusual Items</t>
  </si>
  <si>
    <t>Tax Rate For Calcs</t>
  </si>
  <si>
    <t>Normalized EBITDA</t>
  </si>
  <si>
    <t>Total Unusual Items</t>
  </si>
  <si>
    <t>Total Unusual Items Excluding Goodwill</t>
  </si>
  <si>
    <t>Net Income From Continuing Operation Net Minority Interest</t>
  </si>
  <si>
    <t>Reconciled Depreciation</t>
  </si>
  <si>
    <t>Reconciled Cost Of Revenue</t>
  </si>
  <si>
    <t>EBITDA</t>
  </si>
  <si>
    <t>EBIT</t>
  </si>
  <si>
    <t>Net Interest Income</t>
  </si>
  <si>
    <t>Interest Expense</t>
  </si>
  <si>
    <t>Interest Income</t>
  </si>
  <si>
    <t>Normalized Income</t>
  </si>
  <si>
    <t>Net Income From Continuing And Discontinued Operation</t>
  </si>
  <si>
    <t>Total Expenses</t>
  </si>
  <si>
    <t>Total Operating Income As Reported</t>
  </si>
  <si>
    <t>Diluted Average Shares</t>
  </si>
  <si>
    <t>Basic Average Shares</t>
  </si>
  <si>
    <t>Diluted EPS</t>
  </si>
  <si>
    <t>Basic EPS</t>
  </si>
  <si>
    <t>Diluted NI Availto Com Stockholders</t>
  </si>
  <si>
    <t>Net Income Common Stockholders</t>
  </si>
  <si>
    <t>Net Income</t>
  </si>
  <si>
    <t>Net Income Including Noncontrolling Interests</t>
  </si>
  <si>
    <t>Net Income Continuous Operations</t>
  </si>
  <si>
    <t>Tax Provision</t>
  </si>
  <si>
    <t>Pretax Income</t>
  </si>
  <si>
    <t>Other Income Expense</t>
  </si>
  <si>
    <t>Other Non Operating Income Expenses</t>
  </si>
  <si>
    <t>Special Income Charges</t>
  </si>
  <si>
    <t>Restructuring And Mergern Acquisition</t>
  </si>
  <si>
    <t>Earnings From Equity Interest</t>
  </si>
  <si>
    <t>Gain On Sale Of Security</t>
  </si>
  <si>
    <t>Net Non Operating Interest Income Expense</t>
  </si>
  <si>
    <t>Interest Expense Non Operating</t>
  </si>
  <si>
    <t>Interest Income Non Operating</t>
  </si>
  <si>
    <t>Operating Income</t>
  </si>
  <si>
    <t>Operating Expense</t>
  </si>
  <si>
    <t>Other Operating Expenses</t>
  </si>
  <si>
    <t>Depreciation Amortization Depletion Income Statement</t>
  </si>
  <si>
    <t>Depreciation And Amortization In Income Statement</t>
  </si>
  <si>
    <t>Amortization</t>
  </si>
  <si>
    <t>Amortization Of Intangibles Income Statement</t>
  </si>
  <si>
    <t>Research And Development</t>
  </si>
  <si>
    <t>Selling General And Administration</t>
  </si>
  <si>
    <t>Selling And Marketing Expense</t>
  </si>
  <si>
    <t>General And Administrative Expense</t>
  </si>
  <si>
    <t>Other Gand A</t>
  </si>
  <si>
    <t>Salaries And Wages</t>
  </si>
  <si>
    <t>Gross Profit</t>
  </si>
  <si>
    <t>Cost Of Revenue</t>
  </si>
  <si>
    <t>Total Revenue</t>
  </si>
  <si>
    <t>Operating Revenue</t>
  </si>
  <si>
    <t>Ordinary Shares Number</t>
  </si>
  <si>
    <t>Share Issued</t>
  </si>
  <si>
    <t>Net Debt</t>
  </si>
  <si>
    <t>Total Debt</t>
  </si>
  <si>
    <t>Tangible Book Value</t>
  </si>
  <si>
    <t>Invested Capital</t>
  </si>
  <si>
    <t>Working Capital</t>
  </si>
  <si>
    <t>Net Tangible Assets</t>
  </si>
  <si>
    <t>Capital Lease Obligations</t>
  </si>
  <si>
    <t>Common Stock Equity</t>
  </si>
  <si>
    <t>Total Capitalization</t>
  </si>
  <si>
    <t>Total Equity Gross Minority Interest</t>
  </si>
  <si>
    <t>Minority Interest</t>
  </si>
  <si>
    <t>Stockholders Equity</t>
  </si>
  <si>
    <t>Gains Losses Not Affecting Retained Earnings</t>
  </si>
  <si>
    <t>Other Equity Adjustments</t>
  </si>
  <si>
    <t>Retained Earnings</t>
  </si>
  <si>
    <t>Capital Stock</t>
  </si>
  <si>
    <t>Common Stock</t>
  </si>
  <si>
    <t>Preferred Stock</t>
  </si>
  <si>
    <t>Total Liabilities Net Minority Interest</t>
  </si>
  <si>
    <t>Total Non Current Liabilities Net Minority Interest</t>
  </si>
  <si>
    <t>Other Non Current Liabilities</t>
  </si>
  <si>
    <t>Derivative Product Liabilities</t>
  </si>
  <si>
    <t>Tradeand Other Payables Non Current</t>
  </si>
  <si>
    <t>Non Current Deferred Liabilities</t>
  </si>
  <si>
    <t>Non Current Deferred Taxes Liabilities</t>
  </si>
  <si>
    <t>Long Term Debt And Capital Lease Obligation</t>
  </si>
  <si>
    <t>Long Term Capital Lease Obligation</t>
  </si>
  <si>
    <t>Long Term Debt</t>
  </si>
  <si>
    <t>Current Liabilities</t>
  </si>
  <si>
    <t>Other Current Liabilities</t>
  </si>
  <si>
    <t>Current Deferred Liabilities</t>
  </si>
  <si>
    <t>Current Deferred Revenue</t>
  </si>
  <si>
    <t>Current Debt And Capital Lease Obligation</t>
  </si>
  <si>
    <t>Current Debt</t>
  </si>
  <si>
    <t>Other Current Borrowings</t>
  </si>
  <si>
    <t>Pensionand Other Post Retirement Benefit Plans Current</t>
  </si>
  <si>
    <t>Payables And Accrued Expenses</t>
  </si>
  <si>
    <t>Payables</t>
  </si>
  <si>
    <t>Accounts Payable</t>
  </si>
  <si>
    <t>Total Assets</t>
  </si>
  <si>
    <t>Total Non Current Assets</t>
  </si>
  <si>
    <t>Other Non Current Assets</t>
  </si>
  <si>
    <t>Non Current Deferred Assets</t>
  </si>
  <si>
    <t>Non Current Deferred Taxes Assets</t>
  </si>
  <si>
    <t>Goodwill And Other Intangible Assets</t>
  </si>
  <si>
    <t>Other Intangible Assets</t>
  </si>
  <si>
    <t>Goodwill</t>
  </si>
  <si>
    <t>Net PPE</t>
  </si>
  <si>
    <t>Accumulated Depreciation</t>
  </si>
  <si>
    <t>Gross PPE</t>
  </si>
  <si>
    <t>Construction In Progress</t>
  </si>
  <si>
    <t>Machinery Furniture Equipment</t>
  </si>
  <si>
    <t>Buildings And Improvements</t>
  </si>
  <si>
    <t>Land And Improvements</t>
  </si>
  <si>
    <t>Properties</t>
  </si>
  <si>
    <t>Current Assets</t>
  </si>
  <si>
    <t>Other Current Assets</t>
  </si>
  <si>
    <t>Prepaid Assets</t>
  </si>
  <si>
    <t>Receivables</t>
  </si>
  <si>
    <t>Accounts Receivable</t>
  </si>
  <si>
    <t>Allowance For Doubtful Accounts Receivable</t>
  </si>
  <si>
    <t>Gross Accounts Receivable</t>
  </si>
  <si>
    <t>Cash Cash Equivalents And Short Term Investments</t>
  </si>
  <si>
    <t>Other Short Term Investments</t>
  </si>
  <si>
    <t>Cash And Cash Equivalents</t>
  </si>
  <si>
    <t>Free Cash Flow</t>
  </si>
  <si>
    <t>Repurchase Of Capital Stock</t>
  </si>
  <si>
    <t>Repayment Of Debt</t>
  </si>
  <si>
    <t>Issuance Of Debt</t>
  </si>
  <si>
    <t>Issuance Of Capital Stock</t>
  </si>
  <si>
    <t>Capital Expenditure</t>
  </si>
  <si>
    <t>Interest Paid Supplemental Data</t>
  </si>
  <si>
    <t>Income Tax Paid Supplemental Data</t>
  </si>
  <si>
    <t>End Cash Position</t>
  </si>
  <si>
    <t>Beginning Cash Position</t>
  </si>
  <si>
    <t>Effect Of Exchange Rate Changes</t>
  </si>
  <si>
    <t>Changes In Cash</t>
  </si>
  <si>
    <t>Financing Cash Flow</t>
  </si>
  <si>
    <t>Cash Flow From Continuing Financing Activities</t>
  </si>
  <si>
    <t>Net Other Financing Charges</t>
  </si>
  <si>
    <t>Cash Dividends Paid</t>
  </si>
  <si>
    <t>Common Stock Dividend Paid</t>
  </si>
  <si>
    <t>Net Common Stock Issuance</t>
  </si>
  <si>
    <t>Common Stock Payments</t>
  </si>
  <si>
    <t>Common Stock Issuance</t>
  </si>
  <si>
    <t>Net Issuance Payments Of Debt</t>
  </si>
  <si>
    <t>Net Short Term Debt Issuance</t>
  </si>
  <si>
    <t>Short Term Debt Issuance</t>
  </si>
  <si>
    <t>Net Long Term Debt Issuance</t>
  </si>
  <si>
    <t>Long Term Debt Payments</t>
  </si>
  <si>
    <t>Long Term Debt Issuance</t>
  </si>
  <si>
    <t>Investing Cash Flow</t>
  </si>
  <si>
    <t>Cash Flow From Continuing Investing Activities</t>
  </si>
  <si>
    <t>Net Investment Purchase And Sale</t>
  </si>
  <si>
    <t>Sale Of Investment</t>
  </si>
  <si>
    <t>Purchase Of Investment</t>
  </si>
  <si>
    <t>Net Business Purchase And Sale</t>
  </si>
  <si>
    <t>Purchase Of Business</t>
  </si>
  <si>
    <t>Capital Expenditure Reported</t>
  </si>
  <si>
    <t>Operating Cash Flow</t>
  </si>
  <si>
    <t>Cash Flow From Continuing Operating Activities</t>
  </si>
  <si>
    <t>Change In Working Capital</t>
  </si>
  <si>
    <t>Change In Other Working Capital</t>
  </si>
  <si>
    <t>Change In Payables And Accrued Expense</t>
  </si>
  <si>
    <t>Change In Payable</t>
  </si>
  <si>
    <t>Change In Account Payable</t>
  </si>
  <si>
    <t>Change In Tax Payable</t>
  </si>
  <si>
    <t>Change In Income Tax Payable</t>
  </si>
  <si>
    <t>Change In Prepaid Assets</t>
  </si>
  <si>
    <t>Change In Receivables</t>
  </si>
  <si>
    <t>Changes In Account Receivables</t>
  </si>
  <si>
    <t>Other Non Cash Items</t>
  </si>
  <si>
    <t>Stock Based Compensation</t>
  </si>
  <si>
    <t>Provisionand Write Offof Assets</t>
  </si>
  <si>
    <t>Deferred Tax</t>
  </si>
  <si>
    <t>Deferred Income Tax</t>
  </si>
  <si>
    <t>Depreciation Amortization Depletion</t>
  </si>
  <si>
    <t>Depreciation And Amortization</t>
  </si>
  <si>
    <t>Amortization Cash Flow</t>
  </si>
  <si>
    <t>Amortization Of Intangibles</t>
  </si>
  <si>
    <t>Depreciation</t>
  </si>
  <si>
    <t>Net Income From Continuing Operations</t>
  </si>
  <si>
    <t>Year</t>
  </si>
  <si>
    <t>% Assumed</t>
  </si>
  <si>
    <t>FCF ($M)</t>
  </si>
  <si>
    <t>Revenue ($M)</t>
  </si>
  <si>
    <t>OCF ($M)</t>
  </si>
  <si>
    <t>Discount Factor (7.63%)</t>
  </si>
  <si>
    <t>PV of FCF ($M)</t>
  </si>
  <si>
    <t>Terminal Value</t>
  </si>
  <si>
    <t>Total PV of Cash Flows</t>
  </si>
  <si>
    <t>Value ($M)</t>
  </si>
  <si>
    <t>Equity Value</t>
  </si>
  <si>
    <t>Shares Outstanding</t>
  </si>
  <si>
    <t>Fair Share Price</t>
  </si>
  <si>
    <t>Oracle DCF Forecast Table (2026-2030)</t>
  </si>
  <si>
    <t>Forecast Revenue (2026-2030)</t>
  </si>
  <si>
    <t>Cap Ex ($M)</t>
  </si>
  <si>
    <t>Cap Ex % of Revenue</t>
  </si>
  <si>
    <t>Total Enterprise Value</t>
  </si>
  <si>
    <t>Sum of PVs</t>
  </si>
  <si>
    <t>PV of TV</t>
  </si>
  <si>
    <t>EV</t>
  </si>
  <si>
    <t>Terminal Growth</t>
  </si>
  <si>
    <t>WACC vs. Terminal Growth</t>
  </si>
  <si>
    <t>$140.17</t>
  </si>
  <si>
    <t>$158.83</t>
  </si>
  <si>
    <t>$184.60</t>
  </si>
  <si>
    <t>$116.02</t>
  </si>
  <si>
    <t>$130.85</t>
  </si>
  <si>
    <t>$149.29</t>
  </si>
  <si>
    <t>$105.14</t>
  </si>
  <si>
    <t>$117.78</t>
  </si>
  <si>
    <t>$133.23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</si>
</sst>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00"/>
    <numFmt numFmtId="168" formatCode="[$$-409]#,##0.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9" fontId="0" fillId="0" borderId="0" xfId="0" applyNumberFormat="1"/>
    <xf numFmtId="0" fontId="2" fillId="0" borderId="0" xfId="0" applyFont="1"/>
    <xf numFmtId="165" fontId="0" fillId="0" borderId="0" xfId="0" applyNumberFormat="1"/>
    <xf numFmtId="10" fontId="0" fillId="0" borderId="0" xfId="0" applyNumberForma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2" xfId="0" applyFont="1" applyBorder="1"/>
    <xf numFmtId="3" fontId="0" fillId="0" borderId="2" xfId="0" applyNumberFormat="1" applyBorder="1"/>
    <xf numFmtId="168" fontId="0" fillId="0" borderId="2" xfId="0" applyNumberFormat="1" applyBorder="1"/>
    <xf numFmtId="0" fontId="0" fillId="0" borderId="2" xfId="0" applyBorder="1"/>
    <xf numFmtId="165" fontId="0" fillId="0" borderId="2" xfId="0" applyNumberFormat="1" applyBorder="1"/>
    <xf numFmtId="10" fontId="2" fillId="0" borderId="2" xfId="0" applyNumberFormat="1" applyFont="1" applyBorder="1"/>
    <xf numFmtId="9" fontId="0" fillId="0" borderId="2" xfId="0" applyNumberFormat="1" applyBorder="1"/>
    <xf numFmtId="0" fontId="0" fillId="0" borderId="0" xfId="0" applyAlignment="1">
      <alignment horizontal="left" indent="3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5"/>
  <sheetViews>
    <sheetView tabSelected="1" workbookViewId="0">
      <selection activeCell="D15" sqref="D15"/>
    </sheetView>
  </sheetViews>
  <sheetFormatPr baseColWidth="10" defaultColWidth="8.83203125" defaultRowHeight="15" x14ac:dyDescent="0.2"/>
  <cols>
    <col min="1" max="1" width="15.83203125" customWidth="1"/>
    <col min="2" max="2" width="21.83203125" bestFit="1" customWidth="1"/>
    <col min="3" max="3" width="17" customWidth="1"/>
    <col min="4" max="4" width="16.83203125" customWidth="1"/>
    <col min="5" max="5" width="16.33203125" bestFit="1" customWidth="1"/>
    <col min="6" max="6" width="31.83203125" bestFit="1" customWidth="1"/>
    <col min="7" max="7" width="49.5" bestFit="1" customWidth="1"/>
    <col min="8" max="8" width="20.5" bestFit="1" customWidth="1"/>
    <col min="9" max="9" width="23" bestFit="1" customWidth="1"/>
    <col min="10" max="10" width="17.33203125" customWidth="1"/>
    <col min="11" max="11" width="13.33203125" customWidth="1"/>
    <col min="12" max="12" width="26.83203125" customWidth="1"/>
    <col min="13" max="13" width="17.5" customWidth="1"/>
    <col min="14" max="14" width="15.6640625" customWidth="1"/>
    <col min="15" max="15" width="19.5" customWidth="1"/>
    <col min="16" max="16" width="56" customWidth="1"/>
    <col min="17" max="17" width="13.83203125" customWidth="1"/>
    <col min="18" max="18" width="31.1640625" customWidth="1"/>
    <col min="19" max="19" width="22" customWidth="1"/>
    <col min="20" max="20" width="18.83203125" customWidth="1"/>
    <col min="21" max="21" width="12.6640625" customWidth="1"/>
    <col min="22" max="22" width="12.33203125" customWidth="1"/>
    <col min="23" max="23" width="29.5" bestFit="1" customWidth="1"/>
    <col min="24" max="24" width="28.33203125" bestFit="1" customWidth="1"/>
    <col min="25" max="25" width="15" customWidth="1"/>
    <col min="26" max="26" width="37.6640625" bestFit="1" customWidth="1"/>
    <col min="27" max="27" width="30.1640625" customWidth="1"/>
    <col min="28" max="28" width="15.1640625" customWidth="1"/>
    <col min="29" max="29" width="15.33203125" customWidth="1"/>
    <col min="30" max="30" width="19.6640625" customWidth="1"/>
    <col min="31" max="31" width="40.1640625" customWidth="1"/>
    <col min="32" max="32" width="22.33203125" customWidth="1"/>
    <col min="33" max="33" width="32.1640625" bestFit="1" customWidth="1"/>
    <col min="34" max="34" width="26.6640625" customWidth="1"/>
    <col min="35" max="35" width="22.83203125" customWidth="1"/>
    <col min="36" max="36" width="38.33203125" customWidth="1"/>
    <col min="37" max="37" width="28.83203125" customWidth="1"/>
    <col min="38" max="38" width="28.33203125" customWidth="1"/>
    <col min="39" max="39" width="17.83203125" customWidth="1"/>
    <col min="40" max="40" width="21.1640625" customWidth="1"/>
    <col min="41" max="41" width="24" customWidth="1"/>
    <col min="42" max="42" width="47.6640625" customWidth="1"/>
    <col min="43" max="43" width="43.83203125" customWidth="1"/>
    <col min="44" max="44" width="14.5" customWidth="1"/>
    <col min="45" max="45" width="38.33203125" customWidth="1"/>
    <col min="46" max="46" width="24.5" customWidth="1"/>
    <col min="47" max="47" width="30" customWidth="1"/>
    <col min="48" max="48" width="28.6640625" customWidth="1"/>
    <col min="49" max="49" width="31.83203125" customWidth="1"/>
    <col min="50" max="50" width="18.33203125" customWidth="1"/>
    <col min="51" max="51" width="20.83203125" customWidth="1"/>
    <col min="52" max="52" width="16.83203125" customWidth="1"/>
    <col min="53" max="53" width="22.5" customWidth="1"/>
    <col min="54" max="54" width="17.5" customWidth="1"/>
    <col min="55" max="55" width="21.1640625" customWidth="1"/>
  </cols>
  <sheetData>
    <row r="1" spans="1:5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</row>
    <row r="2" spans="1:55" x14ac:dyDescent="0.2">
      <c r="A2" s="3">
        <v>45808</v>
      </c>
      <c r="B2" s="2">
        <v>-96679</v>
      </c>
      <c r="C2" s="2">
        <v>1.21E-4</v>
      </c>
      <c r="D2" s="2">
        <v>24711000</v>
      </c>
      <c r="E2" s="2">
        <v>-799000</v>
      </c>
      <c r="F2" s="2">
        <v>-799000</v>
      </c>
      <c r="G2" s="2">
        <v>12443000</v>
      </c>
      <c r="H2" s="2">
        <v>6174000</v>
      </c>
      <c r="I2" s="2">
        <v>13060000</v>
      </c>
      <c r="J2" s="2">
        <v>23912000</v>
      </c>
      <c r="K2" s="2">
        <v>17738000</v>
      </c>
      <c r="L2" s="2">
        <v>-3000000</v>
      </c>
      <c r="M2" s="2">
        <v>3578000</v>
      </c>
      <c r="N2" s="2">
        <v>578000</v>
      </c>
      <c r="O2" s="2">
        <v>13145321</v>
      </c>
      <c r="P2" s="2">
        <v>12443000</v>
      </c>
      <c r="Q2" s="2">
        <v>39347000</v>
      </c>
      <c r="R2" s="2">
        <v>17678000</v>
      </c>
      <c r="S2" s="2">
        <v>2866000</v>
      </c>
      <c r="T2" s="2">
        <v>2789000</v>
      </c>
      <c r="U2" s="2">
        <v>4.3400000000000001E-3</v>
      </c>
      <c r="V2" s="2">
        <v>4.4599999999999996E-3</v>
      </c>
      <c r="W2" s="2">
        <v>12443000</v>
      </c>
      <c r="X2" s="2">
        <v>12443000</v>
      </c>
      <c r="Y2" s="2">
        <v>12443000</v>
      </c>
      <c r="Z2" s="2">
        <v>12443000</v>
      </c>
      <c r="AA2" s="2">
        <v>12443000</v>
      </c>
      <c r="AB2" s="2">
        <v>1717000</v>
      </c>
      <c r="AC2" s="2">
        <v>14160000</v>
      </c>
      <c r="AD2" s="2">
        <v>-892000</v>
      </c>
      <c r="AE2" s="2">
        <v>91000</v>
      </c>
      <c r="AF2" s="2">
        <v>-374000</v>
      </c>
      <c r="AG2" s="2">
        <v>374000</v>
      </c>
      <c r="AH2" s="2">
        <v>-184000</v>
      </c>
      <c r="AI2" s="2">
        <v>-425000</v>
      </c>
      <c r="AJ2" s="2">
        <v>-3000000</v>
      </c>
      <c r="AK2" s="2">
        <v>3578000</v>
      </c>
      <c r="AL2" s="2">
        <v>578000</v>
      </c>
      <c r="AM2" s="2">
        <v>18052000</v>
      </c>
      <c r="AN2" s="2">
        <v>22420000</v>
      </c>
      <c r="AO2" s="2">
        <v>0</v>
      </c>
      <c r="AP2" s="2">
        <v>2307000</v>
      </c>
      <c r="AQ2" s="2">
        <v>2307000</v>
      </c>
      <c r="AR2" s="2">
        <v>2307000</v>
      </c>
      <c r="AS2" s="2">
        <v>2307000</v>
      </c>
      <c r="AT2" s="2">
        <v>9860000</v>
      </c>
      <c r="AU2" s="2">
        <v>10253000</v>
      </c>
      <c r="AV2" s="2">
        <v>8651000</v>
      </c>
      <c r="AW2" s="2">
        <v>1602000</v>
      </c>
      <c r="AX2" s="2">
        <v>1602000</v>
      </c>
      <c r="AY2" s="2">
        <v>0</v>
      </c>
      <c r="AZ2" s="2">
        <v>40472000</v>
      </c>
      <c r="BA2" s="2">
        <v>16927000</v>
      </c>
      <c r="BB2" s="2">
        <v>57399000</v>
      </c>
      <c r="BC2" s="2">
        <v>57399000</v>
      </c>
    </row>
    <row r="3" spans="1:55" x14ac:dyDescent="0.2">
      <c r="A3" s="3">
        <v>45443</v>
      </c>
      <c r="B3" s="2">
        <v>-136141</v>
      </c>
      <c r="C3" s="2">
        <v>1.0899999999999999E-4</v>
      </c>
      <c r="D3" s="2">
        <v>22643000</v>
      </c>
      <c r="E3" s="2">
        <v>-1249000</v>
      </c>
      <c r="F3" s="2">
        <v>-1249000</v>
      </c>
      <c r="G3" s="2">
        <v>10467000</v>
      </c>
      <c r="H3" s="2">
        <v>6139000</v>
      </c>
      <c r="I3" s="2">
        <v>12014000</v>
      </c>
      <c r="J3" s="2">
        <v>21394000</v>
      </c>
      <c r="K3" s="2">
        <v>15255000</v>
      </c>
      <c r="L3" s="2">
        <v>-3063000</v>
      </c>
      <c r="M3" s="2">
        <v>3514000</v>
      </c>
      <c r="N3" s="2">
        <v>451000</v>
      </c>
      <c r="O3" s="2">
        <v>11579859</v>
      </c>
      <c r="P3" s="2">
        <v>10467000</v>
      </c>
      <c r="Q3" s="2">
        <v>36890000</v>
      </c>
      <c r="R3" s="2">
        <v>15353000</v>
      </c>
      <c r="S3" s="2">
        <v>2823000</v>
      </c>
      <c r="T3" s="2">
        <v>2744000</v>
      </c>
      <c r="U3" s="2">
        <v>3.7099999999999998E-3</v>
      </c>
      <c r="V3" s="2">
        <v>3.82E-3</v>
      </c>
      <c r="W3" s="2">
        <v>10467000</v>
      </c>
      <c r="X3" s="2">
        <v>10467000</v>
      </c>
      <c r="Y3" s="2">
        <v>10467000</v>
      </c>
      <c r="Z3" s="2">
        <v>10467000</v>
      </c>
      <c r="AA3" s="2">
        <v>10467000</v>
      </c>
      <c r="AB3" s="2">
        <v>1274000</v>
      </c>
      <c r="AC3" s="2">
        <v>11741000</v>
      </c>
      <c r="AD3" s="2">
        <v>-1267000</v>
      </c>
      <c r="AE3" s="2">
        <v>168000</v>
      </c>
      <c r="AF3" s="2">
        <v>-718000</v>
      </c>
      <c r="AG3" s="2">
        <v>718000</v>
      </c>
      <c r="AH3" s="2">
        <v>-186000</v>
      </c>
      <c r="AI3" s="2">
        <v>-531000</v>
      </c>
      <c r="AJ3" s="2">
        <v>-3063000</v>
      </c>
      <c r="AK3" s="2">
        <v>3514000</v>
      </c>
      <c r="AL3" s="2">
        <v>451000</v>
      </c>
      <c r="AM3" s="2">
        <v>16071000</v>
      </c>
      <c r="AN3" s="2">
        <v>21747000</v>
      </c>
      <c r="AO3" s="2">
        <v>0</v>
      </c>
      <c r="AP3" s="2">
        <v>3010000</v>
      </c>
      <c r="AQ3" s="2">
        <v>3010000</v>
      </c>
      <c r="AR3" s="2">
        <v>3010000</v>
      </c>
      <c r="AS3" s="2">
        <v>3010000</v>
      </c>
      <c r="AT3" s="2">
        <v>8915000</v>
      </c>
      <c r="AU3" s="2">
        <v>9822000</v>
      </c>
      <c r="AV3" s="2">
        <v>8274000</v>
      </c>
      <c r="AW3" s="2">
        <v>1548000</v>
      </c>
      <c r="AX3" s="2">
        <v>1548000</v>
      </c>
      <c r="AY3" s="2">
        <v>0</v>
      </c>
      <c r="AZ3" s="2">
        <v>37818000</v>
      </c>
      <c r="BA3" s="2">
        <v>15143000</v>
      </c>
      <c r="BB3" s="2">
        <v>52961000</v>
      </c>
      <c r="BC3" s="2">
        <v>52961000</v>
      </c>
    </row>
    <row r="4" spans="1:55" x14ac:dyDescent="0.2">
      <c r="A4" s="3">
        <v>45077</v>
      </c>
      <c r="B4" s="2">
        <v>-85408</v>
      </c>
      <c r="C4" s="2">
        <v>6.7999999999999999E-5</v>
      </c>
      <c r="D4" s="2">
        <v>19995000</v>
      </c>
      <c r="E4" s="2">
        <v>-1256000</v>
      </c>
      <c r="F4" s="2">
        <v>-1256000</v>
      </c>
      <c r="G4" s="2">
        <v>8503000</v>
      </c>
      <c r="H4" s="2">
        <v>6108000</v>
      </c>
      <c r="I4" s="2">
        <v>11038000</v>
      </c>
      <c r="J4" s="2">
        <v>18739000</v>
      </c>
      <c r="K4" s="2">
        <v>12631000</v>
      </c>
      <c r="L4" s="2">
        <v>-3220000</v>
      </c>
      <c r="M4" s="2">
        <v>3505000</v>
      </c>
      <c r="N4" s="2">
        <v>285000</v>
      </c>
      <c r="O4" s="2">
        <v>9673592</v>
      </c>
      <c r="P4" s="2">
        <v>8503000</v>
      </c>
      <c r="Q4" s="2">
        <v>36181000</v>
      </c>
      <c r="R4" s="2">
        <v>13093000</v>
      </c>
      <c r="S4" s="2">
        <v>2766000</v>
      </c>
      <c r="T4" s="2">
        <v>2696000</v>
      </c>
      <c r="U4" s="2">
        <v>3.0699999999999998E-3</v>
      </c>
      <c r="V4" s="2">
        <v>3.15E-3</v>
      </c>
      <c r="W4" s="2">
        <v>8503000</v>
      </c>
      <c r="X4" s="2">
        <v>8503000</v>
      </c>
      <c r="Y4" s="2">
        <v>8503000</v>
      </c>
      <c r="Z4" s="2">
        <v>8503000</v>
      </c>
      <c r="AA4" s="2">
        <v>8503000</v>
      </c>
      <c r="AB4" s="2">
        <v>623000</v>
      </c>
      <c r="AC4" s="2">
        <v>9126000</v>
      </c>
      <c r="AD4" s="2">
        <v>-1427000</v>
      </c>
      <c r="AE4" s="2">
        <v>-6000</v>
      </c>
      <c r="AF4" s="2">
        <v>-680000</v>
      </c>
      <c r="AG4" s="2">
        <v>680000</v>
      </c>
      <c r="AH4" s="2">
        <v>-165000</v>
      </c>
      <c r="AI4" s="2">
        <v>-576000</v>
      </c>
      <c r="AJ4" s="2">
        <v>-3220000</v>
      </c>
      <c r="AK4" s="2">
        <v>3505000</v>
      </c>
      <c r="AL4" s="2">
        <v>285000</v>
      </c>
      <c r="AM4" s="2">
        <v>13773000</v>
      </c>
      <c r="AN4" s="2">
        <v>22617000</v>
      </c>
      <c r="AO4" s="2">
        <v>103000</v>
      </c>
      <c r="AP4" s="2">
        <v>3582000</v>
      </c>
      <c r="AQ4" s="2">
        <v>3582000</v>
      </c>
      <c r="AR4" s="2">
        <v>3582000</v>
      </c>
      <c r="AS4" s="2">
        <v>3582000</v>
      </c>
      <c r="AT4" s="2">
        <v>8623000</v>
      </c>
      <c r="AU4" s="2">
        <v>10412000</v>
      </c>
      <c r="AV4" s="2">
        <v>8833000</v>
      </c>
      <c r="AW4" s="2">
        <v>1579000</v>
      </c>
      <c r="AX4" s="2">
        <v>1579000</v>
      </c>
      <c r="AY4" s="2">
        <v>0</v>
      </c>
      <c r="AZ4" s="2">
        <v>36390000</v>
      </c>
      <c r="BA4" s="2">
        <v>13564000</v>
      </c>
      <c r="BB4" s="2">
        <v>49954000</v>
      </c>
      <c r="BC4" s="2">
        <v>49954000</v>
      </c>
    </row>
    <row r="5" spans="1:55" x14ac:dyDescent="0.2">
      <c r="A5" s="3">
        <v>44712</v>
      </c>
      <c r="B5" s="2">
        <v>-640500</v>
      </c>
      <c r="C5" s="2">
        <v>1.22E-4</v>
      </c>
      <c r="D5" s="2">
        <v>18776000</v>
      </c>
      <c r="E5" s="2">
        <v>-5250000</v>
      </c>
      <c r="F5" s="2">
        <v>-5250000</v>
      </c>
      <c r="G5" s="2">
        <v>6717000</v>
      </c>
      <c r="H5" s="2">
        <v>3122000</v>
      </c>
      <c r="I5" s="2">
        <v>6905000</v>
      </c>
      <c r="J5" s="2">
        <v>13526000</v>
      </c>
      <c r="K5" s="2">
        <v>10404000</v>
      </c>
      <c r="L5" s="2">
        <v>-2661000</v>
      </c>
      <c r="M5" s="2">
        <v>2755000</v>
      </c>
      <c r="N5" s="2">
        <v>94000</v>
      </c>
      <c r="O5" s="2">
        <v>11326500</v>
      </c>
      <c r="P5" s="2">
        <v>6717000</v>
      </c>
      <c r="Q5" s="2">
        <v>26610000</v>
      </c>
      <c r="R5" s="2">
        <v>10926000</v>
      </c>
      <c r="S5" s="2">
        <v>2786000</v>
      </c>
      <c r="T5" s="2">
        <v>2700000</v>
      </c>
      <c r="U5" s="2">
        <v>2.4100000000000002E-3</v>
      </c>
      <c r="V5" s="2">
        <v>2.49E-3</v>
      </c>
      <c r="W5" s="2">
        <v>6717000</v>
      </c>
      <c r="X5" s="2">
        <v>6717000</v>
      </c>
      <c r="Y5" s="2">
        <v>6717000</v>
      </c>
      <c r="Z5" s="2">
        <v>6717000</v>
      </c>
      <c r="AA5" s="2">
        <v>6717000</v>
      </c>
      <c r="AB5" s="2">
        <v>932000</v>
      </c>
      <c r="AC5" s="2">
        <v>7649000</v>
      </c>
      <c r="AD5" s="2">
        <v>-5520000</v>
      </c>
      <c r="AE5" s="2">
        <v>-86000</v>
      </c>
      <c r="AF5" s="2">
        <v>-4904000</v>
      </c>
      <c r="AG5" s="2">
        <v>4904000</v>
      </c>
      <c r="AH5" s="2">
        <v>-184000</v>
      </c>
      <c r="AI5" s="2">
        <v>-346000</v>
      </c>
      <c r="AJ5" s="2">
        <v>-2661000</v>
      </c>
      <c r="AK5" s="2">
        <v>2755000</v>
      </c>
      <c r="AL5" s="2">
        <v>94000</v>
      </c>
      <c r="AM5" s="2">
        <v>15830000</v>
      </c>
      <c r="AN5" s="2">
        <v>17733000</v>
      </c>
      <c r="AO5" s="2">
        <v>4694000</v>
      </c>
      <c r="AP5" s="2">
        <v>1150000</v>
      </c>
      <c r="AQ5" s="2">
        <v>1150000</v>
      </c>
      <c r="AR5" s="2">
        <v>1150000</v>
      </c>
      <c r="AS5" s="2">
        <v>1150000</v>
      </c>
      <c r="AT5" s="2">
        <v>7219000</v>
      </c>
      <c r="AU5" s="2">
        <v>9364000</v>
      </c>
      <c r="AV5" s="2">
        <v>8047000</v>
      </c>
      <c r="AW5" s="2">
        <v>1317000</v>
      </c>
      <c r="AX5" s="2">
        <v>1317000</v>
      </c>
      <c r="AY5" s="2">
        <v>0</v>
      </c>
      <c r="AZ5" s="2">
        <v>33563000</v>
      </c>
      <c r="BA5" s="2">
        <v>8877000</v>
      </c>
      <c r="BB5" s="2">
        <v>42440000</v>
      </c>
      <c r="BC5" s="2">
        <v>42440000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5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9.1640625" customWidth="1"/>
    <col min="2" max="2" width="20.33203125" bestFit="1" customWidth="1"/>
    <col min="3" max="3" width="19.6640625" customWidth="1"/>
    <col min="4" max="4" width="13.6640625" customWidth="1"/>
    <col min="5" max="5" width="15.6640625" customWidth="1"/>
    <col min="6" max="6" width="17.33203125" customWidth="1"/>
    <col min="7" max="7" width="15" customWidth="1"/>
    <col min="8" max="8" width="18" customWidth="1"/>
    <col min="9" max="9" width="18.5" customWidth="1"/>
    <col min="10" max="10" width="22.83203125" customWidth="1"/>
    <col min="11" max="11" width="23" customWidth="1"/>
    <col min="12" max="12" width="28.33203125" customWidth="1"/>
    <col min="13" max="13" width="29.1640625" bestFit="1" customWidth="1"/>
    <col min="14" max="14" width="14.83203125" bestFit="1" customWidth="1"/>
    <col min="15" max="15" width="16.83203125" bestFit="1" customWidth="1"/>
    <col min="16" max="16" width="36" bestFit="1" customWidth="1"/>
    <col min="17" max="17" width="21.5" bestFit="1" customWidth="1"/>
    <col min="18" max="18" width="15.1640625" bestFit="1" customWidth="1"/>
    <col min="19" max="19" width="12.6640625" bestFit="1" customWidth="1"/>
    <col min="20" max="20" width="13" bestFit="1" customWidth="1"/>
    <col min="21" max="21" width="13.5" bestFit="1" customWidth="1"/>
    <col min="22" max="22" width="30.5" bestFit="1" customWidth="1"/>
    <col min="23" max="23" width="43.6640625" customWidth="1"/>
    <col min="24" max="24" width="24" bestFit="1" customWidth="1"/>
    <col min="25" max="25" width="24.1640625" bestFit="1" customWidth="1"/>
    <col min="26" max="26" width="30.83203125" bestFit="1" customWidth="1"/>
    <col min="27" max="27" width="26.5" bestFit="1" customWidth="1"/>
    <col min="28" max="28" width="31.1640625" bestFit="1" customWidth="1"/>
    <col min="29" max="29" width="36.5" bestFit="1" customWidth="1"/>
    <col min="30" max="30" width="28.6640625" bestFit="1" customWidth="1"/>
    <col min="31" max="31" width="13.6640625" bestFit="1" customWidth="1"/>
    <col min="32" max="32" width="15.33203125" bestFit="1" customWidth="1"/>
    <col min="33" max="33" width="20.33203125" bestFit="1" customWidth="1"/>
    <col min="34" max="34" width="23" bestFit="1" customWidth="1"/>
    <col min="35" max="35" width="22.33203125" bestFit="1" customWidth="1"/>
    <col min="36" max="36" width="34.5" bestFit="1" customWidth="1"/>
    <col min="37" max="37" width="12.6640625" bestFit="1" customWidth="1"/>
    <col min="38" max="38" width="21.5" bestFit="1" customWidth="1"/>
    <col min="39" max="39" width="46" bestFit="1" customWidth="1"/>
    <col min="40" max="40" width="26.1640625" bestFit="1" customWidth="1"/>
    <col min="41" max="41" width="11.6640625" bestFit="1" customWidth="1"/>
    <col min="42" max="42" width="15" bestFit="1" customWidth="1"/>
    <col min="43" max="43" width="13.6640625" bestFit="1" customWidth="1"/>
    <col min="44" max="44" width="20.5" bestFit="1" customWidth="1"/>
    <col min="45" max="45" width="21.1640625" bestFit="1" customWidth="1"/>
    <col min="46" max="46" width="23.83203125" bestFit="1" customWidth="1"/>
    <col min="47" max="47" width="28.5" bestFit="1" customWidth="1"/>
    <col min="48" max="48" width="30.6640625" bestFit="1" customWidth="1"/>
    <col min="49" max="49" width="19.5" bestFit="1" customWidth="1"/>
    <col min="50" max="51" width="12.6640625" bestFit="1" customWidth="1"/>
    <col min="52" max="52" width="22.6640625" bestFit="1" customWidth="1"/>
    <col min="53" max="53" width="12.6640625" bestFit="1" customWidth="1"/>
    <col min="54" max="54" width="20.33203125" bestFit="1" customWidth="1"/>
    <col min="55" max="55" width="26.6640625" bestFit="1" customWidth="1"/>
    <col min="56" max="56" width="24" bestFit="1" customWidth="1"/>
    <col min="57" max="57" width="20.5" bestFit="1" customWidth="1"/>
    <col min="58" max="58" width="9.6640625" bestFit="1" customWidth="1"/>
    <col min="59" max="59" width="12.6640625" bestFit="1" customWidth="1"/>
    <col min="60" max="60" width="17.6640625" bestFit="1" customWidth="1"/>
    <col min="61" max="61" width="12.6640625" bestFit="1" customWidth="1"/>
    <col min="62" max="62" width="11.6640625" bestFit="1" customWidth="1"/>
    <col min="63" max="63" width="17.6640625" bestFit="1" customWidth="1"/>
    <col min="64" max="64" width="36.6640625" bestFit="1" customWidth="1"/>
    <col min="65" max="65" width="22.33203125" bestFit="1" customWidth="1"/>
    <col min="66" max="66" width="41" bestFit="1" customWidth="1"/>
    <col min="67" max="67" width="25" bestFit="1" customWidth="1"/>
    <col min="68" max="68" width="21.83203125" bestFit="1" customWidth="1"/>
  </cols>
  <sheetData>
    <row r="1" spans="1:68" x14ac:dyDescent="0.2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  <c r="AB1" s="1" t="s">
        <v>80</v>
      </c>
      <c r="AC1" s="1" t="s">
        <v>81</v>
      </c>
      <c r="AD1" s="1" t="s">
        <v>82</v>
      </c>
      <c r="AE1" s="1" t="s">
        <v>83</v>
      </c>
      <c r="AF1" s="1" t="s">
        <v>84</v>
      </c>
      <c r="AG1" s="1" t="s">
        <v>85</v>
      </c>
      <c r="AH1" s="1" t="s">
        <v>86</v>
      </c>
      <c r="AI1" s="1" t="s">
        <v>87</v>
      </c>
      <c r="AJ1" s="1" t="s">
        <v>88</v>
      </c>
      <c r="AK1" s="1" t="s">
        <v>89</v>
      </c>
      <c r="AL1" s="1" t="s">
        <v>90</v>
      </c>
      <c r="AM1" s="1" t="s">
        <v>91</v>
      </c>
      <c r="AN1" s="1" t="s">
        <v>92</v>
      </c>
      <c r="AO1" s="1" t="s">
        <v>93</v>
      </c>
      <c r="AP1" s="1" t="s">
        <v>94</v>
      </c>
      <c r="AQ1" s="1" t="s">
        <v>95</v>
      </c>
      <c r="AR1" s="1" t="s">
        <v>96</v>
      </c>
      <c r="AS1" s="1" t="s">
        <v>97</v>
      </c>
      <c r="AT1" s="1" t="s">
        <v>98</v>
      </c>
      <c r="AU1" s="1" t="s">
        <v>99</v>
      </c>
      <c r="AV1" s="1" t="s">
        <v>100</v>
      </c>
      <c r="AW1" s="1" t="s">
        <v>101</v>
      </c>
      <c r="AX1" s="1" t="s">
        <v>102</v>
      </c>
      <c r="AY1" s="1" t="s">
        <v>103</v>
      </c>
      <c r="AZ1" s="1" t="s">
        <v>104</v>
      </c>
      <c r="BA1" s="1" t="s">
        <v>105</v>
      </c>
      <c r="BB1" s="1" t="s">
        <v>106</v>
      </c>
      <c r="BC1" s="1" t="s">
        <v>107</v>
      </c>
      <c r="BD1" s="1" t="s">
        <v>108</v>
      </c>
      <c r="BE1" s="1" t="s">
        <v>109</v>
      </c>
      <c r="BF1" s="1" t="s">
        <v>110</v>
      </c>
      <c r="BG1" s="1" t="s">
        <v>111</v>
      </c>
      <c r="BH1" s="1" t="s">
        <v>112</v>
      </c>
      <c r="BI1" s="1" t="s">
        <v>113</v>
      </c>
      <c r="BJ1" s="1" t="s">
        <v>114</v>
      </c>
      <c r="BK1" s="1" t="s">
        <v>115</v>
      </c>
      <c r="BL1" s="1" t="s">
        <v>116</v>
      </c>
      <c r="BM1" s="1" t="s">
        <v>117</v>
      </c>
      <c r="BN1" s="1" t="s">
        <v>118</v>
      </c>
      <c r="BO1" s="1" t="s">
        <v>119</v>
      </c>
      <c r="BP1" s="1" t="s">
        <v>120</v>
      </c>
    </row>
    <row r="2" spans="1:68" x14ac:dyDescent="0.2">
      <c r="A2" s="3">
        <v>45808</v>
      </c>
      <c r="B2" s="2">
        <v>2807000</v>
      </c>
      <c r="C2" s="2">
        <v>2807000</v>
      </c>
      <c r="D2" s="2">
        <v>81782000</v>
      </c>
      <c r="E2" s="2">
        <v>104104000</v>
      </c>
      <c r="F2" s="2">
        <v>-46343000</v>
      </c>
      <c r="G2" s="2">
        <v>113019000</v>
      </c>
      <c r="H2" s="2">
        <v>-8064000</v>
      </c>
      <c r="I2" s="2">
        <v>-46343000</v>
      </c>
      <c r="J2" s="2">
        <v>11536000</v>
      </c>
      <c r="K2" s="2">
        <v>20451000</v>
      </c>
      <c r="L2" s="2">
        <v>105748000</v>
      </c>
      <c r="M2" s="2">
        <v>20969000</v>
      </c>
      <c r="N2" s="2">
        <v>518000</v>
      </c>
      <c r="O2" s="2">
        <v>20451000</v>
      </c>
      <c r="P2" s="2">
        <v>-1175000</v>
      </c>
      <c r="Q2" s="2">
        <v>-1175000</v>
      </c>
      <c r="R2" s="2">
        <v>-15481000</v>
      </c>
      <c r="S2" s="2">
        <v>37107000</v>
      </c>
      <c r="T2" s="2">
        <v>37107000</v>
      </c>
      <c r="U2" s="2">
        <v>0</v>
      </c>
      <c r="V2" s="2">
        <v>147392000</v>
      </c>
      <c r="W2" s="2">
        <v>114749000</v>
      </c>
      <c r="X2" s="2">
        <v>7647000</v>
      </c>
      <c r="Y2" s="2">
        <v>0</v>
      </c>
      <c r="Z2" s="2">
        <v>10269000</v>
      </c>
      <c r="AA2" s="2">
        <v>0</v>
      </c>
      <c r="AB2" s="2">
        <v>0</v>
      </c>
      <c r="AC2" s="2">
        <v>96833000</v>
      </c>
      <c r="AD2" s="2">
        <v>11536000</v>
      </c>
      <c r="AE2" s="2">
        <v>85297000</v>
      </c>
      <c r="AF2" s="2">
        <v>32643000</v>
      </c>
      <c r="AG2" s="2">
        <v>8629000</v>
      </c>
      <c r="AH2" s="2">
        <v>9387000</v>
      </c>
      <c r="AI2" s="2">
        <v>9387000</v>
      </c>
      <c r="AJ2" s="2">
        <v>7271000</v>
      </c>
      <c r="AK2" s="2">
        <v>7271000</v>
      </c>
      <c r="AL2" s="2">
        <v>0</v>
      </c>
      <c r="AM2" s="2">
        <v>2243000</v>
      </c>
      <c r="AN2" s="2">
        <v>5113000</v>
      </c>
      <c r="AO2" s="2">
        <v>5113000</v>
      </c>
      <c r="AP2" s="2">
        <v>5113000</v>
      </c>
      <c r="AQ2" s="2">
        <v>168361000</v>
      </c>
      <c r="AR2" s="2">
        <v>143782000</v>
      </c>
      <c r="AS2" s="2">
        <v>21589000</v>
      </c>
      <c r="AT2" s="2">
        <v>11877000</v>
      </c>
      <c r="AU2" s="2">
        <v>11877000</v>
      </c>
      <c r="AV2" s="2">
        <v>66794000</v>
      </c>
      <c r="AW2" s="2">
        <v>4587000</v>
      </c>
      <c r="AX2" s="2">
        <v>62207000</v>
      </c>
      <c r="AY2" s="2">
        <v>43522000</v>
      </c>
      <c r="AZ2" s="2">
        <v>-16032000</v>
      </c>
      <c r="BA2" s="2">
        <v>59554000</v>
      </c>
      <c r="BB2" s="2">
        <v>16510000</v>
      </c>
      <c r="BC2" s="2">
        <v>30811000</v>
      </c>
      <c r="BD2" s="2">
        <v>10881000</v>
      </c>
      <c r="BE2" s="2">
        <v>1352000</v>
      </c>
      <c r="BF2" s="2">
        <v>0</v>
      </c>
      <c r="BG2" s="2">
        <v>24579000</v>
      </c>
      <c r="BH2" s="2">
        <v>4818000</v>
      </c>
      <c r="BI2" s="2">
        <v>0</v>
      </c>
      <c r="BJ2" s="2">
        <v>8558000</v>
      </c>
      <c r="BK2" s="2">
        <v>8558000</v>
      </c>
      <c r="BL2" s="2">
        <v>-557000</v>
      </c>
      <c r="BM2" s="2">
        <v>9115000</v>
      </c>
      <c r="BN2" s="2">
        <v>11203000</v>
      </c>
      <c r="BO2" s="2">
        <v>417000</v>
      </c>
      <c r="BP2" s="2">
        <v>10786000</v>
      </c>
    </row>
    <row r="3" spans="1:68" x14ac:dyDescent="0.2">
      <c r="A3" s="3">
        <v>45443</v>
      </c>
      <c r="B3" s="2">
        <v>2755000</v>
      </c>
      <c r="C3" s="2">
        <v>2755000</v>
      </c>
      <c r="D3" s="2">
        <v>76415000</v>
      </c>
      <c r="E3" s="2">
        <v>93124000</v>
      </c>
      <c r="F3" s="2">
        <v>-60416000</v>
      </c>
      <c r="G3" s="2">
        <v>95573000</v>
      </c>
      <c r="H3" s="2">
        <v>-8990000</v>
      </c>
      <c r="I3" s="2">
        <v>-60416000</v>
      </c>
      <c r="J3" s="2">
        <v>6255000</v>
      </c>
      <c r="K3" s="2">
        <v>8704000</v>
      </c>
      <c r="L3" s="2">
        <v>84968000</v>
      </c>
      <c r="M3" s="2">
        <v>9239000</v>
      </c>
      <c r="N3" s="2">
        <v>535000</v>
      </c>
      <c r="O3" s="2">
        <v>8704000</v>
      </c>
      <c r="P3" s="2">
        <v>-1432000</v>
      </c>
      <c r="Q3" s="2">
        <v>-1432000</v>
      </c>
      <c r="R3" s="2">
        <v>-22628000</v>
      </c>
      <c r="S3" s="2">
        <v>32764000</v>
      </c>
      <c r="T3" s="2">
        <v>32764000</v>
      </c>
      <c r="U3" s="2">
        <v>0</v>
      </c>
      <c r="V3" s="2">
        <v>131737000</v>
      </c>
      <c r="W3" s="2">
        <v>100193000</v>
      </c>
      <c r="X3" s="2">
        <v>6857000</v>
      </c>
      <c r="Y3" s="2">
        <v>0</v>
      </c>
      <c r="Z3" s="2">
        <v>10817000</v>
      </c>
      <c r="AA3" s="2">
        <v>3692000</v>
      </c>
      <c r="AB3" s="2">
        <v>3692000</v>
      </c>
      <c r="AC3" s="2">
        <v>82519000</v>
      </c>
      <c r="AD3" s="2">
        <v>6255000</v>
      </c>
      <c r="AE3" s="2">
        <v>76264000</v>
      </c>
      <c r="AF3" s="2">
        <v>31544000</v>
      </c>
      <c r="AG3" s="2">
        <v>7353000</v>
      </c>
      <c r="AH3" s="2">
        <v>9313000</v>
      </c>
      <c r="AI3" s="2">
        <v>9313000</v>
      </c>
      <c r="AJ3" s="2">
        <v>10605000</v>
      </c>
      <c r="AK3" s="2">
        <v>10605000</v>
      </c>
      <c r="AL3" s="2">
        <v>0</v>
      </c>
      <c r="AM3" s="2">
        <v>1916000</v>
      </c>
      <c r="AN3" s="2">
        <v>2357000</v>
      </c>
      <c r="AO3" s="2">
        <v>2357000</v>
      </c>
      <c r="AP3" s="2">
        <v>2357000</v>
      </c>
      <c r="AQ3" s="2">
        <v>140976000</v>
      </c>
      <c r="AR3" s="2">
        <v>118422000</v>
      </c>
      <c r="AS3" s="2">
        <v>15493000</v>
      </c>
      <c r="AT3" s="2">
        <v>12273000</v>
      </c>
      <c r="AU3" s="2">
        <v>12273000</v>
      </c>
      <c r="AV3" s="2">
        <v>69120000</v>
      </c>
      <c r="AW3" s="2">
        <v>6890000</v>
      </c>
      <c r="AX3" s="2">
        <v>62230000</v>
      </c>
      <c r="AY3" s="2">
        <v>21536000</v>
      </c>
      <c r="AZ3" s="2">
        <v>-13282000</v>
      </c>
      <c r="BA3" s="2">
        <v>34818000</v>
      </c>
      <c r="BB3" s="2">
        <v>5634000</v>
      </c>
      <c r="BC3" s="2">
        <v>21452000</v>
      </c>
      <c r="BD3" s="2">
        <v>6493000</v>
      </c>
      <c r="BE3" s="2">
        <v>1239000</v>
      </c>
      <c r="BF3" s="2">
        <v>0</v>
      </c>
      <c r="BG3" s="2">
        <v>22554000</v>
      </c>
      <c r="BH3" s="2">
        <v>4019000</v>
      </c>
      <c r="BI3" s="2">
        <v>0</v>
      </c>
      <c r="BJ3" s="2">
        <v>7874000</v>
      </c>
      <c r="BK3" s="2">
        <v>7874000</v>
      </c>
      <c r="BL3" s="2">
        <v>-485000</v>
      </c>
      <c r="BM3" s="2">
        <v>8359000</v>
      </c>
      <c r="BN3" s="2">
        <v>10661000</v>
      </c>
      <c r="BO3" s="2">
        <v>207000</v>
      </c>
      <c r="BP3" s="2">
        <v>10454000</v>
      </c>
    </row>
    <row r="4" spans="1:68" x14ac:dyDescent="0.2">
      <c r="A4" s="3">
        <v>45077</v>
      </c>
      <c r="B4" s="2">
        <v>2713000</v>
      </c>
      <c r="C4" s="2">
        <v>2713000</v>
      </c>
      <c r="D4" s="2">
        <v>80716000</v>
      </c>
      <c r="E4" s="2">
        <v>90481000</v>
      </c>
      <c r="F4" s="2">
        <v>-71025000</v>
      </c>
      <c r="G4" s="2">
        <v>91554000</v>
      </c>
      <c r="H4" s="2">
        <v>-2086000</v>
      </c>
      <c r="I4" s="2">
        <v>-71025000</v>
      </c>
      <c r="J4" s="2">
        <v>0</v>
      </c>
      <c r="K4" s="2">
        <v>1073000</v>
      </c>
      <c r="L4" s="2">
        <v>87493000</v>
      </c>
      <c r="M4" s="2">
        <v>1556000</v>
      </c>
      <c r="N4" s="2">
        <v>483000</v>
      </c>
      <c r="O4" s="2">
        <v>1073000</v>
      </c>
      <c r="P4" s="2">
        <v>-1522000</v>
      </c>
      <c r="Q4" s="2">
        <v>-1522000</v>
      </c>
      <c r="R4" s="2">
        <v>-27620000</v>
      </c>
      <c r="S4" s="2">
        <v>30215000</v>
      </c>
      <c r="T4" s="2">
        <v>30215000</v>
      </c>
      <c r="U4" s="2">
        <v>0</v>
      </c>
      <c r="V4" s="2">
        <v>132828000</v>
      </c>
      <c r="W4" s="2">
        <v>109738000</v>
      </c>
      <c r="X4" s="2">
        <v>6469000</v>
      </c>
      <c r="Y4" s="2">
        <v>-52000</v>
      </c>
      <c r="Z4" s="2">
        <v>11077000</v>
      </c>
      <c r="AA4" s="2">
        <v>5772000</v>
      </c>
      <c r="AB4" s="2">
        <v>5772000</v>
      </c>
      <c r="AC4" s="2">
        <v>86420000</v>
      </c>
      <c r="AD4" s="2">
        <v>0</v>
      </c>
      <c r="AE4" s="2">
        <v>86420000</v>
      </c>
      <c r="AF4" s="2">
        <v>23090000</v>
      </c>
      <c r="AG4" s="2">
        <v>6802000</v>
      </c>
      <c r="AH4" s="2">
        <v>8970000</v>
      </c>
      <c r="AI4" s="2">
        <v>8970000</v>
      </c>
      <c r="AJ4" s="2">
        <v>4061000</v>
      </c>
      <c r="AK4" s="2">
        <v>4061000</v>
      </c>
      <c r="AL4" s="2">
        <v>4061000</v>
      </c>
      <c r="AM4" s="2">
        <v>2053000</v>
      </c>
      <c r="AN4" s="2">
        <v>1204000</v>
      </c>
      <c r="AO4" s="2">
        <v>1204000</v>
      </c>
      <c r="AP4" s="2">
        <v>1204000</v>
      </c>
      <c r="AQ4" s="2">
        <v>134384000</v>
      </c>
      <c r="AR4" s="2">
        <v>113380000</v>
      </c>
      <c r="AS4" s="2">
        <v>11987000</v>
      </c>
      <c r="AT4" s="2">
        <v>12226000</v>
      </c>
      <c r="AU4" s="2">
        <v>12226000</v>
      </c>
      <c r="AV4" s="2">
        <v>72098000</v>
      </c>
      <c r="AW4" s="2">
        <v>9837000</v>
      </c>
      <c r="AX4" s="2">
        <v>62261000</v>
      </c>
      <c r="AY4" s="2">
        <v>17069000</v>
      </c>
      <c r="AZ4" s="2">
        <v>-11605000</v>
      </c>
      <c r="BA4" s="2">
        <v>28674000</v>
      </c>
      <c r="BB4" s="2">
        <v>3846000</v>
      </c>
      <c r="BC4" s="2">
        <v>17705000</v>
      </c>
      <c r="BD4" s="2">
        <v>5880000</v>
      </c>
      <c r="BE4" s="2">
        <v>1243000</v>
      </c>
      <c r="BF4" s="2">
        <v>0</v>
      </c>
      <c r="BG4" s="2">
        <v>21004000</v>
      </c>
      <c r="BH4" s="2">
        <v>3902000</v>
      </c>
      <c r="BI4" s="2">
        <v>0</v>
      </c>
      <c r="BJ4" s="2">
        <v>6915000</v>
      </c>
      <c r="BK4" s="2">
        <v>6915000</v>
      </c>
      <c r="BL4" s="2">
        <v>-428000</v>
      </c>
      <c r="BM4" s="2">
        <v>7343000</v>
      </c>
      <c r="BN4" s="2">
        <v>10187000</v>
      </c>
      <c r="BO4" s="2">
        <v>422000</v>
      </c>
      <c r="BP4" s="2">
        <v>9765000</v>
      </c>
    </row>
    <row r="5" spans="1:68" x14ac:dyDescent="0.2">
      <c r="A5" s="3">
        <v>44712</v>
      </c>
      <c r="B5" s="2">
        <v>2665000</v>
      </c>
      <c r="C5" s="2">
        <v>2665000</v>
      </c>
      <c r="D5" s="2">
        <v>54499000</v>
      </c>
      <c r="E5" s="2">
        <v>75882000</v>
      </c>
      <c r="F5" s="2">
        <v>-51471000</v>
      </c>
      <c r="G5" s="2">
        <v>69662000</v>
      </c>
      <c r="H5" s="2">
        <v>12122000</v>
      </c>
      <c r="I5" s="2">
        <v>-51471000</v>
      </c>
      <c r="J5" s="2">
        <v>0</v>
      </c>
      <c r="K5" s="2">
        <v>-6220000</v>
      </c>
      <c r="L5" s="2">
        <v>65913000</v>
      </c>
      <c r="M5" s="2">
        <v>-5768000</v>
      </c>
      <c r="N5" s="2">
        <v>452000</v>
      </c>
      <c r="O5" s="2">
        <v>-6220000</v>
      </c>
      <c r="P5" s="2">
        <v>-1692000</v>
      </c>
      <c r="Q5" s="2">
        <v>-1692000</v>
      </c>
      <c r="R5" s="2">
        <v>-31336000</v>
      </c>
      <c r="S5" s="2">
        <v>26808000</v>
      </c>
      <c r="T5" s="2">
        <v>26808000</v>
      </c>
      <c r="U5" s="2">
        <v>0</v>
      </c>
      <c r="V5" s="2">
        <v>115065000</v>
      </c>
      <c r="W5" s="2">
        <v>95554000</v>
      </c>
      <c r="X5" s="2">
        <v>5203000</v>
      </c>
      <c r="Y5" s="2">
        <v>-23000</v>
      </c>
      <c r="Z5" s="2">
        <v>12210000</v>
      </c>
      <c r="AA5" s="2">
        <v>6031000</v>
      </c>
      <c r="AB5" s="2">
        <v>6031000</v>
      </c>
      <c r="AC5" s="2">
        <v>72133000</v>
      </c>
      <c r="AD5" s="2">
        <v>0</v>
      </c>
      <c r="AE5" s="2">
        <v>72133000</v>
      </c>
      <c r="AF5" s="2">
        <v>19511000</v>
      </c>
      <c r="AG5" s="2">
        <v>4144000</v>
      </c>
      <c r="AH5" s="2">
        <v>8357000</v>
      </c>
      <c r="AI5" s="2">
        <v>8357000</v>
      </c>
      <c r="AJ5" s="2">
        <v>3749000</v>
      </c>
      <c r="AK5" s="2">
        <v>3749000</v>
      </c>
      <c r="AL5" s="2">
        <v>3749000</v>
      </c>
      <c r="AM5" s="2">
        <v>1944000</v>
      </c>
      <c r="AN5" s="2">
        <v>1317000</v>
      </c>
      <c r="AO5" s="2">
        <v>1317000</v>
      </c>
      <c r="AP5" s="2">
        <v>1317000</v>
      </c>
      <c r="AQ5" s="2">
        <v>109297000</v>
      </c>
      <c r="AR5" s="2">
        <v>77664000</v>
      </c>
      <c r="AS5" s="2">
        <v>9915000</v>
      </c>
      <c r="AT5" s="2">
        <v>12782000</v>
      </c>
      <c r="AU5" s="2">
        <v>12782000</v>
      </c>
      <c r="AV5" s="2">
        <v>45251000</v>
      </c>
      <c r="AW5" s="2">
        <v>1440000</v>
      </c>
      <c r="AX5" s="2">
        <v>43811000</v>
      </c>
      <c r="AY5" s="2">
        <v>9716000</v>
      </c>
      <c r="AZ5" s="2">
        <v>-9958000</v>
      </c>
      <c r="BA5" s="2">
        <v>19674000</v>
      </c>
      <c r="BB5" s="2">
        <v>512000</v>
      </c>
      <c r="BC5" s="2">
        <v>13267000</v>
      </c>
      <c r="BD5" s="2">
        <v>4729000</v>
      </c>
      <c r="BE5" s="2">
        <v>1166000</v>
      </c>
      <c r="BF5" s="2">
        <v>0</v>
      </c>
      <c r="BG5" s="2">
        <v>31633000</v>
      </c>
      <c r="BH5" s="2">
        <v>3778000</v>
      </c>
      <c r="BI5" s="2">
        <v>3778000</v>
      </c>
      <c r="BJ5" s="2">
        <v>5953000</v>
      </c>
      <c r="BK5" s="2">
        <v>5953000</v>
      </c>
      <c r="BL5" s="2">
        <v>-362000</v>
      </c>
      <c r="BM5" s="2">
        <v>6315000</v>
      </c>
      <c r="BN5" s="2">
        <v>21902000</v>
      </c>
      <c r="BO5" s="2">
        <v>519000</v>
      </c>
      <c r="BP5" s="2">
        <v>21383000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F5"/>
  <sheetViews>
    <sheetView workbookViewId="0">
      <selection activeCell="AA1" sqref="AA1"/>
    </sheetView>
  </sheetViews>
  <sheetFormatPr baseColWidth="10" defaultColWidth="8.83203125" defaultRowHeight="15" x14ac:dyDescent="0.2"/>
  <cols>
    <col min="1" max="1" width="17.6640625" bestFit="1" customWidth="1"/>
    <col min="2" max="2" width="12.5" bestFit="1" customWidth="1"/>
    <col min="3" max="3" width="22.6640625" bestFit="1" customWidth="1"/>
    <col min="4" max="4" width="16.33203125" bestFit="1" customWidth="1"/>
    <col min="5" max="5" width="13.83203125" bestFit="1" customWidth="1"/>
    <col min="6" max="6" width="20" bestFit="1" customWidth="1"/>
    <col min="7" max="7" width="16.5" bestFit="1" customWidth="1"/>
    <col min="8" max="8" width="26.33203125" bestFit="1" customWidth="1"/>
    <col min="9" max="9" width="29" bestFit="1" customWidth="1"/>
    <col min="10" max="10" width="14.5" bestFit="1" customWidth="1"/>
    <col min="11" max="11" width="19.5" bestFit="1" customWidth="1"/>
    <col min="12" max="12" width="25.83203125" bestFit="1" customWidth="1"/>
    <col min="13" max="13" width="13.1640625" bestFit="1" customWidth="1"/>
    <col min="14" max="14" width="16.5" bestFit="1" customWidth="1"/>
    <col min="15" max="15" width="38" bestFit="1" customWidth="1"/>
    <col min="16" max="16" width="23.1640625" bestFit="1" customWidth="1"/>
    <col min="17" max="17" width="16.5" bestFit="1" customWidth="1"/>
    <col min="18" max="18" width="24" bestFit="1" customWidth="1"/>
    <col min="19" max="19" width="23" bestFit="1" customWidth="1"/>
    <col min="20" max="20" width="20.6640625" bestFit="1" customWidth="1"/>
    <col min="21" max="21" width="19.6640625" bestFit="1" customWidth="1"/>
    <col min="22" max="22" width="25.1640625" bestFit="1" customWidth="1"/>
    <col min="23" max="23" width="24.1640625" bestFit="1" customWidth="1"/>
    <col min="24" max="24" width="20.83203125" bestFit="1" customWidth="1"/>
    <col min="25" max="25" width="23.6640625" bestFit="1" customWidth="1"/>
    <col min="26" max="26" width="21.5" bestFit="1" customWidth="1"/>
    <col min="27" max="27" width="20.33203125" bestFit="1" customWidth="1"/>
    <col min="28" max="28" width="16" bestFit="1" customWidth="1"/>
    <col min="29" max="29" width="37.6640625" bestFit="1" customWidth="1"/>
    <col min="30" max="30" width="28" bestFit="1" customWidth="1"/>
    <col min="31" max="31" width="15.5" bestFit="1" customWidth="1"/>
    <col min="32" max="32" width="19.5" bestFit="1" customWidth="1"/>
    <col min="33" max="33" width="25.5" bestFit="1" customWidth="1"/>
    <col min="34" max="34" width="17.1640625" bestFit="1" customWidth="1"/>
    <col min="35" max="35" width="24.33203125" bestFit="1" customWidth="1"/>
    <col min="36" max="36" width="16.83203125" bestFit="1" customWidth="1"/>
    <col min="37" max="37" width="38.33203125" bestFit="1" customWidth="1"/>
    <col min="38" max="38" width="21.5" bestFit="1" customWidth="1"/>
    <col min="39" max="39" width="26.33203125" bestFit="1" customWidth="1"/>
    <col min="40" max="40" width="33.33203125" bestFit="1" customWidth="1"/>
    <col min="41" max="41" width="15" bestFit="1" customWidth="1"/>
    <col min="42" max="42" width="22.1640625" bestFit="1" customWidth="1"/>
    <col min="43" max="43" width="18" bestFit="1" customWidth="1"/>
    <col min="44" max="44" width="24.33203125" bestFit="1" customWidth="1"/>
    <col min="45" max="45" width="20.33203125" bestFit="1" customWidth="1"/>
    <col min="46" max="46" width="18.33203125" bestFit="1" customWidth="1"/>
    <col min="47" max="47" width="26" bestFit="1" customWidth="1"/>
    <col min="48" max="48" width="17.83203125" bestFit="1" customWidth="1"/>
    <col min="49" max="49" width="22" bestFit="1" customWidth="1"/>
    <col min="50" max="50" width="25.5" bestFit="1" customWidth="1"/>
    <col min="51" max="51" width="11.6640625" bestFit="1" customWidth="1"/>
    <col min="52" max="52" width="17.33203125" bestFit="1" customWidth="1"/>
    <col min="53" max="53" width="30.5" bestFit="1" customWidth="1"/>
    <col min="54" max="54" width="25.6640625" bestFit="1" customWidth="1"/>
    <col min="55" max="55" width="19.33203125" bestFit="1" customWidth="1"/>
    <col min="56" max="56" width="22.5" bestFit="1" customWidth="1"/>
    <col min="57" max="57" width="11.33203125" bestFit="1" customWidth="1"/>
    <col min="58" max="58" width="32.83203125" bestFit="1" customWidth="1"/>
  </cols>
  <sheetData>
    <row r="1" spans="1:58" x14ac:dyDescent="0.2"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153</v>
      </c>
      <c r="AI1" s="1" t="s">
        <v>154</v>
      </c>
      <c r="AJ1" s="1" t="s">
        <v>155</v>
      </c>
      <c r="AK1" s="1" t="s">
        <v>156</v>
      </c>
      <c r="AL1" s="1" t="s">
        <v>157</v>
      </c>
      <c r="AM1" s="1" t="s">
        <v>158</v>
      </c>
      <c r="AN1" s="1" t="s">
        <v>159</v>
      </c>
      <c r="AO1" s="1" t="s">
        <v>160</v>
      </c>
      <c r="AP1" s="1" t="s">
        <v>161</v>
      </c>
      <c r="AQ1" s="1" t="s">
        <v>162</v>
      </c>
      <c r="AR1" s="1" t="s">
        <v>163</v>
      </c>
      <c r="AS1" s="1" t="s">
        <v>164</v>
      </c>
      <c r="AT1" s="1" t="s">
        <v>165</v>
      </c>
      <c r="AU1" s="1" t="s">
        <v>166</v>
      </c>
      <c r="AV1" s="1" t="s">
        <v>167</v>
      </c>
      <c r="AW1" s="1" t="s">
        <v>168</v>
      </c>
      <c r="AX1" s="1" t="s">
        <v>169</v>
      </c>
      <c r="AY1" s="1" t="s">
        <v>170</v>
      </c>
      <c r="AZ1" s="1" t="s">
        <v>171</v>
      </c>
      <c r="BA1" s="1" t="s">
        <v>172</v>
      </c>
      <c r="BB1" s="1" t="s">
        <v>173</v>
      </c>
      <c r="BC1" s="1" t="s">
        <v>174</v>
      </c>
      <c r="BD1" s="1" t="s">
        <v>175</v>
      </c>
      <c r="BE1" s="1" t="s">
        <v>176</v>
      </c>
      <c r="BF1" s="1" t="s">
        <v>177</v>
      </c>
    </row>
    <row r="2" spans="1:58" x14ac:dyDescent="0.2">
      <c r="A2" s="3">
        <v>45808</v>
      </c>
      <c r="B2" s="2">
        <v>-394000</v>
      </c>
      <c r="C2" s="2">
        <v>-1500000</v>
      </c>
      <c r="D2" s="2">
        <v>-15841000</v>
      </c>
      <c r="E2" s="2">
        <v>19548000</v>
      </c>
      <c r="F2" s="2">
        <v>653000</v>
      </c>
      <c r="G2" s="2">
        <v>-21215000</v>
      </c>
      <c r="H2" s="2">
        <v>3374000</v>
      </c>
      <c r="I2" s="2">
        <v>4020000</v>
      </c>
      <c r="J2" s="2">
        <v>10786000</v>
      </c>
      <c r="K2" s="2">
        <v>10454000</v>
      </c>
      <c r="L2" s="2">
        <v>124000</v>
      </c>
      <c r="M2" s="2">
        <v>208000</v>
      </c>
      <c r="N2" s="2">
        <v>1098000</v>
      </c>
      <c r="O2" s="2">
        <v>1098000</v>
      </c>
      <c r="P2" s="2">
        <v>1092000</v>
      </c>
      <c r="Q2" s="2">
        <v>-4743000</v>
      </c>
      <c r="R2" s="2">
        <v>-4743000</v>
      </c>
      <c r="S2" s="2">
        <v>-847000</v>
      </c>
      <c r="T2" s="2">
        <v>-1500000</v>
      </c>
      <c r="U2" s="2">
        <v>653000</v>
      </c>
      <c r="V2" s="2">
        <v>5596000</v>
      </c>
      <c r="W2" s="2">
        <v>1889000</v>
      </c>
      <c r="X2" s="2">
        <v>0</v>
      </c>
      <c r="Y2" s="2">
        <v>3707000</v>
      </c>
      <c r="Z2" s="2">
        <v>-15841000</v>
      </c>
      <c r="AA2" s="2">
        <v>19548000</v>
      </c>
      <c r="AB2" s="2">
        <v>-21711000</v>
      </c>
      <c r="AC2" s="2">
        <v>-21711000</v>
      </c>
      <c r="AD2" s="2">
        <v>-496000</v>
      </c>
      <c r="AE2" s="2">
        <v>776000</v>
      </c>
      <c r="AF2" s="2">
        <v>-1272000</v>
      </c>
      <c r="AG2" s="2">
        <v>0</v>
      </c>
      <c r="AH2" s="2">
        <v>0</v>
      </c>
      <c r="AI2" s="2">
        <v>-21215000</v>
      </c>
      <c r="AJ2" s="2">
        <v>20821000</v>
      </c>
      <c r="AK2" s="2">
        <v>20821000</v>
      </c>
      <c r="AL2" s="2">
        <v>-1500000</v>
      </c>
      <c r="AM2" s="2">
        <v>154000</v>
      </c>
      <c r="AN2" s="2">
        <v>-1267000</v>
      </c>
      <c r="AO2" s="2">
        <v>-1267000</v>
      </c>
      <c r="AP2" s="2">
        <v>-608000</v>
      </c>
      <c r="AQ2" s="2">
        <v>-659000</v>
      </c>
      <c r="AR2" s="2">
        <v>-659000</v>
      </c>
      <c r="AS2" s="2">
        <v>266000</v>
      </c>
      <c r="AT2" s="2">
        <v>-653000</v>
      </c>
      <c r="AU2" s="2">
        <v>-653000</v>
      </c>
      <c r="AV2" s="2">
        <v>667000</v>
      </c>
      <c r="AW2" s="2">
        <v>4674000</v>
      </c>
      <c r="AX2" s="2">
        <v>0</v>
      </c>
      <c r="AY2" s="2">
        <v>-1637000</v>
      </c>
      <c r="AZ2" s="2">
        <v>-1637000</v>
      </c>
      <c r="BA2" s="2">
        <v>6174000</v>
      </c>
      <c r="BB2" s="2">
        <v>6174000</v>
      </c>
      <c r="BC2" s="2">
        <v>2307000</v>
      </c>
      <c r="BD2" s="2">
        <v>2307000</v>
      </c>
      <c r="BE2" s="2">
        <v>3867000</v>
      </c>
      <c r="BF2" s="2">
        <v>12443000</v>
      </c>
    </row>
    <row r="3" spans="1:58" x14ac:dyDescent="0.2">
      <c r="A3" s="3">
        <v>45443</v>
      </c>
      <c r="B3" s="2">
        <v>11807000</v>
      </c>
      <c r="C3" s="2">
        <v>-3242000</v>
      </c>
      <c r="D3" s="2">
        <v>-3500000</v>
      </c>
      <c r="E3" s="2">
        <v>0</v>
      </c>
      <c r="F3" s="2">
        <v>742000</v>
      </c>
      <c r="G3" s="2">
        <v>-6866000</v>
      </c>
      <c r="H3" s="2">
        <v>3655000</v>
      </c>
      <c r="I3" s="2">
        <v>3560000</v>
      </c>
      <c r="J3" s="2">
        <v>10454000</v>
      </c>
      <c r="K3" s="2">
        <v>9765000</v>
      </c>
      <c r="L3" s="2">
        <v>-70000</v>
      </c>
      <c r="M3" s="2">
        <v>759000</v>
      </c>
      <c r="N3" s="2">
        <v>-10554000</v>
      </c>
      <c r="O3" s="2">
        <v>-10554000</v>
      </c>
      <c r="P3" s="2">
        <v>4000</v>
      </c>
      <c r="Q3" s="2">
        <v>-4391000</v>
      </c>
      <c r="R3" s="2">
        <v>-4391000</v>
      </c>
      <c r="S3" s="2">
        <v>-2500000</v>
      </c>
      <c r="T3" s="2">
        <v>-3242000</v>
      </c>
      <c r="U3" s="2">
        <v>742000</v>
      </c>
      <c r="V3" s="2">
        <v>-3667000</v>
      </c>
      <c r="W3" s="2">
        <v>-167000</v>
      </c>
      <c r="X3" s="2">
        <v>0</v>
      </c>
      <c r="Y3" s="2">
        <v>-3500000</v>
      </c>
      <c r="Z3" s="2">
        <v>-3500000</v>
      </c>
      <c r="AA3" s="2">
        <v>0</v>
      </c>
      <c r="AB3" s="2">
        <v>-7360000</v>
      </c>
      <c r="AC3" s="2">
        <v>-7360000</v>
      </c>
      <c r="AD3" s="2">
        <v>-431000</v>
      </c>
      <c r="AE3" s="2">
        <v>572000</v>
      </c>
      <c r="AF3" s="2">
        <v>-1003000</v>
      </c>
      <c r="AG3" s="2">
        <v>-63000</v>
      </c>
      <c r="AH3" s="2">
        <v>-63000</v>
      </c>
      <c r="AI3" s="2">
        <v>-6866000</v>
      </c>
      <c r="AJ3" s="2">
        <v>18673000</v>
      </c>
      <c r="AK3" s="2">
        <v>18673000</v>
      </c>
      <c r="AL3" s="2">
        <v>-488000</v>
      </c>
      <c r="AM3" s="2">
        <v>656000</v>
      </c>
      <c r="AN3" s="2">
        <v>-721000</v>
      </c>
      <c r="AO3" s="2">
        <v>-721000</v>
      </c>
      <c r="AP3" s="2">
        <v>-594000</v>
      </c>
      <c r="AQ3" s="2">
        <v>-127000</v>
      </c>
      <c r="AR3" s="2">
        <v>-127000</v>
      </c>
      <c r="AS3" s="2">
        <v>542000</v>
      </c>
      <c r="AT3" s="2">
        <v>-965000</v>
      </c>
      <c r="AU3" s="2">
        <v>-965000</v>
      </c>
      <c r="AV3" s="2">
        <v>720000</v>
      </c>
      <c r="AW3" s="2">
        <v>3974000</v>
      </c>
      <c r="AX3" s="2">
        <v>0</v>
      </c>
      <c r="AY3" s="2">
        <v>-2139000</v>
      </c>
      <c r="AZ3" s="2">
        <v>-2139000</v>
      </c>
      <c r="BA3" s="2">
        <v>6139000</v>
      </c>
      <c r="BB3" s="2">
        <v>6139000</v>
      </c>
      <c r="BC3" s="2">
        <v>3010000</v>
      </c>
      <c r="BD3" s="2">
        <v>3010000</v>
      </c>
      <c r="BE3" s="2">
        <v>3129000</v>
      </c>
      <c r="BF3" s="2">
        <v>10467000</v>
      </c>
    </row>
    <row r="4" spans="1:58" x14ac:dyDescent="0.2">
      <c r="A4" s="3">
        <v>45077</v>
      </c>
      <c r="B4" s="2">
        <v>8470000</v>
      </c>
      <c r="C4" s="2">
        <v>-2503000</v>
      </c>
      <c r="D4" s="2">
        <v>-21050000</v>
      </c>
      <c r="E4" s="2">
        <v>33494000</v>
      </c>
      <c r="F4" s="2">
        <v>1192000</v>
      </c>
      <c r="G4" s="2">
        <v>-8695000</v>
      </c>
      <c r="H4" s="2">
        <v>3250000</v>
      </c>
      <c r="I4" s="2">
        <v>3009000</v>
      </c>
      <c r="J4" s="2">
        <v>9765000</v>
      </c>
      <c r="K4" s="2">
        <v>21383000</v>
      </c>
      <c r="L4" s="2">
        <v>-209000</v>
      </c>
      <c r="M4" s="2">
        <v>-11409000</v>
      </c>
      <c r="N4" s="2">
        <v>7910000</v>
      </c>
      <c r="O4" s="2">
        <v>7910000</v>
      </c>
      <c r="P4" s="2">
        <v>-55000</v>
      </c>
      <c r="Q4" s="2">
        <v>-3668000</v>
      </c>
      <c r="R4" s="2">
        <v>-3668000</v>
      </c>
      <c r="S4" s="2">
        <v>-1311000</v>
      </c>
      <c r="T4" s="2">
        <v>-2503000</v>
      </c>
      <c r="U4" s="2">
        <v>1192000</v>
      </c>
      <c r="V4" s="2">
        <v>12944000</v>
      </c>
      <c r="W4" s="2">
        <v>500000</v>
      </c>
      <c r="X4" s="2">
        <v>500000</v>
      </c>
      <c r="Y4" s="2">
        <v>12444000</v>
      </c>
      <c r="Z4" s="2">
        <v>-21050000</v>
      </c>
      <c r="AA4" s="2">
        <v>33494000</v>
      </c>
      <c r="AB4" s="2">
        <v>-36484000</v>
      </c>
      <c r="AC4" s="2">
        <v>-36484000</v>
      </c>
      <c r="AD4" s="2">
        <v>-68000</v>
      </c>
      <c r="AE4" s="2">
        <v>1113000</v>
      </c>
      <c r="AF4" s="2">
        <v>-1181000</v>
      </c>
      <c r="AG4" s="2">
        <v>-27721000</v>
      </c>
      <c r="AH4" s="2">
        <v>-27721000</v>
      </c>
      <c r="AI4" s="2">
        <v>-8695000</v>
      </c>
      <c r="AJ4" s="2">
        <v>17165000</v>
      </c>
      <c r="AK4" s="2">
        <v>17165000</v>
      </c>
      <c r="AL4" s="2">
        <v>513000</v>
      </c>
      <c r="AM4" s="2">
        <v>781000</v>
      </c>
      <c r="AN4" s="2">
        <v>-434000</v>
      </c>
      <c r="AO4" s="2">
        <v>-434000</v>
      </c>
      <c r="AP4" s="2">
        <v>-281000</v>
      </c>
      <c r="AQ4" s="2">
        <v>-153000</v>
      </c>
      <c r="AR4" s="2">
        <v>-153000</v>
      </c>
      <c r="AS4" s="2">
        <v>317000</v>
      </c>
      <c r="AT4" s="2">
        <v>-151000</v>
      </c>
      <c r="AU4" s="2">
        <v>-151000</v>
      </c>
      <c r="AV4" s="2">
        <v>661000</v>
      </c>
      <c r="AW4" s="2">
        <v>3547000</v>
      </c>
      <c r="AX4" s="2">
        <v>0</v>
      </c>
      <c r="AY4" s="2">
        <v>-2167000</v>
      </c>
      <c r="AZ4" s="2">
        <v>-2167000</v>
      </c>
      <c r="BA4" s="2">
        <v>6108000</v>
      </c>
      <c r="BB4" s="2">
        <v>6108000</v>
      </c>
      <c r="BC4" s="2">
        <v>3582000</v>
      </c>
      <c r="BD4" s="2">
        <v>3582000</v>
      </c>
      <c r="BE4" s="2">
        <v>2526000</v>
      </c>
      <c r="BF4" s="2">
        <v>8503000</v>
      </c>
    </row>
    <row r="5" spans="1:58" x14ac:dyDescent="0.2">
      <c r="A5" s="3">
        <v>44712</v>
      </c>
      <c r="B5" s="2">
        <v>5028000</v>
      </c>
      <c r="C5" s="2">
        <v>-17341000</v>
      </c>
      <c r="D5" s="2">
        <v>-8250000</v>
      </c>
      <c r="E5" s="2">
        <v>0</v>
      </c>
      <c r="F5" s="2">
        <v>482000</v>
      </c>
      <c r="G5" s="2">
        <v>-4511000</v>
      </c>
      <c r="H5" s="2">
        <v>2735000</v>
      </c>
      <c r="I5" s="2">
        <v>2567000</v>
      </c>
      <c r="J5" s="2">
        <v>21383000</v>
      </c>
      <c r="K5" s="2">
        <v>30098000</v>
      </c>
      <c r="L5" s="2">
        <v>-348000</v>
      </c>
      <c r="M5" s="2">
        <v>-8367000</v>
      </c>
      <c r="N5" s="2">
        <v>-29126000</v>
      </c>
      <c r="O5" s="2">
        <v>-29126000</v>
      </c>
      <c r="P5" s="2">
        <v>-560000</v>
      </c>
      <c r="Q5" s="2">
        <v>-3457000</v>
      </c>
      <c r="R5" s="2">
        <v>-3457000</v>
      </c>
      <c r="S5" s="2">
        <v>-16859000</v>
      </c>
      <c r="T5" s="2">
        <v>-17341000</v>
      </c>
      <c r="U5" s="2">
        <v>482000</v>
      </c>
      <c r="V5" s="2">
        <v>-8250000</v>
      </c>
      <c r="W5" s="2">
        <v>0</v>
      </c>
      <c r="X5" s="2">
        <v>0</v>
      </c>
      <c r="Y5" s="2">
        <v>-8250000</v>
      </c>
      <c r="Z5" s="2">
        <v>-8250000</v>
      </c>
      <c r="AA5" s="2">
        <v>0</v>
      </c>
      <c r="AB5" s="2">
        <v>11220000</v>
      </c>
      <c r="AC5" s="2">
        <v>11220000</v>
      </c>
      <c r="AD5" s="2">
        <v>15879000</v>
      </c>
      <c r="AE5" s="2">
        <v>26151000</v>
      </c>
      <c r="AF5" s="2">
        <v>-10272000</v>
      </c>
      <c r="AG5" s="2">
        <v>-148000</v>
      </c>
      <c r="AH5" s="2">
        <v>-148000</v>
      </c>
      <c r="AI5" s="2">
        <v>-4511000</v>
      </c>
      <c r="AJ5" s="2">
        <v>9539000</v>
      </c>
      <c r="AK5" s="2">
        <v>9539000</v>
      </c>
      <c r="AL5" s="2">
        <v>-1987000</v>
      </c>
      <c r="AM5" s="2">
        <v>7000</v>
      </c>
      <c r="AN5" s="2">
        <v>-1131000</v>
      </c>
      <c r="AO5" s="2">
        <v>-1131000</v>
      </c>
      <c r="AP5" s="2">
        <v>-733000</v>
      </c>
      <c r="AQ5" s="2">
        <v>-398000</v>
      </c>
      <c r="AR5" s="2">
        <v>-398000</v>
      </c>
      <c r="AS5" s="2">
        <v>11000</v>
      </c>
      <c r="AT5" s="2">
        <v>-874000</v>
      </c>
      <c r="AU5" s="2">
        <v>-874000</v>
      </c>
      <c r="AV5" s="2">
        <v>220000</v>
      </c>
      <c r="AW5" s="2">
        <v>2613000</v>
      </c>
      <c r="AX5" s="2">
        <v>0</v>
      </c>
      <c r="AY5" s="2">
        <v>-1146000</v>
      </c>
      <c r="AZ5" s="2">
        <v>-1146000</v>
      </c>
      <c r="BA5" s="2">
        <v>3122000</v>
      </c>
      <c r="BB5" s="2">
        <v>3122000</v>
      </c>
      <c r="BC5" s="2">
        <v>1150000</v>
      </c>
      <c r="BD5" s="2">
        <v>1150000</v>
      </c>
      <c r="BE5" s="2">
        <v>1972000</v>
      </c>
      <c r="BF5" s="2">
        <v>6717000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86753-DFA5-4541-A453-EA97B1340004}">
  <dimension ref="A1:C34"/>
  <sheetViews>
    <sheetView workbookViewId="0">
      <selection activeCell="E22" sqref="E22"/>
    </sheetView>
  </sheetViews>
  <sheetFormatPr baseColWidth="10" defaultRowHeight="15" x14ac:dyDescent="0.2"/>
  <cols>
    <col min="2" max="2" width="15.33203125" customWidth="1"/>
  </cols>
  <sheetData>
    <row r="1" spans="1:2" x14ac:dyDescent="0.2">
      <c r="A1" s="20" t="s">
        <v>192</v>
      </c>
      <c r="B1" s="20"/>
    </row>
    <row r="2" spans="1:2" x14ac:dyDescent="0.2">
      <c r="A2" s="12" t="s">
        <v>178</v>
      </c>
      <c r="B2" s="12" t="s">
        <v>181</v>
      </c>
    </row>
    <row r="3" spans="1:2" x14ac:dyDescent="0.2">
      <c r="A3">
        <v>2026</v>
      </c>
      <c r="B3" s="2">
        <f>57399*1.145</f>
        <v>65721.854999999996</v>
      </c>
    </row>
    <row r="4" spans="1:2" x14ac:dyDescent="0.2">
      <c r="A4">
        <v>2027</v>
      </c>
      <c r="B4" s="2">
        <f>B3*1.145</f>
        <v>75251.523975000004</v>
      </c>
    </row>
    <row r="5" spans="1:2" x14ac:dyDescent="0.2">
      <c r="A5">
        <v>2028</v>
      </c>
      <c r="B5" s="2">
        <f t="shared" ref="B5:B7" si="0">B4*1.145</f>
        <v>86162.994951375003</v>
      </c>
    </row>
    <row r="6" spans="1:2" x14ac:dyDescent="0.2">
      <c r="A6">
        <v>2029</v>
      </c>
      <c r="B6" s="2">
        <f t="shared" si="0"/>
        <v>98656.629219324386</v>
      </c>
    </row>
    <row r="7" spans="1:2" x14ac:dyDescent="0.2">
      <c r="A7" s="15">
        <v>2030</v>
      </c>
      <c r="B7" s="13">
        <f t="shared" si="0"/>
        <v>112961.84045612642</v>
      </c>
    </row>
    <row r="10" spans="1:2" x14ac:dyDescent="0.2">
      <c r="A10" s="21" t="s">
        <v>155</v>
      </c>
      <c r="B10" s="21"/>
    </row>
    <row r="11" spans="1:2" x14ac:dyDescent="0.2">
      <c r="A11" s="12" t="s">
        <v>178</v>
      </c>
      <c r="B11" s="12" t="s">
        <v>182</v>
      </c>
    </row>
    <row r="12" spans="1:2" x14ac:dyDescent="0.2">
      <c r="A12">
        <v>2026</v>
      </c>
      <c r="B12" s="2">
        <f>+B3*35%</f>
        <v>23002.649249999999</v>
      </c>
    </row>
    <row r="13" spans="1:2" x14ac:dyDescent="0.2">
      <c r="A13">
        <v>2027</v>
      </c>
      <c r="B13" s="2">
        <f t="shared" ref="B13:B16" si="1">+B4*35%</f>
        <v>26338.033391249999</v>
      </c>
    </row>
    <row r="14" spans="1:2" x14ac:dyDescent="0.2">
      <c r="A14">
        <v>2028</v>
      </c>
      <c r="B14" s="2">
        <f t="shared" si="1"/>
        <v>30157.048232981248</v>
      </c>
    </row>
    <row r="15" spans="1:2" x14ac:dyDescent="0.2">
      <c r="A15">
        <v>2029</v>
      </c>
      <c r="B15" s="2">
        <f t="shared" si="1"/>
        <v>34529.820226763535</v>
      </c>
    </row>
    <row r="16" spans="1:2" x14ac:dyDescent="0.2">
      <c r="A16" s="15">
        <v>2030</v>
      </c>
      <c r="B16" s="13">
        <f t="shared" si="1"/>
        <v>39536.644159644246</v>
      </c>
    </row>
    <row r="19" spans="1:3" x14ac:dyDescent="0.2">
      <c r="A19" s="23" t="s">
        <v>194</v>
      </c>
      <c r="B19" s="23"/>
      <c r="C19" s="23"/>
    </row>
    <row r="20" spans="1:3" x14ac:dyDescent="0.2">
      <c r="A20" s="12" t="s">
        <v>178</v>
      </c>
      <c r="B20" s="12" t="s">
        <v>179</v>
      </c>
      <c r="C20" s="12" t="s">
        <v>193</v>
      </c>
    </row>
    <row r="21" spans="1:3" x14ac:dyDescent="0.2">
      <c r="A21">
        <v>2026</v>
      </c>
      <c r="B21" s="4">
        <v>0.4</v>
      </c>
      <c r="C21" s="2">
        <f>+B3*B21</f>
        <v>26288.741999999998</v>
      </c>
    </row>
    <row r="22" spans="1:3" x14ac:dyDescent="0.2">
      <c r="A22">
        <v>2027</v>
      </c>
      <c r="B22" s="4">
        <v>0.32</v>
      </c>
      <c r="C22" s="2">
        <f t="shared" ref="C22:C25" si="2">+B4*B22</f>
        <v>24080.487672000003</v>
      </c>
    </row>
    <row r="23" spans="1:3" x14ac:dyDescent="0.2">
      <c r="A23">
        <v>2028</v>
      </c>
      <c r="B23" s="4">
        <v>0.24</v>
      </c>
      <c r="C23" s="2">
        <f t="shared" si="2"/>
        <v>20679.118788330001</v>
      </c>
    </row>
    <row r="24" spans="1:3" x14ac:dyDescent="0.2">
      <c r="A24">
        <v>2029</v>
      </c>
      <c r="B24" s="4">
        <v>0.16</v>
      </c>
      <c r="C24" s="2">
        <f t="shared" si="2"/>
        <v>15785.060675091901</v>
      </c>
    </row>
    <row r="25" spans="1:3" x14ac:dyDescent="0.2">
      <c r="A25" s="15">
        <v>2030</v>
      </c>
      <c r="B25" s="18">
        <v>0.11</v>
      </c>
      <c r="C25" s="13">
        <f t="shared" si="2"/>
        <v>12425.802450173906</v>
      </c>
    </row>
    <row r="28" spans="1:3" x14ac:dyDescent="0.2">
      <c r="A28" s="22" t="s">
        <v>121</v>
      </c>
      <c r="B28" s="22"/>
    </row>
    <row r="29" spans="1:3" x14ac:dyDescent="0.2">
      <c r="A29" s="12" t="s">
        <v>178</v>
      </c>
      <c r="B29" s="12" t="s">
        <v>180</v>
      </c>
    </row>
    <row r="30" spans="1:3" x14ac:dyDescent="0.2">
      <c r="A30">
        <v>2026</v>
      </c>
      <c r="B30" s="2">
        <f>+B12-C21</f>
        <v>-3286.0927499999998</v>
      </c>
    </row>
    <row r="31" spans="1:3" x14ac:dyDescent="0.2">
      <c r="A31">
        <v>2027</v>
      </c>
      <c r="B31" s="2">
        <f t="shared" ref="B31:B34" si="3">+B13-C22</f>
        <v>2257.5457192499962</v>
      </c>
    </row>
    <row r="32" spans="1:3" x14ac:dyDescent="0.2">
      <c r="A32">
        <v>2028</v>
      </c>
      <c r="B32" s="2">
        <f t="shared" si="3"/>
        <v>9477.9294446512467</v>
      </c>
    </row>
    <row r="33" spans="1:2" x14ac:dyDescent="0.2">
      <c r="A33">
        <v>2029</v>
      </c>
      <c r="B33" s="2">
        <f t="shared" si="3"/>
        <v>18744.759551671632</v>
      </c>
    </row>
    <row r="34" spans="1:2" x14ac:dyDescent="0.2">
      <c r="A34" s="15">
        <v>2030</v>
      </c>
      <c r="B34" s="13">
        <f t="shared" si="3"/>
        <v>27110.84170947034</v>
      </c>
    </row>
  </sheetData>
  <mergeCells count="4">
    <mergeCell ref="A1:B1"/>
    <mergeCell ref="A10:B10"/>
    <mergeCell ref="A28:B28"/>
    <mergeCell ref="A19:C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3CD6E-E259-E44D-8A92-D51ABFA3BB29}">
  <dimension ref="A1:J20"/>
  <sheetViews>
    <sheetView workbookViewId="0">
      <selection activeCell="G15" sqref="G15"/>
    </sheetView>
  </sheetViews>
  <sheetFormatPr baseColWidth="10" defaultRowHeight="15" x14ac:dyDescent="0.2"/>
  <cols>
    <col min="1" max="1" width="19" customWidth="1"/>
    <col min="3" max="3" width="19.5" bestFit="1" customWidth="1"/>
    <col min="4" max="4" width="12.1640625" bestFit="1" customWidth="1"/>
    <col min="7" max="7" width="14.1640625" customWidth="1"/>
  </cols>
  <sheetData>
    <row r="1" spans="1:10" s="9" customFormat="1" ht="19" x14ac:dyDescent="0.25">
      <c r="A1" s="8" t="s">
        <v>191</v>
      </c>
      <c r="B1" s="8"/>
      <c r="C1" s="8"/>
      <c r="D1" s="8"/>
      <c r="G1" s="10" t="s">
        <v>200</v>
      </c>
      <c r="H1" s="10"/>
      <c r="I1" s="10"/>
      <c r="J1" s="10"/>
    </row>
    <row r="2" spans="1:10" x14ac:dyDescent="0.2">
      <c r="A2" s="12" t="s">
        <v>178</v>
      </c>
      <c r="B2" s="12" t="s">
        <v>180</v>
      </c>
      <c r="C2" s="12" t="s">
        <v>183</v>
      </c>
      <c r="D2" s="12" t="s">
        <v>184</v>
      </c>
      <c r="G2" s="12" t="s">
        <v>199</v>
      </c>
      <c r="H2" s="17">
        <v>7.0000000000000007E-2</v>
      </c>
      <c r="I2" s="17">
        <v>7.6300000000000007E-2</v>
      </c>
      <c r="J2" s="17">
        <v>0.08</v>
      </c>
    </row>
    <row r="3" spans="1:10" x14ac:dyDescent="0.2">
      <c r="A3">
        <v>2026</v>
      </c>
      <c r="B3" s="2">
        <f>+Forecast!B30</f>
        <v>-3286.0927499999998</v>
      </c>
      <c r="C3" s="6">
        <f>1/(1+0.0763)^1</f>
        <v>0.92910898448387991</v>
      </c>
      <c r="D3" s="2">
        <f>B3*C3</f>
        <v>-3053.13829787234</v>
      </c>
      <c r="G3" s="7">
        <v>2.5000000000000001E-2</v>
      </c>
      <c r="H3" s="19" t="s">
        <v>201</v>
      </c>
      <c r="I3" s="19" t="s">
        <v>204</v>
      </c>
      <c r="J3" s="19" t="s">
        <v>207</v>
      </c>
    </row>
    <row r="4" spans="1:10" x14ac:dyDescent="0.2">
      <c r="A4">
        <v>2027</v>
      </c>
      <c r="B4" s="2">
        <f>+Forecast!B31</f>
        <v>2257.5457192499962</v>
      </c>
      <c r="C4" s="6">
        <f>1/(1+0.0763)^2</f>
        <v>0.86324350504866654</v>
      </c>
      <c r="D4" s="2">
        <f t="shared" ref="D4:D7" si="0">B4*C4</f>
        <v>1948.8116794929797</v>
      </c>
      <c r="G4" s="7">
        <v>0.03</v>
      </c>
      <c r="H4" s="19" t="s">
        <v>202</v>
      </c>
      <c r="I4" s="19" t="s">
        <v>205</v>
      </c>
      <c r="J4" s="19" t="s">
        <v>208</v>
      </c>
    </row>
    <row r="5" spans="1:10" x14ac:dyDescent="0.2">
      <c r="A5">
        <v>2028</v>
      </c>
      <c r="B5" s="2">
        <f>+Forecast!B32</f>
        <v>9477.9294446512467</v>
      </c>
      <c r="C5" s="6">
        <f>1/(1+0.0763)^3</f>
        <v>0.8020472963380717</v>
      </c>
      <c r="D5" s="2">
        <f t="shared" si="0"/>
        <v>7601.7476859655335</v>
      </c>
      <c r="G5" s="7">
        <v>3.5000000000000003E-2</v>
      </c>
      <c r="H5" s="19" t="s">
        <v>203</v>
      </c>
      <c r="I5" s="19" t="s">
        <v>206</v>
      </c>
      <c r="J5" s="19" t="s">
        <v>209</v>
      </c>
    </row>
    <row r="6" spans="1:10" x14ac:dyDescent="0.2">
      <c r="A6">
        <v>2029</v>
      </c>
      <c r="B6" s="2">
        <f>+Forecast!B33</f>
        <v>18744.759551671632</v>
      </c>
      <c r="C6" s="6">
        <f>1/(1+0.0763)^4</f>
        <v>0.74518934900870726</v>
      </c>
      <c r="D6" s="2">
        <f t="shared" si="0"/>
        <v>13968.395167634932</v>
      </c>
    </row>
    <row r="7" spans="1:10" x14ac:dyDescent="0.2">
      <c r="A7" s="15">
        <v>2030</v>
      </c>
      <c r="B7" s="13">
        <f>+Forecast!B34</f>
        <v>27110.84170947034</v>
      </c>
      <c r="C7" s="16">
        <f>1/(1+0.0763)^5</f>
        <v>0.69236211930568348</v>
      </c>
      <c r="D7" s="13">
        <f t="shared" si="0"/>
        <v>18770.519822129805</v>
      </c>
    </row>
    <row r="8" spans="1:10" x14ac:dyDescent="0.2">
      <c r="A8" s="5" t="s">
        <v>185</v>
      </c>
      <c r="D8" s="2">
        <f>(27111*1.04)/(0.0714-0.04)</f>
        <v>897943.94904458593</v>
      </c>
    </row>
    <row r="9" spans="1:10" x14ac:dyDescent="0.2">
      <c r="A9" s="12" t="s">
        <v>186</v>
      </c>
      <c r="B9" s="15"/>
      <c r="C9" s="15"/>
      <c r="D9" s="13">
        <f>D8/(1+0.0714)^5</f>
        <v>636049.65009837237</v>
      </c>
      <c r="H9" s="2"/>
    </row>
    <row r="12" spans="1:10" ht="19" x14ac:dyDescent="0.25">
      <c r="A12" s="11" t="s">
        <v>195</v>
      </c>
      <c r="B12" s="11"/>
    </row>
    <row r="13" spans="1:10" x14ac:dyDescent="0.2">
      <c r="A13" s="12"/>
      <c r="B13" s="12" t="s">
        <v>187</v>
      </c>
    </row>
    <row r="14" spans="1:10" x14ac:dyDescent="0.2">
      <c r="A14" t="s">
        <v>196</v>
      </c>
      <c r="B14" s="2">
        <f>SUM(D3:D7)</f>
        <v>39236.336057350913</v>
      </c>
    </row>
    <row r="15" spans="1:10" x14ac:dyDescent="0.2">
      <c r="A15" t="s">
        <v>197</v>
      </c>
      <c r="B15" s="2">
        <f>+D9</f>
        <v>636049.65009837237</v>
      </c>
    </row>
    <row r="16" spans="1:10" x14ac:dyDescent="0.2">
      <c r="A16" s="12" t="s">
        <v>198</v>
      </c>
      <c r="B16" s="13">
        <f>+B14+B15</f>
        <v>675285.98615572322</v>
      </c>
    </row>
    <row r="17" spans="1:2" x14ac:dyDescent="0.2">
      <c r="A17" t="s">
        <v>56</v>
      </c>
      <c r="B17" s="2">
        <f>+'Balance Sheet'!D2/1000</f>
        <v>81782</v>
      </c>
    </row>
    <row r="18" spans="1:2" x14ac:dyDescent="0.2">
      <c r="A18" s="12" t="s">
        <v>188</v>
      </c>
      <c r="B18" s="13">
        <f>B16-B17</f>
        <v>593503.98615572322</v>
      </c>
    </row>
    <row r="19" spans="1:2" x14ac:dyDescent="0.2">
      <c r="A19" t="s">
        <v>189</v>
      </c>
      <c r="B19" s="2">
        <f>+'Income Statement'!S2/1000</f>
        <v>2866</v>
      </c>
    </row>
    <row r="20" spans="1:2" x14ac:dyDescent="0.2">
      <c r="A20" s="12" t="s">
        <v>190</v>
      </c>
      <c r="B20" s="14">
        <f>B18/B19</f>
        <v>207.08443341092925</v>
      </c>
    </row>
  </sheetData>
  <mergeCells count="3">
    <mergeCell ref="A1:D1"/>
    <mergeCell ref="A12:B12"/>
    <mergeCell ref="G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Income Statement</vt:lpstr>
      <vt:lpstr>Balance Sheet</vt:lpstr>
      <vt:lpstr>Cash Flow</vt:lpstr>
      <vt:lpstr>Forecast</vt:lpstr>
      <vt:lpstr>DCF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Freddy Padilla_Nunez</cp:lastModifiedBy>
  <dcterms:created xsi:type="dcterms:W3CDTF">2025-08-05T00:34:44Z</dcterms:created>
  <dcterms:modified xsi:type="dcterms:W3CDTF">2025-08-06T03:02:25Z</dcterms:modified>
</cp:coreProperties>
</file>