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Tag 1 probe 1" sheetId="1" r:id="rId1"/>
    <sheet name="Tag 1 probe 2" sheetId="2" r:id="rId2"/>
    <sheet name="Tag 2" sheetId="3" r:id="rId3"/>
  </sheets>
  <calcPr calcId="145621"/>
</workbook>
</file>

<file path=xl/calcChain.xml><?xml version="1.0" encoding="utf-8"?>
<calcChain xmlns="http://schemas.openxmlformats.org/spreadsheetml/2006/main">
  <c r="X28" i="1" l="1"/>
  <c r="O32" i="2"/>
  <c r="P32" i="2"/>
  <c r="Q32" i="2"/>
  <c r="R32" i="2"/>
  <c r="O33" i="2"/>
  <c r="P33" i="2"/>
  <c r="Q33" i="2"/>
  <c r="R33" i="2"/>
  <c r="N33" i="2"/>
  <c r="N32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N29" i="2"/>
  <c r="N27" i="2"/>
  <c r="N26" i="2"/>
  <c r="N25" i="2"/>
  <c r="N24" i="2"/>
  <c r="P28" i="1"/>
  <c r="Q28" i="1"/>
  <c r="R28" i="1"/>
  <c r="S28" i="1"/>
  <c r="P29" i="1"/>
  <c r="Q29" i="1"/>
  <c r="R29" i="1"/>
  <c r="S29" i="1"/>
  <c r="O29" i="1"/>
  <c r="O28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O23" i="1"/>
  <c r="AA20" i="1" s="1"/>
  <c r="O22" i="1"/>
  <c r="O21" i="1"/>
  <c r="O20" i="1"/>
  <c r="X20" i="1" s="1"/>
  <c r="B28" i="3" l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B72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29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B71" i="3"/>
  <c r="B31" i="3"/>
  <c r="C31" i="3"/>
  <c r="D31" i="3"/>
  <c r="E31" i="3"/>
  <c r="E45" i="3" s="1"/>
  <c r="E50" i="3" s="1"/>
  <c r="E63" i="3" s="1"/>
  <c r="E65" i="3" s="1"/>
  <c r="F31" i="3"/>
  <c r="G31" i="3"/>
  <c r="H31" i="3"/>
  <c r="I31" i="3"/>
  <c r="J31" i="3"/>
  <c r="K31" i="3"/>
  <c r="L31" i="3"/>
  <c r="M31" i="3"/>
  <c r="N31" i="3"/>
  <c r="O31" i="3"/>
  <c r="M45" i="3"/>
  <c r="N45" i="3"/>
  <c r="C33" i="3"/>
  <c r="C40" i="3" s="1"/>
  <c r="D33" i="3"/>
  <c r="D40" i="3" s="1"/>
  <c r="E33" i="3"/>
  <c r="F33" i="3"/>
  <c r="F40" i="3" s="1"/>
  <c r="G33" i="3"/>
  <c r="G40" i="3" s="1"/>
  <c r="H33" i="3"/>
  <c r="H45" i="3" s="1"/>
  <c r="I33" i="3"/>
  <c r="I40" i="3" s="1"/>
  <c r="J33" i="3"/>
  <c r="K33" i="3"/>
  <c r="K40" i="3" s="1"/>
  <c r="L33" i="3"/>
  <c r="L40" i="3" s="1"/>
  <c r="M33" i="3"/>
  <c r="N33" i="3"/>
  <c r="N40" i="3" s="1"/>
  <c r="O33" i="3"/>
  <c r="O40" i="3" s="1"/>
  <c r="C35" i="3"/>
  <c r="D35" i="3"/>
  <c r="D42" i="3" s="1"/>
  <c r="E35" i="3"/>
  <c r="F35" i="3"/>
  <c r="G35" i="3"/>
  <c r="H35" i="3"/>
  <c r="I35" i="3"/>
  <c r="J35" i="3"/>
  <c r="K35" i="3"/>
  <c r="L35" i="3"/>
  <c r="L42" i="3" s="1"/>
  <c r="M35" i="3"/>
  <c r="N35" i="3"/>
  <c r="O35" i="3"/>
  <c r="C37" i="3"/>
  <c r="D37" i="3"/>
  <c r="E37" i="3"/>
  <c r="E47" i="3" s="1"/>
  <c r="F37" i="3"/>
  <c r="F47" i="3" s="1"/>
  <c r="G37" i="3"/>
  <c r="G47" i="3" s="1"/>
  <c r="H37" i="3"/>
  <c r="I37" i="3"/>
  <c r="I42" i="3" s="1"/>
  <c r="J37" i="3"/>
  <c r="K37" i="3"/>
  <c r="L37" i="3"/>
  <c r="M37" i="3"/>
  <c r="N37" i="3"/>
  <c r="O37" i="3"/>
  <c r="C55" i="3"/>
  <c r="D55" i="3"/>
  <c r="E55" i="3"/>
  <c r="F55" i="3"/>
  <c r="G55" i="3"/>
  <c r="H55" i="3"/>
  <c r="I55" i="3"/>
  <c r="I60" i="3" s="1"/>
  <c r="I67" i="3" s="1"/>
  <c r="J55" i="3"/>
  <c r="K55" i="3"/>
  <c r="L55" i="3"/>
  <c r="M55" i="3"/>
  <c r="N55" i="3"/>
  <c r="O55" i="3"/>
  <c r="C57" i="3"/>
  <c r="C60" i="3" s="1"/>
  <c r="C67" i="3" s="1"/>
  <c r="D57" i="3"/>
  <c r="E57" i="3"/>
  <c r="F57" i="3"/>
  <c r="G57" i="3"/>
  <c r="H57" i="3"/>
  <c r="I57" i="3"/>
  <c r="J57" i="3"/>
  <c r="K57" i="3"/>
  <c r="L57" i="3"/>
  <c r="M57" i="3"/>
  <c r="N57" i="3"/>
  <c r="O57" i="3"/>
  <c r="B57" i="3"/>
  <c r="B55" i="3"/>
  <c r="B60" i="3" s="1"/>
  <c r="B67" i="3" s="1"/>
  <c r="B42" i="3"/>
  <c r="B37" i="3"/>
  <c r="B35" i="3"/>
  <c r="B33" i="3"/>
  <c r="B40" i="3" s="1"/>
  <c r="N4" i="2"/>
  <c r="W4" i="2" s="1"/>
  <c r="K42" i="3" l="1"/>
  <c r="C42" i="3"/>
  <c r="B45" i="3"/>
  <c r="L47" i="3"/>
  <c r="J60" i="3"/>
  <c r="J67" i="3" s="1"/>
  <c r="H60" i="3"/>
  <c r="H67" i="3" s="1"/>
  <c r="E60" i="3"/>
  <c r="E67" i="3" s="1"/>
  <c r="E69" i="3" s="1"/>
  <c r="O60" i="3"/>
  <c r="O67" i="3" s="1"/>
  <c r="K60" i="3"/>
  <c r="K67" i="3" s="1"/>
  <c r="M42" i="3"/>
  <c r="E42" i="3"/>
  <c r="D47" i="3"/>
  <c r="M60" i="3"/>
  <c r="M67" i="3" s="1"/>
  <c r="J42" i="3"/>
  <c r="O42" i="3"/>
  <c r="G42" i="3"/>
  <c r="B47" i="3"/>
  <c r="G60" i="3"/>
  <c r="G67" i="3" s="1"/>
  <c r="L60" i="3"/>
  <c r="L67" i="3" s="1"/>
  <c r="D60" i="3"/>
  <c r="D67" i="3" s="1"/>
  <c r="I47" i="3"/>
  <c r="N42" i="3"/>
  <c r="F42" i="3"/>
  <c r="D45" i="3"/>
  <c r="O47" i="3"/>
  <c r="B50" i="3"/>
  <c r="B63" i="3" s="1"/>
  <c r="B69" i="3" s="1"/>
  <c r="C45" i="3"/>
  <c r="K47" i="3"/>
  <c r="K50" i="3" s="1"/>
  <c r="K63" i="3" s="1"/>
  <c r="K65" i="3" s="1"/>
  <c r="C47" i="3"/>
  <c r="H47" i="3"/>
  <c r="H50" i="3" s="1"/>
  <c r="H63" i="3" s="1"/>
  <c r="M40" i="3"/>
  <c r="E40" i="3"/>
  <c r="J40" i="3"/>
  <c r="N60" i="3"/>
  <c r="N67" i="3" s="1"/>
  <c r="N69" i="3" s="1"/>
  <c r="F60" i="3"/>
  <c r="F67" i="3" s="1"/>
  <c r="N50" i="3"/>
  <c r="N63" i="3" s="1"/>
  <c r="N65" i="3" s="1"/>
  <c r="F45" i="3"/>
  <c r="F50" i="3" s="1"/>
  <c r="F63" i="3" s="1"/>
  <c r="F65" i="3" s="1"/>
  <c r="L45" i="3"/>
  <c r="N47" i="3"/>
  <c r="K45" i="3"/>
  <c r="M47" i="3"/>
  <c r="M50" i="3" s="1"/>
  <c r="M63" i="3" s="1"/>
  <c r="H42" i="3"/>
  <c r="J45" i="3"/>
  <c r="I45" i="3"/>
  <c r="I50" i="3" s="1"/>
  <c r="I63" i="3" s="1"/>
  <c r="I65" i="3" s="1"/>
  <c r="O45" i="3"/>
  <c r="O50" i="3" s="1"/>
  <c r="O63" i="3" s="1"/>
  <c r="O65" i="3" s="1"/>
  <c r="H40" i="3"/>
  <c r="J47" i="3"/>
  <c r="G45" i="3"/>
  <c r="G50" i="3" s="1"/>
  <c r="G63" i="3" s="1"/>
  <c r="G65" i="3" s="1"/>
  <c r="R14" i="3"/>
  <c r="C5" i="3"/>
  <c r="D5" i="3"/>
  <c r="E5" i="3"/>
  <c r="F5" i="3"/>
  <c r="G5" i="3"/>
  <c r="H5" i="3"/>
  <c r="I5" i="3"/>
  <c r="J5" i="3"/>
  <c r="K5" i="3"/>
  <c r="L5" i="3"/>
  <c r="M5" i="3"/>
  <c r="N5" i="3"/>
  <c r="O5" i="3"/>
  <c r="B5" i="3"/>
  <c r="D43" i="2"/>
  <c r="D41" i="1"/>
  <c r="P37" i="1"/>
  <c r="X38" i="1" s="1"/>
  <c r="Q37" i="1"/>
  <c r="X39" i="1" s="1"/>
  <c r="Z39" i="1" s="1"/>
  <c r="R37" i="1"/>
  <c r="X40" i="1" s="1"/>
  <c r="Z40" i="1" s="1"/>
  <c r="S37" i="1"/>
  <c r="X41" i="1" s="1"/>
  <c r="Z41" i="1" s="1"/>
  <c r="P38" i="1"/>
  <c r="Y38" i="1" s="1"/>
  <c r="Q38" i="1"/>
  <c r="Y39" i="1" s="1"/>
  <c r="R38" i="1"/>
  <c r="Y40" i="1" s="1"/>
  <c r="S38" i="1"/>
  <c r="Y41" i="1" s="1"/>
  <c r="O38" i="1"/>
  <c r="Y37" i="1" s="1"/>
  <c r="O37" i="1"/>
  <c r="O41" i="2"/>
  <c r="W42" i="2" s="1"/>
  <c r="Y42" i="2" s="1"/>
  <c r="P41" i="2"/>
  <c r="W43" i="2" s="1"/>
  <c r="Y43" i="2" s="1"/>
  <c r="Q41" i="2"/>
  <c r="W44" i="2" s="1"/>
  <c r="Y44" i="2" s="1"/>
  <c r="R41" i="2"/>
  <c r="W45" i="2" s="1"/>
  <c r="O42" i="2"/>
  <c r="X42" i="2" s="1"/>
  <c r="P42" i="2"/>
  <c r="X43" i="2" s="1"/>
  <c r="Q42" i="2"/>
  <c r="X44" i="2" s="1"/>
  <c r="R42" i="2"/>
  <c r="X45" i="2" s="1"/>
  <c r="N42" i="2"/>
  <c r="X41" i="2" s="1"/>
  <c r="N41" i="2"/>
  <c r="W41" i="2" s="1"/>
  <c r="Z28" i="2"/>
  <c r="Z27" i="2"/>
  <c r="Z26" i="2"/>
  <c r="Z25" i="2"/>
  <c r="Z24" i="2"/>
  <c r="Y28" i="2"/>
  <c r="Y27" i="2"/>
  <c r="Y26" i="2"/>
  <c r="Y25" i="2"/>
  <c r="Y24" i="2"/>
  <c r="X28" i="2"/>
  <c r="X27" i="2"/>
  <c r="X26" i="2"/>
  <c r="X25" i="2"/>
  <c r="X24" i="2"/>
  <c r="W28" i="2"/>
  <c r="W27" i="2"/>
  <c r="W26" i="2"/>
  <c r="W25" i="2"/>
  <c r="W24" i="2"/>
  <c r="AA24" i="1"/>
  <c r="X21" i="1"/>
  <c r="X22" i="1"/>
  <c r="X23" i="1"/>
  <c r="Y21" i="1"/>
  <c r="Y22" i="1"/>
  <c r="Y23" i="1"/>
  <c r="Y24" i="1"/>
  <c r="Z22" i="1"/>
  <c r="Z23" i="1"/>
  <c r="Z24" i="1"/>
  <c r="AA21" i="1"/>
  <c r="AA22" i="1"/>
  <c r="AA23" i="1"/>
  <c r="Y20" i="1"/>
  <c r="P26" i="1" l="1"/>
  <c r="Y28" i="1" s="1"/>
  <c r="Z21" i="1"/>
  <c r="O26" i="1"/>
  <c r="Z20" i="1"/>
  <c r="Z38" i="1"/>
  <c r="S25" i="1"/>
  <c r="X24" i="1"/>
  <c r="O40" i="1"/>
  <c r="X37" i="1"/>
  <c r="Z37" i="1" s="1"/>
  <c r="O25" i="1"/>
  <c r="Y41" i="2"/>
  <c r="Y45" i="2"/>
  <c r="O29" i="2"/>
  <c r="W32" i="2" s="1"/>
  <c r="R26" i="1"/>
  <c r="Q25" i="1"/>
  <c r="Q26" i="1"/>
  <c r="AA28" i="1"/>
  <c r="S40" i="1"/>
  <c r="Q29" i="2"/>
  <c r="W34" i="2" s="1"/>
  <c r="O30" i="2"/>
  <c r="X32" i="2" s="1"/>
  <c r="R29" i="2"/>
  <c r="W35" i="2" s="1"/>
  <c r="Q30" i="2"/>
  <c r="X34" i="2" s="1"/>
  <c r="P30" i="2"/>
  <c r="X33" i="2" s="1"/>
  <c r="R30" i="2"/>
  <c r="X35" i="2" s="1"/>
  <c r="W31" i="2"/>
  <c r="P44" i="2"/>
  <c r="O44" i="2"/>
  <c r="N30" i="2"/>
  <c r="X31" i="2" s="1"/>
  <c r="P29" i="2"/>
  <c r="W33" i="2" s="1"/>
  <c r="P25" i="1"/>
  <c r="S26" i="1"/>
  <c r="R25" i="1"/>
  <c r="D69" i="3"/>
  <c r="D50" i="3"/>
  <c r="D63" i="3" s="1"/>
  <c r="D65" i="3" s="1"/>
  <c r="L50" i="3"/>
  <c r="L63" i="3" s="1"/>
  <c r="L65" i="3" s="1"/>
  <c r="F69" i="3"/>
  <c r="B65" i="3"/>
  <c r="H65" i="3"/>
  <c r="H69" i="3"/>
  <c r="M65" i="3"/>
  <c r="M69" i="3"/>
  <c r="J50" i="3"/>
  <c r="J63" i="3" s="1"/>
  <c r="J65" i="3" s="1"/>
  <c r="C50" i="3"/>
  <c r="C63" i="3" s="1"/>
  <c r="K69" i="3"/>
  <c r="I69" i="3"/>
  <c r="G69" i="3"/>
  <c r="O69" i="3"/>
  <c r="J69" i="3"/>
  <c r="U42" i="2"/>
  <c r="R44" i="2"/>
  <c r="V37" i="1"/>
  <c r="V40" i="1" s="1"/>
  <c r="U37" i="1"/>
  <c r="Q40" i="1"/>
  <c r="R40" i="1"/>
  <c r="P40" i="1"/>
  <c r="U38" i="1"/>
  <c r="V38" i="1"/>
  <c r="Q44" i="2"/>
  <c r="N44" i="2"/>
  <c r="T42" i="2"/>
  <c r="T41" i="2"/>
  <c r="U41" i="2"/>
  <c r="Q6" i="2"/>
  <c r="Z7" i="2" s="1"/>
  <c r="Q4" i="2"/>
  <c r="W7" i="2" s="1"/>
  <c r="R7" i="2"/>
  <c r="AA8" i="2" s="1"/>
  <c r="Q7" i="2"/>
  <c r="AA7" i="2" s="1"/>
  <c r="P7" i="2"/>
  <c r="AA6" i="2" s="1"/>
  <c r="O7" i="2"/>
  <c r="AA5" i="2" s="1"/>
  <c r="N7" i="2"/>
  <c r="AA4" i="2" s="1"/>
  <c r="R6" i="2"/>
  <c r="Z8" i="2" s="1"/>
  <c r="P6" i="2"/>
  <c r="Z6" i="2" s="1"/>
  <c r="O6" i="2"/>
  <c r="Z5" i="2" s="1"/>
  <c r="N6" i="2"/>
  <c r="Z4" i="2" s="1"/>
  <c r="R5" i="2"/>
  <c r="X8" i="2" s="1"/>
  <c r="Q5" i="2"/>
  <c r="X7" i="2" s="1"/>
  <c r="P5" i="2"/>
  <c r="X6" i="2" s="1"/>
  <c r="O5" i="2"/>
  <c r="X5" i="2" s="1"/>
  <c r="N5" i="2"/>
  <c r="X4" i="2" s="1"/>
  <c r="R4" i="2"/>
  <c r="W8" i="2" s="1"/>
  <c r="P4" i="2"/>
  <c r="W6" i="2" s="1"/>
  <c r="O4" i="2"/>
  <c r="W5" i="2" s="1"/>
  <c r="P2" i="1"/>
  <c r="X3" i="1" s="1"/>
  <c r="Q2" i="1"/>
  <c r="X4" i="1" s="1"/>
  <c r="R2" i="1"/>
  <c r="X5" i="1" s="1"/>
  <c r="S2" i="1"/>
  <c r="X6" i="1" s="1"/>
  <c r="P3" i="1"/>
  <c r="Y3" i="1" s="1"/>
  <c r="Q3" i="1"/>
  <c r="Y4" i="1" s="1"/>
  <c r="R3" i="1"/>
  <c r="Y5" i="1" s="1"/>
  <c r="S3" i="1"/>
  <c r="Y6" i="1" s="1"/>
  <c r="P4" i="1"/>
  <c r="AA3" i="1" s="1"/>
  <c r="Q4" i="1"/>
  <c r="AA4" i="1" s="1"/>
  <c r="R4" i="1"/>
  <c r="AA5" i="1" s="1"/>
  <c r="S4" i="1"/>
  <c r="AA6" i="1" s="1"/>
  <c r="P5" i="1"/>
  <c r="Q5" i="1"/>
  <c r="AB4" i="1" s="1"/>
  <c r="R5" i="1"/>
  <c r="AB5" i="1" s="1"/>
  <c r="S5" i="1"/>
  <c r="AB6" i="1" s="1"/>
  <c r="O5" i="1"/>
  <c r="AB2" i="1" s="1"/>
  <c r="O4" i="1"/>
  <c r="O3" i="1"/>
  <c r="Y2" i="1" s="1"/>
  <c r="O2" i="1"/>
  <c r="Z30" i="1" l="1"/>
  <c r="X30" i="1"/>
  <c r="AA31" i="1"/>
  <c r="Y31" i="1"/>
  <c r="Z29" i="1"/>
  <c r="X29" i="1"/>
  <c r="Z28" i="1"/>
  <c r="AA30" i="1"/>
  <c r="Y30" i="1"/>
  <c r="Z31" i="1"/>
  <c r="X31" i="1"/>
  <c r="AA29" i="1"/>
  <c r="Y29" i="1"/>
  <c r="AA27" i="1"/>
  <c r="Y27" i="1"/>
  <c r="Z27" i="1"/>
  <c r="X27" i="1"/>
  <c r="Z31" i="2"/>
  <c r="Z32" i="2"/>
  <c r="Y34" i="2"/>
  <c r="Y31" i="2"/>
  <c r="Z35" i="2"/>
  <c r="Z33" i="2"/>
  <c r="Z34" i="2"/>
  <c r="Y33" i="2"/>
  <c r="Y35" i="2"/>
  <c r="Y32" i="2"/>
  <c r="O11" i="1"/>
  <c r="Y9" i="1" s="1"/>
  <c r="AA2" i="1"/>
  <c r="O10" i="1"/>
  <c r="X9" i="1" s="1"/>
  <c r="Z9" i="1" s="1"/>
  <c r="X2" i="1"/>
  <c r="P8" i="1"/>
  <c r="AC3" i="1" s="1"/>
  <c r="AB3" i="1"/>
  <c r="P10" i="2"/>
  <c r="AB6" i="2" s="1"/>
  <c r="R12" i="2"/>
  <c r="W15" i="2" s="1"/>
  <c r="N12" i="2"/>
  <c r="W11" i="2" s="1"/>
  <c r="Y11" i="2" s="1"/>
  <c r="R13" i="2"/>
  <c r="X15" i="2" s="1"/>
  <c r="O9" i="2"/>
  <c r="Y5" i="2" s="1"/>
  <c r="O12" i="2"/>
  <c r="W12" i="2" s="1"/>
  <c r="P12" i="2"/>
  <c r="W13" i="2" s="1"/>
  <c r="N13" i="2"/>
  <c r="X11" i="2" s="1"/>
  <c r="O13" i="2"/>
  <c r="X12" i="2" s="1"/>
  <c r="Q12" i="2"/>
  <c r="W14" i="2" s="1"/>
  <c r="P13" i="2"/>
  <c r="X13" i="2" s="1"/>
  <c r="Q13" i="2"/>
  <c r="X14" i="2" s="1"/>
  <c r="S7" i="1"/>
  <c r="Z6" i="1" s="1"/>
  <c r="S10" i="1"/>
  <c r="X13" i="1" s="1"/>
  <c r="R11" i="1"/>
  <c r="Y12" i="1" s="1"/>
  <c r="R7" i="1"/>
  <c r="Z5" i="1" s="1"/>
  <c r="R10" i="1"/>
  <c r="X12" i="1" s="1"/>
  <c r="Q11" i="1"/>
  <c r="Y11" i="1" s="1"/>
  <c r="Q10" i="1"/>
  <c r="P11" i="1"/>
  <c r="P10" i="1"/>
  <c r="S42" i="1"/>
  <c r="O48" i="1" s="1"/>
  <c r="O50" i="1" s="1"/>
  <c r="S8" i="1"/>
  <c r="AC6" i="1" s="1"/>
  <c r="S11" i="1"/>
  <c r="Y13" i="1" s="1"/>
  <c r="Q8" i="1"/>
  <c r="AC4" i="1" s="1"/>
  <c r="L69" i="3"/>
  <c r="C65" i="3"/>
  <c r="C69" i="3"/>
  <c r="R10" i="2"/>
  <c r="AB8" i="2" s="1"/>
  <c r="R47" i="2"/>
  <c r="O52" i="2" s="1"/>
  <c r="Q9" i="2"/>
  <c r="Y7" i="2" s="1"/>
  <c r="P9" i="2"/>
  <c r="Y6" i="2" s="1"/>
  <c r="Q10" i="2"/>
  <c r="AB7" i="2" s="1"/>
  <c r="U44" i="2"/>
  <c r="R46" i="2"/>
  <c r="N52" i="2" s="1"/>
  <c r="R9" i="2"/>
  <c r="Y8" i="2" s="1"/>
  <c r="N10" i="2"/>
  <c r="AB4" i="2" s="1"/>
  <c r="O10" i="2"/>
  <c r="AB5" i="2" s="1"/>
  <c r="N9" i="2"/>
  <c r="Y4" i="2" s="1"/>
  <c r="O7" i="1"/>
  <c r="Z2" i="1" s="1"/>
  <c r="Q7" i="1"/>
  <c r="Z4" i="1" s="1"/>
  <c r="U40" i="1"/>
  <c r="O8" i="1"/>
  <c r="AC2" i="1" s="1"/>
  <c r="P7" i="1"/>
  <c r="Z3" i="1" s="1"/>
  <c r="S43" i="1"/>
  <c r="P48" i="1" s="1"/>
  <c r="R8" i="1"/>
  <c r="AC5" i="1" s="1"/>
  <c r="T44" i="2"/>
  <c r="E4" i="3"/>
  <c r="C4" i="3"/>
  <c r="D4" i="3"/>
  <c r="F4" i="3"/>
  <c r="G4" i="3"/>
  <c r="H4" i="3"/>
  <c r="I4" i="3"/>
  <c r="J4" i="3"/>
  <c r="K4" i="3"/>
  <c r="L4" i="3"/>
  <c r="M4" i="3"/>
  <c r="N4" i="3"/>
  <c r="O4" i="3"/>
  <c r="B4" i="3"/>
  <c r="U28" i="1" l="1"/>
  <c r="U29" i="1"/>
  <c r="V29" i="1"/>
  <c r="Z12" i="1"/>
  <c r="V28" i="1"/>
  <c r="Y15" i="2"/>
  <c r="Y13" i="2"/>
  <c r="T33" i="2"/>
  <c r="T32" i="2"/>
  <c r="U33" i="2"/>
  <c r="U32" i="2"/>
  <c r="Y12" i="2"/>
  <c r="Y14" i="2"/>
  <c r="Z13" i="1"/>
  <c r="V10" i="1"/>
  <c r="X10" i="1"/>
  <c r="U11" i="1"/>
  <c r="Y10" i="1"/>
  <c r="U10" i="1"/>
  <c r="U13" i="1" s="1"/>
  <c r="O46" i="1" s="1"/>
  <c r="O49" i="1" s="1"/>
  <c r="X11" i="1"/>
  <c r="Z11" i="1" s="1"/>
  <c r="U12" i="2"/>
  <c r="O54" i="2"/>
  <c r="N54" i="2"/>
  <c r="V11" i="1"/>
  <c r="P50" i="1"/>
  <c r="T13" i="2"/>
  <c r="U13" i="2"/>
  <c r="T12" i="2"/>
  <c r="I2" i="1"/>
  <c r="K2" i="1" s="1"/>
  <c r="H5" i="2"/>
  <c r="J5" i="2" s="1"/>
  <c r="I5" i="2"/>
  <c r="K5" i="2" s="1"/>
  <c r="H6" i="2"/>
  <c r="J6" i="2" s="1"/>
  <c r="I6" i="2"/>
  <c r="K6" i="2" s="1"/>
  <c r="H7" i="2"/>
  <c r="J7" i="2" s="1"/>
  <c r="I7" i="2"/>
  <c r="K7" i="2" s="1"/>
  <c r="H8" i="2"/>
  <c r="J8" i="2" s="1"/>
  <c r="I8" i="2"/>
  <c r="K8" i="2" s="1"/>
  <c r="H9" i="2"/>
  <c r="J9" i="2" s="1"/>
  <c r="I9" i="2"/>
  <c r="K9" i="2" s="1"/>
  <c r="H10" i="2"/>
  <c r="J10" i="2" s="1"/>
  <c r="I10" i="2"/>
  <c r="K10" i="2" s="1"/>
  <c r="H11" i="2"/>
  <c r="J11" i="2" s="1"/>
  <c r="I11" i="2"/>
  <c r="K11" i="2" s="1"/>
  <c r="H24" i="2"/>
  <c r="J24" i="2" s="1"/>
  <c r="I24" i="2"/>
  <c r="K24" i="2" s="1"/>
  <c r="H25" i="2"/>
  <c r="J25" i="2" s="1"/>
  <c r="I25" i="2"/>
  <c r="K25" i="2" s="1"/>
  <c r="H26" i="2"/>
  <c r="J26" i="2" s="1"/>
  <c r="I26" i="2"/>
  <c r="K26" i="2" s="1"/>
  <c r="H27" i="2"/>
  <c r="J27" i="2" s="1"/>
  <c r="I27" i="2"/>
  <c r="K27" i="2" s="1"/>
  <c r="H28" i="2"/>
  <c r="J28" i="2" s="1"/>
  <c r="I28" i="2"/>
  <c r="K28" i="2" s="1"/>
  <c r="H29" i="2"/>
  <c r="J29" i="2" s="1"/>
  <c r="I29" i="2"/>
  <c r="K29" i="2" s="1"/>
  <c r="H30" i="2"/>
  <c r="J30" i="2" s="1"/>
  <c r="I30" i="2"/>
  <c r="K30" i="2" s="1"/>
  <c r="H31" i="2"/>
  <c r="J31" i="2" s="1"/>
  <c r="I31" i="2"/>
  <c r="K31" i="2" s="1"/>
  <c r="H32" i="2"/>
  <c r="J32" i="2" s="1"/>
  <c r="I32" i="2"/>
  <c r="K32" i="2" s="1"/>
  <c r="H33" i="2"/>
  <c r="J33" i="2" s="1"/>
  <c r="I33" i="2"/>
  <c r="K33" i="2" s="1"/>
  <c r="I4" i="2"/>
  <c r="K4" i="2" s="1"/>
  <c r="H4" i="2"/>
  <c r="J4" i="2" s="1"/>
  <c r="I3" i="1"/>
  <c r="K3" i="1" s="1"/>
  <c r="J3" i="1"/>
  <c r="L3" i="1" s="1"/>
  <c r="I4" i="1"/>
  <c r="K4" i="1" s="1"/>
  <c r="J4" i="1"/>
  <c r="L4" i="1" s="1"/>
  <c r="I5" i="1"/>
  <c r="K5" i="1" s="1"/>
  <c r="J5" i="1"/>
  <c r="L5" i="1" s="1"/>
  <c r="I6" i="1"/>
  <c r="K6" i="1" s="1"/>
  <c r="J6" i="1"/>
  <c r="L6" i="1" s="1"/>
  <c r="I7" i="1"/>
  <c r="K7" i="1" s="1"/>
  <c r="J7" i="1"/>
  <c r="L7" i="1" s="1"/>
  <c r="I8" i="1"/>
  <c r="K8" i="1" s="1"/>
  <c r="J8" i="1"/>
  <c r="L8" i="1" s="1"/>
  <c r="I9" i="1"/>
  <c r="K9" i="1" s="1"/>
  <c r="J9" i="1"/>
  <c r="L9" i="1" s="1"/>
  <c r="I20" i="1"/>
  <c r="K20" i="1" s="1"/>
  <c r="J20" i="1"/>
  <c r="L20" i="1" s="1"/>
  <c r="I21" i="1"/>
  <c r="K21" i="1" s="1"/>
  <c r="J21" i="1"/>
  <c r="L21" i="1" s="1"/>
  <c r="I22" i="1"/>
  <c r="K22" i="1" s="1"/>
  <c r="J22" i="1"/>
  <c r="L22" i="1" s="1"/>
  <c r="I23" i="1"/>
  <c r="K23" i="1" s="1"/>
  <c r="J23" i="1"/>
  <c r="L23" i="1" s="1"/>
  <c r="I24" i="1"/>
  <c r="K24" i="1" s="1"/>
  <c r="J24" i="1"/>
  <c r="L24" i="1" s="1"/>
  <c r="I25" i="1"/>
  <c r="K25" i="1" s="1"/>
  <c r="J25" i="1"/>
  <c r="L25" i="1" s="1"/>
  <c r="I26" i="1"/>
  <c r="K26" i="1" s="1"/>
  <c r="J26" i="1"/>
  <c r="L26" i="1" s="1"/>
  <c r="I27" i="1"/>
  <c r="K27" i="1" s="1"/>
  <c r="J27" i="1"/>
  <c r="L27" i="1" s="1"/>
  <c r="I28" i="1"/>
  <c r="K28" i="1" s="1"/>
  <c r="J28" i="1"/>
  <c r="L28" i="1" s="1"/>
  <c r="I29" i="1"/>
  <c r="K29" i="1" s="1"/>
  <c r="J29" i="1"/>
  <c r="L29" i="1" s="1"/>
  <c r="J2" i="1"/>
  <c r="L2" i="1" s="1"/>
  <c r="U35" i="2" l="1"/>
  <c r="T35" i="2"/>
  <c r="V31" i="1"/>
  <c r="U31" i="1"/>
  <c r="U15" i="2"/>
  <c r="O50" i="2" s="1"/>
  <c r="Z10" i="1"/>
  <c r="V13" i="1"/>
  <c r="P46" i="1" s="1"/>
  <c r="P49" i="1" s="1"/>
  <c r="T15" i="2"/>
  <c r="N50" i="2" s="1"/>
  <c r="N51" i="2" s="1"/>
  <c r="P47" i="1"/>
  <c r="N53" i="2" l="1"/>
  <c r="O53" i="2"/>
  <c r="O51" i="2"/>
  <c r="O47" i="1"/>
</calcChain>
</file>

<file path=xl/sharedStrings.xml><?xml version="1.0" encoding="utf-8"?>
<sst xmlns="http://schemas.openxmlformats.org/spreadsheetml/2006/main" count="206" uniqueCount="78">
  <si>
    <t>mess nr.</t>
  </si>
  <si>
    <t>druchgang 1</t>
  </si>
  <si>
    <t>durchgang 2</t>
  </si>
  <si>
    <t>mess nr</t>
  </si>
  <si>
    <t>Probe</t>
  </si>
  <si>
    <t>InAs</t>
  </si>
  <si>
    <t>FH301-040</t>
  </si>
  <si>
    <t>I= 15,003 15,008 mA</t>
  </si>
  <si>
    <t>T=26</t>
  </si>
  <si>
    <t>B=0,138+-0,001 T</t>
  </si>
  <si>
    <t>Mess Nr</t>
  </si>
  <si>
    <t>Spannung 1</t>
  </si>
  <si>
    <t>Spannung 2</t>
  </si>
  <si>
    <t>Spannung 3</t>
  </si>
  <si>
    <t>Spannung 4</t>
  </si>
  <si>
    <t>Spannung 5</t>
  </si>
  <si>
    <t>Average</t>
  </si>
  <si>
    <t>average</t>
  </si>
  <si>
    <t>15,007 mA</t>
  </si>
  <si>
    <t>B+</t>
  </si>
  <si>
    <t>B-</t>
  </si>
  <si>
    <t>t_1</t>
  </si>
  <si>
    <t>t_2</t>
  </si>
  <si>
    <t>&lt;t&gt;</t>
  </si>
  <si>
    <t>Schaltung</t>
  </si>
  <si>
    <t>$U / mV$</t>
  </si>
  <si>
    <t>Messung</t>
  </si>
  <si>
    <t>R</t>
  </si>
  <si>
    <t>Strom</t>
  </si>
  <si>
    <t>strom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</si>
  <si>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</si>
  <si>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</si>
  <si>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</si>
  <si>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</si>
  <si>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</si>
  <si>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</si>
  <si>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</si>
  <si>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</si>
  <si>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</si>
  <si>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</si>
  <si>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R12,34</t>
  </si>
  <si>
    <t>R23,41</t>
  </si>
  <si>
    <t>R34, 12</t>
  </si>
  <si>
    <t>R41,23</t>
  </si>
  <si>
    <t>Spannung</t>
  </si>
  <si>
    <t>delta</t>
  </si>
  <si>
    <t>sigma</t>
  </si>
  <si>
    <t>R12,34/R23,41</t>
  </si>
  <si>
    <t>R34,12/R41,23</t>
  </si>
  <si>
    <t>rho1</t>
  </si>
  <si>
    <t>rho2</t>
  </si>
  <si>
    <t>rho</t>
  </si>
  <si>
    <t>d</t>
  </si>
  <si>
    <t>average v</t>
  </si>
  <si>
    <t>sigma v</t>
  </si>
  <si>
    <t>V_A</t>
  </si>
  <si>
    <t>V_B</t>
  </si>
  <si>
    <t>V_C</t>
  </si>
  <si>
    <t>V_D</t>
  </si>
  <si>
    <t>V</t>
  </si>
  <si>
    <t>V_H+</t>
  </si>
  <si>
    <t>V_H-</t>
  </si>
  <si>
    <t>mit nullfeld</t>
  </si>
  <si>
    <t>R_H+</t>
  </si>
  <si>
    <t>R_H-</t>
  </si>
  <si>
    <t>B</t>
  </si>
  <si>
    <t>ohne nullfeld</t>
  </si>
  <si>
    <t>R_H1</t>
  </si>
  <si>
    <t>R_H2</t>
  </si>
  <si>
    <t>R_H</t>
  </si>
  <si>
    <t>Beweglichkeit</t>
  </si>
  <si>
    <t>mu_HS</t>
  </si>
  <si>
    <t>p_S</t>
  </si>
  <si>
    <t>R_HS</t>
  </si>
  <si>
    <t>e</t>
  </si>
  <si>
    <t>m</t>
  </si>
  <si>
    <t>T^-1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</si>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</sst>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E+00"/>
    <numFmt numFmtId="173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/>
    <xf numFmtId="0" fontId="0" fillId="0" borderId="0" xfId="0" applyAlignment="1">
      <alignment horizontal="right"/>
    </xf>
    <xf numFmtId="0" fontId="5" fillId="4" borderId="1" xfId="4"/>
    <xf numFmtId="0" fontId="4" fillId="3" borderId="1" xfId="3"/>
    <xf numFmtId="0" fontId="6" fillId="0" borderId="0" xfId="5" applyAlignment="1">
      <alignment horizontal="right"/>
    </xf>
    <xf numFmtId="0" fontId="6" fillId="0" borderId="0" xfId="5" applyBorder="1" applyAlignment="1"/>
    <xf numFmtId="0" fontId="6" fillId="0" borderId="0" xfId="5"/>
    <xf numFmtId="0" fontId="2" fillId="0" borderId="0" xfId="1" applyAlignment="1">
      <alignment horizontal="right"/>
    </xf>
    <xf numFmtId="0" fontId="2" fillId="0" borderId="0" xfId="1" applyBorder="1" applyAlignment="1"/>
    <xf numFmtId="0" fontId="2" fillId="0" borderId="0" xfId="1"/>
    <xf numFmtId="0" fontId="3" fillId="2" borderId="1" xfId="2" applyBorder="1"/>
    <xf numFmtId="0" fontId="4" fillId="3" borderId="1" xfId="3" applyAlignment="1"/>
    <xf numFmtId="0" fontId="2" fillId="0" borderId="0" xfId="1" applyFill="1" applyBorder="1" applyAlignment="1"/>
    <xf numFmtId="11" fontId="5" fillId="4" borderId="1" xfId="4" applyNumberFormat="1"/>
    <xf numFmtId="165" fontId="3" fillId="2" borderId="1" xfId="2" applyNumberFormat="1" applyBorder="1"/>
    <xf numFmtId="164" fontId="5" fillId="4" borderId="1" xfId="4" applyNumberFormat="1"/>
    <xf numFmtId="0" fontId="6" fillId="0" borderId="0" xfId="5" applyFill="1" applyBorder="1"/>
    <xf numFmtId="11" fontId="3" fillId="2" borderId="1" xfId="2" applyNumberFormat="1" applyBorder="1"/>
    <xf numFmtId="0" fontId="5" fillId="4" borderId="1" xfId="4" applyNumberFormat="1"/>
    <xf numFmtId="0" fontId="3" fillId="2" borderId="1" xfId="2" applyNumberFormat="1" applyBorder="1"/>
    <xf numFmtId="173" fontId="5" fillId="4" borderId="1" xfId="4" applyNumberFormat="1"/>
    <xf numFmtId="173" fontId="0" fillId="0" borderId="0" xfId="0" applyNumberFormat="1"/>
    <xf numFmtId="173" fontId="5" fillId="4" borderId="1" xfId="4" applyNumberFormat="1" applyAlignment="1">
      <alignment horizontal="right"/>
    </xf>
    <xf numFmtId="173" fontId="6" fillId="0" borderId="0" xfId="5" applyNumberFormat="1"/>
  </cellXfs>
  <cellStyles count="6">
    <cellStyle name="Bad" xfId="2" builtinId="27"/>
    <cellStyle name="Calculation" xfId="4" builtinId="22"/>
    <cellStyle name="Explanatory Text" xfId="5" builtinId="53"/>
    <cellStyle name="Heading 4" xfId="1" builtinId="19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leitfähigkeit - temperatur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'Tag 2'!$B$28:$O$28</c:f>
              <c:numCache>
                <c:formatCode>General</c:formatCode>
                <c:ptCount val="14"/>
                <c:pt idx="0">
                  <c:v>1.4781966001478202E-2</c:v>
                </c:pt>
                <c:pt idx="1">
                  <c:v>1.2878300064391505E-2</c:v>
                </c:pt>
                <c:pt idx="2">
                  <c:v>1.1092623405435388E-2</c:v>
                </c:pt>
                <c:pt idx="3">
                  <c:v>9.935419771485347E-3</c:v>
                </c:pt>
                <c:pt idx="4">
                  <c:v>8.9565606806986144E-3</c:v>
                </c:pt>
                <c:pt idx="5">
                  <c:v>8.2542302930251766E-3</c:v>
                </c:pt>
                <c:pt idx="6">
                  <c:v>7.5103266992114174E-3</c:v>
                </c:pt>
                <c:pt idx="7">
                  <c:v>6.7499156260546755E-3</c:v>
                </c:pt>
                <c:pt idx="8">
                  <c:v>6.1106018942865877E-3</c:v>
                </c:pt>
                <c:pt idx="9">
                  <c:v>5.550929780738274E-3</c:v>
                </c:pt>
                <c:pt idx="10">
                  <c:v>5.1506567087303634E-3</c:v>
                </c:pt>
                <c:pt idx="11">
                  <c:v>4.7585058291696415E-3</c:v>
                </c:pt>
                <c:pt idx="12">
                  <c:v>4.0625634775543372E-3</c:v>
                </c:pt>
                <c:pt idx="13">
                  <c:v>3.6609921288669233E-3</c:v>
                </c:pt>
              </c:numCache>
            </c:numRef>
          </c:xVal>
          <c:yVal>
            <c:numRef>
              <c:f>'Tag 2'!$B$65:$O$65</c:f>
              <c:numCache>
                <c:formatCode>General</c:formatCode>
                <c:ptCount val="14"/>
                <c:pt idx="0">
                  <c:v>4.0236553950290521E-2</c:v>
                </c:pt>
                <c:pt idx="1">
                  <c:v>4.0155346005055291E-2</c:v>
                </c:pt>
                <c:pt idx="2">
                  <c:v>3.9980927558064566E-2</c:v>
                </c:pt>
                <c:pt idx="3">
                  <c:v>3.9798325913251185E-2</c:v>
                </c:pt>
                <c:pt idx="4">
                  <c:v>3.9655115660480439E-2</c:v>
                </c:pt>
                <c:pt idx="5">
                  <c:v>3.9547097944541545E-2</c:v>
                </c:pt>
                <c:pt idx="6">
                  <c:v>3.9457178938029754E-2</c:v>
                </c:pt>
                <c:pt idx="7">
                  <c:v>3.9236892457156614E-2</c:v>
                </c:pt>
                <c:pt idx="8">
                  <c:v>3.8913838094983312E-2</c:v>
                </c:pt>
                <c:pt idx="9">
                  <c:v>3.8702727551732395E-2</c:v>
                </c:pt>
                <c:pt idx="10">
                  <c:v>3.8364348869958424E-2</c:v>
                </c:pt>
                <c:pt idx="11">
                  <c:v>3.8010000391448043E-2</c:v>
                </c:pt>
                <c:pt idx="12">
                  <c:v>3.731464227369382E-2</c:v>
                </c:pt>
                <c:pt idx="13">
                  <c:v>3.6781640370630676E-2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6752"/>
        <c:axId val="55707328"/>
      </c:scatterChart>
      <c:valAx>
        <c:axId val="557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07328"/>
        <c:crosses val="autoZero"/>
        <c:crossBetween val="midCat"/>
      </c:valAx>
      <c:valAx>
        <c:axId val="557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0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ladungsträgerkonzentration - Temperatur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'Tag 2'!$B$28:$O$28</c:f>
              <c:numCache>
                <c:formatCode>General</c:formatCode>
                <c:ptCount val="14"/>
                <c:pt idx="0">
                  <c:v>1.4781966001478202E-2</c:v>
                </c:pt>
                <c:pt idx="1">
                  <c:v>1.2878300064391505E-2</c:v>
                </c:pt>
                <c:pt idx="2">
                  <c:v>1.1092623405435388E-2</c:v>
                </c:pt>
                <c:pt idx="3">
                  <c:v>9.935419771485347E-3</c:v>
                </c:pt>
                <c:pt idx="4">
                  <c:v>8.9565606806986144E-3</c:v>
                </c:pt>
                <c:pt idx="5">
                  <c:v>8.2542302930251766E-3</c:v>
                </c:pt>
                <c:pt idx="6">
                  <c:v>7.5103266992114174E-3</c:v>
                </c:pt>
                <c:pt idx="7">
                  <c:v>6.7499156260546755E-3</c:v>
                </c:pt>
                <c:pt idx="8">
                  <c:v>6.1106018942865877E-3</c:v>
                </c:pt>
                <c:pt idx="9">
                  <c:v>5.550929780738274E-3</c:v>
                </c:pt>
                <c:pt idx="10">
                  <c:v>5.1506567087303634E-3</c:v>
                </c:pt>
                <c:pt idx="11">
                  <c:v>4.7585058291696415E-3</c:v>
                </c:pt>
                <c:pt idx="12">
                  <c:v>4.0625634775543372E-3</c:v>
                </c:pt>
                <c:pt idx="13">
                  <c:v>3.6609921288669233E-3</c:v>
                </c:pt>
              </c:numCache>
            </c:numRef>
          </c:xVal>
          <c:yVal>
            <c:numRef>
              <c:f>'Tag 2'!$B$71:$O$71</c:f>
              <c:numCache>
                <c:formatCode>General</c:formatCode>
                <c:ptCount val="14"/>
                <c:pt idx="0">
                  <c:v>4.7098021480183168E+17</c:v>
                </c:pt>
                <c:pt idx="1">
                  <c:v>4.7029038815424122E+17</c:v>
                </c:pt>
                <c:pt idx="2">
                  <c:v>4.7008725373694445E+17</c:v>
                </c:pt>
                <c:pt idx="3">
                  <c:v>4.7004664790942586E+17</c:v>
                </c:pt>
                <c:pt idx="4">
                  <c:v>4.7033959446535309E+17</c:v>
                </c:pt>
                <c:pt idx="5">
                  <c:v>4.7033531524693421E+17</c:v>
                </c:pt>
                <c:pt idx="6">
                  <c:v>4.7077862777257472E+17</c:v>
                </c:pt>
                <c:pt idx="7">
                  <c:v>4.7152794364072128E+17</c:v>
                </c:pt>
                <c:pt idx="8">
                  <c:v>4.7279797271884627E+17</c:v>
                </c:pt>
                <c:pt idx="9">
                  <c:v>4.7366871912953805E+17</c:v>
                </c:pt>
                <c:pt idx="10">
                  <c:v>4.7460367170760032E+17</c:v>
                </c:pt>
                <c:pt idx="11">
                  <c:v>4.7570423234208115E+17</c:v>
                </c:pt>
                <c:pt idx="12">
                  <c:v>4.7902343736578957E+17</c:v>
                </c:pt>
                <c:pt idx="13">
                  <c:v>4.8181604978007667E+17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9056"/>
        <c:axId val="55709632"/>
      </c:scatterChart>
      <c:valAx>
        <c:axId val="557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09632"/>
        <c:crosses val="autoZero"/>
        <c:crossBetween val="midCat"/>
      </c:valAx>
      <c:valAx>
        <c:axId val="557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0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Beweglichkeit - Temperatur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'Tag 2'!$B$28:$O$28</c:f>
              <c:numCache>
                <c:formatCode>General</c:formatCode>
                <c:ptCount val="14"/>
                <c:pt idx="0">
                  <c:v>1.4781966001478202E-2</c:v>
                </c:pt>
                <c:pt idx="1">
                  <c:v>1.2878300064391505E-2</c:v>
                </c:pt>
                <c:pt idx="2">
                  <c:v>1.1092623405435388E-2</c:v>
                </c:pt>
                <c:pt idx="3">
                  <c:v>9.935419771485347E-3</c:v>
                </c:pt>
                <c:pt idx="4">
                  <c:v>8.9565606806986144E-3</c:v>
                </c:pt>
                <c:pt idx="5">
                  <c:v>8.2542302930251766E-3</c:v>
                </c:pt>
                <c:pt idx="6">
                  <c:v>7.5103266992114174E-3</c:v>
                </c:pt>
                <c:pt idx="7">
                  <c:v>6.7499156260546755E-3</c:v>
                </c:pt>
                <c:pt idx="8">
                  <c:v>6.1106018942865877E-3</c:v>
                </c:pt>
                <c:pt idx="9">
                  <c:v>5.550929780738274E-3</c:v>
                </c:pt>
                <c:pt idx="10">
                  <c:v>5.1506567087303634E-3</c:v>
                </c:pt>
                <c:pt idx="11">
                  <c:v>4.7585058291696415E-3</c:v>
                </c:pt>
                <c:pt idx="12">
                  <c:v>4.0625634775543372E-3</c:v>
                </c:pt>
                <c:pt idx="13">
                  <c:v>3.6609921288669233E-3</c:v>
                </c:pt>
              </c:numCache>
            </c:numRef>
          </c:xVal>
          <c:yVal>
            <c:numRef>
              <c:f>'Tag 2'!$B$69:$O$69</c:f>
              <c:numCache>
                <c:formatCode>General</c:formatCode>
                <c:ptCount val="14"/>
                <c:pt idx="0">
                  <c:v>0.53328037709991671</c:v>
                </c:pt>
                <c:pt idx="1">
                  <c:v>0.5329847193500542</c:v>
                </c:pt>
                <c:pt idx="2">
                  <c:v>0.53089896441293127</c:v>
                </c:pt>
                <c:pt idx="3">
                  <c:v>0.5285198858705753</c:v>
                </c:pt>
                <c:pt idx="4">
                  <c:v>0.5262900614221232</c:v>
                </c:pt>
                <c:pt idx="5">
                  <c:v>0.52486125997378097</c:v>
                </c:pt>
                <c:pt idx="6">
                  <c:v>0.52317475659531243</c:v>
                </c:pt>
                <c:pt idx="7">
                  <c:v>0.51942716361246311</c:v>
                </c:pt>
                <c:pt idx="8">
                  <c:v>0.51376669802579045</c:v>
                </c:pt>
                <c:pt idx="9">
                  <c:v>0.51004013958905348</c:v>
                </c:pt>
                <c:pt idx="10">
                  <c:v>0.50458487243509642</c:v>
                </c:pt>
                <c:pt idx="11">
                  <c:v>0.49876772985251289</c:v>
                </c:pt>
                <c:pt idx="12">
                  <c:v>0.48625044067693274</c:v>
                </c:pt>
                <c:pt idx="13">
                  <c:v>0.47652678777122143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1360"/>
        <c:axId val="55711936"/>
      </c:scatterChart>
      <c:valAx>
        <c:axId val="557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11936"/>
        <c:crosses val="autoZero"/>
        <c:crossBetween val="midCat"/>
      </c:valAx>
      <c:valAx>
        <c:axId val="55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1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704849</xdr:colOff>
      <xdr:row>7</xdr:row>
      <xdr:rowOff>33337</xdr:rowOff>
    </xdr:from>
    <xdr:to>
      <xdr:col>14</xdr:col>
      <xdr:colOff>390524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2</xdr:row>
      <xdr:rowOff>4762</xdr:rowOff>
    </xdr:from>
    <xdr:to>
      <xdr:col>28</xdr:col>
      <xdr:colOff>28575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581025</xdr:colOff>
      <xdr:row>21</xdr:row>
      <xdr:rowOff>109537</xdr:rowOff>
    </xdr:from>
    <xdr:to>
      <xdr:col>28</xdr:col>
      <xdr:colOff>123825</xdr:colOff>
      <xdr:row>40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F10" zoomScaleNormal="100" workbookViewId="0">
      <selection activeCell="Z41" sqref="Z41"/>
    </sheetView>
  </sheetViews>
  <sheetFormatPr defaultRowHeight="15" x14ac:dyDescent="0.25"/>
  <cols>
    <col min="1" max="1" width="4.85546875" style="2" bestFit="1" customWidth="1"/>
    <col min="2" max="2" width="8.42578125" bestFit="1" customWidth="1"/>
    <col min="3" max="3" width="3.7109375" bestFit="1" customWidth="1"/>
    <col min="4" max="4" width="11.5703125" bestFit="1" customWidth="1"/>
    <col min="5" max="5" width="12" bestFit="1" customWidth="1"/>
    <col min="6" max="6" width="7.7109375" bestFit="1" customWidth="1"/>
    <col min="7" max="8" width="6.7109375" bestFit="1" customWidth="1"/>
    <col min="9" max="9" width="8.28515625" bestFit="1" customWidth="1"/>
    <col min="10" max="10" width="12" bestFit="1" customWidth="1"/>
    <col min="11" max="11" width="10.7109375" bestFit="1" customWidth="1"/>
    <col min="12" max="12" width="12" bestFit="1" customWidth="1"/>
    <col min="13" max="13" width="2.140625" customWidth="1"/>
    <col min="14" max="14" width="14" bestFit="1" customWidth="1"/>
    <col min="15" max="16" width="12" bestFit="1" customWidth="1"/>
    <col min="17" max="17" width="9.7109375" bestFit="1" customWidth="1"/>
    <col min="18" max="18" width="14" bestFit="1" customWidth="1"/>
    <col min="19" max="23" width="12" bestFit="1" customWidth="1"/>
    <col min="24" max="25" width="12.5703125" bestFit="1" customWidth="1"/>
    <col min="26" max="31" width="12" bestFit="1" customWidth="1"/>
    <col min="33" max="33" width="10.5703125" bestFit="1" customWidth="1"/>
    <col min="34" max="34" width="8.28515625" bestFit="1" customWidth="1"/>
    <col min="35" max="35" width="10.5703125" bestFit="1" customWidth="1"/>
  </cols>
  <sheetData>
    <row r="1" spans="1:29" x14ac:dyDescent="0.25">
      <c r="A1" s="8"/>
      <c r="B1" s="9" t="s">
        <v>0</v>
      </c>
      <c r="C1" s="9"/>
      <c r="D1" s="9" t="s">
        <v>1</v>
      </c>
      <c r="E1" s="10" t="s">
        <v>2</v>
      </c>
      <c r="F1" s="10"/>
      <c r="G1" s="10"/>
      <c r="H1" s="10"/>
      <c r="I1" s="10" t="s">
        <v>16</v>
      </c>
      <c r="J1" s="10" t="s">
        <v>46</v>
      </c>
      <c r="K1" s="10" t="s">
        <v>53</v>
      </c>
      <c r="L1" s="10" t="s">
        <v>54</v>
      </c>
      <c r="N1" s="10"/>
      <c r="O1" s="10" t="s">
        <v>27</v>
      </c>
    </row>
    <row r="2" spans="1:29" x14ac:dyDescent="0.25">
      <c r="A2" s="5" t="s">
        <v>30</v>
      </c>
      <c r="B2" s="6">
        <v>1</v>
      </c>
      <c r="C2" s="6"/>
      <c r="D2" s="4">
        <v>-0.24399999999999999</v>
      </c>
      <c r="E2" s="4">
        <v>-0.24399999999999999</v>
      </c>
      <c r="F2" s="4">
        <v>-0.24399999999999999</v>
      </c>
      <c r="G2" s="4">
        <v>-0.24399999999999999</v>
      </c>
      <c r="H2" s="4">
        <v>-0.24299999999999999</v>
      </c>
      <c r="I2" s="3">
        <f>AVERAGE(D2:H2)</f>
        <v>-0.24379999999999996</v>
      </c>
      <c r="J2" s="11">
        <f>_xlfn.STDEV.P(D2:H2)</f>
        <v>4.0000000000000034E-4</v>
      </c>
      <c r="K2" s="3">
        <f>I2/1000</f>
        <v>-2.4379999999999996E-4</v>
      </c>
      <c r="L2" s="11">
        <f>J2/1000</f>
        <v>4.0000000000000035E-7</v>
      </c>
      <c r="N2" s="7" t="s">
        <v>40</v>
      </c>
      <c r="O2" s="3">
        <f>ABS(D2-D3)/(2*$D$39)/1000</f>
        <v>2.4249999999999998</v>
      </c>
      <c r="P2" s="3">
        <f>ABS(E2-E3)/(2*$D$39)/1000</f>
        <v>2.4249999999999998</v>
      </c>
      <c r="Q2" s="3">
        <f>ABS(F2-F3)/(2*$D$39)/1000</f>
        <v>2.4300000000000002</v>
      </c>
      <c r="R2" s="3">
        <f>ABS(G2-G3)/(2*$D$39)/1000</f>
        <v>2.4300000000000002</v>
      </c>
      <c r="S2" s="3">
        <f>ABS(H2-H3)/(2*$D$39)/1000</f>
        <v>2.42</v>
      </c>
      <c r="X2" s="23">
        <f>O2</f>
        <v>2.4249999999999998</v>
      </c>
      <c r="Y2" s="23">
        <f>O3</f>
        <v>1.915</v>
      </c>
      <c r="Z2" s="21">
        <f>O7</f>
        <v>1.2663185378590076</v>
      </c>
      <c r="AA2" s="23">
        <f>O4</f>
        <v>2.4249999999999998</v>
      </c>
      <c r="AB2" s="23">
        <f>O5</f>
        <v>1.915</v>
      </c>
      <c r="AC2" s="21">
        <f>O8</f>
        <v>1.2663185378590076</v>
      </c>
    </row>
    <row r="3" spans="1:29" x14ac:dyDescent="0.25">
      <c r="A3" s="5" t="s">
        <v>31</v>
      </c>
      <c r="B3" s="6">
        <v>2</v>
      </c>
      <c r="C3" s="6"/>
      <c r="D3" s="4">
        <v>0.24099999999999999</v>
      </c>
      <c r="E3" s="4">
        <v>0.24099999999999999</v>
      </c>
      <c r="F3" s="4">
        <v>0.24199999999999999</v>
      </c>
      <c r="G3" s="4">
        <v>0.24199999999999999</v>
      </c>
      <c r="H3" s="4">
        <v>0.24099999999999999</v>
      </c>
      <c r="I3" s="3">
        <f t="shared" ref="I3:I9" si="0">AVERAGE(D3:H3)</f>
        <v>0.24139999999999998</v>
      </c>
      <c r="J3" s="11">
        <f t="shared" ref="J3:J9" si="1">_xlfn.STDEV.P(D3:H3)</f>
        <v>4.8989794855663611E-4</v>
      </c>
      <c r="K3" s="3">
        <f t="shared" ref="K3:K9" si="2">I3/1000</f>
        <v>2.4139999999999999E-4</v>
      </c>
      <c r="L3" s="11">
        <f t="shared" ref="L3:L9" si="3">J3/1000</f>
        <v>4.898979485566361E-7</v>
      </c>
      <c r="N3" s="7" t="s">
        <v>41</v>
      </c>
      <c r="O3" s="3">
        <f>ABS(D4-D5)/(2*$D$39)/1000</f>
        <v>1.915</v>
      </c>
      <c r="P3" s="3">
        <f>ABS(E4-E5)/(2*$D$39)/1000</f>
        <v>1.915</v>
      </c>
      <c r="Q3" s="3">
        <f>ABS(F4-F5)/(2*$D$39)/1000</f>
        <v>1.915</v>
      </c>
      <c r="R3" s="3">
        <f>ABS(G4-G5)/(2*$D$39)/1000</f>
        <v>1.915</v>
      </c>
      <c r="S3" s="3">
        <f>ABS(H4-H5)/(2*$D$39)/1000</f>
        <v>1.915</v>
      </c>
      <c r="X3" s="23">
        <f>P2</f>
        <v>2.4249999999999998</v>
      </c>
      <c r="Y3" s="23">
        <f>P3</f>
        <v>1.915</v>
      </c>
      <c r="Z3" s="21">
        <f>P7</f>
        <v>1.2663185378590076</v>
      </c>
      <c r="AA3" s="23">
        <f>P4</f>
        <v>2.4249999999999998</v>
      </c>
      <c r="AB3" s="23">
        <f>P5</f>
        <v>1.915</v>
      </c>
      <c r="AC3" s="21">
        <f>P8</f>
        <v>1.2663185378590076</v>
      </c>
    </row>
    <row r="4" spans="1:29" x14ac:dyDescent="0.25">
      <c r="A4" s="5" t="s">
        <v>32</v>
      </c>
      <c r="B4" s="6">
        <v>3</v>
      </c>
      <c r="C4" s="6"/>
      <c r="D4" s="4">
        <v>-0.193</v>
      </c>
      <c r="E4" s="4">
        <v>-0.193</v>
      </c>
      <c r="F4" s="4">
        <v>-0.193</v>
      </c>
      <c r="G4" s="4">
        <v>-0.193</v>
      </c>
      <c r="H4" s="4">
        <v>-0.193</v>
      </c>
      <c r="I4" s="3">
        <f t="shared" si="0"/>
        <v>-0.193</v>
      </c>
      <c r="J4" s="11">
        <f t="shared" si="1"/>
        <v>0</v>
      </c>
      <c r="K4" s="3">
        <f t="shared" si="2"/>
        <v>-1.93E-4</v>
      </c>
      <c r="L4" s="11">
        <f t="shared" si="3"/>
        <v>0</v>
      </c>
      <c r="N4" s="7" t="s">
        <v>42</v>
      </c>
      <c r="O4" s="3">
        <f>ABS(D6-D7)/(2*$D$39)/1000</f>
        <v>2.4249999999999998</v>
      </c>
      <c r="P4" s="3">
        <f>ABS(E6-E7)/(2*$D$39)/1000</f>
        <v>2.4249999999999998</v>
      </c>
      <c r="Q4" s="3">
        <f>ABS(F6-F7)/(2*$D$39)/1000</f>
        <v>2.4249999999999998</v>
      </c>
      <c r="R4" s="3">
        <f>ABS(G6-G7)/(2*$D$39)/1000</f>
        <v>2.4249999999999998</v>
      </c>
      <c r="S4" s="3">
        <f>ABS(H6-H7)/(2*$D$39)/1000</f>
        <v>2.42</v>
      </c>
      <c r="X4" s="23">
        <f>Q2</f>
        <v>2.4300000000000002</v>
      </c>
      <c r="Y4" s="23">
        <f>Q3</f>
        <v>1.915</v>
      </c>
      <c r="Z4" s="21">
        <f>Q7</f>
        <v>1.2689295039164492</v>
      </c>
      <c r="AA4" s="23">
        <f>Q4</f>
        <v>2.4249999999999998</v>
      </c>
      <c r="AB4" s="23">
        <f>Q5</f>
        <v>1.915</v>
      </c>
      <c r="AC4" s="21">
        <f>Q8</f>
        <v>1.2663185378590076</v>
      </c>
    </row>
    <row r="5" spans="1:29" x14ac:dyDescent="0.25">
      <c r="A5" s="5" t="s">
        <v>33</v>
      </c>
      <c r="B5" s="6">
        <v>4</v>
      </c>
      <c r="C5" s="6"/>
      <c r="D5" s="4">
        <v>0.19</v>
      </c>
      <c r="E5" s="4">
        <v>0.19</v>
      </c>
      <c r="F5" s="4">
        <v>0.19</v>
      </c>
      <c r="G5" s="4">
        <v>0.19</v>
      </c>
      <c r="H5" s="4">
        <v>0.19</v>
      </c>
      <c r="I5" s="3">
        <f t="shared" si="0"/>
        <v>0.19</v>
      </c>
      <c r="J5" s="11">
        <f t="shared" si="1"/>
        <v>0</v>
      </c>
      <c r="K5" s="3">
        <f t="shared" si="2"/>
        <v>1.9000000000000001E-4</v>
      </c>
      <c r="L5" s="11">
        <f t="shared" si="3"/>
        <v>0</v>
      </c>
      <c r="N5" s="7" t="s">
        <v>43</v>
      </c>
      <c r="O5" s="3">
        <f>ABS(D8-D9)/(2*$D$39)/1000</f>
        <v>1.915</v>
      </c>
      <c r="P5" s="3">
        <f>ABS(E8-E9)/(2*$D$39)/1000</f>
        <v>1.915</v>
      </c>
      <c r="Q5" s="3">
        <f>ABS(F8-F9)/(2*$D$39)/1000</f>
        <v>1.915</v>
      </c>
      <c r="R5" s="3">
        <f>ABS(G8-G9)/(2*$D$39)/1000</f>
        <v>1.91</v>
      </c>
      <c r="S5" s="3">
        <f>ABS(H8-H9)/(2*$D$39)/1000</f>
        <v>1.915</v>
      </c>
      <c r="X5" s="23">
        <f>R2</f>
        <v>2.4300000000000002</v>
      </c>
      <c r="Y5" s="23">
        <f>R3</f>
        <v>1.915</v>
      </c>
      <c r="Z5" s="21">
        <f>R7</f>
        <v>1.2689295039164492</v>
      </c>
      <c r="AA5" s="23">
        <f>R4</f>
        <v>2.4249999999999998</v>
      </c>
      <c r="AB5" s="23">
        <f>R5</f>
        <v>1.91</v>
      </c>
      <c r="AC5" s="21">
        <f>R8</f>
        <v>1.2696335078534031</v>
      </c>
    </row>
    <row r="6" spans="1:29" x14ac:dyDescent="0.25">
      <c r="A6" s="5" t="s">
        <v>34</v>
      </c>
      <c r="B6" s="6">
        <v>5</v>
      </c>
      <c r="C6" s="6"/>
      <c r="D6" s="4">
        <v>-0.24299999999999999</v>
      </c>
      <c r="E6" s="4">
        <v>-0.24299999999999999</v>
      </c>
      <c r="F6" s="4">
        <v>-0.24299999999999999</v>
      </c>
      <c r="G6" s="4">
        <v>-0.24299999999999999</v>
      </c>
      <c r="H6" s="4">
        <v>-0.24199999999999999</v>
      </c>
      <c r="I6" s="3">
        <f t="shared" si="0"/>
        <v>-0.24279999999999999</v>
      </c>
      <c r="J6" s="11">
        <f t="shared" si="1"/>
        <v>4.0000000000000034E-4</v>
      </c>
      <c r="K6" s="3">
        <f t="shared" si="2"/>
        <v>-2.4279999999999999E-4</v>
      </c>
      <c r="L6" s="11">
        <f t="shared" si="3"/>
        <v>4.0000000000000035E-7</v>
      </c>
      <c r="N6" s="10"/>
      <c r="X6" s="23">
        <f>S2</f>
        <v>2.42</v>
      </c>
      <c r="Y6" s="23">
        <f>S3</f>
        <v>1.915</v>
      </c>
      <c r="Z6" s="21">
        <f>S7</f>
        <v>1.2637075718015665</v>
      </c>
      <c r="AA6" s="23">
        <f>S4</f>
        <v>2.42</v>
      </c>
      <c r="AB6" s="23">
        <f>S5</f>
        <v>1.915</v>
      </c>
      <c r="AC6" s="21">
        <f>S8</f>
        <v>1.2637075718015665</v>
      </c>
    </row>
    <row r="7" spans="1:29" x14ac:dyDescent="0.25">
      <c r="A7" s="5" t="s">
        <v>35</v>
      </c>
      <c r="B7" s="6">
        <v>6</v>
      </c>
      <c r="C7" s="6"/>
      <c r="D7" s="4">
        <v>0.24199999999999999</v>
      </c>
      <c r="E7" s="4">
        <v>0.24199999999999999</v>
      </c>
      <c r="F7" s="4">
        <v>0.24199999999999999</v>
      </c>
      <c r="G7" s="4">
        <v>0.24199999999999999</v>
      </c>
      <c r="H7" s="4">
        <v>0.24199999999999999</v>
      </c>
      <c r="I7" s="3">
        <f t="shared" si="0"/>
        <v>0.24199999999999999</v>
      </c>
      <c r="J7" s="11">
        <f t="shared" si="1"/>
        <v>0</v>
      </c>
      <c r="K7" s="3">
        <f t="shared" si="2"/>
        <v>2.42E-4</v>
      </c>
      <c r="L7" s="11">
        <f t="shared" si="3"/>
        <v>0</v>
      </c>
      <c r="N7" s="7" t="s">
        <v>47</v>
      </c>
      <c r="O7" s="3">
        <f>O2/O3</f>
        <v>1.2663185378590076</v>
      </c>
      <c r="P7" s="3">
        <f>P2/P3</f>
        <v>1.2663185378590076</v>
      </c>
      <c r="Q7" s="3">
        <f>Q2/Q3</f>
        <v>1.2689295039164492</v>
      </c>
      <c r="R7" s="3">
        <f>R2/R3</f>
        <v>1.2689295039164492</v>
      </c>
      <c r="S7" s="3">
        <f>S2/S3</f>
        <v>1.2637075718015665</v>
      </c>
    </row>
    <row r="8" spans="1:29" x14ac:dyDescent="0.25">
      <c r="A8" s="5" t="s">
        <v>36</v>
      </c>
      <c r="B8" s="6">
        <v>7</v>
      </c>
      <c r="C8" s="6"/>
      <c r="D8" s="4">
        <v>-0.193</v>
      </c>
      <c r="E8" s="4">
        <v>-0.192</v>
      </c>
      <c r="F8" s="4">
        <v>-0.193</v>
      </c>
      <c r="G8" s="4">
        <v>-0.192</v>
      </c>
      <c r="H8" s="4">
        <v>-0.192</v>
      </c>
      <c r="I8" s="3">
        <f t="shared" si="0"/>
        <v>-0.19239999999999999</v>
      </c>
      <c r="J8" s="11">
        <f t="shared" si="1"/>
        <v>4.8989794855663611E-4</v>
      </c>
      <c r="K8" s="3">
        <f t="shared" si="2"/>
        <v>-1.9239999999999999E-4</v>
      </c>
      <c r="L8" s="11">
        <f t="shared" si="3"/>
        <v>4.898979485566361E-7</v>
      </c>
      <c r="N8" s="7" t="s">
        <v>48</v>
      </c>
      <c r="O8" s="3">
        <f>O4/O5</f>
        <v>1.2663185378590076</v>
      </c>
      <c r="P8" s="3">
        <f>P4/P5</f>
        <v>1.2663185378590076</v>
      </c>
      <c r="Q8" s="3">
        <f>Q4/Q5</f>
        <v>1.2663185378590076</v>
      </c>
      <c r="R8" s="3">
        <f>R4/R5</f>
        <v>1.2696335078534031</v>
      </c>
      <c r="S8" s="3">
        <f>S4/S5</f>
        <v>1.2637075718015665</v>
      </c>
    </row>
    <row r="9" spans="1:29" x14ac:dyDescent="0.25">
      <c r="A9" s="5" t="s">
        <v>37</v>
      </c>
      <c r="B9" s="6">
        <v>8</v>
      </c>
      <c r="C9" s="6"/>
      <c r="D9" s="4">
        <v>0.19</v>
      </c>
      <c r="E9" s="4">
        <v>0.191</v>
      </c>
      <c r="F9" s="4">
        <v>0.19</v>
      </c>
      <c r="G9" s="4">
        <v>0.19</v>
      </c>
      <c r="H9" s="4">
        <v>0.191</v>
      </c>
      <c r="I9" s="3">
        <f t="shared" si="0"/>
        <v>0.19039999999999999</v>
      </c>
      <c r="J9" s="11">
        <f t="shared" si="1"/>
        <v>4.89897948556636E-4</v>
      </c>
      <c r="K9" s="3">
        <f t="shared" si="2"/>
        <v>1.9039999999999999E-4</v>
      </c>
      <c r="L9" s="11">
        <f t="shared" si="3"/>
        <v>4.8989794855663599E-7</v>
      </c>
      <c r="N9" s="7"/>
      <c r="X9" s="21">
        <f>O10</f>
        <v>9.8352215077650111</v>
      </c>
      <c r="Y9" s="21">
        <f>O11</f>
        <v>9.8352215077650111</v>
      </c>
      <c r="Z9" s="21">
        <f>AVERAGE(X9:Y9)</f>
        <v>9.8352215077650111</v>
      </c>
    </row>
    <row r="10" spans="1:29" x14ac:dyDescent="0.25">
      <c r="A10" s="5"/>
      <c r="B10" s="7"/>
      <c r="C10" s="7"/>
      <c r="N10" s="7"/>
      <c r="O10" s="3">
        <f>(PI()*$D$35/(LN(2)))*((O2+O3)/2)</f>
        <v>9.8352215077650111</v>
      </c>
      <c r="P10" s="3">
        <f>(PI()*$D$35/(LN(2)))*((P2+P3)/2)</f>
        <v>9.8352215077650111</v>
      </c>
      <c r="Q10" s="3">
        <f>(PI()*$D$35/(LN(2)))*((Q2+Q3)/2)</f>
        <v>9.8465524081195799</v>
      </c>
      <c r="R10" s="3">
        <f>(PI()*$D$35/(LN(2)))*((R2+R3)/2)</f>
        <v>9.8465524081195799</v>
      </c>
      <c r="S10" s="3">
        <f>(PI()*$D$35/(LN(2)))*((S2+S3)/2)</f>
        <v>9.8238906074104424</v>
      </c>
      <c r="U10" s="16">
        <f>AVERAGE(O10:S10)</f>
        <v>9.8374876878359245</v>
      </c>
      <c r="V10" s="15">
        <f>_xlfn.STDEV.P(O10:S10)</f>
        <v>8.4792694020943207E-3</v>
      </c>
      <c r="X10" s="21">
        <f>P10</f>
        <v>9.8352215077650111</v>
      </c>
      <c r="Y10" s="21">
        <f>P11</f>
        <v>9.8352215077650111</v>
      </c>
      <c r="Z10" s="21">
        <f t="shared" ref="Z10:Z13" si="4">AVERAGE(X10:Y10)</f>
        <v>9.8352215077650111</v>
      </c>
    </row>
    <row r="11" spans="1:29" x14ac:dyDescent="0.25">
      <c r="O11" s="3">
        <f>(PI()*$D$35/(LN(2)))*((O4+O5)/2)</f>
        <v>9.8352215077650111</v>
      </c>
      <c r="P11" s="3">
        <f>(PI()*$D$35/(LN(2)))*((P4+P5)/2)</f>
        <v>9.8352215077650111</v>
      </c>
      <c r="Q11" s="3">
        <f>(PI()*$D$35/(LN(2)))*((Q4+Q5)/2)</f>
        <v>9.8352215077650111</v>
      </c>
      <c r="R11" s="3">
        <f>(PI()*$D$35/(LN(2)))*((R4+R5)/2)</f>
        <v>9.8238906074104424</v>
      </c>
      <c r="S11" s="3">
        <f>(PI()*$D$35/(LN(2)))*((S4+S5)/2)</f>
        <v>9.8238906074104424</v>
      </c>
      <c r="U11" s="16">
        <f>AVERAGE(O11:S11)</f>
        <v>9.8306891476231826</v>
      </c>
      <c r="V11" s="15">
        <f>_xlfn.STDEV.P(O11:S11)</f>
        <v>5.5509848390028812E-3</v>
      </c>
      <c r="X11" s="21">
        <f>Q10</f>
        <v>9.8465524081195799</v>
      </c>
      <c r="Y11" s="21">
        <f>Q11</f>
        <v>9.8352215077650111</v>
      </c>
      <c r="Z11" s="21">
        <f t="shared" si="4"/>
        <v>9.8408869579422955</v>
      </c>
    </row>
    <row r="12" spans="1:29" x14ac:dyDescent="0.25">
      <c r="X12" s="21">
        <f>R10</f>
        <v>9.8465524081195799</v>
      </c>
      <c r="Y12" s="21">
        <f>R11</f>
        <v>9.8238906074104424</v>
      </c>
      <c r="Z12" s="21">
        <f t="shared" si="4"/>
        <v>9.8352215077650111</v>
      </c>
    </row>
    <row r="13" spans="1:29" x14ac:dyDescent="0.25">
      <c r="U13" s="14">
        <f>(U10+U11)/2</f>
        <v>9.8340884177295536</v>
      </c>
      <c r="V13" s="18">
        <f>(V10+V11)/2</f>
        <v>7.015127120548601E-3</v>
      </c>
      <c r="X13" s="21">
        <f>S10</f>
        <v>9.8238906074104424</v>
      </c>
      <c r="Y13" s="21">
        <f>S11</f>
        <v>9.8238906074104424</v>
      </c>
      <c r="Z13" s="21">
        <f t="shared" si="4"/>
        <v>9.8238906074104424</v>
      </c>
    </row>
    <row r="19" spans="1:27" x14ac:dyDescent="0.25">
      <c r="A19" s="5"/>
      <c r="B19" s="6" t="s">
        <v>3</v>
      </c>
      <c r="C19" s="7"/>
      <c r="O19" t="s">
        <v>59</v>
      </c>
      <c r="P19" t="s">
        <v>62</v>
      </c>
      <c r="W19" t="s">
        <v>77</v>
      </c>
      <c r="X19" s="7" t="s">
        <v>55</v>
      </c>
      <c r="Y19" s="7" t="s">
        <v>56</v>
      </c>
      <c r="Z19" s="7" t="s">
        <v>57</v>
      </c>
      <c r="AA19" s="7" t="s">
        <v>58</v>
      </c>
    </row>
    <row r="20" spans="1:27" x14ac:dyDescent="0.25">
      <c r="A20" s="5" t="s">
        <v>30</v>
      </c>
      <c r="B20" s="7">
        <v>1</v>
      </c>
      <c r="C20" s="7" t="s">
        <v>19</v>
      </c>
      <c r="D20" s="4">
        <v>-8.0000000000000002E-3</v>
      </c>
      <c r="E20" s="4">
        <v>-8.0000000000000002E-3</v>
      </c>
      <c r="F20" s="4">
        <v>-8.0000000000000002E-3</v>
      </c>
      <c r="G20" s="4">
        <v>-7.0000000000000001E-3</v>
      </c>
      <c r="H20" s="4">
        <v>-7.0000000000000001E-3</v>
      </c>
      <c r="I20" s="3">
        <f>AVERAGE(D20:H20)</f>
        <v>-7.6E-3</v>
      </c>
      <c r="J20" s="11">
        <f>_xlfn.STDEV.P(D20:H20)</f>
        <v>4.8989794855663557E-4</v>
      </c>
      <c r="K20" s="3">
        <f>I20/1000</f>
        <v>-7.6000000000000001E-6</v>
      </c>
      <c r="L20" s="11">
        <f>J20/1000</f>
        <v>4.8989794855663557E-7</v>
      </c>
      <c r="N20" s="17" t="s">
        <v>55</v>
      </c>
      <c r="O20" s="3">
        <f>(D20-D28)</f>
        <v>4.2999999999999997E-2</v>
      </c>
      <c r="P20" s="3">
        <f t="shared" ref="P20:S20" si="5">(E20-E28)</f>
        <v>4.2999999999999997E-2</v>
      </c>
      <c r="Q20" s="3">
        <f t="shared" si="5"/>
        <v>4.2999999999999997E-2</v>
      </c>
      <c r="R20" s="3">
        <f t="shared" si="5"/>
        <v>4.3999999999999997E-2</v>
      </c>
      <c r="S20" s="3">
        <f t="shared" si="5"/>
        <v>4.3000000000000003E-2</v>
      </c>
      <c r="X20" s="21">
        <f>O20</f>
        <v>4.2999999999999997E-2</v>
      </c>
      <c r="Y20" s="21">
        <f>O21</f>
        <v>-4.5000000000000005E-2</v>
      </c>
      <c r="Z20" s="21">
        <f>O22</f>
        <v>-4.5000000000000005E-2</v>
      </c>
      <c r="AA20" s="21">
        <f>O23</f>
        <v>4.5999999999999999E-2</v>
      </c>
    </row>
    <row r="21" spans="1:27" x14ac:dyDescent="0.25">
      <c r="A21" s="5" t="s">
        <v>31</v>
      </c>
      <c r="B21" s="7">
        <v>2</v>
      </c>
      <c r="C21" s="7" t="s">
        <v>19</v>
      </c>
      <c r="D21" s="4">
        <v>5.0000000000000001E-3</v>
      </c>
      <c r="E21" s="4">
        <v>6.0000000000000001E-3</v>
      </c>
      <c r="F21" s="4">
        <v>6.0000000000000001E-3</v>
      </c>
      <c r="G21" s="4">
        <v>6.0000000000000001E-3</v>
      </c>
      <c r="H21" s="4">
        <v>6.0000000000000001E-3</v>
      </c>
      <c r="I21" s="3">
        <f>AVERAGE(D21:H21)</f>
        <v>5.7999999999999996E-3</v>
      </c>
      <c r="J21" s="11">
        <f>_xlfn.STDEV.P(D21:H21)</f>
        <v>4.0000000000000002E-4</v>
      </c>
      <c r="K21" s="3">
        <f>I21/1000</f>
        <v>5.7999999999999995E-6</v>
      </c>
      <c r="L21" s="11">
        <f>J21/1000</f>
        <v>4.0000000000000003E-7</v>
      </c>
      <c r="N21" s="17" t="s">
        <v>56</v>
      </c>
      <c r="O21" s="3">
        <f>(D21-D29)</f>
        <v>-4.5000000000000005E-2</v>
      </c>
      <c r="P21" s="3">
        <f t="shared" ref="P21:S21" si="6">(E21-E29)</f>
        <v>-4.4000000000000004E-2</v>
      </c>
      <c r="Q21" s="3">
        <f t="shared" si="6"/>
        <v>-4.4000000000000004E-2</v>
      </c>
      <c r="R21" s="3">
        <f t="shared" si="6"/>
        <v>-4.4000000000000004E-2</v>
      </c>
      <c r="S21" s="3">
        <f t="shared" si="6"/>
        <v>-4.4999999999999998E-2</v>
      </c>
      <c r="X21" s="21">
        <f>P20</f>
        <v>4.2999999999999997E-2</v>
      </c>
      <c r="Y21" s="21">
        <f>P21</f>
        <v>-4.4000000000000004E-2</v>
      </c>
      <c r="Z21" s="21">
        <f>P22</f>
        <v>-4.6000000000000006E-2</v>
      </c>
      <c r="AA21" s="21">
        <f>P23</f>
        <v>4.4999999999999998E-2</v>
      </c>
    </row>
    <row r="22" spans="1:27" x14ac:dyDescent="0.25">
      <c r="A22" s="5" t="s">
        <v>32</v>
      </c>
      <c r="B22" s="7">
        <v>3</v>
      </c>
      <c r="C22" s="7" t="s">
        <v>19</v>
      </c>
      <c r="D22" s="4">
        <v>9.4E-2</v>
      </c>
      <c r="E22" s="4">
        <v>9.4E-2</v>
      </c>
      <c r="F22" s="4">
        <v>9.4E-2</v>
      </c>
      <c r="G22" s="4">
        <v>9.5000000000000001E-2</v>
      </c>
      <c r="H22" s="4">
        <v>9.5000000000000001E-2</v>
      </c>
      <c r="I22" s="3">
        <f>AVERAGE(D22:H22)</f>
        <v>9.4399999999999998E-2</v>
      </c>
      <c r="J22" s="11">
        <f>_xlfn.STDEV.P(D22:H22)</f>
        <v>4.89897948556636E-4</v>
      </c>
      <c r="K22" s="3">
        <f>I22/1000</f>
        <v>9.4400000000000004E-5</v>
      </c>
      <c r="L22" s="11">
        <f>J22/1000</f>
        <v>4.8989794855663599E-7</v>
      </c>
      <c r="N22" s="17" t="s">
        <v>57</v>
      </c>
      <c r="O22" s="3">
        <f>(D24-D28)</f>
        <v>-4.5000000000000005E-2</v>
      </c>
      <c r="P22" s="3">
        <f t="shared" ref="P22:S22" si="7">(E24-E28)</f>
        <v>-4.6000000000000006E-2</v>
      </c>
      <c r="Q22" s="3">
        <f t="shared" si="7"/>
        <v>-4.5000000000000005E-2</v>
      </c>
      <c r="R22" s="3">
        <f t="shared" si="7"/>
        <v>-4.5000000000000005E-2</v>
      </c>
      <c r="S22" s="3">
        <f t="shared" si="7"/>
        <v>-4.4999999999999998E-2</v>
      </c>
      <c r="X22" s="21">
        <f>Q20</f>
        <v>4.2999999999999997E-2</v>
      </c>
      <c r="Y22" s="21">
        <f>Q21</f>
        <v>-4.4000000000000004E-2</v>
      </c>
      <c r="Z22" s="21">
        <f>Q22</f>
        <v>-4.5000000000000005E-2</v>
      </c>
      <c r="AA22" s="21">
        <f>Q23</f>
        <v>4.4999999999999998E-2</v>
      </c>
    </row>
    <row r="23" spans="1:27" x14ac:dyDescent="0.25">
      <c r="A23" s="5" t="s">
        <v>33</v>
      </c>
      <c r="B23" s="7">
        <v>4</v>
      </c>
      <c r="C23" s="7" t="s">
        <v>19</v>
      </c>
      <c r="D23" s="4">
        <v>-9.7000000000000003E-2</v>
      </c>
      <c r="E23" s="4">
        <v>-9.6000000000000002E-2</v>
      </c>
      <c r="F23" s="4">
        <v>-9.6500000000000002E-2</v>
      </c>
      <c r="G23" s="4">
        <v>-9.6000000000000002E-2</v>
      </c>
      <c r="H23" s="4">
        <v>-9.6000000000000002E-2</v>
      </c>
      <c r="I23" s="3">
        <f>AVERAGE(D23:H23)</f>
        <v>-9.6299999999999983E-2</v>
      </c>
      <c r="J23" s="11">
        <f>_xlfn.STDEV.P(D23:H23)</f>
        <v>4.0000000000000034E-4</v>
      </c>
      <c r="K23" s="3">
        <f>I23/1000</f>
        <v>-9.6299999999999983E-5</v>
      </c>
      <c r="L23" s="11">
        <f>J23/1000</f>
        <v>4.0000000000000035E-7</v>
      </c>
      <c r="N23" s="17" t="s">
        <v>58</v>
      </c>
      <c r="O23" s="3">
        <f>(D25-D29)</f>
        <v>4.5999999999999999E-2</v>
      </c>
      <c r="P23" s="3">
        <f t="shared" ref="P23:S23" si="8">(E25-E29)</f>
        <v>4.4999999999999998E-2</v>
      </c>
      <c r="Q23" s="3">
        <f t="shared" si="8"/>
        <v>4.4999999999999998E-2</v>
      </c>
      <c r="R23" s="3">
        <f t="shared" si="8"/>
        <v>4.5999999999999999E-2</v>
      </c>
      <c r="S23" s="3">
        <f t="shared" si="8"/>
        <v>4.4000000000000004E-2</v>
      </c>
      <c r="X23" s="21">
        <f>R20</f>
        <v>4.3999999999999997E-2</v>
      </c>
      <c r="Y23" s="21">
        <f>R21</f>
        <v>-4.4000000000000004E-2</v>
      </c>
      <c r="Z23" s="21">
        <f>R22</f>
        <v>-4.5000000000000005E-2</v>
      </c>
      <c r="AA23" s="21">
        <f>R23</f>
        <v>4.5999999999999999E-2</v>
      </c>
    </row>
    <row r="24" spans="1:27" x14ac:dyDescent="0.25">
      <c r="A24" s="5" t="s">
        <v>34</v>
      </c>
      <c r="B24" s="7">
        <v>5</v>
      </c>
      <c r="C24" s="7" t="s">
        <v>20</v>
      </c>
      <c r="D24" s="4">
        <v>-9.6000000000000002E-2</v>
      </c>
      <c r="E24" s="4">
        <v>-9.7000000000000003E-2</v>
      </c>
      <c r="F24" s="4">
        <v>-9.6000000000000002E-2</v>
      </c>
      <c r="G24" s="4">
        <v>-9.6000000000000002E-2</v>
      </c>
      <c r="H24" s="4">
        <v>-9.5000000000000001E-2</v>
      </c>
      <c r="I24" s="3">
        <f>AVERAGE(D24:H24)</f>
        <v>-9.6000000000000002E-2</v>
      </c>
      <c r="J24" s="11">
        <f>_xlfn.STDEV.P(D24:H24)</f>
        <v>6.3245553203367642E-4</v>
      </c>
      <c r="K24" s="3">
        <f>I24/1000</f>
        <v>-9.6000000000000002E-5</v>
      </c>
      <c r="L24" s="11">
        <f>J24/1000</f>
        <v>6.3245553203367647E-7</v>
      </c>
      <c r="X24" s="21">
        <f>S20</f>
        <v>4.3000000000000003E-2</v>
      </c>
      <c r="Y24" s="21">
        <f>S21</f>
        <v>-4.4999999999999998E-2</v>
      </c>
      <c r="Z24" s="21">
        <f>S22</f>
        <v>-4.4999999999999998E-2</v>
      </c>
      <c r="AA24" s="21">
        <f>S23</f>
        <v>4.4000000000000004E-2</v>
      </c>
    </row>
    <row r="25" spans="1:27" x14ac:dyDescent="0.25">
      <c r="A25" s="5" t="s">
        <v>35</v>
      </c>
      <c r="B25" s="7">
        <v>6</v>
      </c>
      <c r="C25" s="7" t="s">
        <v>20</v>
      </c>
      <c r="D25" s="4">
        <v>9.6000000000000002E-2</v>
      </c>
      <c r="E25" s="4">
        <v>9.5000000000000001E-2</v>
      </c>
      <c r="F25" s="4">
        <v>9.5000000000000001E-2</v>
      </c>
      <c r="G25" s="4">
        <v>9.6000000000000002E-2</v>
      </c>
      <c r="H25" s="4">
        <v>9.5000000000000001E-2</v>
      </c>
      <c r="I25" s="3">
        <f>AVERAGE(D25:H25)</f>
        <v>9.5399999999999999E-2</v>
      </c>
      <c r="J25" s="11">
        <f>_xlfn.STDEV.P(D25:H25)</f>
        <v>4.89897948556636E-4</v>
      </c>
      <c r="K25" s="3">
        <f>I25/1000</f>
        <v>9.5400000000000001E-5</v>
      </c>
      <c r="L25" s="11">
        <f>J25/1000</f>
        <v>4.8989794855663599E-7</v>
      </c>
      <c r="N25" s="7" t="s">
        <v>60</v>
      </c>
      <c r="O25" s="3">
        <f>(O20-O21)/2</f>
        <v>4.3999999999999997E-2</v>
      </c>
      <c r="P25" s="3">
        <f>(P20-P21)/2</f>
        <v>4.3499999999999997E-2</v>
      </c>
      <c r="Q25" s="3">
        <f>(Q20-Q21)/2</f>
        <v>4.3499999999999997E-2</v>
      </c>
      <c r="R25" s="3">
        <f>(R20-R21)/2</f>
        <v>4.3999999999999997E-2</v>
      </c>
      <c r="S25" s="3">
        <f>(S20-S21)/2</f>
        <v>4.3999999999999997E-2</v>
      </c>
      <c r="X25" s="22"/>
      <c r="Y25" s="22"/>
      <c r="Z25" s="22"/>
      <c r="AA25" s="22"/>
    </row>
    <row r="26" spans="1:27" x14ac:dyDescent="0.25">
      <c r="A26" s="5" t="s">
        <v>36</v>
      </c>
      <c r="B26" s="7">
        <v>7</v>
      </c>
      <c r="C26" s="7" t="s">
        <v>20</v>
      </c>
      <c r="D26" s="4">
        <v>5.0000000000000001E-3</v>
      </c>
      <c r="E26" s="4">
        <v>5.0000000000000001E-3</v>
      </c>
      <c r="F26" s="4">
        <v>5.0000000000000001E-3</v>
      </c>
      <c r="G26" s="4">
        <v>5.0000000000000001E-3</v>
      </c>
      <c r="H26" s="4">
        <v>6.0000000000000001E-3</v>
      </c>
      <c r="I26" s="3">
        <f>AVERAGE(D26:H26)</f>
        <v>5.2000000000000006E-3</v>
      </c>
      <c r="J26" s="11">
        <f>_xlfn.STDEV.P(D26:H26)</f>
        <v>4.0000000000000002E-4</v>
      </c>
      <c r="K26" s="3">
        <f>I26/1000</f>
        <v>5.200000000000001E-6</v>
      </c>
      <c r="L26" s="11">
        <f>J26/1000</f>
        <v>4.0000000000000003E-7</v>
      </c>
      <c r="N26" s="7" t="s">
        <v>61</v>
      </c>
      <c r="O26" s="3">
        <f>-(O22-O23)/2</f>
        <v>4.5499999999999999E-2</v>
      </c>
      <c r="P26" s="3">
        <f>-(P22-P23)/2</f>
        <v>4.5499999999999999E-2</v>
      </c>
      <c r="Q26" s="3">
        <f>-(Q22-Q23)/2</f>
        <v>4.4999999999999998E-2</v>
      </c>
      <c r="R26" s="3">
        <f>-(R22-R23)/2</f>
        <v>4.5499999999999999E-2</v>
      </c>
      <c r="S26" s="3">
        <f>-(S22-S23)/2</f>
        <v>4.4499999999999998E-2</v>
      </c>
      <c r="X26" s="24" t="s">
        <v>60</v>
      </c>
      <c r="Y26" s="24" t="s">
        <v>61</v>
      </c>
      <c r="Z26" s="24" t="s">
        <v>63</v>
      </c>
      <c r="AA26" s="24" t="s">
        <v>64</v>
      </c>
    </row>
    <row r="27" spans="1:27" x14ac:dyDescent="0.25">
      <c r="A27" s="5" t="s">
        <v>37</v>
      </c>
      <c r="B27" s="7">
        <v>8</v>
      </c>
      <c r="C27" s="7" t="s">
        <v>20</v>
      </c>
      <c r="D27" s="4">
        <v>-8.0000000000000002E-3</v>
      </c>
      <c r="E27" s="4">
        <v>-8.0000000000000002E-3</v>
      </c>
      <c r="F27" s="4">
        <v>-8.0000000000000002E-3</v>
      </c>
      <c r="G27" s="4">
        <v>-8.0000000000000002E-3</v>
      </c>
      <c r="H27" s="4">
        <v>-7.0000000000000001E-3</v>
      </c>
      <c r="I27" s="3">
        <f>AVERAGE(D27:H27)</f>
        <v>-7.7999999999999996E-3</v>
      </c>
      <c r="J27" s="11">
        <f>_xlfn.STDEV.P(D27:H27)</f>
        <v>4.0000000000000002E-4</v>
      </c>
      <c r="K27" s="3">
        <f>I27/1000</f>
        <v>-7.7999999999999999E-6</v>
      </c>
      <c r="L27" s="11">
        <f>J27/1000</f>
        <v>4.0000000000000003E-7</v>
      </c>
      <c r="X27" s="21">
        <f>O25</f>
        <v>4.3999999999999997E-2</v>
      </c>
      <c r="Y27" s="21">
        <f>O26</f>
        <v>4.5499999999999999E-2</v>
      </c>
      <c r="Z27" s="21">
        <f>O28</f>
        <v>3.1884057971014488</v>
      </c>
      <c r="AA27" s="21">
        <f>O29</f>
        <v>3.2971014492753619</v>
      </c>
    </row>
    <row r="28" spans="1:27" x14ac:dyDescent="0.25">
      <c r="A28" s="5" t="s">
        <v>38</v>
      </c>
      <c r="B28" s="7">
        <v>9</v>
      </c>
      <c r="C28" s="7">
        <v>0</v>
      </c>
      <c r="D28" s="4">
        <v>-5.0999999999999997E-2</v>
      </c>
      <c r="E28" s="4">
        <v>-5.0999999999999997E-2</v>
      </c>
      <c r="F28" s="4">
        <v>-5.0999999999999997E-2</v>
      </c>
      <c r="G28" s="4">
        <v>-5.0999999999999997E-2</v>
      </c>
      <c r="H28" s="4">
        <v>-0.05</v>
      </c>
      <c r="I28" s="3">
        <f>AVERAGE(D28:H28)</f>
        <v>-5.0799999999999998E-2</v>
      </c>
      <c r="J28" s="11">
        <f>_xlfn.STDEV.P(D28:H28)</f>
        <v>3.9999999999999758E-4</v>
      </c>
      <c r="K28" s="3">
        <f>I28/1000</f>
        <v>-5.0799999999999995E-5</v>
      </c>
      <c r="L28" s="11">
        <f>J28/1000</f>
        <v>3.999999999999976E-7</v>
      </c>
      <c r="N28" s="7" t="s">
        <v>63</v>
      </c>
      <c r="O28" s="3">
        <f>O25/($D$33*$D$39)/1000</f>
        <v>3.1884057971014488</v>
      </c>
      <c r="P28" s="3">
        <f t="shared" ref="P28:S28" si="9">P25/($D$33*$D$39)/1000</f>
        <v>3.1521739130434776</v>
      </c>
      <c r="Q28" s="3">
        <f t="shared" si="9"/>
        <v>3.1521739130434776</v>
      </c>
      <c r="R28" s="3">
        <f t="shared" si="9"/>
        <v>3.1884057971014488</v>
      </c>
      <c r="S28" s="3">
        <f t="shared" si="9"/>
        <v>3.1884057971014488</v>
      </c>
      <c r="U28" s="16">
        <f>AVERAGE(O28:S28)</f>
        <v>3.1739130434782603</v>
      </c>
      <c r="V28" s="15">
        <f>_xlfn.STDEV.P(O28:S28)</f>
        <v>1.7749925672341949E-2</v>
      </c>
      <c r="X28" s="21">
        <f>P25</f>
        <v>4.3499999999999997E-2</v>
      </c>
      <c r="Y28" s="21">
        <f>P26</f>
        <v>4.5499999999999999E-2</v>
      </c>
      <c r="Z28" s="21">
        <f>P28</f>
        <v>3.1521739130434776</v>
      </c>
      <c r="AA28" s="21">
        <f>P29</f>
        <v>3.2971014492753619</v>
      </c>
    </row>
    <row r="29" spans="1:27" x14ac:dyDescent="0.25">
      <c r="A29" s="5" t="s">
        <v>39</v>
      </c>
      <c r="B29" s="7">
        <v>10</v>
      </c>
      <c r="C29" s="7">
        <v>0</v>
      </c>
      <c r="D29" s="4">
        <v>0.05</v>
      </c>
      <c r="E29" s="4">
        <v>0.05</v>
      </c>
      <c r="F29" s="4">
        <v>0.05</v>
      </c>
      <c r="G29" s="4">
        <v>0.05</v>
      </c>
      <c r="H29" s="4">
        <v>5.0999999999999997E-2</v>
      </c>
      <c r="I29" s="3">
        <f>AVERAGE(D29:H29)</f>
        <v>5.0200000000000002E-2</v>
      </c>
      <c r="J29" s="11">
        <f>_xlfn.STDEV.P(D29:H29)</f>
        <v>3.9999999999999758E-4</v>
      </c>
      <c r="K29" s="3">
        <f>I29/1000</f>
        <v>5.02E-5</v>
      </c>
      <c r="L29" s="11">
        <f>J29/1000</f>
        <v>3.999999999999976E-7</v>
      </c>
      <c r="N29" s="7" t="s">
        <v>64</v>
      </c>
      <c r="O29" s="3">
        <f>O26/($D$33*$D$39)/1000</f>
        <v>3.2971014492753619</v>
      </c>
      <c r="P29" s="3">
        <f t="shared" ref="P29:S29" si="10">P26/($D$33*$D$39)/1000</f>
        <v>3.2971014492753619</v>
      </c>
      <c r="Q29" s="3">
        <f t="shared" si="10"/>
        <v>3.2608695652173907</v>
      </c>
      <c r="R29" s="3">
        <f t="shared" si="10"/>
        <v>3.2971014492753619</v>
      </c>
      <c r="S29" s="3">
        <f t="shared" si="10"/>
        <v>3.2246376811594195</v>
      </c>
      <c r="U29" s="16">
        <f>AVERAGE(O29:S29)</f>
        <v>3.2753623188405792</v>
      </c>
      <c r="V29" s="15">
        <f>_xlfn.STDEV.P(O29:S29)</f>
        <v>2.8985507246376937E-2</v>
      </c>
      <c r="X29" s="21">
        <f>Q25</f>
        <v>4.3499999999999997E-2</v>
      </c>
      <c r="Y29" s="21">
        <f>Q26</f>
        <v>4.4999999999999998E-2</v>
      </c>
      <c r="Z29" s="21">
        <f>Q28</f>
        <v>3.1521739130434776</v>
      </c>
      <c r="AA29" s="21">
        <f>Q29</f>
        <v>3.2608695652173907</v>
      </c>
    </row>
    <row r="30" spans="1:27" x14ac:dyDescent="0.25">
      <c r="X30" s="21">
        <f>R25</f>
        <v>4.3999999999999997E-2</v>
      </c>
      <c r="Y30" s="21">
        <f>R26</f>
        <v>4.5499999999999999E-2</v>
      </c>
      <c r="Z30" s="21">
        <f>R28</f>
        <v>3.1884057971014488</v>
      </c>
      <c r="AA30" s="21">
        <f>R29</f>
        <v>3.2971014492753619</v>
      </c>
    </row>
    <row r="31" spans="1:27" x14ac:dyDescent="0.25">
      <c r="U31" s="19">
        <f>(U28+U29)/2</f>
        <v>3.22463768115942</v>
      </c>
      <c r="V31" s="20">
        <f>(V28+V29)/2</f>
        <v>2.3367716459359443E-2</v>
      </c>
      <c r="X31" s="21">
        <f>S25</f>
        <v>4.3999999999999997E-2</v>
      </c>
      <c r="Y31" s="21">
        <f>S26</f>
        <v>4.4499999999999998E-2</v>
      </c>
      <c r="Z31" s="21">
        <f>S28</f>
        <v>3.1884057971014488</v>
      </c>
      <c r="AA31" s="21">
        <f>S29</f>
        <v>3.2246376811594195</v>
      </c>
    </row>
    <row r="32" spans="1:27" x14ac:dyDescent="0.25">
      <c r="D32" t="s">
        <v>65</v>
      </c>
      <c r="E32" t="s">
        <v>45</v>
      </c>
    </row>
    <row r="33" spans="4:26" x14ac:dyDescent="0.25">
      <c r="D33">
        <v>0.13800000000000001</v>
      </c>
      <c r="E33">
        <v>1E-3</v>
      </c>
    </row>
    <row r="34" spans="4:26" x14ac:dyDescent="0.25">
      <c r="D34" t="s">
        <v>52</v>
      </c>
      <c r="E34" t="s">
        <v>45</v>
      </c>
    </row>
    <row r="35" spans="4:26" x14ac:dyDescent="0.25">
      <c r="D35">
        <v>1</v>
      </c>
      <c r="E35">
        <v>0</v>
      </c>
    </row>
    <row r="36" spans="4:26" x14ac:dyDescent="0.25">
      <c r="D36" t="s">
        <v>44</v>
      </c>
      <c r="E36" t="s">
        <v>45</v>
      </c>
      <c r="P36" t="s">
        <v>66</v>
      </c>
      <c r="X36" s="7" t="s">
        <v>67</v>
      </c>
      <c r="Y36" s="7" t="s">
        <v>68</v>
      </c>
      <c r="Z36" s="7" t="s">
        <v>69</v>
      </c>
    </row>
    <row r="37" spans="4:26" x14ac:dyDescent="0.25">
      <c r="E37">
        <v>9.9999999999999995E-7</v>
      </c>
      <c r="N37" s="17" t="s">
        <v>67</v>
      </c>
      <c r="O37" s="3">
        <f>((D20-D21)-(D24-D25))/(4*1000*$D$33*$D$39)</f>
        <v>3.2427536231884053</v>
      </c>
      <c r="P37" s="3">
        <f>((E20-E21)-(E24-E25))/(4*1000*$D$33*$D$39)</f>
        <v>3.22463768115942</v>
      </c>
      <c r="Q37" s="3">
        <f>((F20-F21)-(F24-F25))/(4*1000*$D$33*$D$39)</f>
        <v>3.2065217391304341</v>
      </c>
      <c r="R37" s="3">
        <f>((G20-G21)-(G24-G25))/(4*1000*$D$33*$D$39)</f>
        <v>3.2427536231884053</v>
      </c>
      <c r="S37" s="3">
        <f>((H20-H21)-(H24-H25))/(4*1000*$D$33*$D$39)</f>
        <v>3.2065217391304341</v>
      </c>
      <c r="U37" s="16">
        <f>AVERAGE(O37:S37)</f>
        <v>3.2246376811594195</v>
      </c>
      <c r="V37" s="15">
        <f>_xlfn.STDEV.P(O37:S37)</f>
        <v>1.6203391141302894E-2</v>
      </c>
      <c r="X37" s="21">
        <f>O37</f>
        <v>3.2427536231884053</v>
      </c>
      <c r="Y37" s="21">
        <f>O38</f>
        <v>3.22463768115942</v>
      </c>
      <c r="Z37" s="21">
        <f>AVERAGE(X37:Y37)</f>
        <v>3.2336956521739126</v>
      </c>
    </row>
    <row r="38" spans="4:26" x14ac:dyDescent="0.25">
      <c r="D38" t="s">
        <v>28</v>
      </c>
      <c r="E38" t="s">
        <v>45</v>
      </c>
      <c r="N38" s="17" t="s">
        <v>68</v>
      </c>
      <c r="O38" s="3">
        <f>((D22-D23)-(D26-D27))/(4*1000*$D$33*$D$39)</f>
        <v>3.22463768115942</v>
      </c>
      <c r="P38" s="3">
        <f>((E22-E23)-(E26-E27))/(4*1000*$D$33*$D$39)</f>
        <v>3.2065217391304341</v>
      </c>
      <c r="Q38" s="3">
        <f>((F22-F23)-(F26-F27))/(4*1000*$D$33*$D$39)</f>
        <v>3.2155797101449268</v>
      </c>
      <c r="R38" s="3">
        <f>((G22-G23)-(G26-G27))/(4*1000*$D$33*$D$39)</f>
        <v>3.22463768115942</v>
      </c>
      <c r="S38" s="3">
        <f>((H22-H23)-(H26-H27))/(4*1000*$D$33*$D$39)</f>
        <v>3.22463768115942</v>
      </c>
      <c r="U38" s="16">
        <f>AVERAGE(O38:S38)</f>
        <v>3.2192028985507242</v>
      </c>
      <c r="V38" s="15">
        <f>_xlfn.STDEV.P(O38:S38)</f>
        <v>7.2463768115943461E-3</v>
      </c>
      <c r="X38" s="21">
        <f>P37</f>
        <v>3.22463768115942</v>
      </c>
      <c r="Y38" s="21">
        <f>P38</f>
        <v>3.2065217391304341</v>
      </c>
      <c r="Z38" s="21">
        <f t="shared" ref="Z38:Z41" si="11">AVERAGE(X38:Y38)</f>
        <v>3.2155797101449268</v>
      </c>
    </row>
    <row r="39" spans="4:26" x14ac:dyDescent="0.25">
      <c r="D39">
        <v>1E-4</v>
      </c>
      <c r="E39">
        <v>5.0000000000000001E-9</v>
      </c>
      <c r="X39" s="21">
        <f>Q37</f>
        <v>3.2065217391304341</v>
      </c>
      <c r="Y39" s="21">
        <f>Q38</f>
        <v>3.2155797101449268</v>
      </c>
      <c r="Z39" s="21">
        <f t="shared" si="11"/>
        <v>3.2110507246376807</v>
      </c>
    </row>
    <row r="40" spans="4:26" x14ac:dyDescent="0.25">
      <c r="D40" t="s">
        <v>74</v>
      </c>
      <c r="N40" s="7" t="s">
        <v>69</v>
      </c>
      <c r="O40" s="3">
        <f>AVERAGE(O37:O38)</f>
        <v>3.2336956521739126</v>
      </c>
      <c r="P40" s="3">
        <f t="shared" ref="P40:S40" si="12">AVERAGE(P37:P38)</f>
        <v>3.2155797101449268</v>
      </c>
      <c r="Q40" s="3">
        <f t="shared" si="12"/>
        <v>3.2110507246376807</v>
      </c>
      <c r="R40" s="3">
        <f t="shared" si="12"/>
        <v>3.2336956521739126</v>
      </c>
      <c r="S40" s="3">
        <f t="shared" si="12"/>
        <v>3.2155797101449268</v>
      </c>
      <c r="U40" s="14">
        <f>(U37+U38)/2</f>
        <v>3.2219202898550718</v>
      </c>
      <c r="V40" s="18">
        <f>(V37+V38)/2</f>
        <v>1.172488397644862E-2</v>
      </c>
      <c r="X40" s="21">
        <f>R37</f>
        <v>3.2427536231884053</v>
      </c>
      <c r="Y40" s="21">
        <f>R38</f>
        <v>3.22463768115942</v>
      </c>
      <c r="Z40" s="21">
        <f t="shared" si="11"/>
        <v>3.2336956521739126</v>
      </c>
    </row>
    <row r="41" spans="4:26" x14ac:dyDescent="0.25">
      <c r="D41">
        <f>1.602*10^-19</f>
        <v>1.602E-19</v>
      </c>
      <c r="X41" s="21">
        <f>S37</f>
        <v>3.2065217391304341</v>
      </c>
      <c r="Y41" s="21">
        <f>S38</f>
        <v>3.22463768115942</v>
      </c>
      <c r="Z41" s="21">
        <f t="shared" si="11"/>
        <v>3.2155797101449268</v>
      </c>
    </row>
    <row r="42" spans="4:26" x14ac:dyDescent="0.25">
      <c r="S42" s="3">
        <f>AVERAGE(O40:S40)</f>
        <v>3.2219202898550718</v>
      </c>
    </row>
    <row r="43" spans="4:26" x14ac:dyDescent="0.25">
      <c r="S43" s="11">
        <f>_xlfn.STDEV.P(O40:S40)</f>
        <v>9.7557333462582486E-3</v>
      </c>
    </row>
    <row r="45" spans="4:26" x14ac:dyDescent="0.25">
      <c r="N45" s="10" t="s">
        <v>70</v>
      </c>
    </row>
    <row r="46" spans="4:26" x14ac:dyDescent="0.25">
      <c r="N46" s="7" t="s">
        <v>51</v>
      </c>
      <c r="O46" s="14">
        <f>U13</f>
        <v>9.8340884177295536</v>
      </c>
      <c r="P46" s="18">
        <f>V13</f>
        <v>7.015127120548601E-3</v>
      </c>
    </row>
    <row r="47" spans="4:26" x14ac:dyDescent="0.25">
      <c r="N47" s="7" t="s">
        <v>46</v>
      </c>
      <c r="O47" s="3">
        <f>1/O46</f>
        <v>0.10168710687989474</v>
      </c>
      <c r="P47" s="18">
        <f>P46/O46^2</f>
        <v>7.2538292415309403E-5</v>
      </c>
    </row>
    <row r="48" spans="4:26" x14ac:dyDescent="0.25">
      <c r="N48" s="7" t="s">
        <v>73</v>
      </c>
      <c r="O48" s="3">
        <f>S42</f>
        <v>3.2219202898550718</v>
      </c>
      <c r="P48" s="11">
        <f>S43</f>
        <v>9.7557333462582486E-3</v>
      </c>
    </row>
    <row r="49" spans="14:16" x14ac:dyDescent="0.25">
      <c r="N49" s="7" t="s">
        <v>71</v>
      </c>
      <c r="O49" s="3">
        <f>ABS(O48/O46)</f>
        <v>0.32762775287299412</v>
      </c>
      <c r="P49" s="11">
        <f>SQRT((P48/O46)^2+(O48*P46/O46^2)^2)</f>
        <v>1.0191906891177411E-3</v>
      </c>
    </row>
    <row r="50" spans="14:16" x14ac:dyDescent="0.25">
      <c r="N50" s="7" t="s">
        <v>72</v>
      </c>
      <c r="O50" s="3">
        <f>1/(D41*O48)</f>
        <v>1.9374151722772741E+18</v>
      </c>
      <c r="P50" s="11">
        <f>P48/(D41*O48^2)</f>
        <v>5866348047543495</v>
      </c>
    </row>
  </sheetData>
  <pageMargins left="0.7" right="0.7" top="0.75" bottom="0.75" header="0.3" footer="0.3"/>
  <ignoredErrors>
    <ignoredError sqref="I2:J9 H10:I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A4" zoomScaleNormal="100" workbookViewId="0">
      <selection activeCell="W41" sqref="W41:Y45"/>
    </sheetView>
  </sheetViews>
  <sheetFormatPr defaultRowHeight="15" x14ac:dyDescent="0.25"/>
  <cols>
    <col min="1" max="1" width="8.28515625" bestFit="1" customWidth="1"/>
    <col min="2" max="2" width="4.7109375" bestFit="1" customWidth="1"/>
    <col min="3" max="3" width="11.140625" bestFit="1" customWidth="1"/>
    <col min="4" max="4" width="18.5703125" bestFit="1" customWidth="1"/>
    <col min="5" max="5" width="11.140625" bestFit="1" customWidth="1"/>
    <col min="6" max="6" width="16" bestFit="1" customWidth="1"/>
    <col min="7" max="7" width="11.140625" bestFit="1" customWidth="1"/>
    <col min="8" max="8" width="8.7109375" bestFit="1" customWidth="1"/>
    <col min="9" max="9" width="12" bestFit="1" customWidth="1"/>
    <col min="10" max="10" width="10.7109375" bestFit="1" customWidth="1"/>
    <col min="11" max="11" width="12" bestFit="1" customWidth="1"/>
    <col min="12" max="12" width="1.85546875" customWidth="1"/>
    <col min="13" max="13" width="14" bestFit="1" customWidth="1"/>
    <col min="14" max="16" width="12" bestFit="1" customWidth="1"/>
    <col min="17" max="17" width="14" bestFit="1" customWidth="1"/>
    <col min="18" max="25" width="12" bestFit="1" customWidth="1"/>
    <col min="26" max="30" width="8.5703125" bestFit="1" customWidth="1"/>
    <col min="32" max="32" width="10.5703125" bestFit="1" customWidth="1"/>
    <col min="33" max="33" width="8.42578125" bestFit="1" customWidth="1"/>
    <col min="34" max="34" width="10.5703125" bestFit="1" customWidth="1"/>
  </cols>
  <sheetData>
    <row r="1" spans="1:2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3" spans="1:28" x14ac:dyDescent="0.25">
      <c r="A3" s="9" t="s">
        <v>10</v>
      </c>
      <c r="B3" s="9"/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13" t="s">
        <v>17</v>
      </c>
      <c r="I3" s="10"/>
      <c r="J3" s="10" t="s">
        <v>53</v>
      </c>
      <c r="K3" s="10" t="s">
        <v>54</v>
      </c>
      <c r="M3" s="10"/>
      <c r="N3" s="10" t="s">
        <v>27</v>
      </c>
    </row>
    <row r="4" spans="1:28" x14ac:dyDescent="0.25">
      <c r="A4" s="6">
        <v>1</v>
      </c>
      <c r="B4" s="6"/>
      <c r="C4" s="12">
        <v>-89.887</v>
      </c>
      <c r="D4" s="12">
        <v>-89.905000000000001</v>
      </c>
      <c r="E4" s="12">
        <v>-89.906999999999996</v>
      </c>
      <c r="F4" s="12">
        <v>-89.905000000000001</v>
      </c>
      <c r="G4" s="12">
        <v>-89.91</v>
      </c>
      <c r="H4" s="3">
        <f>AVERAGE(C4:G4)</f>
        <v>-89.902799999999999</v>
      </c>
      <c r="I4" s="11">
        <f>_xlfn.STDEV.P(C4:G4)</f>
        <v>8.1092539730842923E-3</v>
      </c>
      <c r="J4" s="3">
        <f>H4/1000</f>
        <v>-8.9902800000000005E-2</v>
      </c>
      <c r="K4" s="11">
        <f>I4/1000</f>
        <v>8.1092539730842927E-6</v>
      </c>
      <c r="M4" s="7" t="s">
        <v>40</v>
      </c>
      <c r="N4" s="3">
        <f>ABS(C4-C5)/(2*$D$41)/1000</f>
        <v>5.98996867293208</v>
      </c>
      <c r="O4" s="3">
        <f>ABS(D4-D5)/(2*$D$41)/1000</f>
        <v>5.9911017796440706</v>
      </c>
      <c r="P4" s="3">
        <f>ABS(E4-E5)/(2*$D$41)/1000</f>
        <v>5.9912350863160704</v>
      </c>
      <c r="Q4" s="3">
        <f>ABS(F4-F5)/(2*$D$41)/1000</f>
        <v>5.9911684329800714</v>
      </c>
      <c r="R4" s="3">
        <f>ABS(G4-G5)/(2*$D$41)/1000</f>
        <v>5.9914017196560678</v>
      </c>
      <c r="W4" s="23">
        <f>N4</f>
        <v>5.98996867293208</v>
      </c>
      <c r="X4" s="23">
        <f>N5</f>
        <v>5.965906818636272</v>
      </c>
      <c r="Y4" s="21">
        <f>N9</f>
        <v>1.0040332266371716</v>
      </c>
      <c r="Z4" s="23">
        <f>N6</f>
        <v>5.990035326268079</v>
      </c>
      <c r="AA4" s="23">
        <f>N7</f>
        <v>5.9664733719922678</v>
      </c>
      <c r="AB4" s="21">
        <f>N10</f>
        <v>1.003949058816958</v>
      </c>
    </row>
    <row r="5" spans="1:28" x14ac:dyDescent="0.25">
      <c r="A5" s="6">
        <v>2</v>
      </c>
      <c r="B5" s="6"/>
      <c r="C5" s="12">
        <v>89.847999999999999</v>
      </c>
      <c r="D5" s="12">
        <v>89.864000000000004</v>
      </c>
      <c r="E5" s="12">
        <v>89.866</v>
      </c>
      <c r="F5" s="12">
        <v>89.866</v>
      </c>
      <c r="G5" s="12">
        <v>89.867999999999995</v>
      </c>
      <c r="H5" s="3">
        <f t="shared" ref="H5:H11" si="0">AVERAGE(C5:G5)</f>
        <v>89.862399999999994</v>
      </c>
      <c r="I5" s="11">
        <f t="shared" ref="I5:I11" si="1">_xlfn.STDEV.P(C5:G5)</f>
        <v>7.3102667529985847E-3</v>
      </c>
      <c r="J5" s="3">
        <f t="shared" ref="J5:K11" si="2">H5/1000</f>
        <v>8.9862399999999995E-2</v>
      </c>
      <c r="K5" s="11">
        <f t="shared" si="2"/>
        <v>7.3102667529985847E-6</v>
      </c>
      <c r="M5" s="7" t="s">
        <v>41</v>
      </c>
      <c r="N5" s="3">
        <f>ABS(C6-C7)/(2*$D$41)/1000</f>
        <v>5.965906818636272</v>
      </c>
      <c r="O5" s="3">
        <f>ABS(D6-D7)/(2*$D$41)/1000</f>
        <v>5.9668066386722654</v>
      </c>
      <c r="P5" s="3">
        <f>ABS(E6-E7)/(2*$D$41)/1000</f>
        <v>5.9669066186762647</v>
      </c>
      <c r="Q5" s="3">
        <f>ABS(F6-F7)/(2*$D$41)/1000</f>
        <v>5.9669732720122646</v>
      </c>
      <c r="R5" s="3">
        <f>ABS(G6-G7)/(2*$D$41)/1000</f>
        <v>5.9670399253482644</v>
      </c>
      <c r="W5" s="23">
        <f>O4</f>
        <v>5.9911017796440706</v>
      </c>
      <c r="X5" s="23">
        <f>O5</f>
        <v>5.9668066386722654</v>
      </c>
      <c r="Y5" s="21">
        <f>O9</f>
        <v>1.0040717158176944</v>
      </c>
      <c r="Z5" s="23">
        <f>O6</f>
        <v>5.9907351862960727</v>
      </c>
      <c r="AA5" s="23">
        <f>O7</f>
        <v>5.9670065986802641</v>
      </c>
      <c r="AB5" s="21">
        <f>O10</f>
        <v>1.0039766317035843</v>
      </c>
    </row>
    <row r="6" spans="1:28" x14ac:dyDescent="0.25">
      <c r="A6" s="6">
        <v>3</v>
      </c>
      <c r="B6" s="6"/>
      <c r="C6" s="12">
        <v>-89.528999999999996</v>
      </c>
      <c r="D6" s="12">
        <v>-89.543000000000006</v>
      </c>
      <c r="E6" s="12">
        <v>-89.543999999999997</v>
      </c>
      <c r="F6" s="12">
        <v>-89.545000000000002</v>
      </c>
      <c r="G6" s="12">
        <v>-89.546000000000006</v>
      </c>
      <c r="H6" s="3">
        <f t="shared" si="0"/>
        <v>-89.541399999999996</v>
      </c>
      <c r="I6" s="11">
        <f t="shared" si="1"/>
        <v>6.2801273872456842E-3</v>
      </c>
      <c r="J6" s="3">
        <f t="shared" si="2"/>
        <v>-8.9541399999999993E-2</v>
      </c>
      <c r="K6" s="11">
        <f t="shared" si="2"/>
        <v>6.2801273872456842E-6</v>
      </c>
      <c r="M6" s="7" t="s">
        <v>42</v>
      </c>
      <c r="N6" s="3">
        <f>ABS(C8-C9)/(2*$D$41)/1000</f>
        <v>5.990035326268079</v>
      </c>
      <c r="O6" s="3">
        <f>ABS(D8-D9)/(2*$D$41)/1000</f>
        <v>5.9907351862960727</v>
      </c>
      <c r="P6" s="3">
        <f>ABS(E8-E9)/(2*$D$41)/1000</f>
        <v>5.9908351663000738</v>
      </c>
      <c r="Q6" s="3">
        <f>ABS(F8-F9)/(2*$D$41)/1000</f>
        <v>5.9909684729720709</v>
      </c>
      <c r="R6" s="3">
        <f>ABS(G8-G9)/(2*$D$41)/1000</f>
        <v>5.9910684529760712</v>
      </c>
      <c r="W6" s="23">
        <f>P4</f>
        <v>5.9912350863160704</v>
      </c>
      <c r="X6" s="23">
        <f>P5</f>
        <v>5.9669066186762647</v>
      </c>
      <c r="Y6" s="21">
        <f>P9</f>
        <v>1.004077232843507</v>
      </c>
      <c r="Z6" s="23">
        <f>P6</f>
        <v>5.9908351663000738</v>
      </c>
      <c r="AA6" s="23">
        <f>P7</f>
        <v>5.9671399053522629</v>
      </c>
      <c r="AB6" s="21">
        <f>P10</f>
        <v>1.0039709578330076</v>
      </c>
    </row>
    <row r="7" spans="1:28" x14ac:dyDescent="0.25">
      <c r="A7" s="6">
        <v>4</v>
      </c>
      <c r="B7" s="6"/>
      <c r="C7" s="12">
        <v>89.483999999999995</v>
      </c>
      <c r="D7" s="12">
        <v>89.497</v>
      </c>
      <c r="E7" s="12">
        <v>89.498999999999995</v>
      </c>
      <c r="F7" s="12">
        <v>89.5</v>
      </c>
      <c r="G7" s="12">
        <v>89.501000000000005</v>
      </c>
      <c r="H7" s="3">
        <f t="shared" si="0"/>
        <v>89.496200000000002</v>
      </c>
      <c r="I7" s="11">
        <f t="shared" si="1"/>
        <v>6.2417946137332857E-3</v>
      </c>
      <c r="J7" s="3">
        <f t="shared" si="2"/>
        <v>8.9496199999999998E-2</v>
      </c>
      <c r="K7" s="11">
        <f t="shared" si="2"/>
        <v>6.2417946137332857E-6</v>
      </c>
      <c r="M7" s="7" t="s">
        <v>43</v>
      </c>
      <c r="N7" s="3">
        <f>ABS(C10-C11)/(2*$D$41)/1000</f>
        <v>5.9664733719922678</v>
      </c>
      <c r="O7" s="3">
        <f>ABS(D10-D11)/(2*$D$41)/1000</f>
        <v>5.9670065986802641</v>
      </c>
      <c r="P7" s="3">
        <f>ABS(E10-E11)/(2*$D$41)/1000</f>
        <v>5.9671399053522629</v>
      </c>
      <c r="Q7" s="3">
        <f>ABS(F10-F11)/(2*$D$41)/1000</f>
        <v>5.9672398853562614</v>
      </c>
      <c r="R7" s="3">
        <f>ABS(G10-G11)/(2*$D$41)/1000</f>
        <v>5.9673398653602607</v>
      </c>
      <c r="W7" s="23">
        <f>Q4</f>
        <v>5.9911684329800714</v>
      </c>
      <c r="X7" s="23">
        <f>Q5</f>
        <v>5.9669732720122646</v>
      </c>
      <c r="Y7" s="21">
        <f>Q9</f>
        <v>1.0040548465469574</v>
      </c>
      <c r="Z7" s="23">
        <f>Q6</f>
        <v>5.9909684729720709</v>
      </c>
      <c r="AA7" s="23">
        <f>Q7</f>
        <v>5.9672398853562614</v>
      </c>
      <c r="AB7" s="21">
        <f>Q10</f>
        <v>1.003976476238879</v>
      </c>
    </row>
    <row r="8" spans="1:28" x14ac:dyDescent="0.25">
      <c r="A8" s="6">
        <v>5</v>
      </c>
      <c r="B8" s="6"/>
      <c r="C8" s="12">
        <v>-89.847999999999999</v>
      </c>
      <c r="D8" s="12">
        <v>-89.86</v>
      </c>
      <c r="E8" s="12">
        <v>-89.861000000000004</v>
      </c>
      <c r="F8" s="12">
        <v>-89.863</v>
      </c>
      <c r="G8" s="12">
        <v>-89.864000000000004</v>
      </c>
      <c r="H8" s="3">
        <f t="shared" si="0"/>
        <v>-89.859200000000016</v>
      </c>
      <c r="I8" s="11">
        <f t="shared" si="1"/>
        <v>5.7758116312787615E-3</v>
      </c>
      <c r="J8" s="3">
        <f t="shared" si="2"/>
        <v>-8.9859200000000014E-2</v>
      </c>
      <c r="K8" s="11">
        <f t="shared" si="2"/>
        <v>5.7758116312787613E-6</v>
      </c>
      <c r="M8" s="10"/>
      <c r="W8" s="23">
        <f>R4</f>
        <v>5.9914017196560678</v>
      </c>
      <c r="X8" s="23">
        <f>R5</f>
        <v>5.9670399253482644</v>
      </c>
      <c r="Y8" s="21">
        <f>R9</f>
        <v>1.0040827268817683</v>
      </c>
      <c r="Z8" s="23">
        <f>R6</f>
        <v>5.9910684529760712</v>
      </c>
      <c r="AA8" s="23">
        <f>R7</f>
        <v>5.9673398653602607</v>
      </c>
      <c r="AB8" s="21">
        <f>R10</f>
        <v>1.0039764096148691</v>
      </c>
    </row>
    <row r="9" spans="1:28" x14ac:dyDescent="0.25">
      <c r="A9" s="6">
        <v>6</v>
      </c>
      <c r="B9" s="6"/>
      <c r="C9" s="12">
        <v>89.888999999999996</v>
      </c>
      <c r="D9" s="12">
        <v>89.897999999999996</v>
      </c>
      <c r="E9" s="12">
        <v>89.9</v>
      </c>
      <c r="F9" s="12">
        <v>89.902000000000001</v>
      </c>
      <c r="G9" s="12">
        <v>89.903999999999996</v>
      </c>
      <c r="H9" s="3">
        <f t="shared" si="0"/>
        <v>89.898600000000002</v>
      </c>
      <c r="I9" s="11">
        <f t="shared" si="1"/>
        <v>5.2000000000013268E-3</v>
      </c>
      <c r="J9" s="3">
        <f t="shared" si="2"/>
        <v>8.9898599999999995E-2</v>
      </c>
      <c r="K9" s="11">
        <f t="shared" si="2"/>
        <v>5.2000000000013266E-6</v>
      </c>
      <c r="M9" s="7" t="s">
        <v>47</v>
      </c>
      <c r="N9" s="3">
        <f>N4/N5</f>
        <v>1.0040332266371716</v>
      </c>
      <c r="O9" s="3">
        <f>O4/O5</f>
        <v>1.0040717158176944</v>
      </c>
      <c r="P9" s="3">
        <f>P4/P5</f>
        <v>1.004077232843507</v>
      </c>
      <c r="Q9" s="3">
        <f>Q4/Q5</f>
        <v>1.0040548465469574</v>
      </c>
      <c r="R9" s="3">
        <f>R4/R5</f>
        <v>1.0040827268817683</v>
      </c>
    </row>
    <row r="10" spans="1:28" x14ac:dyDescent="0.25">
      <c r="A10" s="6">
        <v>7</v>
      </c>
      <c r="B10" s="6"/>
      <c r="C10" s="12">
        <v>-89.492000000000004</v>
      </c>
      <c r="D10" s="12">
        <v>-89.5</v>
      </c>
      <c r="E10" s="12">
        <v>-89.501000000000005</v>
      </c>
      <c r="F10" s="12">
        <v>-89.503</v>
      </c>
      <c r="G10" s="12">
        <v>-89.504999999999995</v>
      </c>
      <c r="H10" s="3">
        <f t="shared" si="0"/>
        <v>-89.500200000000007</v>
      </c>
      <c r="I10" s="11">
        <f t="shared" si="1"/>
        <v>4.4452221541761419E-3</v>
      </c>
      <c r="J10" s="3">
        <f t="shared" si="2"/>
        <v>-8.9500200000000002E-2</v>
      </c>
      <c r="K10" s="11">
        <f t="shared" si="2"/>
        <v>4.4452221541761421E-6</v>
      </c>
      <c r="M10" s="7" t="s">
        <v>48</v>
      </c>
      <c r="N10" s="3">
        <f>N6/N7</f>
        <v>1.003949058816958</v>
      </c>
      <c r="O10" s="3">
        <f>O6/O7</f>
        <v>1.0039766317035843</v>
      </c>
      <c r="P10" s="3">
        <f>P6/P7</f>
        <v>1.0039709578330076</v>
      </c>
      <c r="Q10" s="3">
        <f>Q6/Q7</f>
        <v>1.003976476238879</v>
      </c>
      <c r="R10" s="3">
        <f>R6/R7</f>
        <v>1.0039764096148691</v>
      </c>
    </row>
    <row r="11" spans="1:28" x14ac:dyDescent="0.25">
      <c r="A11" s="6">
        <v>8</v>
      </c>
      <c r="B11" s="6"/>
      <c r="C11" s="12">
        <v>89.537999999999997</v>
      </c>
      <c r="D11" s="12">
        <v>89.546000000000006</v>
      </c>
      <c r="E11" s="12">
        <v>89.549000000000007</v>
      </c>
      <c r="F11" s="12">
        <v>89.55</v>
      </c>
      <c r="G11" s="12">
        <v>89.551000000000002</v>
      </c>
      <c r="H11" s="3">
        <f t="shared" si="0"/>
        <v>89.546800000000005</v>
      </c>
      <c r="I11" s="11">
        <f t="shared" si="1"/>
        <v>4.7074409183775149E-3</v>
      </c>
      <c r="J11" s="3">
        <f t="shared" si="2"/>
        <v>8.954680000000001E-2</v>
      </c>
      <c r="K11" s="11">
        <f t="shared" si="2"/>
        <v>4.7074409183775146E-6</v>
      </c>
      <c r="M11" s="7"/>
      <c r="W11" s="21">
        <f>N12</f>
        <v>27.094166769316509</v>
      </c>
      <c r="X11" s="21">
        <f>N13</f>
        <v>27.095601729702672</v>
      </c>
      <c r="Y11" s="21">
        <f>AVERAGE(W11:X11)</f>
        <v>27.09488424950959</v>
      </c>
    </row>
    <row r="12" spans="1:28" x14ac:dyDescent="0.25">
      <c r="M12" s="7"/>
      <c r="N12" s="3">
        <f>(PI()*$D$37/(LN(2)))*((N4+N5)/2)</f>
        <v>27.094166769316509</v>
      </c>
      <c r="O12" s="3">
        <f>(PI()*$D$37/(LN(2)))*((O4+O5)/2)</f>
        <v>27.098773747398415</v>
      </c>
      <c r="P12" s="3">
        <f>(PI()*$D$37/(LN(2)))*((P4+P5)/2)</f>
        <v>27.099302417014375</v>
      </c>
      <c r="Q12" s="3">
        <f>(PI()*$D$37/(LN(2)))*((Q4+Q5)/2)</f>
        <v>27.099302417014375</v>
      </c>
      <c r="R12" s="3">
        <f>(PI()*$D$37/(LN(2)))*((R4+R5)/2)</f>
        <v>27.099982135092027</v>
      </c>
      <c r="T12" s="16">
        <f>AVERAGE(N12:R12)</f>
        <v>27.098305497167139</v>
      </c>
      <c r="U12" s="15">
        <f>_xlfn.STDEV.P(N12:R12)</f>
        <v>2.1046206116766635E-3</v>
      </c>
      <c r="W12" s="21">
        <f>O12</f>
        <v>27.098773747398415</v>
      </c>
      <c r="X12" s="21">
        <f>O13</f>
        <v>27.098396126244158</v>
      </c>
      <c r="Y12" s="21">
        <f t="shared" ref="Y12:Y15" si="3">AVERAGE(W12:X12)</f>
        <v>27.098584936821286</v>
      </c>
    </row>
    <row r="13" spans="1:28" x14ac:dyDescent="0.25">
      <c r="N13" s="3">
        <f>(PI()*$D$37/(LN(2)))*((N6+N7)/2)</f>
        <v>27.095601729702672</v>
      </c>
      <c r="O13" s="3">
        <f>(PI()*$D$37/(LN(2)))*((O6+O7)/2)</f>
        <v>27.098396126244158</v>
      </c>
      <c r="P13" s="3">
        <f>(PI()*$D$37/(LN(2)))*((P6+P7)/2)</f>
        <v>27.098924795860118</v>
      </c>
      <c r="Q13" s="3">
        <f>(PI()*$D$37/(LN(2)))*((Q6+Q7)/2)</f>
        <v>27.099453465476067</v>
      </c>
      <c r="R13" s="3">
        <f>(PI()*$D$37/(LN(2)))*((R6+R7)/2)</f>
        <v>27.099906610861179</v>
      </c>
      <c r="T13" s="16">
        <f>AVERAGE(N13:R13)</f>
        <v>27.098456545628842</v>
      </c>
      <c r="U13" s="15">
        <f>_xlfn.STDEV.P(N13:R13)</f>
        <v>1.5145574345843921E-3</v>
      </c>
      <c r="W13" s="21">
        <f>P12</f>
        <v>27.099302417014375</v>
      </c>
      <c r="X13" s="21">
        <f>P13</f>
        <v>27.098924795860118</v>
      </c>
      <c r="Y13" s="21">
        <f t="shared" si="3"/>
        <v>27.099113606437246</v>
      </c>
    </row>
    <row r="14" spans="1:28" x14ac:dyDescent="0.25">
      <c r="W14" s="21">
        <f>Q12</f>
        <v>27.099302417014375</v>
      </c>
      <c r="X14" s="21">
        <f>Q13</f>
        <v>27.099453465476067</v>
      </c>
      <c r="Y14" s="21">
        <f t="shared" si="3"/>
        <v>27.099377941245223</v>
      </c>
    </row>
    <row r="15" spans="1:28" x14ac:dyDescent="0.25">
      <c r="T15" s="19">
        <f>(T12+T13)/2</f>
        <v>27.098381021397991</v>
      </c>
      <c r="U15" s="20">
        <f>(U12+U13)/2</f>
        <v>1.8095890231305278E-3</v>
      </c>
      <c r="W15" s="21">
        <f>R12</f>
        <v>27.099982135092027</v>
      </c>
      <c r="X15" s="21">
        <f>R13</f>
        <v>27.099906610861179</v>
      </c>
      <c r="Y15" s="21">
        <f t="shared" si="3"/>
        <v>27.099944372976601</v>
      </c>
    </row>
    <row r="23" spans="1:26" x14ac:dyDescent="0.25">
      <c r="A23" s="9" t="s">
        <v>10</v>
      </c>
      <c r="B23" s="9"/>
      <c r="C23" s="9" t="s">
        <v>11</v>
      </c>
      <c r="D23" s="9" t="s">
        <v>12</v>
      </c>
      <c r="E23" s="9" t="s">
        <v>13</v>
      </c>
      <c r="F23" s="9" t="s">
        <v>14</v>
      </c>
      <c r="G23" s="9" t="s">
        <v>15</v>
      </c>
      <c r="H23" s="10"/>
      <c r="I23" s="10"/>
      <c r="N23" t="s">
        <v>59</v>
      </c>
      <c r="O23" t="s">
        <v>62</v>
      </c>
      <c r="W23" s="7" t="s">
        <v>55</v>
      </c>
      <c r="X23" s="7" t="s">
        <v>56</v>
      </c>
      <c r="Y23" s="7" t="s">
        <v>57</v>
      </c>
      <c r="Z23" s="7" t="s">
        <v>58</v>
      </c>
    </row>
    <row r="24" spans="1:26" x14ac:dyDescent="0.25">
      <c r="A24" s="6">
        <v>1</v>
      </c>
      <c r="B24" s="7" t="s">
        <v>19</v>
      </c>
      <c r="C24" s="12">
        <v>26.524000000000001</v>
      </c>
      <c r="D24" s="12">
        <v>26.515999999999998</v>
      </c>
      <c r="E24" s="12">
        <v>26.515999999999998</v>
      </c>
      <c r="F24" s="12">
        <v>26.513000000000002</v>
      </c>
      <c r="G24" s="12">
        <v>26.498999999999999</v>
      </c>
      <c r="H24" s="3">
        <f>AVERAGE(C24:G24)</f>
        <v>26.513600000000004</v>
      </c>
      <c r="I24" s="11">
        <f>_xlfn.STDEV.P(C24:G24)</f>
        <v>8.1633326527838588E-3</v>
      </c>
      <c r="J24" s="3">
        <f>H24/1000</f>
        <v>2.6513600000000005E-2</v>
      </c>
      <c r="K24" s="11">
        <f>I24/1000</f>
        <v>8.1633326527838584E-6</v>
      </c>
      <c r="M24" s="17" t="s">
        <v>55</v>
      </c>
      <c r="N24" s="3">
        <f>(C24-C32)</f>
        <v>26.853999999999999</v>
      </c>
      <c r="O24" s="3">
        <f t="shared" ref="O24:R24" si="4">(D24-D32)</f>
        <v>26.845999999999997</v>
      </c>
      <c r="P24" s="3">
        <f t="shared" si="4"/>
        <v>26.846999999999998</v>
      </c>
      <c r="Q24" s="3">
        <f t="shared" si="4"/>
        <v>26.842000000000002</v>
      </c>
      <c r="R24" s="3">
        <f t="shared" si="4"/>
        <v>26.83</v>
      </c>
      <c r="W24" s="21">
        <f>N24</f>
        <v>26.853999999999999</v>
      </c>
      <c r="X24" s="21">
        <f>N25</f>
        <v>-26.855999999999998</v>
      </c>
      <c r="Y24" s="21">
        <f>N26</f>
        <v>-26.866000000000003</v>
      </c>
      <c r="Z24" s="21">
        <f>N27</f>
        <v>26.866000000000003</v>
      </c>
    </row>
    <row r="25" spans="1:26" x14ac:dyDescent="0.25">
      <c r="A25" s="6">
        <v>2</v>
      </c>
      <c r="B25" s="7" t="s">
        <v>19</v>
      </c>
      <c r="C25" s="12">
        <v>-26.462</v>
      </c>
      <c r="D25" s="12">
        <v>-26.454000000000001</v>
      </c>
      <c r="E25" s="12">
        <v>-26.454000000000001</v>
      </c>
      <c r="F25" s="12">
        <v>-26.451000000000001</v>
      </c>
      <c r="G25" s="12">
        <v>-26.437000000000001</v>
      </c>
      <c r="H25" s="3">
        <f>AVERAGE(C25:G25)</f>
        <v>-26.451600000000003</v>
      </c>
      <c r="I25" s="11">
        <f>_xlfn.STDEV.P(C25:G25)</f>
        <v>8.1633326527830053E-3</v>
      </c>
      <c r="J25" s="3">
        <f>H25/1000</f>
        <v>-2.6451600000000002E-2</v>
      </c>
      <c r="K25" s="11">
        <f>I25/1000</f>
        <v>8.1633326527830046E-6</v>
      </c>
      <c r="M25" s="17" t="s">
        <v>56</v>
      </c>
      <c r="N25" s="3">
        <f>(C25-C33)</f>
        <v>-26.855999999999998</v>
      </c>
      <c r="O25" s="3">
        <f t="shared" ref="O25:R25" si="5">(D25-D33)</f>
        <v>-26.847000000000001</v>
      </c>
      <c r="P25" s="3">
        <f t="shared" si="5"/>
        <v>-26.847000000000001</v>
      </c>
      <c r="Q25" s="3">
        <f t="shared" si="5"/>
        <v>-26.844999999999999</v>
      </c>
      <c r="R25" s="3">
        <f t="shared" si="5"/>
        <v>-26.830000000000002</v>
      </c>
      <c r="W25" s="21">
        <f>O24</f>
        <v>26.845999999999997</v>
      </c>
      <c r="X25" s="21">
        <f>O25</f>
        <v>-26.847000000000001</v>
      </c>
      <c r="Y25" s="21">
        <f>O26</f>
        <v>-26.869000000000003</v>
      </c>
      <c r="Z25" s="21">
        <f>O27</f>
        <v>26.87</v>
      </c>
    </row>
    <row r="26" spans="1:26" x14ac:dyDescent="0.25">
      <c r="A26" s="6">
        <v>3</v>
      </c>
      <c r="B26" s="7" t="s">
        <v>19</v>
      </c>
      <c r="C26" s="12">
        <v>27.192</v>
      </c>
      <c r="D26" s="12">
        <v>27.184000000000001</v>
      </c>
      <c r="E26" s="12">
        <v>27.184000000000001</v>
      </c>
      <c r="F26" s="12">
        <v>27.181999999999999</v>
      </c>
      <c r="G26" s="12">
        <v>27.169</v>
      </c>
      <c r="H26" s="3">
        <f>AVERAGE(C26:G26)</f>
        <v>27.182200000000002</v>
      </c>
      <c r="I26" s="11">
        <f>_xlfn.STDEV.P(C26:G26)</f>
        <v>7.4404300950952924E-3</v>
      </c>
      <c r="J26" s="3">
        <f>H26/1000</f>
        <v>2.71822E-2</v>
      </c>
      <c r="K26" s="11">
        <f>I26/1000</f>
        <v>7.4404300950952924E-6</v>
      </c>
      <c r="M26" s="17" t="s">
        <v>57</v>
      </c>
      <c r="N26" s="3">
        <f>(C28-C32)</f>
        <v>-26.866000000000003</v>
      </c>
      <c r="O26" s="3">
        <f t="shared" ref="O26:R26" si="6">(D28-D32)</f>
        <v>-26.869000000000003</v>
      </c>
      <c r="P26" s="3">
        <f t="shared" si="6"/>
        <v>-26.862000000000002</v>
      </c>
      <c r="Q26" s="3">
        <f t="shared" si="6"/>
        <v>-26.858000000000001</v>
      </c>
      <c r="R26" s="3">
        <f t="shared" si="6"/>
        <v>-26.849</v>
      </c>
      <c r="W26" s="21">
        <f>P24</f>
        <v>26.846999999999998</v>
      </c>
      <c r="X26" s="21">
        <f>P25</f>
        <v>-26.847000000000001</v>
      </c>
      <c r="Y26" s="21">
        <f>P26</f>
        <v>-26.862000000000002</v>
      </c>
      <c r="Z26" s="21">
        <f>P27</f>
        <v>26.864000000000001</v>
      </c>
    </row>
    <row r="27" spans="1:26" x14ac:dyDescent="0.25">
      <c r="A27" s="6">
        <v>4</v>
      </c>
      <c r="B27" s="7" t="s">
        <v>19</v>
      </c>
      <c r="C27" s="12">
        <v>-27.202999999999999</v>
      </c>
      <c r="D27" s="12">
        <v>-27.193999999999999</v>
      </c>
      <c r="E27" s="12">
        <v>-27.193999999999999</v>
      </c>
      <c r="F27" s="12">
        <v>-27.192</v>
      </c>
      <c r="G27" s="12">
        <v>-27.178000000000001</v>
      </c>
      <c r="H27" s="3">
        <f>AVERAGE(C27:G27)</f>
        <v>-27.192199999999996</v>
      </c>
      <c r="I27" s="11">
        <f>_xlfn.STDEV.P(C27:G27)</f>
        <v>8.0597766718434188E-3</v>
      </c>
      <c r="J27" s="3">
        <f>H27/1000</f>
        <v>-2.7192199999999996E-2</v>
      </c>
      <c r="K27" s="11">
        <f>I27/1000</f>
        <v>8.0597766718434196E-6</v>
      </c>
      <c r="M27" s="17" t="s">
        <v>58</v>
      </c>
      <c r="N27" s="3">
        <f>(C29-C33)</f>
        <v>26.866000000000003</v>
      </c>
      <c r="O27" s="3">
        <f t="shared" ref="O27:R27" si="7">(D29-D33)</f>
        <v>26.87</v>
      </c>
      <c r="P27" s="3">
        <f t="shared" si="7"/>
        <v>26.864000000000001</v>
      </c>
      <c r="Q27" s="3">
        <f t="shared" si="7"/>
        <v>26.856000000000002</v>
      </c>
      <c r="R27" s="3">
        <f t="shared" si="7"/>
        <v>26.849999999999998</v>
      </c>
      <c r="W27" s="21">
        <f>Q24</f>
        <v>26.842000000000002</v>
      </c>
      <c r="X27" s="21">
        <f>Q25</f>
        <v>-26.844999999999999</v>
      </c>
      <c r="Y27" s="21">
        <f>Q26</f>
        <v>-26.858000000000001</v>
      </c>
      <c r="Z27" s="21">
        <f>Q27</f>
        <v>26.856000000000002</v>
      </c>
    </row>
    <row r="28" spans="1:26" x14ac:dyDescent="0.25">
      <c r="A28" s="6">
        <v>5</v>
      </c>
      <c r="B28" s="7" t="s">
        <v>20</v>
      </c>
      <c r="C28" s="12">
        <v>-27.196000000000002</v>
      </c>
      <c r="D28" s="12">
        <v>-27.199000000000002</v>
      </c>
      <c r="E28" s="12">
        <v>-27.193000000000001</v>
      </c>
      <c r="F28" s="12">
        <v>-27.187000000000001</v>
      </c>
      <c r="G28" s="12">
        <v>-27.18</v>
      </c>
      <c r="H28" s="3">
        <f>AVERAGE(C28:G28)</f>
        <v>-27.191000000000003</v>
      </c>
      <c r="I28" s="11">
        <f>_xlfn.STDEV.P(C28:G28)</f>
        <v>6.7823299831259089E-3</v>
      </c>
      <c r="J28" s="3">
        <f>H28/1000</f>
        <v>-2.7191000000000003E-2</v>
      </c>
      <c r="K28" s="11">
        <f>I28/1000</f>
        <v>6.7823299831259092E-6</v>
      </c>
      <c r="W28" s="21">
        <f>R24</f>
        <v>26.83</v>
      </c>
      <c r="X28" s="21">
        <f>R25</f>
        <v>-26.830000000000002</v>
      </c>
      <c r="Y28" s="21">
        <f>R26</f>
        <v>-26.849</v>
      </c>
      <c r="Z28" s="21">
        <f>R27</f>
        <v>26.849999999999998</v>
      </c>
    </row>
    <row r="29" spans="1:26" x14ac:dyDescent="0.25">
      <c r="A29" s="6">
        <v>6</v>
      </c>
      <c r="B29" s="7" t="s">
        <v>20</v>
      </c>
      <c r="C29" s="12">
        <v>27.26</v>
      </c>
      <c r="D29" s="12">
        <v>27.263000000000002</v>
      </c>
      <c r="E29" s="12">
        <v>27.257000000000001</v>
      </c>
      <c r="F29" s="12">
        <v>27.25</v>
      </c>
      <c r="G29" s="12">
        <v>27.242999999999999</v>
      </c>
      <c r="H29" s="3">
        <f>AVERAGE(C29:G29)</f>
        <v>27.2546</v>
      </c>
      <c r="I29" s="11">
        <f>_xlfn.STDEV.P(C29:G29)</f>
        <v>7.2277243998382455E-3</v>
      </c>
      <c r="J29" s="3">
        <f>H29/1000</f>
        <v>2.72546E-2</v>
      </c>
      <c r="K29" s="11">
        <f>I29/1000</f>
        <v>7.2277243998382454E-6</v>
      </c>
      <c r="M29" s="7" t="s">
        <v>60</v>
      </c>
      <c r="N29" s="3">
        <f>(N24-N25)/2</f>
        <v>26.854999999999997</v>
      </c>
      <c r="O29" s="3">
        <f>(O24-O25)/2</f>
        <v>26.846499999999999</v>
      </c>
      <c r="P29" s="3">
        <f>(P24-P25)/2</f>
        <v>26.847000000000001</v>
      </c>
      <c r="Q29" s="3">
        <f>(Q24-Q25)/2</f>
        <v>26.843499999999999</v>
      </c>
      <c r="R29" s="3">
        <f>(R24-R25)/2</f>
        <v>26.83</v>
      </c>
    </row>
    <row r="30" spans="1:26" x14ac:dyDescent="0.25">
      <c r="A30" s="6">
        <v>7</v>
      </c>
      <c r="B30" s="7" t="s">
        <v>20</v>
      </c>
      <c r="C30" s="12">
        <v>-26.501000000000001</v>
      </c>
      <c r="D30" s="12">
        <v>-26.504000000000001</v>
      </c>
      <c r="E30" s="12">
        <v>-26.495999999999999</v>
      </c>
      <c r="F30" s="12">
        <v>-26.49</v>
      </c>
      <c r="G30" s="12">
        <v>-26.484000000000002</v>
      </c>
      <c r="H30" s="3">
        <f>AVERAGE(C30:G30)</f>
        <v>-26.494999999999997</v>
      </c>
      <c r="I30" s="11">
        <f>_xlfn.STDEV.P(C30:G30)</f>
        <v>7.2663608498341583E-3</v>
      </c>
      <c r="J30" s="3">
        <f>H30/1000</f>
        <v>-2.6494999999999998E-2</v>
      </c>
      <c r="K30" s="11">
        <f>I30/1000</f>
        <v>7.2663608498341582E-6</v>
      </c>
      <c r="M30" s="7" t="s">
        <v>61</v>
      </c>
      <c r="N30" s="3">
        <f>-(N26-N27)/2</f>
        <v>26.866000000000003</v>
      </c>
      <c r="O30" s="3">
        <f>-(O26-O27)/2</f>
        <v>26.869500000000002</v>
      </c>
      <c r="P30" s="3">
        <f>-(P26-P27)/2</f>
        <v>26.863</v>
      </c>
      <c r="Q30" s="3">
        <f>-(Q26-Q27)/2</f>
        <v>26.856999999999999</v>
      </c>
      <c r="R30" s="3">
        <f>-(R26-R27)/2</f>
        <v>26.849499999999999</v>
      </c>
      <c r="W30" s="7" t="s">
        <v>60</v>
      </c>
      <c r="X30" s="7" t="s">
        <v>61</v>
      </c>
      <c r="Y30" s="7" t="s">
        <v>63</v>
      </c>
      <c r="Z30" s="7" t="s">
        <v>64</v>
      </c>
    </row>
    <row r="31" spans="1:26" x14ac:dyDescent="0.25">
      <c r="A31" s="6">
        <v>8</v>
      </c>
      <c r="B31" s="7" t="s">
        <v>20</v>
      </c>
      <c r="C31" s="12">
        <v>26.495000000000001</v>
      </c>
      <c r="D31" s="12">
        <v>26.498999999999999</v>
      </c>
      <c r="E31" s="12">
        <v>26.492000000000001</v>
      </c>
      <c r="F31" s="12">
        <v>26.486000000000001</v>
      </c>
      <c r="G31" s="12">
        <v>26.478999999999999</v>
      </c>
      <c r="H31" s="3">
        <f>AVERAGE(C31:G31)</f>
        <v>26.490200000000005</v>
      </c>
      <c r="I31" s="11">
        <f>_xlfn.STDEV.P(C31:G31)</f>
        <v>7.0256672281001683E-3</v>
      </c>
      <c r="J31" s="3">
        <f>H31/1000</f>
        <v>2.6490200000000005E-2</v>
      </c>
      <c r="K31" s="11">
        <f>I31/1000</f>
        <v>7.025667228100168E-6</v>
      </c>
      <c r="W31" s="21">
        <f>N29</f>
        <v>26.854999999999997</v>
      </c>
      <c r="X31" s="21">
        <f>N30</f>
        <v>26.866000000000003</v>
      </c>
      <c r="Y31" s="21">
        <f>N32</f>
        <v>12.970835784533911</v>
      </c>
      <c r="Z31" s="21">
        <f>N33</f>
        <v>12.976148731606333</v>
      </c>
    </row>
    <row r="32" spans="1:26" x14ac:dyDescent="0.25">
      <c r="A32" s="6">
        <v>9</v>
      </c>
      <c r="B32" s="7">
        <v>0</v>
      </c>
      <c r="C32" s="12">
        <v>-0.33</v>
      </c>
      <c r="D32" s="12">
        <v>-0.33</v>
      </c>
      <c r="E32" s="12">
        <v>-0.33100000000000002</v>
      </c>
      <c r="F32" s="12">
        <v>-0.32900000000000001</v>
      </c>
      <c r="G32" s="12">
        <v>-0.33100000000000002</v>
      </c>
      <c r="H32" s="3">
        <f>AVERAGE(C32:G32)</f>
        <v>-0.33019999999999999</v>
      </c>
      <c r="I32" s="11">
        <f>_xlfn.STDEV.P(C32:G32)</f>
        <v>7.4833147735478892E-4</v>
      </c>
      <c r="J32" s="3">
        <f>H32/1000</f>
        <v>-3.302E-4</v>
      </c>
      <c r="K32" s="11">
        <f>I32/1000</f>
        <v>7.483314773547889E-7</v>
      </c>
      <c r="M32" s="7" t="s">
        <v>63</v>
      </c>
      <c r="N32" s="3">
        <f>N29/($D$35*$D$41)/1000</f>
        <v>12.970835784533911</v>
      </c>
      <c r="O32" s="3">
        <f t="shared" ref="O32:R32" si="8">O29/($D$35*$D$41)/1000</f>
        <v>12.966730325432493</v>
      </c>
      <c r="P32" s="3">
        <f t="shared" si="8"/>
        <v>12.966971823026697</v>
      </c>
      <c r="Q32" s="3">
        <f t="shared" si="8"/>
        <v>12.965281339867289</v>
      </c>
      <c r="R32" s="3">
        <f t="shared" si="8"/>
        <v>12.958760904823864</v>
      </c>
      <c r="T32" s="16">
        <f>AVERAGE(N32:R32)</f>
        <v>12.965716035536852</v>
      </c>
      <c r="U32" s="15">
        <f>_xlfn.STDEV.P(N32:R32)</f>
        <v>3.9339654183743397E-3</v>
      </c>
      <c r="W32" s="21">
        <f>O29</f>
        <v>26.846499999999999</v>
      </c>
      <c r="X32" s="21">
        <f>O30</f>
        <v>26.869500000000002</v>
      </c>
      <c r="Y32" s="21">
        <f>O32</f>
        <v>12.966730325432493</v>
      </c>
      <c r="Z32" s="21">
        <f>O33</f>
        <v>12.977839214765741</v>
      </c>
    </row>
    <row r="33" spans="1:26" x14ac:dyDescent="0.25">
      <c r="A33" s="6">
        <v>10</v>
      </c>
      <c r="B33" s="7">
        <v>0</v>
      </c>
      <c r="C33" s="12">
        <v>0.39400000000000002</v>
      </c>
      <c r="D33" s="12">
        <v>0.39300000000000002</v>
      </c>
      <c r="E33" s="12">
        <v>0.39300000000000002</v>
      </c>
      <c r="F33" s="12">
        <v>0.39400000000000002</v>
      </c>
      <c r="G33" s="12">
        <v>0.39300000000000002</v>
      </c>
      <c r="H33" s="3">
        <f>AVERAGE(C33:G33)</f>
        <v>0.39340000000000008</v>
      </c>
      <c r="I33" s="11">
        <f>_xlfn.STDEV.P(C33:G33)</f>
        <v>4.89897948556636E-4</v>
      </c>
      <c r="J33" s="3">
        <f>H33/1000</f>
        <v>3.9340000000000008E-4</v>
      </c>
      <c r="K33" s="11">
        <f>I33/1000</f>
        <v>4.8989794855663599E-7</v>
      </c>
      <c r="M33" s="7" t="s">
        <v>64</v>
      </c>
      <c r="N33" s="3">
        <f>N30/($D$35*$D$41)/1000</f>
        <v>12.976148731606333</v>
      </c>
      <c r="O33" s="3">
        <f t="shared" ref="O33:R33" si="9">O30/($D$35*$D$41)/1000</f>
        <v>12.977839214765741</v>
      </c>
      <c r="P33" s="3">
        <f t="shared" si="9"/>
        <v>12.974699746041127</v>
      </c>
      <c r="Q33" s="3">
        <f t="shared" si="9"/>
        <v>12.971801774910714</v>
      </c>
      <c r="R33" s="3">
        <f t="shared" si="9"/>
        <v>12.968179310997701</v>
      </c>
      <c r="T33" s="16">
        <f>AVERAGE(N33:R33)</f>
        <v>12.973733755664323</v>
      </c>
      <c r="U33" s="15">
        <f>_xlfn.STDEV.P(N33:R33)</f>
        <v>3.4118747289093821E-3</v>
      </c>
      <c r="W33" s="21">
        <f>P29</f>
        <v>26.847000000000001</v>
      </c>
      <c r="X33" s="21">
        <f>P30</f>
        <v>26.863</v>
      </c>
      <c r="Y33" s="21">
        <f>P32</f>
        <v>12.966971823026697</v>
      </c>
      <c r="Z33" s="21">
        <f>P33</f>
        <v>12.974699746041127</v>
      </c>
    </row>
    <row r="34" spans="1:26" x14ac:dyDescent="0.25">
      <c r="D34" t="s">
        <v>65</v>
      </c>
      <c r="E34" t="s">
        <v>45</v>
      </c>
      <c r="W34" s="21">
        <f>Q29</f>
        <v>26.843499999999999</v>
      </c>
      <c r="X34" s="21">
        <f>Q30</f>
        <v>26.856999999999999</v>
      </c>
      <c r="Y34" s="21">
        <f>Q32</f>
        <v>12.965281339867289</v>
      </c>
      <c r="Z34" s="21">
        <f>Q33</f>
        <v>12.971801774910714</v>
      </c>
    </row>
    <row r="35" spans="1:26" x14ac:dyDescent="0.25">
      <c r="D35">
        <v>0.13800000000000001</v>
      </c>
      <c r="E35">
        <v>1E-3</v>
      </c>
      <c r="T35" s="19">
        <f>(T32+T33)/2</f>
        <v>12.969724895600589</v>
      </c>
      <c r="U35" s="20">
        <f>(U32+U33)/2</f>
        <v>3.6729200736418609E-3</v>
      </c>
      <c r="W35" s="21">
        <f>R29</f>
        <v>26.83</v>
      </c>
      <c r="X35" s="21">
        <f>R30</f>
        <v>26.849499999999999</v>
      </c>
      <c r="Y35" s="21">
        <f>R32</f>
        <v>12.958760904823864</v>
      </c>
      <c r="Z35" s="21">
        <f>R33</f>
        <v>12.968179310997701</v>
      </c>
    </row>
    <row r="36" spans="1:26" x14ac:dyDescent="0.25">
      <c r="D36" t="s">
        <v>52</v>
      </c>
      <c r="E36" t="s">
        <v>45</v>
      </c>
    </row>
    <row r="37" spans="1:26" x14ac:dyDescent="0.25">
      <c r="D37">
        <v>1</v>
      </c>
      <c r="E37">
        <v>0</v>
      </c>
    </row>
    <row r="38" spans="1:26" x14ac:dyDescent="0.25">
      <c r="D38" t="s">
        <v>44</v>
      </c>
      <c r="E38" t="s">
        <v>45</v>
      </c>
    </row>
    <row r="39" spans="1:26" x14ac:dyDescent="0.25">
      <c r="E39">
        <v>9.9999999999999995E-7</v>
      </c>
      <c r="J39" t="s">
        <v>75</v>
      </c>
    </row>
    <row r="40" spans="1:26" x14ac:dyDescent="0.25">
      <c r="D40" t="s">
        <v>29</v>
      </c>
      <c r="E40" t="s">
        <v>45</v>
      </c>
      <c r="O40" t="s">
        <v>66</v>
      </c>
      <c r="W40" s="7" t="s">
        <v>67</v>
      </c>
      <c r="X40" s="7" t="s">
        <v>68</v>
      </c>
      <c r="Y40" s="7" t="s">
        <v>69</v>
      </c>
    </row>
    <row r="41" spans="1:26" x14ac:dyDescent="0.25">
      <c r="D41">
        <v>1.5003000000000001E-2</v>
      </c>
      <c r="E41">
        <v>5.0000000000000004E-6</v>
      </c>
      <c r="M41" s="17" t="s">
        <v>67</v>
      </c>
      <c r="N41" s="3">
        <f>((C24-C25)-(C28-C29))/(4*1000*$D$35*$D$41)</f>
        <v>12.973492258070126</v>
      </c>
      <c r="O41" s="3">
        <f>((D24-D25)-(D28-D29))/(4*1000*$D$35*$D$41)</f>
        <v>12.972284770099121</v>
      </c>
      <c r="P41" s="3">
        <f>((E24-E25)-(E28-E29))/(4*1000*$D$35*$D$41)</f>
        <v>12.970835784533914</v>
      </c>
      <c r="Q41" s="3">
        <f>((F24-F25)-(F28-F29))/(4*1000*$D$35*$D$41)</f>
        <v>12.968541557389004</v>
      </c>
      <c r="R41" s="3">
        <f>((G24-G25)-(G28-G29))/(4*1000*$D$35*$D$41)</f>
        <v>12.963470107910787</v>
      </c>
      <c r="T41" s="16">
        <f>AVERAGE(N41:R41)</f>
        <v>12.969724895600592</v>
      </c>
      <c r="U41" s="15">
        <f>_xlfn.STDEV.P(N41:R41)</f>
        <v>3.5356105558950997E-3</v>
      </c>
      <c r="W41" s="21">
        <f>N41</f>
        <v>12.973492258070126</v>
      </c>
      <c r="X41" s="21">
        <f>N42</f>
        <v>12.967334069417999</v>
      </c>
      <c r="Y41" s="21">
        <f>AVERAGE(W41:X41)</f>
        <v>12.970413163744063</v>
      </c>
    </row>
    <row r="42" spans="1:26" x14ac:dyDescent="0.25">
      <c r="D42" t="s">
        <v>74</v>
      </c>
      <c r="M42" s="17" t="s">
        <v>68</v>
      </c>
      <c r="N42" s="3">
        <f>((C26-C27)-(C30-C31))/(4*1000*$D$35*$D$41)</f>
        <v>12.967334069417999</v>
      </c>
      <c r="O42" s="3">
        <f>((D26-D27)-(D30-D31))/(4*1000*$D$35*$D$41)</f>
        <v>12.966126581446996</v>
      </c>
      <c r="P42" s="3">
        <f>((E26-E27)-(E30-E31))/(4*1000*$D$35*$D$41)</f>
        <v>12.964315349490489</v>
      </c>
      <c r="Q42" s="3">
        <f>((F26-F27)-(F30-F31))/(4*1000*$D$35*$D$41)</f>
        <v>12.96238336873688</v>
      </c>
      <c r="R42" s="3">
        <f>((G26-G27)-(G30-G31))/(4*1000*$D$35*$D$41)</f>
        <v>12.957553416852862</v>
      </c>
      <c r="T42" s="16">
        <f>AVERAGE(N42:R42)</f>
        <v>12.963542557189047</v>
      </c>
      <c r="U42" s="15">
        <f>_xlfn.STDEV.P(N42:R42)</f>
        <v>3.4311360836692673E-3</v>
      </c>
      <c r="W42" s="21">
        <f>O41</f>
        <v>12.972284770099121</v>
      </c>
      <c r="X42" s="21">
        <f>O42</f>
        <v>12.966126581446996</v>
      </c>
      <c r="Y42" s="21">
        <f t="shared" ref="Y42:Y45" si="10">AVERAGE(W42:X42)</f>
        <v>12.969205675773058</v>
      </c>
    </row>
    <row r="43" spans="1:26" x14ac:dyDescent="0.25">
      <c r="D43">
        <f>1.602*10^-19</f>
        <v>1.602E-19</v>
      </c>
      <c r="W43" s="21">
        <f>P41</f>
        <v>12.970835784533914</v>
      </c>
      <c r="X43" s="21">
        <f>P42</f>
        <v>12.964315349490489</v>
      </c>
      <c r="Y43" s="21">
        <f t="shared" si="10"/>
        <v>12.967575567012201</v>
      </c>
    </row>
    <row r="44" spans="1:26" x14ac:dyDescent="0.25">
      <c r="M44" s="7" t="s">
        <v>69</v>
      </c>
      <c r="N44" s="3">
        <f>AVERAGE(N41:N42)</f>
        <v>12.970413163744063</v>
      </c>
      <c r="O44" s="3">
        <f t="shared" ref="O44:R44" si="11">AVERAGE(O41:O42)</f>
        <v>12.969205675773058</v>
      </c>
      <c r="P44" s="3">
        <f t="shared" si="11"/>
        <v>12.967575567012201</v>
      </c>
      <c r="Q44" s="3">
        <f t="shared" si="11"/>
        <v>12.965462463062941</v>
      </c>
      <c r="R44" s="3">
        <f t="shared" si="11"/>
        <v>12.960511762381824</v>
      </c>
      <c r="T44" s="14">
        <f>(T41+T42)/2</f>
        <v>12.96663372639482</v>
      </c>
      <c r="U44" s="18">
        <f>(U41+U42)/2</f>
        <v>3.4833733197821835E-3</v>
      </c>
      <c r="W44" s="21">
        <f>Q41</f>
        <v>12.968541557389004</v>
      </c>
      <c r="X44" s="21">
        <f>Q42</f>
        <v>12.96238336873688</v>
      </c>
      <c r="Y44" s="21">
        <f t="shared" si="10"/>
        <v>12.965462463062941</v>
      </c>
    </row>
    <row r="45" spans="1:26" x14ac:dyDescent="0.25">
      <c r="W45" s="21">
        <f>R41</f>
        <v>12.963470107910787</v>
      </c>
      <c r="X45" s="21">
        <f>R42</f>
        <v>12.957553416852862</v>
      </c>
      <c r="Y45" s="21">
        <f t="shared" si="10"/>
        <v>12.960511762381824</v>
      </c>
    </row>
    <row r="46" spans="1:26" x14ac:dyDescent="0.25">
      <c r="R46" s="3">
        <f>AVERAGE(N44:R44)</f>
        <v>12.966633726394818</v>
      </c>
    </row>
    <row r="47" spans="1:26" x14ac:dyDescent="0.25">
      <c r="R47" s="11">
        <f>_xlfn.STDEV.P(N44:R44)</f>
        <v>3.4824254535779637E-3</v>
      </c>
    </row>
    <row r="49" spans="13:15" x14ac:dyDescent="0.25">
      <c r="M49" s="10" t="s">
        <v>70</v>
      </c>
    </row>
    <row r="50" spans="13:15" x14ac:dyDescent="0.25">
      <c r="M50" s="7" t="s">
        <v>51</v>
      </c>
      <c r="N50" s="3">
        <f>T15</f>
        <v>27.098381021397991</v>
      </c>
      <c r="O50" s="18">
        <f>U15</f>
        <v>1.8095890231305278E-3</v>
      </c>
    </row>
    <row r="51" spans="13:15" x14ac:dyDescent="0.25">
      <c r="M51" s="7" t="s">
        <v>46</v>
      </c>
      <c r="N51" s="3">
        <f>1/N50</f>
        <v>3.6902573596937729E-2</v>
      </c>
      <c r="O51" s="18">
        <f>O50/N50^2</f>
        <v>2.4642982196447058E-6</v>
      </c>
    </row>
    <row r="52" spans="13:15" x14ac:dyDescent="0.25">
      <c r="M52" s="7" t="s">
        <v>73</v>
      </c>
      <c r="N52" s="3">
        <f>R46</f>
        <v>12.966633726394818</v>
      </c>
      <c r="O52" s="11">
        <f>R47</f>
        <v>3.4824254535779637E-3</v>
      </c>
    </row>
    <row r="53" spans="13:15" x14ac:dyDescent="0.25">
      <c r="M53" s="7" t="s">
        <v>71</v>
      </c>
      <c r="N53" s="3">
        <f>ABS(N52/N50)</f>
        <v>0.47850215539281971</v>
      </c>
      <c r="O53" s="11">
        <f>SQRT((O52/N50)^2+(N52*O50/N50^2)^2)</f>
        <v>1.324234671116824E-4</v>
      </c>
    </row>
    <row r="54" spans="13:15" x14ac:dyDescent="0.25">
      <c r="M54" s="7" t="s">
        <v>72</v>
      </c>
      <c r="N54" s="3">
        <f>1/(D43*N52)</f>
        <v>4.8140461010529056E+17</v>
      </c>
      <c r="O54" s="11">
        <f>O52/(D43*N52^2)</f>
        <v>129289968628315.17</v>
      </c>
    </row>
  </sheetData>
  <pageMargins left="0.7" right="0.7" top="0.75" bottom="0.75" header="0.3" footer="0.3"/>
  <pageSetup paperSize="9" orientation="portrait" r:id="rId1"/>
  <ignoredErrors>
    <ignoredError sqref="H4:I11 G12:H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I33" sqref="I33"/>
    </sheetView>
  </sheetViews>
  <sheetFormatPr defaultRowHeight="15" x14ac:dyDescent="0.25"/>
  <cols>
    <col min="1" max="1" width="14" bestFit="1" customWidth="1"/>
    <col min="2" max="2" width="12" bestFit="1" customWidth="1"/>
    <col min="3" max="15" width="9" bestFit="1" customWidth="1"/>
    <col min="18" max="18" width="10" bestFit="1" customWidth="1"/>
    <col min="19" max="19" width="9" bestFit="1" customWidth="1"/>
  </cols>
  <sheetData>
    <row r="1" spans="1:19" x14ac:dyDescent="0.25">
      <c r="A1" s="10" t="s">
        <v>26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Q1" t="s">
        <v>18</v>
      </c>
    </row>
    <row r="2" spans="1:19" x14ac:dyDescent="0.25">
      <c r="A2" s="7" t="s">
        <v>21</v>
      </c>
      <c r="B2" s="4">
        <v>-206</v>
      </c>
      <c r="C2" s="4">
        <v>-196</v>
      </c>
      <c r="D2" s="4">
        <v>-183</v>
      </c>
      <c r="E2" s="4">
        <v>-172</v>
      </c>
      <c r="F2" s="4">
        <v>-163</v>
      </c>
      <c r="G2" s="4">
        <v>-153</v>
      </c>
      <c r="H2" s="4">
        <v>-140</v>
      </c>
      <c r="I2" s="4">
        <v>-125</v>
      </c>
      <c r="J2" s="4">
        <v>-110</v>
      </c>
      <c r="K2" s="4">
        <v>-93</v>
      </c>
      <c r="L2" s="4">
        <v>-79</v>
      </c>
      <c r="M2" s="4">
        <v>-64</v>
      </c>
      <c r="N2" s="4">
        <v>-27</v>
      </c>
      <c r="O2" s="4">
        <v>0</v>
      </c>
    </row>
    <row r="3" spans="1:19" x14ac:dyDescent="0.25">
      <c r="A3" s="7" t="s">
        <v>22</v>
      </c>
      <c r="B3" s="4">
        <v>-205</v>
      </c>
      <c r="C3" s="4">
        <v>-195</v>
      </c>
      <c r="D3" s="4">
        <v>-183</v>
      </c>
      <c r="E3" s="4">
        <v>-173</v>
      </c>
      <c r="F3" s="4">
        <v>-160</v>
      </c>
      <c r="G3" s="4">
        <v>-151</v>
      </c>
      <c r="H3" s="4">
        <v>-140</v>
      </c>
      <c r="I3" s="4">
        <v>-125</v>
      </c>
      <c r="J3" s="4">
        <v>-109</v>
      </c>
      <c r="K3" s="4">
        <v>-93</v>
      </c>
      <c r="L3" s="4">
        <v>-79</v>
      </c>
      <c r="M3" s="4">
        <v>-62</v>
      </c>
      <c r="N3" s="4">
        <v>-27</v>
      </c>
      <c r="O3" s="4">
        <v>0</v>
      </c>
    </row>
    <row r="4" spans="1:19" x14ac:dyDescent="0.25">
      <c r="A4" s="7" t="s">
        <v>23</v>
      </c>
      <c r="B4" s="3">
        <f>AVERAGE(B2:B3)</f>
        <v>-205.5</v>
      </c>
      <c r="C4" s="3">
        <f t="shared" ref="C4:O4" si="0">AVERAGE(C2:C3)</f>
        <v>-195.5</v>
      </c>
      <c r="D4" s="3">
        <f t="shared" si="0"/>
        <v>-183</v>
      </c>
      <c r="E4" s="3">
        <f>AVERAGE(E2:E3)</f>
        <v>-172.5</v>
      </c>
      <c r="F4" s="3">
        <f t="shared" si="0"/>
        <v>-161.5</v>
      </c>
      <c r="G4" s="3">
        <f t="shared" si="0"/>
        <v>-152</v>
      </c>
      <c r="H4" s="3">
        <f t="shared" si="0"/>
        <v>-140</v>
      </c>
      <c r="I4" s="3">
        <f t="shared" si="0"/>
        <v>-125</v>
      </c>
      <c r="J4" s="3">
        <f t="shared" si="0"/>
        <v>-109.5</v>
      </c>
      <c r="K4" s="3">
        <f t="shared" si="0"/>
        <v>-93</v>
      </c>
      <c r="L4" s="3">
        <f t="shared" si="0"/>
        <v>-79</v>
      </c>
      <c r="M4" s="3">
        <f t="shared" si="0"/>
        <v>-63</v>
      </c>
      <c r="N4" s="3">
        <f t="shared" si="0"/>
        <v>-27</v>
      </c>
      <c r="O4" s="3">
        <f t="shared" si="0"/>
        <v>0</v>
      </c>
    </row>
    <row r="5" spans="1:19" x14ac:dyDescent="0.25">
      <c r="B5" s="11">
        <f>_xlfn.STDEV.P(B2:B3)</f>
        <v>0.5</v>
      </c>
      <c r="C5" s="11">
        <f t="shared" ref="C5:O5" si="1">_xlfn.STDEV.P(C2:C3)</f>
        <v>0.5</v>
      </c>
      <c r="D5" s="11">
        <f t="shared" si="1"/>
        <v>0</v>
      </c>
      <c r="E5" s="11">
        <f t="shared" si="1"/>
        <v>0.5</v>
      </c>
      <c r="F5" s="11">
        <f t="shared" si="1"/>
        <v>1.5</v>
      </c>
      <c r="G5" s="11">
        <f t="shared" si="1"/>
        <v>1</v>
      </c>
      <c r="H5" s="11">
        <f t="shared" si="1"/>
        <v>0</v>
      </c>
      <c r="I5" s="11">
        <f t="shared" si="1"/>
        <v>0</v>
      </c>
      <c r="J5" s="11">
        <f t="shared" si="1"/>
        <v>0.5</v>
      </c>
      <c r="K5" s="11">
        <f t="shared" si="1"/>
        <v>0</v>
      </c>
      <c r="L5" s="11">
        <f t="shared" si="1"/>
        <v>0</v>
      </c>
      <c r="M5" s="11">
        <f t="shared" si="1"/>
        <v>1</v>
      </c>
      <c r="N5" s="11">
        <f t="shared" si="1"/>
        <v>0</v>
      </c>
      <c r="O5" s="11">
        <f t="shared" si="1"/>
        <v>0</v>
      </c>
      <c r="R5" t="s">
        <v>65</v>
      </c>
      <c r="S5" t="s">
        <v>45</v>
      </c>
    </row>
    <row r="6" spans="1:19" x14ac:dyDescent="0.25">
      <c r="R6">
        <v>0.13800000000000001</v>
      </c>
      <c r="S6">
        <v>1E-3</v>
      </c>
    </row>
    <row r="7" spans="1:19" x14ac:dyDescent="0.25">
      <c r="A7" s="10" t="s">
        <v>24</v>
      </c>
      <c r="B7" s="10" t="s">
        <v>25</v>
      </c>
      <c r="C7" s="10" t="s">
        <v>25</v>
      </c>
      <c r="D7" s="10" t="s">
        <v>25</v>
      </c>
      <c r="E7" s="10" t="s">
        <v>25</v>
      </c>
      <c r="F7" s="10" t="s">
        <v>25</v>
      </c>
      <c r="G7" s="10" t="s">
        <v>25</v>
      </c>
      <c r="H7" s="10" t="s">
        <v>25</v>
      </c>
      <c r="I7" s="10" t="s">
        <v>25</v>
      </c>
      <c r="J7" s="10" t="s">
        <v>25</v>
      </c>
      <c r="K7" s="10" t="s">
        <v>25</v>
      </c>
      <c r="L7" s="10" t="s">
        <v>25</v>
      </c>
      <c r="M7" s="10" t="s">
        <v>25</v>
      </c>
      <c r="N7" s="10" t="s">
        <v>25</v>
      </c>
      <c r="O7" s="10" t="s">
        <v>25</v>
      </c>
      <c r="R7" t="s">
        <v>52</v>
      </c>
      <c r="S7" t="s">
        <v>45</v>
      </c>
    </row>
    <row r="8" spans="1:19" x14ac:dyDescent="0.25">
      <c r="A8" s="7">
        <v>1</v>
      </c>
      <c r="B8" s="4">
        <v>-82.382000000000005</v>
      </c>
      <c r="C8" s="4">
        <v>-82.54</v>
      </c>
      <c r="D8" s="4">
        <v>-82.9</v>
      </c>
      <c r="E8" s="4">
        <v>-83.3</v>
      </c>
      <c r="F8" s="4">
        <v>-83.596000000000004</v>
      </c>
      <c r="G8" s="4">
        <v>-83.793000000000006</v>
      </c>
      <c r="H8" s="4">
        <v>-84.02</v>
      </c>
      <c r="I8" s="4">
        <v>-84.54</v>
      </c>
      <c r="J8" s="4">
        <v>-85.194999999999993</v>
      </c>
      <c r="K8" s="4">
        <v>-85.71</v>
      </c>
      <c r="L8" s="4">
        <v>-86.432000000000002</v>
      </c>
      <c r="M8" s="4">
        <v>-87.257999999999996</v>
      </c>
      <c r="N8" s="4">
        <v>-88.869</v>
      </c>
      <c r="O8" s="4">
        <v>-90.2</v>
      </c>
      <c r="R8">
        <v>1</v>
      </c>
      <c r="S8">
        <v>0</v>
      </c>
    </row>
    <row r="9" spans="1:19" x14ac:dyDescent="0.25">
      <c r="A9" s="7">
        <v>2</v>
      </c>
      <c r="B9" s="4">
        <v>82.504999999999995</v>
      </c>
      <c r="C9" s="4">
        <v>82.665000000000006</v>
      </c>
      <c r="D9" s="4">
        <v>83.027000000000001</v>
      </c>
      <c r="E9" s="4">
        <v>83.412000000000006</v>
      </c>
      <c r="F9" s="4">
        <v>83.712000000000003</v>
      </c>
      <c r="G9" s="4">
        <v>83.9</v>
      </c>
      <c r="H9" s="4">
        <v>84.12</v>
      </c>
      <c r="I9" s="4">
        <v>84.614999999999995</v>
      </c>
      <c r="J9" s="4">
        <v>85.274000000000001</v>
      </c>
      <c r="K9" s="4">
        <v>85.75</v>
      </c>
      <c r="L9" s="4">
        <v>86.475999999999999</v>
      </c>
      <c r="M9" s="4">
        <v>87.287999999999997</v>
      </c>
      <c r="N9" s="4">
        <v>88.869</v>
      </c>
      <c r="O9" s="4">
        <v>90.165999999999997</v>
      </c>
      <c r="R9" t="s">
        <v>44</v>
      </c>
      <c r="S9" t="s">
        <v>45</v>
      </c>
    </row>
    <row r="10" spans="1:19" x14ac:dyDescent="0.25">
      <c r="A10" s="7">
        <v>3</v>
      </c>
      <c r="B10" s="4">
        <v>-82.076999999999998</v>
      </c>
      <c r="C10" s="4">
        <v>-82.24</v>
      </c>
      <c r="D10" s="4">
        <v>-82.608000000000004</v>
      </c>
      <c r="E10" s="4">
        <v>-82.986999999999995</v>
      </c>
      <c r="F10" s="4">
        <v>-83.305000000000007</v>
      </c>
      <c r="G10" s="4">
        <v>-83.495000000000005</v>
      </c>
      <c r="H10" s="4">
        <v>-83.713999999999999</v>
      </c>
      <c r="I10" s="4">
        <v>-84.2</v>
      </c>
      <c r="J10" s="4">
        <v>-84.888000000000005</v>
      </c>
      <c r="K10" s="4">
        <v>-85.343999999999994</v>
      </c>
      <c r="L10" s="4">
        <v>-86.102000000000004</v>
      </c>
      <c r="M10" s="4">
        <v>-86.906999999999996</v>
      </c>
      <c r="N10" s="4">
        <v>-88.522999999999996</v>
      </c>
      <c r="O10" s="4">
        <v>-89.837000000000003</v>
      </c>
      <c r="S10">
        <v>9.9999999999999995E-7</v>
      </c>
    </row>
    <row r="11" spans="1:19" x14ac:dyDescent="0.25">
      <c r="A11" s="7">
        <v>4</v>
      </c>
      <c r="B11" s="4">
        <v>82.111000000000004</v>
      </c>
      <c r="C11" s="4">
        <v>82.277000000000001</v>
      </c>
      <c r="D11" s="4">
        <v>82.65</v>
      </c>
      <c r="E11" s="4">
        <v>83.025000000000006</v>
      </c>
      <c r="F11" s="4">
        <v>83.320999999999998</v>
      </c>
      <c r="G11" s="4">
        <v>83.55</v>
      </c>
      <c r="H11" s="4">
        <v>83.754999999999995</v>
      </c>
      <c r="I11" s="4">
        <v>84.227999999999994</v>
      </c>
      <c r="J11" s="4">
        <v>84.927999999999997</v>
      </c>
      <c r="K11" s="4">
        <v>85.372</v>
      </c>
      <c r="L11" s="4">
        <v>86.129000000000005</v>
      </c>
      <c r="M11" s="4">
        <v>86.924000000000007</v>
      </c>
      <c r="N11" s="4">
        <v>88.527000000000001</v>
      </c>
      <c r="O11" s="4">
        <v>89.802000000000007</v>
      </c>
      <c r="R11" t="s">
        <v>29</v>
      </c>
      <c r="S11" t="s">
        <v>45</v>
      </c>
    </row>
    <row r="12" spans="1:19" x14ac:dyDescent="0.25">
      <c r="A12" s="7">
        <v>5</v>
      </c>
      <c r="B12" s="4">
        <v>-82.429000000000002</v>
      </c>
      <c r="C12" s="4">
        <v>-82.597999999999999</v>
      </c>
      <c r="D12" s="4">
        <v>-82.97</v>
      </c>
      <c r="E12" s="4">
        <v>-83.334999999999994</v>
      </c>
      <c r="F12" s="4">
        <v>-83.626999999999995</v>
      </c>
      <c r="G12" s="4">
        <v>-83.884</v>
      </c>
      <c r="H12" s="4">
        <v>-84.058000000000007</v>
      </c>
      <c r="I12" s="4">
        <v>-84.52</v>
      </c>
      <c r="J12" s="4">
        <v>-85.242999999999995</v>
      </c>
      <c r="K12" s="4">
        <v>-85.688000000000002</v>
      </c>
      <c r="L12" s="4">
        <v>-86.454999999999998</v>
      </c>
      <c r="M12" s="4">
        <v>-87.253</v>
      </c>
      <c r="N12" s="4">
        <v>-88.875</v>
      </c>
      <c r="O12" s="4">
        <v>-90.156999999999996</v>
      </c>
      <c r="R12">
        <v>1.5003000000000001E-2</v>
      </c>
      <c r="S12">
        <v>5.0000000000000004E-6</v>
      </c>
    </row>
    <row r="13" spans="1:19" x14ac:dyDescent="0.25">
      <c r="A13" s="7">
        <v>6</v>
      </c>
      <c r="B13" s="4">
        <v>82.457999999999998</v>
      </c>
      <c r="C13" s="4">
        <v>82.622</v>
      </c>
      <c r="D13" s="4">
        <v>82.99</v>
      </c>
      <c r="E13" s="4">
        <v>83.349000000000004</v>
      </c>
      <c r="F13" s="4">
        <v>83.64</v>
      </c>
      <c r="G13" s="4">
        <v>83.902000000000001</v>
      </c>
      <c r="H13" s="4">
        <v>84.066000000000003</v>
      </c>
      <c r="I13" s="4">
        <v>84.513000000000005</v>
      </c>
      <c r="J13" s="4">
        <v>85.251000000000005</v>
      </c>
      <c r="K13" s="4">
        <v>85.692999999999998</v>
      </c>
      <c r="L13" s="4">
        <v>86.462999999999994</v>
      </c>
      <c r="M13" s="4">
        <v>87.265000000000001</v>
      </c>
      <c r="N13" s="4">
        <v>88.91</v>
      </c>
      <c r="O13" s="4">
        <v>90.182000000000002</v>
      </c>
      <c r="R13" t="s">
        <v>74</v>
      </c>
    </row>
    <row r="14" spans="1:19" x14ac:dyDescent="0.25">
      <c r="A14" s="7">
        <v>7</v>
      </c>
      <c r="B14" s="4">
        <v>-82.192999999999998</v>
      </c>
      <c r="C14" s="4">
        <v>-82.364000000000004</v>
      </c>
      <c r="D14" s="4">
        <v>-82.73</v>
      </c>
      <c r="E14" s="4">
        <v>-83.081000000000003</v>
      </c>
      <c r="F14" s="4">
        <v>-83.378</v>
      </c>
      <c r="G14" s="4">
        <v>-83.63</v>
      </c>
      <c r="H14" s="4">
        <v>-83.786000000000001</v>
      </c>
      <c r="I14" s="4">
        <v>-84.222999999999999</v>
      </c>
      <c r="J14" s="4">
        <v>-84.933999999999997</v>
      </c>
      <c r="K14" s="4">
        <v>-85.393000000000001</v>
      </c>
      <c r="L14" s="4">
        <v>-86.150999999999996</v>
      </c>
      <c r="M14" s="4">
        <v>-86.94</v>
      </c>
      <c r="N14" s="4">
        <v>-88.563000000000002</v>
      </c>
      <c r="O14" s="4">
        <v>-89.8</v>
      </c>
      <c r="R14">
        <f>1.602*10^-19</f>
        <v>1.602E-19</v>
      </c>
    </row>
    <row r="15" spans="1:19" x14ac:dyDescent="0.25">
      <c r="A15" s="7">
        <v>8</v>
      </c>
      <c r="B15" s="4">
        <v>81.992000000000004</v>
      </c>
      <c r="C15" s="4">
        <v>82.171999999999997</v>
      </c>
      <c r="D15" s="4">
        <v>82.48</v>
      </c>
      <c r="E15" s="4">
        <v>82.905000000000001</v>
      </c>
      <c r="F15" s="4">
        <v>83.218000000000004</v>
      </c>
      <c r="G15" s="4">
        <v>83.466999999999999</v>
      </c>
      <c r="H15" s="4">
        <v>83.628</v>
      </c>
      <c r="I15" s="4">
        <v>84.075999999999993</v>
      </c>
      <c r="J15" s="4">
        <v>84.805000000000007</v>
      </c>
      <c r="K15" s="4">
        <v>85.28</v>
      </c>
      <c r="L15" s="4">
        <v>86.057000000000002</v>
      </c>
      <c r="M15" s="4">
        <v>86.864999999999995</v>
      </c>
      <c r="N15" s="4">
        <v>88.546999999999997</v>
      </c>
      <c r="O15" s="4">
        <v>89.822999999999993</v>
      </c>
    </row>
    <row r="17" spans="1:15" x14ac:dyDescent="0.25">
      <c r="A17" s="7">
        <v>1</v>
      </c>
      <c r="B17" s="4">
        <v>26.978000000000002</v>
      </c>
      <c r="C17" s="4">
        <v>27.03</v>
      </c>
      <c r="D17" s="4">
        <v>27.041</v>
      </c>
      <c r="E17" s="4">
        <v>27.047999999999998</v>
      </c>
      <c r="F17" s="4">
        <v>27.044</v>
      </c>
      <c r="G17" s="4">
        <v>27.047000000000001</v>
      </c>
      <c r="H17" s="4">
        <v>27.027999999999999</v>
      </c>
      <c r="I17" s="4">
        <v>26.99</v>
      </c>
      <c r="J17" s="4">
        <v>26.922000000000001</v>
      </c>
      <c r="K17" s="4">
        <v>26.879000000000001</v>
      </c>
      <c r="L17" s="4">
        <v>26.831</v>
      </c>
      <c r="M17" s="4">
        <v>26.779</v>
      </c>
      <c r="N17" s="4">
        <v>26.620999999999999</v>
      </c>
      <c r="O17" s="4">
        <v>26.483000000000001</v>
      </c>
    </row>
    <row r="18" spans="1:15" x14ac:dyDescent="0.25">
      <c r="A18" s="7">
        <v>2</v>
      </c>
      <c r="B18" s="4">
        <v>-27.15</v>
      </c>
      <c r="C18" s="4">
        <v>-27.204999999999998</v>
      </c>
      <c r="D18" s="4">
        <v>-27.213999999999999</v>
      </c>
      <c r="E18" s="4">
        <v>-27.219000000000001</v>
      </c>
      <c r="F18" s="4">
        <v>-27.2</v>
      </c>
      <c r="G18" s="4">
        <v>-27.196999999999999</v>
      </c>
      <c r="H18" s="4">
        <v>-27.172999999999998</v>
      </c>
      <c r="I18" s="4">
        <v>-27.126999999999999</v>
      </c>
      <c r="J18" s="4">
        <v>-27.04</v>
      </c>
      <c r="K18" s="4">
        <v>-26.983000000000001</v>
      </c>
      <c r="L18" s="4">
        <v>-26.916</v>
      </c>
      <c r="M18" s="4">
        <v>-26.85</v>
      </c>
      <c r="N18" s="4">
        <v>-26.63</v>
      </c>
      <c r="O18" s="4">
        <v>-26.443000000000001</v>
      </c>
    </row>
    <row r="19" spans="1:15" x14ac:dyDescent="0.25">
      <c r="A19" s="7">
        <v>3</v>
      </c>
      <c r="B19" s="4">
        <v>27.808</v>
      </c>
      <c r="C19" s="4">
        <v>27.849</v>
      </c>
      <c r="D19" s="4">
        <v>27.847999999999999</v>
      </c>
      <c r="E19" s="4">
        <v>27.85</v>
      </c>
      <c r="F19" s="4">
        <v>27.832000000000001</v>
      </c>
      <c r="G19" s="4">
        <v>27.827999999999999</v>
      </c>
      <c r="H19" s="4">
        <v>27.806000000000001</v>
      </c>
      <c r="I19" s="4">
        <v>27.760999999999999</v>
      </c>
      <c r="J19" s="4">
        <v>27.684000000000001</v>
      </c>
      <c r="K19" s="4">
        <v>27.631</v>
      </c>
      <c r="L19" s="4">
        <v>27.573</v>
      </c>
      <c r="M19" s="4">
        <v>27.518000000000001</v>
      </c>
      <c r="N19" s="4">
        <v>27.317</v>
      </c>
      <c r="O19" s="4">
        <v>27.154</v>
      </c>
    </row>
    <row r="20" spans="1:15" x14ac:dyDescent="0.25">
      <c r="A20" s="7">
        <v>4</v>
      </c>
      <c r="B20" s="4">
        <v>-27.742000000000001</v>
      </c>
      <c r="C20" s="4">
        <v>-27.786999999999999</v>
      </c>
      <c r="D20" s="4">
        <v>-27.786000000000001</v>
      </c>
      <c r="E20" s="4">
        <v>-27.789000000000001</v>
      </c>
      <c r="F20" s="4">
        <v>-27.774999999999999</v>
      </c>
      <c r="G20" s="4">
        <v>-27.771000000000001</v>
      </c>
      <c r="H20" s="4">
        <v>-27.745999999999999</v>
      </c>
      <c r="I20" s="4">
        <v>-27.707000000000001</v>
      </c>
      <c r="J20" s="4">
        <v>-27.63</v>
      </c>
      <c r="K20" s="4">
        <v>-27.584</v>
      </c>
      <c r="L20" s="4">
        <v>-27.533000000000001</v>
      </c>
      <c r="M20" s="4">
        <v>-27.481000000000002</v>
      </c>
      <c r="N20" s="4">
        <v>-27.303000000000001</v>
      </c>
      <c r="O20" s="4">
        <v>-27.16</v>
      </c>
    </row>
    <row r="21" spans="1:15" x14ac:dyDescent="0.25">
      <c r="A21" s="7">
        <v>5</v>
      </c>
      <c r="B21" s="4">
        <v>-27.888999999999999</v>
      </c>
      <c r="C21" s="4">
        <v>-27.922999999999998</v>
      </c>
      <c r="D21" s="4">
        <v>-27.940999999999999</v>
      </c>
      <c r="E21" s="4">
        <v>-27.937999999999999</v>
      </c>
      <c r="F21" s="4">
        <v>-27.914000000000001</v>
      </c>
      <c r="G21" s="4">
        <v>-27.914000000000001</v>
      </c>
      <c r="H21" s="4">
        <v>-27.88</v>
      </c>
      <c r="I21" s="4">
        <v>-27.832000000000001</v>
      </c>
      <c r="J21" s="4">
        <v>-27.754000000000001</v>
      </c>
      <c r="K21" s="4">
        <v>-27.7</v>
      </c>
      <c r="L21" s="4">
        <v>-27.638999999999999</v>
      </c>
      <c r="M21" s="4">
        <v>-27.562999999999999</v>
      </c>
      <c r="N21" s="4">
        <v>-27.352</v>
      </c>
      <c r="O21" s="4">
        <v>-27.177</v>
      </c>
    </row>
    <row r="22" spans="1:15" x14ac:dyDescent="0.25">
      <c r="A22" s="7">
        <v>6</v>
      </c>
      <c r="B22" s="4">
        <v>27.722000000000001</v>
      </c>
      <c r="C22" s="4">
        <v>27.751999999999999</v>
      </c>
      <c r="D22" s="4">
        <v>27.773</v>
      </c>
      <c r="E22" s="4">
        <v>27.774000000000001</v>
      </c>
      <c r="F22" s="4">
        <v>27.760999999999999</v>
      </c>
      <c r="G22" s="4">
        <v>27.765999999999998</v>
      </c>
      <c r="H22" s="4">
        <v>27.74</v>
      </c>
      <c r="I22" s="4">
        <v>27.699000000000002</v>
      </c>
      <c r="J22" s="4">
        <v>27.641999999999999</v>
      </c>
      <c r="K22" s="4">
        <v>27.6</v>
      </c>
      <c r="L22" s="4">
        <v>27.558</v>
      </c>
      <c r="M22" s="4">
        <v>27.5</v>
      </c>
      <c r="N22" s="4">
        <v>27.344999999999999</v>
      </c>
      <c r="O22" s="4">
        <v>27.219000000000001</v>
      </c>
    </row>
    <row r="23" spans="1:15" x14ac:dyDescent="0.25">
      <c r="A23" s="7">
        <v>7</v>
      </c>
      <c r="B23" s="4">
        <v>-27.085000000000001</v>
      </c>
      <c r="C23" s="4">
        <v>-27.12</v>
      </c>
      <c r="D23" s="4">
        <v>-27.14</v>
      </c>
      <c r="E23" s="4">
        <v>-27.143000000000001</v>
      </c>
      <c r="F23" s="4">
        <v>-27.122</v>
      </c>
      <c r="G23" s="4">
        <v>-27.125</v>
      </c>
      <c r="H23" s="4">
        <v>-27.094999999999999</v>
      </c>
      <c r="I23" s="4">
        <v>-27.052</v>
      </c>
      <c r="J23" s="4">
        <v>-26.98</v>
      </c>
      <c r="K23" s="4">
        <v>-26.928000000000001</v>
      </c>
      <c r="L23" s="4">
        <v>-26.88</v>
      </c>
      <c r="M23" s="4">
        <v>-26.811</v>
      </c>
      <c r="N23" s="4">
        <v>-26.628</v>
      </c>
      <c r="O23" s="4">
        <v>-26.48</v>
      </c>
    </row>
    <row r="24" spans="1:15" x14ac:dyDescent="0.25">
      <c r="A24" s="7">
        <v>8</v>
      </c>
      <c r="B24" s="4">
        <v>27.15</v>
      </c>
      <c r="C24" s="4">
        <v>27.18</v>
      </c>
      <c r="D24" s="4">
        <v>27.198</v>
      </c>
      <c r="E24" s="4">
        <v>27.199000000000002</v>
      </c>
      <c r="F24" s="4">
        <v>27.175000000000001</v>
      </c>
      <c r="G24" s="4">
        <v>27.177</v>
      </c>
      <c r="H24" s="4">
        <v>27.15</v>
      </c>
      <c r="I24" s="4">
        <v>27.100999999999999</v>
      </c>
      <c r="J24" s="4">
        <v>27.027999999999999</v>
      </c>
      <c r="K24" s="4">
        <v>26.972999999999999</v>
      </c>
      <c r="L24" s="4">
        <v>26.917999999999999</v>
      </c>
      <c r="M24" s="4">
        <v>26.841999999999999</v>
      </c>
      <c r="N24" s="4">
        <v>26.641999999999999</v>
      </c>
      <c r="O24" s="4">
        <v>26.471</v>
      </c>
    </row>
    <row r="25" spans="1:15" x14ac:dyDescent="0.25">
      <c r="A25" s="7">
        <v>9</v>
      </c>
      <c r="B25" s="4">
        <v>-0.44</v>
      </c>
      <c r="C25" s="4">
        <v>-0.439</v>
      </c>
      <c r="D25" s="4">
        <v>-0.435</v>
      </c>
      <c r="E25" s="4">
        <v>-0.43099999999999999</v>
      </c>
      <c r="F25" s="4">
        <v>-0.42599999999999999</v>
      </c>
      <c r="G25" s="4">
        <v>-0.42099999999999999</v>
      </c>
      <c r="H25" s="4">
        <v>-0.41599999999999998</v>
      </c>
      <c r="I25" s="4">
        <v>-0.41399999999999998</v>
      </c>
      <c r="J25" s="4">
        <v>-0.40400000000000003</v>
      </c>
      <c r="K25" s="4">
        <v>-0.39900000000000002</v>
      </c>
      <c r="L25" s="4">
        <v>-0.39100000000000001</v>
      </c>
      <c r="M25" s="4">
        <v>-0.38400000000000001</v>
      </c>
      <c r="N25" s="4">
        <v>-0.36</v>
      </c>
      <c r="O25" s="4">
        <v>-0.33900000000000002</v>
      </c>
    </row>
    <row r="26" spans="1:15" x14ac:dyDescent="0.25">
      <c r="A26" s="7">
        <v>10</v>
      </c>
      <c r="B26" s="4">
        <v>0.26800000000000002</v>
      </c>
      <c r="C26" s="4">
        <v>0.26300000000000001</v>
      </c>
      <c r="D26" s="4">
        <v>0.26300000000000001</v>
      </c>
      <c r="E26" s="4">
        <v>0.26300000000000001</v>
      </c>
      <c r="F26" s="4">
        <v>0.26600000000000001</v>
      </c>
      <c r="G26" s="4">
        <v>0.26900000000000002</v>
      </c>
      <c r="H26" s="4">
        <v>0.27200000000000002</v>
      </c>
      <c r="I26" s="4">
        <v>0.27500000000000002</v>
      </c>
      <c r="J26" s="4">
        <v>0.28699999999999998</v>
      </c>
      <c r="K26" s="4">
        <v>0.29599999999999999</v>
      </c>
      <c r="L26" s="4">
        <v>0.30399999999999999</v>
      </c>
      <c r="M26" s="4">
        <v>0.318</v>
      </c>
      <c r="N26" s="4">
        <v>0.47</v>
      </c>
      <c r="O26" s="4">
        <v>0.376</v>
      </c>
    </row>
    <row r="28" spans="1:15" x14ac:dyDescent="0.25">
      <c r="A28" t="s">
        <v>76</v>
      </c>
      <c r="B28" s="3">
        <f>1/(B4+273.15)</f>
        <v>1.4781966001478202E-2</v>
      </c>
      <c r="C28" s="3">
        <f t="shared" ref="C28:O28" si="2">1/(C4+273.15)</f>
        <v>1.2878300064391505E-2</v>
      </c>
      <c r="D28" s="3">
        <f t="shared" si="2"/>
        <v>1.1092623405435388E-2</v>
      </c>
      <c r="E28" s="3">
        <f t="shared" si="2"/>
        <v>9.935419771485347E-3</v>
      </c>
      <c r="F28" s="3">
        <f t="shared" si="2"/>
        <v>8.9565606806986144E-3</v>
      </c>
      <c r="G28" s="3">
        <f t="shared" si="2"/>
        <v>8.2542302930251766E-3</v>
      </c>
      <c r="H28" s="3">
        <f t="shared" si="2"/>
        <v>7.5103266992114174E-3</v>
      </c>
      <c r="I28" s="3">
        <f t="shared" si="2"/>
        <v>6.7499156260546755E-3</v>
      </c>
      <c r="J28" s="3">
        <f t="shared" si="2"/>
        <v>6.1106018942865877E-3</v>
      </c>
      <c r="K28" s="3">
        <f t="shared" si="2"/>
        <v>5.550929780738274E-3</v>
      </c>
      <c r="L28" s="3">
        <f t="shared" si="2"/>
        <v>5.1506567087303634E-3</v>
      </c>
      <c r="M28" s="3">
        <f t="shared" si="2"/>
        <v>4.7585058291696415E-3</v>
      </c>
      <c r="N28" s="3">
        <f t="shared" si="2"/>
        <v>4.0625634775543372E-3</v>
      </c>
      <c r="O28" s="3">
        <f t="shared" si="2"/>
        <v>3.6609921288669233E-3</v>
      </c>
    </row>
    <row r="29" spans="1:15" x14ac:dyDescent="0.25">
      <c r="B29" s="11">
        <f>B5/(B4+273.15)^2</f>
        <v>1.0925325943442871E-4</v>
      </c>
      <c r="C29" s="11">
        <f t="shared" ref="C29:O29" si="3">C5/(C4+273.15)^2</f>
        <v>8.2925306274253107E-5</v>
      </c>
      <c r="D29" s="11">
        <f t="shared" si="3"/>
        <v>0</v>
      </c>
      <c r="E29" s="11">
        <f t="shared" si="3"/>
        <v>4.9356283017810976E-5</v>
      </c>
      <c r="F29" s="11">
        <f t="shared" si="3"/>
        <v>1.2032996884055462E-4</v>
      </c>
      <c r="G29" s="11">
        <f t="shared" si="3"/>
        <v>6.8132317730294499E-5</v>
      </c>
      <c r="H29" s="11">
        <f t="shared" si="3"/>
        <v>0</v>
      </c>
      <c r="I29" s="11">
        <f t="shared" si="3"/>
        <v>0</v>
      </c>
      <c r="J29" s="11">
        <f t="shared" si="3"/>
        <v>1.8669727755229422E-5</v>
      </c>
      <c r="K29" s="11">
        <f t="shared" si="3"/>
        <v>0</v>
      </c>
      <c r="L29" s="11">
        <f t="shared" si="3"/>
        <v>0</v>
      </c>
      <c r="M29" s="11">
        <f t="shared" si="3"/>
        <v>2.2643377726241456E-5</v>
      </c>
      <c r="N29" s="11">
        <f t="shared" si="3"/>
        <v>0</v>
      </c>
      <c r="O29" s="11">
        <f t="shared" si="3"/>
        <v>0</v>
      </c>
    </row>
    <row r="31" spans="1:15" x14ac:dyDescent="0.25">
      <c r="A31" s="7" t="s">
        <v>40</v>
      </c>
      <c r="B31" s="3">
        <f>ABS(B8-B9)/(2*$R$12)/1000</f>
        <v>5.4951343064720382</v>
      </c>
      <c r="C31" s="3">
        <f t="shared" ref="C31:O31" si="4">ABS(C8-C9)/(2*$R$12)/1000</f>
        <v>5.5057321868959539</v>
      </c>
      <c r="D31" s="3">
        <f t="shared" si="4"/>
        <v>5.5297940411917628</v>
      </c>
      <c r="E31" s="3">
        <f t="shared" si="4"/>
        <v>5.5559554755715519</v>
      </c>
      <c r="F31" s="3">
        <f t="shared" si="4"/>
        <v>5.5758181696993931</v>
      </c>
      <c r="G31" s="3">
        <f t="shared" si="4"/>
        <v>5.5886489368792907</v>
      </c>
      <c r="H31" s="3">
        <f t="shared" si="4"/>
        <v>5.6035459574751716</v>
      </c>
      <c r="I31" s="3">
        <f t="shared" si="4"/>
        <v>5.6373725254949001</v>
      </c>
      <c r="J31" s="3">
        <f t="shared" si="4"/>
        <v>5.6811637672465505</v>
      </c>
      <c r="K31" s="3">
        <f t="shared" si="4"/>
        <v>5.7141904952342859</v>
      </c>
      <c r="L31" s="3">
        <f t="shared" si="4"/>
        <v>5.7624475104979007</v>
      </c>
      <c r="M31" s="3">
        <f t="shared" si="4"/>
        <v>5.8170365926814629</v>
      </c>
      <c r="N31" s="3">
        <f t="shared" si="4"/>
        <v>5.9234153169366124</v>
      </c>
      <c r="O31" s="3">
        <f t="shared" si="4"/>
        <v>6.0109978004399105</v>
      </c>
    </row>
    <row r="32" spans="1:15" x14ac:dyDescent="0.25">
      <c r="A32" s="7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7" t="s">
        <v>41</v>
      </c>
      <c r="B33" s="3">
        <f t="shared" ref="B33:O33" si="5">ABS(B10-B11)/(2*$R$12)/1000</f>
        <v>5.4718389655402246</v>
      </c>
      <c r="C33" s="3">
        <f t="shared" si="5"/>
        <v>5.4828034393121374</v>
      </c>
      <c r="D33" s="3">
        <f t="shared" si="5"/>
        <v>5.5074985002999401</v>
      </c>
      <c r="E33" s="3">
        <f t="shared" si="5"/>
        <v>5.532626807971738</v>
      </c>
      <c r="F33" s="3">
        <f t="shared" si="5"/>
        <v>5.5530893821235754</v>
      </c>
      <c r="G33" s="3">
        <f t="shared" si="5"/>
        <v>5.5670532560154644</v>
      </c>
      <c r="H33" s="3">
        <f t="shared" si="5"/>
        <v>5.58118376324735</v>
      </c>
      <c r="I33" s="3">
        <f t="shared" si="5"/>
        <v>5.6131440378590938</v>
      </c>
      <c r="J33" s="3">
        <f t="shared" si="5"/>
        <v>5.659401453042725</v>
      </c>
      <c r="K33" s="3">
        <f t="shared" si="5"/>
        <v>5.6893954542424847</v>
      </c>
      <c r="L33" s="3">
        <f t="shared" si="5"/>
        <v>5.7398853562620804</v>
      </c>
      <c r="M33" s="3">
        <f t="shared" si="5"/>
        <v>5.7932080250616549</v>
      </c>
      <c r="N33" s="3">
        <f t="shared" si="5"/>
        <v>5.9004865693527959</v>
      </c>
      <c r="O33" s="3">
        <f t="shared" si="5"/>
        <v>5.986769312804106</v>
      </c>
    </row>
    <row r="34" spans="1:15" x14ac:dyDescent="0.25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7" t="s">
        <v>42</v>
      </c>
      <c r="B35" s="3">
        <f t="shared" ref="B35:O35" si="6">ABS(B12-B13)/(2*$R$12)/1000</f>
        <v>5.4951343064720382</v>
      </c>
      <c r="C35" s="3">
        <f t="shared" si="6"/>
        <v>5.5062320869159507</v>
      </c>
      <c r="D35" s="3">
        <f t="shared" si="6"/>
        <v>5.5308938212357512</v>
      </c>
      <c r="E35" s="3">
        <f t="shared" si="6"/>
        <v>5.55502232886756</v>
      </c>
      <c r="F35" s="3">
        <f t="shared" si="6"/>
        <v>5.5744517763114034</v>
      </c>
      <c r="G35" s="3">
        <f t="shared" si="6"/>
        <v>5.5917483170032654</v>
      </c>
      <c r="H35" s="3">
        <f t="shared" si="6"/>
        <v>5.6030127307871762</v>
      </c>
      <c r="I35" s="3">
        <f t="shared" si="6"/>
        <v>5.633306671998934</v>
      </c>
      <c r="J35" s="3">
        <f t="shared" si="6"/>
        <v>5.681996933946543</v>
      </c>
      <c r="K35" s="3">
        <f t="shared" si="6"/>
        <v>5.7115576884623067</v>
      </c>
      <c r="L35" s="3">
        <f t="shared" si="6"/>
        <v>5.7627807771778983</v>
      </c>
      <c r="M35" s="3">
        <f t="shared" si="6"/>
        <v>5.816103445977471</v>
      </c>
      <c r="N35" s="3">
        <f t="shared" si="6"/>
        <v>5.9249816703325999</v>
      </c>
      <c r="O35" s="3">
        <f t="shared" si="6"/>
        <v>6.010097980403919</v>
      </c>
    </row>
    <row r="36" spans="1:15" x14ac:dyDescent="0.25">
      <c r="A36" s="7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7" t="s">
        <v>43</v>
      </c>
      <c r="B37" s="3">
        <f t="shared" ref="B37:O37" si="7">ABS(B14-B15)/(2*$R$12)/1000</f>
        <v>5.4717389855362262</v>
      </c>
      <c r="C37" s="3">
        <f t="shared" si="7"/>
        <v>5.4834366460041322</v>
      </c>
      <c r="D37" s="3">
        <f t="shared" si="7"/>
        <v>5.5058988202359522</v>
      </c>
      <c r="E37" s="3">
        <f t="shared" si="7"/>
        <v>5.5317603146037451</v>
      </c>
      <c r="F37" s="3">
        <f t="shared" si="7"/>
        <v>5.5520895820835827</v>
      </c>
      <c r="G37" s="3">
        <f t="shared" si="7"/>
        <v>5.5687862427514494</v>
      </c>
      <c r="H37" s="3">
        <f t="shared" si="7"/>
        <v>5.5793507965073639</v>
      </c>
      <c r="I37" s="3">
        <f t="shared" si="7"/>
        <v>5.6088448976871286</v>
      </c>
      <c r="J37" s="3">
        <f t="shared" si="7"/>
        <v>5.6568352996067448</v>
      </c>
      <c r="K37" s="3">
        <f t="shared" si="7"/>
        <v>5.687962407518496</v>
      </c>
      <c r="L37" s="3">
        <f t="shared" si="7"/>
        <v>5.7391188428980868</v>
      </c>
      <c r="M37" s="3">
        <f t="shared" si="7"/>
        <v>5.7923415316936619</v>
      </c>
      <c r="N37" s="3">
        <f t="shared" si="7"/>
        <v>5.9024861694327804</v>
      </c>
      <c r="O37" s="3">
        <f t="shared" si="7"/>
        <v>5.9862360861161097</v>
      </c>
    </row>
    <row r="38" spans="1:15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40" spans="1:15" x14ac:dyDescent="0.25">
      <c r="A40" s="7" t="s">
        <v>47</v>
      </c>
      <c r="B40" s="3">
        <f t="shared" ref="B40:O40" si="8">B31/B33</f>
        <v>1.0042573147854899</v>
      </c>
      <c r="C40" s="3">
        <f t="shared" si="8"/>
        <v>1.0041819386446384</v>
      </c>
      <c r="D40" s="3">
        <f t="shared" si="8"/>
        <v>1.0040482155175545</v>
      </c>
      <c r="E40" s="3">
        <f t="shared" si="8"/>
        <v>1.0042165626581212</v>
      </c>
      <c r="F40" s="3">
        <f t="shared" si="8"/>
        <v>1.0040929986916807</v>
      </c>
      <c r="G40" s="3">
        <f t="shared" si="8"/>
        <v>1.0038791942290997</v>
      </c>
      <c r="H40" s="3">
        <f t="shared" si="8"/>
        <v>1.0040067116899247</v>
      </c>
      <c r="I40" s="3">
        <f t="shared" si="8"/>
        <v>1.0043163844491414</v>
      </c>
      <c r="J40" s="3">
        <f t="shared" si="8"/>
        <v>1.003845338484006</v>
      </c>
      <c r="K40" s="3">
        <f t="shared" si="8"/>
        <v>1.0043581152323156</v>
      </c>
      <c r="L40" s="3">
        <f t="shared" si="8"/>
        <v>1.0039307673995972</v>
      </c>
      <c r="M40" s="3">
        <f t="shared" si="8"/>
        <v>1.0041131903975697</v>
      </c>
      <c r="N40" s="3">
        <f t="shared" si="8"/>
        <v>1.0038859079356115</v>
      </c>
      <c r="O40" s="3">
        <f t="shared" si="8"/>
        <v>1.0040470053830179</v>
      </c>
    </row>
    <row r="41" spans="1:15" x14ac:dyDescent="0.25">
      <c r="A41" s="7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7" t="s">
        <v>48</v>
      </c>
      <c r="B42" s="3">
        <f>B35/B37</f>
        <v>1.0042756646465876</v>
      </c>
      <c r="C42" s="3">
        <f t="shared" ref="C42:O42" si="9">C35/C37</f>
        <v>1.004157144940925</v>
      </c>
      <c r="D42" s="3">
        <f t="shared" si="9"/>
        <v>1.0045396767750134</v>
      </c>
      <c r="E42" s="3">
        <f t="shared" si="9"/>
        <v>1.0042051739303317</v>
      </c>
      <c r="F42" s="3">
        <f t="shared" si="9"/>
        <v>1.004027707748085</v>
      </c>
      <c r="G42" s="3">
        <f t="shared" si="9"/>
        <v>1.0041233535012597</v>
      </c>
      <c r="H42" s="3">
        <f t="shared" si="9"/>
        <v>1.0042409834302988</v>
      </c>
      <c r="I42" s="3">
        <f t="shared" si="9"/>
        <v>1.0043612855691362</v>
      </c>
      <c r="J42" s="3">
        <f t="shared" si="9"/>
        <v>1.0044480054672171</v>
      </c>
      <c r="K42" s="3">
        <f t="shared" si="9"/>
        <v>1.0041482835597897</v>
      </c>
      <c r="L42" s="3">
        <f t="shared" si="9"/>
        <v>1.0041229211186473</v>
      </c>
      <c r="M42" s="3">
        <f t="shared" si="9"/>
        <v>1.0041022985529759</v>
      </c>
      <c r="N42" s="3">
        <f t="shared" si="9"/>
        <v>1.0038111907853875</v>
      </c>
      <c r="O42" s="3">
        <f t="shared" si="9"/>
        <v>1.003986126498277</v>
      </c>
    </row>
    <row r="43" spans="1:15" x14ac:dyDescent="0.25">
      <c r="A43" s="7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5" spans="1:15" x14ac:dyDescent="0.25">
      <c r="A45" s="7" t="s">
        <v>49</v>
      </c>
      <c r="B45" s="3">
        <f t="shared" ref="B45:O45" si="10">(PI()*$R$8/(LN(2)))*((B31+B33)/2)*1</f>
        <v>24.853136267276273</v>
      </c>
      <c r="C45" s="3">
        <f t="shared" si="10"/>
        <v>24.902000444636837</v>
      </c>
      <c r="D45" s="3">
        <f t="shared" si="10"/>
        <v>25.012492394371783</v>
      </c>
      <c r="E45" s="3">
        <f t="shared" si="10"/>
        <v>25.128724185651386</v>
      </c>
      <c r="F45" s="3">
        <f t="shared" si="10"/>
        <v>25.220108504981042</v>
      </c>
      <c r="G45" s="3">
        <f t="shared" si="10"/>
        <v>25.280829986585204</v>
      </c>
      <c r="H45" s="3">
        <f t="shared" si="10"/>
        <v>25.346611591656384</v>
      </c>
      <c r="I45" s="3">
        <f t="shared" si="10"/>
        <v>25.495696423356151</v>
      </c>
      <c r="J45" s="3">
        <f t="shared" si="10"/>
        <v>25.69976289511542</v>
      </c>
      <c r="K45" s="3">
        <f t="shared" si="10"/>
        <v>25.842579215654567</v>
      </c>
      <c r="L45" s="3">
        <f t="shared" si="10"/>
        <v>26.066357511665935</v>
      </c>
      <c r="M45" s="3">
        <f t="shared" si="10"/>
        <v>26.310904971161307</v>
      </c>
      <c r="N45" s="3">
        <f t="shared" si="10"/>
        <v>26.795090815146747</v>
      </c>
      <c r="O45" s="3">
        <f t="shared" si="10"/>
        <v>27.189100727496147</v>
      </c>
    </row>
    <row r="46" spans="1:15" x14ac:dyDescent="0.25">
      <c r="A46" s="7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7" t="s">
        <v>50</v>
      </c>
      <c r="B47" s="3">
        <f>(PI()*$R$8/(LN(2)))*((B35+B37)/2)*1</f>
        <v>24.852909694583722</v>
      </c>
      <c r="C47" s="3">
        <f t="shared" ref="C47:O47" si="11">(PI()*$R$8/(LN(2)))*((C35+C37)/2)*1</f>
        <v>24.904568268485775</v>
      </c>
      <c r="D47" s="3">
        <f t="shared" si="11"/>
        <v>25.011359530909008</v>
      </c>
      <c r="E47" s="3">
        <f t="shared" si="11"/>
        <v>25.12464587718544</v>
      </c>
      <c r="F47" s="3">
        <f t="shared" si="11"/>
        <v>25.214746284590621</v>
      </c>
      <c r="G47" s="3">
        <f t="shared" si="11"/>
        <v>25.291781000058592</v>
      </c>
      <c r="H47" s="3">
        <f t="shared" si="11"/>
        <v>25.341249371265963</v>
      </c>
      <c r="I47" s="3">
        <f t="shared" si="11"/>
        <v>25.476739841412567</v>
      </c>
      <c r="J47" s="3">
        <f t="shared" si="11"/>
        <v>25.69583563511117</v>
      </c>
      <c r="K47" s="3">
        <f t="shared" si="11"/>
        <v>25.833365259490751</v>
      </c>
      <c r="L47" s="3">
        <f t="shared" si="11"/>
        <v>26.065375696664873</v>
      </c>
      <c r="M47" s="3">
        <f t="shared" si="11"/>
        <v>26.306826662695361</v>
      </c>
      <c r="N47" s="3">
        <f t="shared" si="11"/>
        <v>26.803171907847798</v>
      </c>
      <c r="O47" s="3">
        <f t="shared" si="11"/>
        <v>27.185853185569556</v>
      </c>
    </row>
    <row r="48" spans="1:15" x14ac:dyDescent="0.25">
      <c r="A48" s="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50" spans="1:15" x14ac:dyDescent="0.25">
      <c r="A50" s="7" t="s">
        <v>51</v>
      </c>
      <c r="B50" s="3">
        <f>AVERAGE(B45:B47)</f>
        <v>24.85302298093</v>
      </c>
      <c r="C50" s="3">
        <f t="shared" ref="C50:O50" si="12">AVERAGE(C45:C47)</f>
        <v>24.903284356561308</v>
      </c>
      <c r="D50" s="3">
        <f t="shared" si="12"/>
        <v>25.011925962640397</v>
      </c>
      <c r="E50" s="3">
        <f t="shared" si="12"/>
        <v>25.126685031418411</v>
      </c>
      <c r="F50" s="3">
        <f t="shared" si="12"/>
        <v>25.21742739478583</v>
      </c>
      <c r="G50" s="3">
        <f t="shared" si="12"/>
        <v>25.286305493321898</v>
      </c>
      <c r="H50" s="3">
        <f t="shared" si="12"/>
        <v>25.343930481461172</v>
      </c>
      <c r="I50" s="3">
        <f t="shared" si="12"/>
        <v>25.486218132384359</v>
      </c>
      <c r="J50" s="3">
        <f t="shared" si="12"/>
        <v>25.697799265113296</v>
      </c>
      <c r="K50" s="3">
        <f t="shared" si="12"/>
        <v>25.837972237572657</v>
      </c>
      <c r="L50" s="3">
        <f t="shared" si="12"/>
        <v>26.065866604165404</v>
      </c>
      <c r="M50" s="3">
        <f t="shared" si="12"/>
        <v>26.308865816928332</v>
      </c>
      <c r="N50" s="3">
        <f t="shared" si="12"/>
        <v>26.799131361497274</v>
      </c>
      <c r="O50" s="3">
        <f t="shared" si="12"/>
        <v>27.187476956532851</v>
      </c>
    </row>
    <row r="51" spans="1:15" x14ac:dyDescent="0.25">
      <c r="A51" s="7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5" spans="1:15" x14ac:dyDescent="0.25">
      <c r="A55" s="17" t="s">
        <v>67</v>
      </c>
      <c r="B55" s="3">
        <f t="shared" ref="B55:O55" si="13">((B17-B18)-(B21-B22))/(4*1000*$R$6*$R$12)</f>
        <v>13.250852245009936</v>
      </c>
      <c r="C55" s="3">
        <f t="shared" si="13"/>
        <v>13.271500289314117</v>
      </c>
      <c r="D55" s="3">
        <f t="shared" si="13"/>
        <v>13.278624468343045</v>
      </c>
      <c r="E55" s="3">
        <f t="shared" si="13"/>
        <v>13.279831956314052</v>
      </c>
      <c r="F55" s="3">
        <f t="shared" si="13"/>
        <v>13.272587028488022</v>
      </c>
      <c r="G55" s="3">
        <f t="shared" si="13"/>
        <v>13.273190772473525</v>
      </c>
      <c r="H55" s="3">
        <f t="shared" si="13"/>
        <v>13.260753646372175</v>
      </c>
      <c r="I55" s="3">
        <f t="shared" si="13"/>
        <v>13.23986410447379</v>
      </c>
      <c r="J55" s="3">
        <f t="shared" si="13"/>
        <v>13.204846953314652</v>
      </c>
      <c r="K55" s="3">
        <f t="shared" si="13"/>
        <v>13.181180189082957</v>
      </c>
      <c r="L55" s="3">
        <f t="shared" si="13"/>
        <v>13.154856951315052</v>
      </c>
      <c r="M55" s="3">
        <f t="shared" si="13"/>
        <v>13.12442825444573</v>
      </c>
      <c r="N55" s="3">
        <f t="shared" si="13"/>
        <v>13.034591149402971</v>
      </c>
      <c r="O55" s="3">
        <f t="shared" si="13"/>
        <v>12.959002402418067</v>
      </c>
    </row>
    <row r="56" spans="1:15" x14ac:dyDescent="0.25">
      <c r="A56" s="17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7" t="s">
        <v>68</v>
      </c>
      <c r="B57" s="3">
        <f t="shared" ref="B57:O57" si="14">((B19-B20)-(B23-B24))/(4*1000*$R$6*$R$12)</f>
        <v>13.256406689676558</v>
      </c>
      <c r="C57" s="3">
        <f t="shared" si="14"/>
        <v>13.274639758038729</v>
      </c>
      <c r="D57" s="3">
        <f t="shared" si="14"/>
        <v>13.27898671473435</v>
      </c>
      <c r="E57" s="3">
        <f t="shared" si="14"/>
        <v>13.280073453908251</v>
      </c>
      <c r="F57" s="3">
        <f t="shared" si="14"/>
        <v>13.270775796531515</v>
      </c>
      <c r="G57" s="3">
        <f t="shared" si="14"/>
        <v>13.270413550140216</v>
      </c>
      <c r="H57" s="3">
        <f t="shared" si="14"/>
        <v>13.257855675241762</v>
      </c>
      <c r="I57" s="3">
        <f t="shared" si="14"/>
        <v>13.23660388695208</v>
      </c>
      <c r="J57" s="3">
        <f t="shared" si="14"/>
        <v>13.200499996619033</v>
      </c>
      <c r="K57" s="3">
        <f t="shared" si="14"/>
        <v>13.175625744416335</v>
      </c>
      <c r="L57" s="3">
        <f t="shared" si="14"/>
        <v>13.150026999431031</v>
      </c>
      <c r="M57" s="3">
        <f t="shared" si="14"/>
        <v>13.119598302561711</v>
      </c>
      <c r="N57" s="3">
        <f t="shared" si="14"/>
        <v>13.027587719171143</v>
      </c>
      <c r="O57" s="3">
        <f t="shared" si="14"/>
        <v>12.95211972098334</v>
      </c>
    </row>
    <row r="58" spans="1:1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60" spans="1:15" x14ac:dyDescent="0.25">
      <c r="A60" s="7" t="s">
        <v>69</v>
      </c>
      <c r="B60" s="3">
        <f t="shared" ref="B60:O60" si="15">AVERAGE(B55:B57)</f>
        <v>13.253629467343247</v>
      </c>
      <c r="C60" s="3">
        <f t="shared" si="15"/>
        <v>13.273070023676423</v>
      </c>
      <c r="D60" s="3">
        <f t="shared" si="15"/>
        <v>13.278805591538697</v>
      </c>
      <c r="E60" s="3">
        <f t="shared" si="15"/>
        <v>13.279952705111151</v>
      </c>
      <c r="F60" s="3">
        <f t="shared" si="15"/>
        <v>13.271681412509768</v>
      </c>
      <c r="G60" s="3">
        <f t="shared" si="15"/>
        <v>13.271802161306869</v>
      </c>
      <c r="H60" s="3">
        <f t="shared" si="15"/>
        <v>13.259304660806968</v>
      </c>
      <c r="I60" s="3">
        <f t="shared" si="15"/>
        <v>13.238233995712935</v>
      </c>
      <c r="J60" s="3">
        <f t="shared" si="15"/>
        <v>13.202673474966844</v>
      </c>
      <c r="K60" s="3">
        <f t="shared" si="15"/>
        <v>13.178402966749646</v>
      </c>
      <c r="L60" s="3">
        <f t="shared" si="15"/>
        <v>13.152441975373041</v>
      </c>
      <c r="M60" s="3">
        <f t="shared" si="15"/>
        <v>13.12201327850372</v>
      </c>
      <c r="N60" s="3">
        <f t="shared" si="15"/>
        <v>13.031089434287058</v>
      </c>
      <c r="O60" s="3">
        <f t="shared" si="15"/>
        <v>12.955561061700703</v>
      </c>
    </row>
    <row r="61" spans="1:1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3" spans="1:15" x14ac:dyDescent="0.25">
      <c r="A63" s="7" t="s">
        <v>51</v>
      </c>
      <c r="B63" s="3">
        <f t="shared" ref="B63:O63" si="16">B50</f>
        <v>24.85302298093</v>
      </c>
      <c r="C63" s="3">
        <f t="shared" si="16"/>
        <v>24.903284356561308</v>
      </c>
      <c r="D63" s="3">
        <f t="shared" si="16"/>
        <v>25.011925962640397</v>
      </c>
      <c r="E63" s="3">
        <f t="shared" si="16"/>
        <v>25.126685031418411</v>
      </c>
      <c r="F63" s="3">
        <f t="shared" si="16"/>
        <v>25.21742739478583</v>
      </c>
      <c r="G63" s="3">
        <f t="shared" si="16"/>
        <v>25.286305493321898</v>
      </c>
      <c r="H63" s="3">
        <f t="shared" si="16"/>
        <v>25.343930481461172</v>
      </c>
      <c r="I63" s="3">
        <f t="shared" si="16"/>
        <v>25.486218132384359</v>
      </c>
      <c r="J63" s="3">
        <f t="shared" si="16"/>
        <v>25.697799265113296</v>
      </c>
      <c r="K63" s="3">
        <f t="shared" si="16"/>
        <v>25.837972237572657</v>
      </c>
      <c r="L63" s="3">
        <f t="shared" si="16"/>
        <v>26.065866604165404</v>
      </c>
      <c r="M63" s="3">
        <f t="shared" si="16"/>
        <v>26.308865816928332</v>
      </c>
      <c r="N63" s="3">
        <f t="shared" si="16"/>
        <v>26.799131361497274</v>
      </c>
      <c r="O63" s="3">
        <f t="shared" si="16"/>
        <v>27.187476956532851</v>
      </c>
    </row>
    <row r="64" spans="1:15" x14ac:dyDescent="0.25">
      <c r="A64" s="7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5">
      <c r="A65" s="7" t="s">
        <v>46</v>
      </c>
      <c r="B65" s="3">
        <f>1/B63</f>
        <v>4.0236553950290521E-2</v>
      </c>
      <c r="C65" s="3">
        <f t="shared" ref="C65:O65" si="17">1/C63</f>
        <v>4.0155346005055291E-2</v>
      </c>
      <c r="D65" s="3">
        <f t="shared" si="17"/>
        <v>3.9980927558064566E-2</v>
      </c>
      <c r="E65" s="3">
        <f t="shared" si="17"/>
        <v>3.9798325913251185E-2</v>
      </c>
      <c r="F65" s="3">
        <f t="shared" si="17"/>
        <v>3.9655115660480439E-2</v>
      </c>
      <c r="G65" s="3">
        <f t="shared" si="17"/>
        <v>3.9547097944541545E-2</v>
      </c>
      <c r="H65" s="3">
        <f t="shared" si="17"/>
        <v>3.9457178938029754E-2</v>
      </c>
      <c r="I65" s="3">
        <f t="shared" si="17"/>
        <v>3.9236892457156614E-2</v>
      </c>
      <c r="J65" s="3">
        <f t="shared" si="17"/>
        <v>3.8913838094983312E-2</v>
      </c>
      <c r="K65" s="3">
        <f t="shared" si="17"/>
        <v>3.8702727551732395E-2</v>
      </c>
      <c r="L65" s="3">
        <f t="shared" si="17"/>
        <v>3.8364348869958424E-2</v>
      </c>
      <c r="M65" s="3">
        <f t="shared" si="17"/>
        <v>3.8010000391448043E-2</v>
      </c>
      <c r="N65" s="3">
        <f t="shared" si="17"/>
        <v>3.731464227369382E-2</v>
      </c>
      <c r="O65" s="3">
        <f t="shared" si="17"/>
        <v>3.6781640370630676E-2</v>
      </c>
    </row>
    <row r="66" spans="1:15" x14ac:dyDescent="0.25">
      <c r="A66" s="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5">
      <c r="A67" s="7" t="s">
        <v>73</v>
      </c>
      <c r="B67" s="3">
        <f>B60</f>
        <v>13.253629467343247</v>
      </c>
      <c r="C67" s="3">
        <f t="shared" ref="C67:O67" si="18">C60</f>
        <v>13.273070023676423</v>
      </c>
      <c r="D67" s="3">
        <f t="shared" si="18"/>
        <v>13.278805591538697</v>
      </c>
      <c r="E67" s="3">
        <f t="shared" si="18"/>
        <v>13.279952705111151</v>
      </c>
      <c r="F67" s="3">
        <f t="shared" si="18"/>
        <v>13.271681412509768</v>
      </c>
      <c r="G67" s="3">
        <f t="shared" si="18"/>
        <v>13.271802161306869</v>
      </c>
      <c r="H67" s="3">
        <f t="shared" si="18"/>
        <v>13.259304660806968</v>
      </c>
      <c r="I67" s="3">
        <f t="shared" si="18"/>
        <v>13.238233995712935</v>
      </c>
      <c r="J67" s="3">
        <f t="shared" si="18"/>
        <v>13.202673474966844</v>
      </c>
      <c r="K67" s="3">
        <f t="shared" si="18"/>
        <v>13.178402966749646</v>
      </c>
      <c r="L67" s="3">
        <f t="shared" si="18"/>
        <v>13.152441975373041</v>
      </c>
      <c r="M67" s="3">
        <f t="shared" si="18"/>
        <v>13.12201327850372</v>
      </c>
      <c r="N67" s="3">
        <f t="shared" si="18"/>
        <v>13.031089434287058</v>
      </c>
      <c r="O67" s="3">
        <f t="shared" si="18"/>
        <v>12.955561061700703</v>
      </c>
    </row>
    <row r="68" spans="1:15" x14ac:dyDescent="0.25">
      <c r="A68" s="7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5">
      <c r="A69" s="7" t="s">
        <v>71</v>
      </c>
      <c r="B69" s="3">
        <f>ABS(B67/B63)</f>
        <v>0.53328037709991671</v>
      </c>
      <c r="C69" s="3">
        <f t="shared" ref="C69:O69" si="19">ABS(C67/C63)</f>
        <v>0.5329847193500542</v>
      </c>
      <c r="D69" s="3">
        <f t="shared" si="19"/>
        <v>0.53089896441293127</v>
      </c>
      <c r="E69" s="3">
        <f t="shared" si="19"/>
        <v>0.5285198858705753</v>
      </c>
      <c r="F69" s="3">
        <f t="shared" si="19"/>
        <v>0.5262900614221232</v>
      </c>
      <c r="G69" s="3">
        <f t="shared" si="19"/>
        <v>0.52486125997378097</v>
      </c>
      <c r="H69" s="3">
        <f t="shared" si="19"/>
        <v>0.52317475659531243</v>
      </c>
      <c r="I69" s="3">
        <f t="shared" si="19"/>
        <v>0.51942716361246311</v>
      </c>
      <c r="J69" s="3">
        <f t="shared" si="19"/>
        <v>0.51376669802579045</v>
      </c>
      <c r="K69" s="3">
        <f t="shared" si="19"/>
        <v>0.51004013958905348</v>
      </c>
      <c r="L69" s="3">
        <f t="shared" si="19"/>
        <v>0.50458487243509642</v>
      </c>
      <c r="M69" s="3">
        <f t="shared" si="19"/>
        <v>0.49876772985251289</v>
      </c>
      <c r="N69" s="3">
        <f t="shared" si="19"/>
        <v>0.48625044067693274</v>
      </c>
      <c r="O69" s="3">
        <f t="shared" si="19"/>
        <v>0.47652678777122143</v>
      </c>
    </row>
    <row r="70" spans="1:15" x14ac:dyDescent="0.25">
      <c r="A70" s="7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25">
      <c r="A71" s="7" t="s">
        <v>72</v>
      </c>
      <c r="B71" s="3">
        <f>1/($R$14*B67)</f>
        <v>4.7098021480183168E+17</v>
      </c>
      <c r="C71" s="3">
        <f t="shared" ref="C71:O71" si="20">1/($R$14*C67)</f>
        <v>4.7029038815424122E+17</v>
      </c>
      <c r="D71" s="3">
        <f t="shared" si="20"/>
        <v>4.7008725373694445E+17</v>
      </c>
      <c r="E71" s="3">
        <f t="shared" si="20"/>
        <v>4.7004664790942586E+17</v>
      </c>
      <c r="F71" s="3">
        <f t="shared" si="20"/>
        <v>4.7033959446535309E+17</v>
      </c>
      <c r="G71" s="3">
        <f t="shared" si="20"/>
        <v>4.7033531524693421E+17</v>
      </c>
      <c r="H71" s="3">
        <f t="shared" si="20"/>
        <v>4.7077862777257472E+17</v>
      </c>
      <c r="I71" s="3">
        <f t="shared" si="20"/>
        <v>4.7152794364072128E+17</v>
      </c>
      <c r="J71" s="3">
        <f t="shared" si="20"/>
        <v>4.7279797271884627E+17</v>
      </c>
      <c r="K71" s="3">
        <f t="shared" si="20"/>
        <v>4.7366871912953805E+17</v>
      </c>
      <c r="L71" s="3">
        <f t="shared" si="20"/>
        <v>4.7460367170760032E+17</v>
      </c>
      <c r="M71" s="3">
        <f t="shared" si="20"/>
        <v>4.7570423234208115E+17</v>
      </c>
      <c r="N71" s="3">
        <f t="shared" si="20"/>
        <v>4.7902343736578957E+17</v>
      </c>
      <c r="O71" s="3">
        <f t="shared" si="20"/>
        <v>4.8181604978007667E+17</v>
      </c>
    </row>
    <row r="72" spans="1:15" x14ac:dyDescent="0.25">
      <c r="A72" s="7"/>
      <c r="B72" s="3">
        <f>LN(B71/10^17)</f>
        <v>1.54964590035585</v>
      </c>
      <c r="C72" s="3">
        <f t="shared" ref="C72:O72" si="21">LN(C71/10^17)</f>
        <v>1.5481801650637359</v>
      </c>
      <c r="D72" s="3">
        <f t="shared" si="21"/>
        <v>1.5477481377346984</v>
      </c>
      <c r="E72" s="3">
        <f t="shared" si="21"/>
        <v>1.5476617546620901</v>
      </c>
      <c r="F72" s="3">
        <f t="shared" si="21"/>
        <v>1.5482847892242793</v>
      </c>
      <c r="G72" s="3">
        <f t="shared" si="21"/>
        <v>1.548275691036638</v>
      </c>
      <c r="H72" s="3">
        <f t="shared" si="21"/>
        <v>1.5492177928123421</v>
      </c>
      <c r="I72" s="3">
        <f t="shared" si="21"/>
        <v>1.5508081797390969</v>
      </c>
      <c r="J72" s="3">
        <f t="shared" si="21"/>
        <v>1.5534979922749053</v>
      </c>
      <c r="K72" s="3">
        <f t="shared" si="21"/>
        <v>1.555337986569171</v>
      </c>
      <c r="L72" s="3">
        <f t="shared" si="21"/>
        <v>1.557309894409268</v>
      </c>
      <c r="M72" s="3">
        <f t="shared" si="21"/>
        <v>1.5596261144929309</v>
      </c>
      <c r="N72" s="3">
        <f t="shared" si="21"/>
        <v>1.5665793400082428</v>
      </c>
      <c r="O72" s="3">
        <f t="shared" si="21"/>
        <v>1.5723922157592145</v>
      </c>
    </row>
    <row r="73" spans="1:15" x14ac:dyDescent="0.25">
      <c r="A73" s="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 1 probe 1</vt:lpstr>
      <vt:lpstr>Tag 1 probe 2</vt:lpstr>
      <vt:lpstr>Tag 2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2014-12-04T14:21:10Z</dcterms:created>
  <dcterms:modified xsi:type="dcterms:W3CDTF">2014-12-14T18:12:24Z</dcterms:modified>
</cp:coreProperties>
</file>