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1.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Home\Dropbox\DATA ANALYSIS\PORTFOLIO 2026\"/>
    </mc:Choice>
  </mc:AlternateContent>
  <xr:revisionPtr revIDLastSave="0" documentId="13_ncr:1_{AFB52C93-651F-4633-B699-F60CE702298A}" xr6:coauthVersionLast="47" xr6:coauthVersionMax="47" xr10:uidLastSave="{00000000-0000-0000-0000-000000000000}"/>
  <bookViews>
    <workbookView xWindow="-108" yWindow="-108" windowWidth="30936" windowHeight="16896" tabRatio="714" activeTab="1" xr2:uid="{00000000-000D-0000-FFFF-FFFF00000000}"/>
  </bookViews>
  <sheets>
    <sheet name="DATA" sheetId="5" r:id="rId1"/>
    <sheet name="DASHBOARD" sheetId="13" r:id="rId2"/>
    <sheet name="PIVOTS &amp; CALCULATIONS" sheetId="16" r:id="rId3"/>
    <sheet name="DATES &amp; GRADES" sheetId="18" r:id="rId4"/>
  </sheets>
  <definedNames>
    <definedName name="_xlchart.v5.0" hidden="1">'PIVOTS &amp; CALCULATIONS'!$L$28</definedName>
    <definedName name="_xlchart.v5.1" hidden="1">'PIVOTS &amp; CALCULATIONS'!$L$29:$L$35</definedName>
    <definedName name="_xlchart.v5.2" hidden="1">'PIVOTS &amp; CALCULATIONS'!$M$28</definedName>
    <definedName name="_xlchart.v5.3" hidden="1">'PIVOTS &amp; CALCULATIONS'!$M$29:$M$35</definedName>
    <definedName name="_xlcn.WorksheetConnection_Sportclimbingdataanddashboard.xlsxGRADES1" hidden="1">GRADES[]</definedName>
    <definedName name="_xlcn.WorksheetConnection_Sportclimbingdataanddashboard.xlsxMONTHS1" hidden="1">MONTHS[]</definedName>
    <definedName name="_xlcn.WorksheetConnection_Sportclimbingdataanddashboard.xlsxSportClimbing1" hidden="1">SportClimbing[]</definedName>
    <definedName name="_xlcn.WorksheetConnection_Sportclimbingdataanddashboard.xlsxYears1" hidden="1">YEARS[]</definedName>
    <definedName name="Slicer_Belayer1">#N/A</definedName>
    <definedName name="Slicer_Crag">#N/A</definedName>
    <definedName name="Slicer_Grade">#N/A</definedName>
    <definedName name="Slicer_Height__m">#N/A</definedName>
    <definedName name="Slicer_Height_range__m">#N/A</definedName>
    <definedName name="Slicer_MONTHS_2">#N/A</definedName>
    <definedName name="Slicer_Total_number_of_tries">#N/A</definedName>
    <definedName name="Slicer_YEARS">#N/A</definedName>
  </definedNames>
  <calcPr calcId="191028"/>
  <pivotCaches>
    <pivotCache cacheId="3" r:id="rId5"/>
    <pivotCache cacheId="25" r:id="rId6"/>
    <pivotCache cacheId="28" r:id="rId7"/>
    <pivotCache cacheId="31" r:id="rId8"/>
    <pivotCache cacheId="34" r:id="rId9"/>
    <pivotCache cacheId="37" r:id="rId10"/>
    <pivotCache cacheId="40" r:id="rId11"/>
    <pivotCache cacheId="43" r:id="rId12"/>
    <pivotCache cacheId="46" r:id="rId13"/>
    <pivotCache cacheId="49" r:id="rId14"/>
    <pivotCache cacheId="52" r:id="rId15"/>
    <pivotCache cacheId="55" r:id="rId16"/>
    <pivotCache cacheId="58" r:id="rId17"/>
    <pivotCache cacheId="61" r:id="rId18"/>
    <pivotCache cacheId="64" r:id="rId19"/>
    <pivotCache cacheId="67" r:id="rId20"/>
    <pivotCache cacheId="70" r:id="rId21"/>
    <pivotCache cacheId="73" r:id="rId22"/>
  </pivotCaches>
  <extLst>
    <ext xmlns:x14="http://schemas.microsoft.com/office/spreadsheetml/2009/9/main" uri="{876F7934-8845-4945-9796-88D515C7AA90}">
      <x14:pivotCaches>
        <pivotCache cacheId="24" r:id="rId23"/>
      </x14:pivotCaches>
    </ext>
    <ext xmlns:x14="http://schemas.microsoft.com/office/spreadsheetml/2009/9/main" uri="{BBE1A952-AA13-448e-AADC-164F8A28A991}">
      <x14:slicerCaches>
        <x14:slicerCache r:id="rId24"/>
        <x14:slicerCache r:id="rId25"/>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Years" name="Years" connection="WorksheetConnection_Sport climbing data and dashboard.xlsx!Years"/>
          <x15:modelTable id="SportClimbing" name="SportClimbing" connection="WorksheetConnection_Sport climbing data and dashboard.xlsx!SportClimbing"/>
          <x15:modelTable id="MONTHS" name="MONTHS" connection="WorksheetConnection_Sport climbing data and dashboard.xlsx!MONTHS"/>
          <x15:modelTable id="GRADES" name="GRADES" connection="WorksheetConnection_Sport climbing data and dashboard.xlsx!GRADES"/>
        </x15:modelTables>
        <x15:modelRelationships>
          <x15:modelRelationship fromTable="SportClimbing" fromColumn="Year" toTable="Years" toColumn="YEARS"/>
          <x15:modelRelationship fromTable="SportClimbing" fromColumn="Month" toTable="MONTHS" toColumn="MONTHS 2"/>
          <x15:modelRelationship fromTable="SportClimbing" fromColumn="Grade" toTable="GRADES" toColumn="GRADES"/>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7" i="5" l="1"/>
  <c r="L227" i="5"/>
  <c r="O227" i="5"/>
  <c r="P227" i="5"/>
  <c r="Q227" i="5"/>
  <c r="B226" i="5"/>
  <c r="L226" i="5"/>
  <c r="O226" i="5"/>
  <c r="P226" i="5"/>
  <c r="Q226" i="5"/>
  <c r="A2" i="5"/>
  <c r="B225" i="5"/>
  <c r="L225" i="5"/>
  <c r="O225" i="5"/>
  <c r="P225" i="5"/>
  <c r="Q225" i="5"/>
  <c r="AN33" i="16"/>
  <c r="L224" i="5"/>
  <c r="Q224" i="5"/>
  <c r="P224" i="5"/>
  <c r="O224" i="5"/>
  <c r="B224" i="5"/>
  <c r="Q223" i="5"/>
  <c r="P223" i="5"/>
  <c r="O223" i="5"/>
  <c r="L223" i="5"/>
  <c r="B223" i="5"/>
  <c r="Q222" i="5"/>
  <c r="P222" i="5"/>
  <c r="O222" i="5"/>
  <c r="L222" i="5"/>
  <c r="B222" i="5"/>
  <c r="Q221" i="5"/>
  <c r="P221" i="5"/>
  <c r="O221" i="5"/>
  <c r="L221" i="5"/>
  <c r="B221" i="5"/>
  <c r="Q220" i="5"/>
  <c r="P220" i="5"/>
  <c r="O220" i="5"/>
  <c r="L220" i="5"/>
  <c r="B220" i="5"/>
  <c r="O219" i="5"/>
  <c r="L219" i="5"/>
  <c r="B219" i="5"/>
  <c r="P219" i="5"/>
  <c r="Q219" i="5"/>
  <c r="B218" i="5"/>
  <c r="L218" i="5"/>
  <c r="O218" i="5"/>
  <c r="P218" i="5"/>
  <c r="Q218" i="5"/>
  <c r="B217" i="5"/>
  <c r="L217" i="5"/>
  <c r="O217" i="5"/>
  <c r="P217" i="5"/>
  <c r="Q217" i="5"/>
  <c r="B216" i="5"/>
  <c r="L216" i="5"/>
  <c r="O216" i="5"/>
  <c r="P216" i="5"/>
  <c r="Q216" i="5"/>
  <c r="B215" i="5"/>
  <c r="L215" i="5"/>
  <c r="O215" i="5"/>
  <c r="P215" i="5"/>
  <c r="Q215" i="5"/>
  <c r="B211" i="5"/>
  <c r="Q214" i="5"/>
  <c r="P214" i="5"/>
  <c r="O214" i="5"/>
  <c r="L214" i="5"/>
  <c r="B214" i="5"/>
  <c r="Q213" i="5"/>
  <c r="P213" i="5"/>
  <c r="O213" i="5"/>
  <c r="L213" i="5"/>
  <c r="B213" i="5"/>
  <c r="Q212" i="5"/>
  <c r="P212" i="5"/>
  <c r="O212" i="5"/>
  <c r="L212" i="5"/>
  <c r="B212" i="5"/>
  <c r="AN10" i="16" a="1"/>
  <c r="AN10" i="16" s="1"/>
  <c r="L211" i="5"/>
  <c r="O211" i="5"/>
  <c r="P211" i="5"/>
  <c r="Q211" i="5"/>
  <c r="Q210" i="5"/>
  <c r="P210" i="5"/>
  <c r="O210" i="5"/>
  <c r="L210" i="5"/>
  <c r="B210" i="5"/>
  <c r="Q209" i="5"/>
  <c r="P209" i="5"/>
  <c r="O209" i="5"/>
  <c r="L209" i="5"/>
  <c r="B209" i="5"/>
  <c r="Q208" i="5"/>
  <c r="P208" i="5"/>
  <c r="O208" i="5"/>
  <c r="L208" i="5"/>
  <c r="B208" i="5"/>
  <c r="Q207" i="5"/>
  <c r="P207" i="5"/>
  <c r="O207" i="5"/>
  <c r="L207" i="5"/>
  <c r="B207" i="5"/>
  <c r="Q206" i="5"/>
  <c r="P206" i="5"/>
  <c r="O206" i="5"/>
  <c r="L206" i="5"/>
  <c r="B206" i="5"/>
  <c r="B205" i="5"/>
  <c r="L205" i="5"/>
  <c r="O205" i="5"/>
  <c r="P205" i="5"/>
  <c r="Q205" i="5"/>
  <c r="B204" i="5"/>
  <c r="L204" i="5"/>
  <c r="O204" i="5"/>
  <c r="P204" i="5"/>
  <c r="Q204" i="5"/>
  <c r="B203" i="5"/>
  <c r="L203" i="5"/>
  <c r="O203" i="5"/>
  <c r="P203" i="5"/>
  <c r="Q203" i="5"/>
  <c r="Q202" i="5"/>
  <c r="P202" i="5"/>
  <c r="O202" i="5"/>
  <c r="L202" i="5"/>
  <c r="B202" i="5"/>
  <c r="Q201" i="5"/>
  <c r="P201" i="5"/>
  <c r="O201" i="5"/>
  <c r="L201" i="5"/>
  <c r="B201" i="5"/>
  <c r="Q200" i="5"/>
  <c r="P200" i="5"/>
  <c r="O200" i="5"/>
  <c r="L200" i="5"/>
  <c r="A200" i="5"/>
  <c r="B200" i="5" s="1"/>
  <c r="Q199" i="5"/>
  <c r="P199" i="5"/>
  <c r="O199" i="5"/>
  <c r="L199" i="5"/>
  <c r="A199" i="5"/>
  <c r="B199" i="5" s="1"/>
  <c r="Q198" i="5"/>
  <c r="P198" i="5"/>
  <c r="O198" i="5"/>
  <c r="L198" i="5"/>
  <c r="A198" i="5"/>
  <c r="B198" i="5" s="1"/>
  <c r="Q197" i="5"/>
  <c r="P197" i="5"/>
  <c r="O197" i="5"/>
  <c r="L197" i="5"/>
  <c r="A197" i="5"/>
  <c r="B197" i="5" s="1"/>
  <c r="A196" i="5"/>
  <c r="B196" i="5" s="1"/>
  <c r="L196" i="5"/>
  <c r="O196" i="5"/>
  <c r="P196" i="5"/>
  <c r="Q196" i="5"/>
  <c r="A195" i="5"/>
  <c r="B195" i="5" s="1"/>
  <c r="L195" i="5"/>
  <c r="O195" i="5"/>
  <c r="P195" i="5"/>
  <c r="Q195" i="5"/>
  <c r="A194" i="5"/>
  <c r="B194" i="5" s="1"/>
  <c r="L194" i="5"/>
  <c r="O194" i="5"/>
  <c r="P194" i="5"/>
  <c r="Q194" i="5"/>
  <c r="O118" i="5"/>
  <c r="Q193" i="5"/>
  <c r="P193" i="5"/>
  <c r="O193" i="5"/>
  <c r="L193" i="5"/>
  <c r="B193" i="5"/>
  <c r="B192" i="5"/>
  <c r="L192" i="5"/>
  <c r="O192" i="5"/>
  <c r="P192" i="5"/>
  <c r="Q192" i="5"/>
  <c r="B191" i="5"/>
  <c r="L191" i="5"/>
  <c r="O191" i="5"/>
  <c r="P191" i="5"/>
  <c r="Q191" i="5"/>
  <c r="B190" i="5"/>
  <c r="L190" i="5"/>
  <c r="O190" i="5"/>
  <c r="P190" i="5"/>
  <c r="Q190" i="5"/>
  <c r="O187" i="5"/>
  <c r="Q189" i="5"/>
  <c r="P189" i="5"/>
  <c r="O189" i="5"/>
  <c r="L189" i="5"/>
  <c r="B189" i="5"/>
  <c r="Q188" i="5"/>
  <c r="P188" i="5"/>
  <c r="O188" i="5"/>
  <c r="L188" i="5"/>
  <c r="B188" i="5"/>
  <c r="Q187" i="5"/>
  <c r="P187" i="5"/>
  <c r="L187" i="5"/>
  <c r="B187" i="5"/>
  <c r="Q186" i="5"/>
  <c r="P186" i="5"/>
  <c r="O186" i="5"/>
  <c r="L186" i="5"/>
  <c r="B186"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B165" i="5"/>
  <c r="B166" i="5"/>
  <c r="B167" i="5"/>
  <c r="B169" i="5"/>
  <c r="B170" i="5"/>
  <c r="B171" i="5"/>
  <c r="B172" i="5"/>
  <c r="B173" i="5"/>
  <c r="B174" i="5"/>
  <c r="B175" i="5"/>
  <c r="B176" i="5"/>
  <c r="B177" i="5"/>
  <c r="B178" i="5"/>
  <c r="B179" i="5"/>
  <c r="B180" i="5"/>
  <c r="B181" i="5"/>
  <c r="B182" i="5"/>
  <c r="B183" i="5"/>
  <c r="B184" i="5"/>
  <c r="B185" i="5"/>
  <c r="O185" i="5"/>
  <c r="P185" i="5"/>
  <c r="Q185" i="5"/>
  <c r="Q181" i="5"/>
  <c r="P181" i="5"/>
  <c r="O181" i="5"/>
  <c r="O182" i="5"/>
  <c r="P182" i="5"/>
  <c r="Q182" i="5"/>
  <c r="O183" i="5"/>
  <c r="P183" i="5"/>
  <c r="Q183" i="5"/>
  <c r="Q184" i="5"/>
  <c r="P184" i="5"/>
  <c r="O184" i="5"/>
  <c r="Q180" i="5"/>
  <c r="P180" i="5"/>
  <c r="O180" i="5"/>
  <c r="Q179" i="5"/>
  <c r="P179" i="5"/>
  <c r="O179" i="5"/>
  <c r="Q178" i="5"/>
  <c r="P178" i="5"/>
  <c r="O178" i="5"/>
  <c r="Q177" i="5"/>
  <c r="P177" i="5"/>
  <c r="O177" i="5"/>
  <c r="O176" i="5"/>
  <c r="P176" i="5"/>
  <c r="Q176" i="5"/>
  <c r="Q175" i="5"/>
  <c r="P175" i="5"/>
  <c r="O175" i="5"/>
  <c r="Q174" i="5"/>
  <c r="P174" i="5"/>
  <c r="O174" i="5"/>
  <c r="Q173" i="5"/>
  <c r="P173" i="5"/>
  <c r="Q172" i="5"/>
  <c r="Q171" i="5"/>
  <c r="P171" i="5"/>
  <c r="O171" i="5"/>
  <c r="O170" i="5"/>
  <c r="P170" i="5"/>
  <c r="Q170" i="5"/>
  <c r="O169" i="5"/>
  <c r="P169" i="5"/>
  <c r="Q169" i="5"/>
  <c r="A168" i="5"/>
  <c r="B168" i="5" s="1"/>
  <c r="O168" i="5"/>
  <c r="P168" i="5"/>
  <c r="Q168"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O167" i="5"/>
  <c r="O166" i="5"/>
  <c r="P167" i="5"/>
  <c r="P166" i="5"/>
  <c r="O165" i="5"/>
  <c r="P165" i="5"/>
  <c r="B2" i="5"/>
  <c r="A3" i="5"/>
  <c r="B3" i="5" s="1"/>
  <c r="A4" i="5"/>
  <c r="B4" i="5" s="1"/>
  <c r="A5" i="5"/>
  <c r="B5" i="5" s="1"/>
  <c r="A6" i="5"/>
  <c r="B6" i="5" s="1"/>
  <c r="A7" i="5"/>
  <c r="B7" i="5" s="1"/>
  <c r="A8" i="5"/>
  <c r="B8" i="5" s="1"/>
  <c r="A9" i="5"/>
  <c r="B9" i="5" s="1"/>
  <c r="A10" i="5"/>
  <c r="B10" i="5" s="1"/>
  <c r="A11" i="5"/>
  <c r="B11" i="5" s="1"/>
  <c r="A12" i="5"/>
  <c r="B12" i="5" s="1"/>
  <c r="A13" i="5"/>
  <c r="B13" i="5" s="1"/>
  <c r="A14" i="5"/>
  <c r="B14" i="5" s="1"/>
  <c r="A15" i="5"/>
  <c r="B15" i="5" s="1"/>
  <c r="A16" i="5"/>
  <c r="B16" i="5" s="1"/>
  <c r="A17" i="5"/>
  <c r="B17" i="5" s="1"/>
  <c r="A18" i="5"/>
  <c r="B18" i="5" s="1"/>
  <c r="A19" i="5"/>
  <c r="B19" i="5" s="1"/>
  <c r="A20" i="5"/>
  <c r="B20" i="5" s="1"/>
  <c r="A21" i="5"/>
  <c r="B21" i="5" s="1"/>
  <c r="A22" i="5"/>
  <c r="B22" i="5" s="1"/>
  <c r="A23" i="5"/>
  <c r="B23" i="5" s="1"/>
  <c r="A24" i="5"/>
  <c r="B24" i="5" s="1"/>
  <c r="A25" i="5"/>
  <c r="B25" i="5" s="1"/>
  <c r="A26" i="5"/>
  <c r="B26" i="5" s="1"/>
  <c r="A27" i="5"/>
  <c r="B27" i="5" s="1"/>
  <c r="A28" i="5"/>
  <c r="B28" i="5" s="1"/>
  <c r="A29" i="5"/>
  <c r="B29" i="5" s="1"/>
  <c r="A30" i="5"/>
  <c r="B30" i="5" s="1"/>
  <c r="A31" i="5"/>
  <c r="B31" i="5" s="1"/>
  <c r="A32" i="5"/>
  <c r="B32" i="5" s="1"/>
  <c r="A33" i="5"/>
  <c r="B33" i="5" s="1"/>
  <c r="A34" i="5"/>
  <c r="B34" i="5" s="1"/>
  <c r="A35" i="5"/>
  <c r="B35" i="5" s="1"/>
  <c r="A36" i="5"/>
  <c r="B36" i="5" s="1"/>
  <c r="A37" i="5"/>
  <c r="B37" i="5" s="1"/>
  <c r="A38" i="5"/>
  <c r="B38" i="5" s="1"/>
  <c r="A39" i="5"/>
  <c r="B39" i="5" s="1"/>
  <c r="A40" i="5"/>
  <c r="B40" i="5" s="1"/>
  <c r="A41" i="5"/>
  <c r="B41" i="5" s="1"/>
  <c r="A42" i="5"/>
  <c r="B42" i="5" s="1"/>
  <c r="A43" i="5"/>
  <c r="B43" i="5" s="1"/>
  <c r="A44" i="5"/>
  <c r="B44" i="5" s="1"/>
  <c r="A45" i="5"/>
  <c r="B45" i="5" s="1"/>
  <c r="A46" i="5"/>
  <c r="B46" i="5" s="1"/>
  <c r="A47" i="5"/>
  <c r="B47" i="5" s="1"/>
  <c r="A48" i="5"/>
  <c r="B48" i="5" s="1"/>
  <c r="A49" i="5"/>
  <c r="B49" i="5" s="1"/>
  <c r="A50" i="5"/>
  <c r="B50" i="5" s="1"/>
  <c r="A51" i="5"/>
  <c r="B51" i="5" s="1"/>
  <c r="A52" i="5"/>
  <c r="B52" i="5" s="1"/>
  <c r="A53" i="5"/>
  <c r="B53" i="5" s="1"/>
  <c r="A54" i="5"/>
  <c r="B54" i="5" s="1"/>
  <c r="A55" i="5"/>
  <c r="B55" i="5" s="1"/>
  <c r="A56" i="5"/>
  <c r="B56" i="5" s="1"/>
  <c r="A57" i="5"/>
  <c r="B57" i="5" s="1"/>
  <c r="A58" i="5"/>
  <c r="B58" i="5" s="1"/>
  <c r="A59" i="5"/>
  <c r="B59" i="5" s="1"/>
  <c r="A60" i="5"/>
  <c r="B60" i="5" s="1"/>
  <c r="A61" i="5"/>
  <c r="B61" i="5" s="1"/>
  <c r="A62" i="5"/>
  <c r="B62" i="5" s="1"/>
  <c r="A63" i="5"/>
  <c r="B63" i="5" s="1"/>
  <c r="A64" i="5"/>
  <c r="B64" i="5" s="1"/>
  <c r="A65" i="5"/>
  <c r="B65" i="5" s="1"/>
  <c r="A66" i="5"/>
  <c r="B66" i="5" s="1"/>
  <c r="A67" i="5"/>
  <c r="B67" i="5" s="1"/>
  <c r="A68" i="5"/>
  <c r="B68" i="5" s="1"/>
  <c r="A69" i="5"/>
  <c r="B69" i="5" s="1"/>
  <c r="A70" i="5"/>
  <c r="B70" i="5" s="1"/>
  <c r="A71" i="5"/>
  <c r="B71" i="5" s="1"/>
  <c r="A72" i="5"/>
  <c r="B72" i="5" s="1"/>
  <c r="A73" i="5"/>
  <c r="B73" i="5" s="1"/>
  <c r="A74" i="5"/>
  <c r="B74" i="5" s="1"/>
  <c r="A75" i="5"/>
  <c r="B75" i="5" s="1"/>
  <c r="A76" i="5"/>
  <c r="B76" i="5" s="1"/>
  <c r="A77" i="5"/>
  <c r="B77" i="5" s="1"/>
  <c r="A78" i="5"/>
  <c r="B78" i="5" s="1"/>
  <c r="A79" i="5"/>
  <c r="B79" i="5" s="1"/>
  <c r="A80" i="5"/>
  <c r="B80" i="5" s="1"/>
  <c r="A81" i="5"/>
  <c r="B81" i="5" s="1"/>
  <c r="A82" i="5"/>
  <c r="B82" i="5" s="1"/>
  <c r="A83" i="5"/>
  <c r="B83" i="5" s="1"/>
  <c r="A84" i="5"/>
  <c r="B84" i="5" s="1"/>
  <c r="A85" i="5"/>
  <c r="B85" i="5" s="1"/>
  <c r="A86" i="5"/>
  <c r="B86" i="5" s="1"/>
  <c r="A87" i="5"/>
  <c r="B87" i="5" s="1"/>
  <c r="A88" i="5"/>
  <c r="B88" i="5" s="1"/>
  <c r="A89" i="5"/>
  <c r="B89" i="5" s="1"/>
  <c r="A90" i="5"/>
  <c r="B90" i="5" s="1"/>
  <c r="A91" i="5"/>
  <c r="B91" i="5" s="1"/>
  <c r="A92" i="5"/>
  <c r="B92" i="5" s="1"/>
  <c r="A93" i="5"/>
  <c r="B93" i="5" s="1"/>
  <c r="A94" i="5"/>
  <c r="B94" i="5" s="1"/>
  <c r="A95" i="5"/>
  <c r="B95" i="5" s="1"/>
  <c r="A96" i="5"/>
  <c r="B96" i="5" s="1"/>
  <c r="A97" i="5"/>
  <c r="B97" i="5" s="1"/>
  <c r="A98" i="5"/>
  <c r="B98" i="5" s="1"/>
  <c r="A99" i="5"/>
  <c r="B99" i="5" s="1"/>
  <c r="A100" i="5"/>
  <c r="B100" i="5" s="1"/>
  <c r="A101" i="5"/>
  <c r="B101" i="5" s="1"/>
  <c r="A102" i="5"/>
  <c r="B102" i="5" s="1"/>
  <c r="A103" i="5"/>
  <c r="B103" i="5" s="1"/>
  <c r="A104" i="5"/>
  <c r="B104" i="5" s="1"/>
  <c r="A105" i="5"/>
  <c r="B105" i="5" s="1"/>
  <c r="A106" i="5"/>
  <c r="B106" i="5" s="1"/>
  <c r="A107" i="5"/>
  <c r="B107" i="5" s="1"/>
  <c r="A108" i="5"/>
  <c r="B108" i="5" s="1"/>
  <c r="A109" i="5"/>
  <c r="B109" i="5" s="1"/>
  <c r="A110" i="5"/>
  <c r="B110" i="5" s="1"/>
  <c r="A111" i="5"/>
  <c r="B111" i="5" s="1"/>
  <c r="A112" i="5"/>
  <c r="B112" i="5" s="1"/>
  <c r="A113" i="5"/>
  <c r="B113" i="5" s="1"/>
  <c r="A114" i="5"/>
  <c r="B114" i="5" s="1"/>
  <c r="A115" i="5"/>
  <c r="B115" i="5" s="1"/>
  <c r="A116" i="5"/>
  <c r="B116" i="5" s="1"/>
  <c r="A117" i="5"/>
  <c r="B117" i="5" s="1"/>
  <c r="A118" i="5"/>
  <c r="B118" i="5" s="1"/>
  <c r="A119" i="5"/>
  <c r="B119" i="5" s="1"/>
  <c r="A120" i="5"/>
  <c r="B120" i="5" s="1"/>
  <c r="A121" i="5"/>
  <c r="B121" i="5" s="1"/>
  <c r="A122" i="5"/>
  <c r="B122" i="5" s="1"/>
  <c r="A123" i="5"/>
  <c r="B123" i="5" s="1"/>
  <c r="A124" i="5"/>
  <c r="B124" i="5" s="1"/>
  <c r="A125" i="5"/>
  <c r="B125" i="5" s="1"/>
  <c r="A126" i="5"/>
  <c r="B126" i="5" s="1"/>
  <c r="A127" i="5"/>
  <c r="B127" i="5" s="1"/>
  <c r="A128" i="5"/>
  <c r="B128" i="5" s="1"/>
  <c r="A129" i="5"/>
  <c r="B129" i="5" s="1"/>
  <c r="A130" i="5"/>
  <c r="B130" i="5" s="1"/>
  <c r="A131" i="5"/>
  <c r="B131" i="5" s="1"/>
  <c r="A132" i="5"/>
  <c r="B132" i="5" s="1"/>
  <c r="A133" i="5"/>
  <c r="B133" i="5" s="1"/>
  <c r="A134" i="5"/>
  <c r="B134" i="5" s="1"/>
  <c r="A135" i="5"/>
  <c r="B135" i="5" s="1"/>
  <c r="A136" i="5"/>
  <c r="B136" i="5" s="1"/>
  <c r="A137" i="5"/>
  <c r="B137" i="5" s="1"/>
  <c r="A138" i="5"/>
  <c r="B138" i="5" s="1"/>
  <c r="A139" i="5"/>
  <c r="B139" i="5" s="1"/>
  <c r="A140" i="5"/>
  <c r="B140" i="5" s="1"/>
  <c r="A141" i="5"/>
  <c r="B141" i="5" s="1"/>
  <c r="A142" i="5"/>
  <c r="B142" i="5" s="1"/>
  <c r="A143" i="5"/>
  <c r="B143" i="5" s="1"/>
  <c r="A144" i="5"/>
  <c r="B144" i="5" s="1"/>
  <c r="A145" i="5"/>
  <c r="B145" i="5" s="1"/>
  <c r="A146" i="5"/>
  <c r="B146" i="5" s="1"/>
  <c r="A147" i="5"/>
  <c r="B147" i="5" s="1"/>
  <c r="A148" i="5"/>
  <c r="B148" i="5" s="1"/>
  <c r="A149" i="5"/>
  <c r="B149" i="5" s="1"/>
  <c r="A150" i="5"/>
  <c r="B150" i="5" s="1"/>
  <c r="A151" i="5"/>
  <c r="B151" i="5" s="1"/>
  <c r="A152" i="5"/>
  <c r="B152" i="5" s="1"/>
  <c r="A153" i="5"/>
  <c r="B153" i="5" s="1"/>
  <c r="A154" i="5"/>
  <c r="B154" i="5" s="1"/>
  <c r="A155" i="5"/>
  <c r="B155" i="5" s="1"/>
  <c r="A156" i="5"/>
  <c r="B156" i="5" s="1"/>
  <c r="A157" i="5"/>
  <c r="B157" i="5" s="1"/>
  <c r="A158" i="5"/>
  <c r="B158" i="5" s="1"/>
  <c r="A159" i="5"/>
  <c r="B159" i="5" s="1"/>
  <c r="A160" i="5"/>
  <c r="B160" i="5" s="1"/>
  <c r="A161" i="5"/>
  <c r="B161" i="5" s="1"/>
  <c r="A162" i="5"/>
  <c r="B162" i="5" s="1"/>
  <c r="A163" i="5"/>
  <c r="B163" i="5" s="1"/>
  <c r="A164" i="5"/>
  <c r="B164" i="5" s="1"/>
  <c r="M5" i="16"/>
  <c r="M6" i="16"/>
  <c r="M7" i="16"/>
  <c r="M8" i="16"/>
  <c r="M9" i="16"/>
  <c r="M10" i="16"/>
  <c r="M11" i="16"/>
  <c r="M12" i="16"/>
  <c r="M13" i="16"/>
  <c r="M14" i="16"/>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L6" i="16"/>
  <c r="L7" i="16"/>
  <c r="L8" i="16"/>
  <c r="L9" i="16"/>
  <c r="L10" i="16"/>
  <c r="L11" i="16"/>
  <c r="L12" i="16"/>
  <c r="L13" i="16"/>
  <c r="L14" i="16"/>
  <c r="L5" i="16"/>
  <c r="C69" i="16"/>
  <c r="C15" i="16"/>
  <c r="AD39" i="16"/>
  <c r="C71" i="16"/>
  <c r="C18" i="16"/>
  <c r="B71" i="16"/>
  <c r="C19" i="16"/>
  <c r="C16" i="16"/>
  <c r="B72" i="16"/>
  <c r="M34" i="16"/>
  <c r="AF39" i="16"/>
  <c r="C17" i="16"/>
  <c r="M35" i="16"/>
  <c r="M31" i="16"/>
  <c r="M32" i="16"/>
  <c r="B74" i="16"/>
  <c r="AH39" i="16"/>
  <c r="M36" i="16"/>
  <c r="C72" i="16"/>
  <c r="AG39" i="16"/>
  <c r="AB39" i="16"/>
  <c r="AE39" i="16"/>
  <c r="B70" i="16"/>
  <c r="B69" i="16"/>
  <c r="C73" i="16"/>
  <c r="C20" i="16"/>
  <c r="AC39" i="16"/>
  <c r="M30" i="16"/>
  <c r="B73" i="16"/>
  <c r="C74" i="16"/>
  <c r="M16" i="16"/>
  <c r="M33" i="16"/>
  <c r="C70" i="16"/>
  <c r="C21" i="16"/>
  <c r="AN11" i="16"/>
  <c r="M15" i="16" l="1"/>
  <c r="B15" i="16"/>
  <c r="B16" i="16"/>
  <c r="B17" i="16"/>
  <c r="B18" i="16"/>
  <c r="B19" i="16"/>
  <c r="B20" i="16"/>
  <c r="AB4" i="16"/>
  <c r="AB3" i="16"/>
  <c r="AB27" i="16"/>
  <c r="AB2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Frédéric Malharin</author>
  </authors>
  <commentList>
    <comment ref="M1" authorId="0" shapeId="0" xr:uid="{EDF05FA9-2004-42EF-9473-876A07276875}">
      <text>
        <r>
          <rPr>
            <b/>
            <sz val="11"/>
            <color indexed="81"/>
            <rFont val="Tahoma"/>
            <family val="2"/>
          </rPr>
          <t>Frédéric Malharin:</t>
        </r>
        <r>
          <rPr>
            <sz val="11"/>
            <color indexed="81"/>
            <rFont val="Tahoma"/>
            <family val="2"/>
          </rPr>
          <t xml:space="preserve">
These tables are here to help the data model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Sport climbing data and dashboard.xlsx!GRADES" type="102" refreshedVersion="8" minRefreshableVersion="5">
    <extLst>
      <ext xmlns:x15="http://schemas.microsoft.com/office/spreadsheetml/2010/11/main" uri="{DE250136-89BD-433C-8126-D09CA5730AF9}">
        <x15:connection id="GRADES">
          <x15:rangePr sourceName="_xlcn.WorksheetConnection_Sportclimbingdataanddashboard.xlsxGRADES1"/>
        </x15:connection>
      </ext>
    </extLst>
  </connection>
  <connection id="3" xr16:uid="{00000000-0015-0000-FFFF-FFFF02000000}" name="WorksheetConnection_Sport climbing data and dashboard.xlsx!MONTHS" type="102" refreshedVersion="8" minRefreshableVersion="5">
    <extLst>
      <ext xmlns:x15="http://schemas.microsoft.com/office/spreadsheetml/2010/11/main" uri="{DE250136-89BD-433C-8126-D09CA5730AF9}">
        <x15:connection id="MONTHS">
          <x15:rangePr sourceName="_xlcn.WorksheetConnection_Sportclimbingdataanddashboard.xlsxMONTHS1"/>
        </x15:connection>
      </ext>
    </extLst>
  </connection>
  <connection id="4" xr16:uid="{00000000-0015-0000-FFFF-FFFF03000000}" name="WorksheetConnection_Sport climbing data and dashboard.xlsx!SportClimbing" type="102" refreshedVersion="8" minRefreshableVersion="5">
    <extLst>
      <ext xmlns:x15="http://schemas.microsoft.com/office/spreadsheetml/2010/11/main" uri="{DE250136-89BD-433C-8126-D09CA5730AF9}">
        <x15:connection id="SportClimbing" autoDelete="1">
          <x15:rangePr sourceName="_xlcn.WorksheetConnection_Sportclimbingdataanddashboard.xlsxSportClimbing1"/>
        </x15:connection>
      </ext>
    </extLst>
  </connection>
  <connection id="5" xr16:uid="{00000000-0015-0000-FFFF-FFFF04000000}" name="WorksheetConnection_Sport climbing data and dashboard.xlsx!Years" type="102" refreshedVersion="8" minRefreshableVersion="5">
    <extLst>
      <ext xmlns:x15="http://schemas.microsoft.com/office/spreadsheetml/2010/11/main" uri="{DE250136-89BD-433C-8126-D09CA5730AF9}">
        <x15:connection id="Years">
          <x15:rangePr sourceName="_xlcn.WorksheetConnection_Sportclimbingdataanddashboard.xlsxYears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SportClimbing].[Date_filter].&amp;[True]}"/>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<sst xmlns="http://schemas.openxmlformats.org/spreadsheetml/2006/main" count="2058" uniqueCount="550">
  <si>
    <t>Gauche</t>
  </si>
  <si>
    <t>Roc d'Anglars</t>
  </si>
  <si>
    <t>Mégaboule</t>
  </si>
  <si>
    <t>7a</t>
  </si>
  <si>
    <t>Révélations</t>
  </si>
  <si>
    <t>Clin d'oeil à la Lune</t>
  </si>
  <si>
    <t>Thomas Bur</t>
  </si>
  <si>
    <t>Sex Machine</t>
  </si>
  <si>
    <t>Gorges de la Cesse</t>
  </si>
  <si>
    <t>Cassiopée</t>
  </si>
  <si>
    <t>Guhlm</t>
  </si>
  <si>
    <t>flash</t>
  </si>
  <si>
    <t>Carol</t>
  </si>
  <si>
    <t>Teddy</t>
  </si>
  <si>
    <t>Lola</t>
  </si>
  <si>
    <t>Rodellar</t>
  </si>
  <si>
    <t>Pared de la Virgen</t>
  </si>
  <si>
    <t>Shyamal</t>
  </si>
  <si>
    <t>Roc de la Lluna</t>
  </si>
  <si>
    <t>Sud</t>
  </si>
  <si>
    <t>De socials un 10</t>
  </si>
  <si>
    <t>7a+</t>
  </si>
  <si>
    <t>Gelida</t>
  </si>
  <si>
    <t>Centre</t>
  </si>
  <si>
    <t>David Valls</t>
  </si>
  <si>
    <t>Garraf</t>
  </si>
  <si>
    <t>Mala Dona</t>
  </si>
  <si>
    <t>Pasaba por aquí</t>
  </si>
  <si>
    <t>KA NO</t>
  </si>
  <si>
    <t>7b</t>
  </si>
  <si>
    <t>Amor suprem</t>
  </si>
  <si>
    <t>Neska polita</t>
  </si>
  <si>
    <t>7b+</t>
  </si>
  <si>
    <t>nº28</t>
  </si>
  <si>
    <t>Andres Villarroel</t>
  </si>
  <si>
    <t>nº26</t>
  </si>
  <si>
    <t>Xapes Negres</t>
  </si>
  <si>
    <t>Marc Ros</t>
  </si>
  <si>
    <t>Dave</t>
  </si>
  <si>
    <t>Dos peluts i un destí</t>
  </si>
  <si>
    <t>Merda de la serra</t>
  </si>
  <si>
    <t>Simply Extrem</t>
  </si>
  <si>
    <t>Las Garretes del Garraf</t>
  </si>
  <si>
    <t>Siurana</t>
  </si>
  <si>
    <t>L'aparador</t>
  </si>
  <si>
    <t>Brigadistak</t>
  </si>
  <si>
    <t>Lo dejé to blanco</t>
  </si>
  <si>
    <t>Calma Tensa</t>
  </si>
  <si>
    <t>Imperatriz Esmeralda</t>
  </si>
  <si>
    <t>Font Soleia</t>
  </si>
  <si>
    <t>Paret Gran</t>
  </si>
  <si>
    <t>Súbete a mi piel</t>
  </si>
  <si>
    <t>Daniel Perez</t>
  </si>
  <si>
    <t>Henry</t>
  </si>
  <si>
    <t>Garroma</t>
  </si>
  <si>
    <t>El Callejón</t>
  </si>
  <si>
    <t>Good feeling</t>
  </si>
  <si>
    <t>Cova de l'Arcada</t>
  </si>
  <si>
    <t>Juan y Fran se nos van</t>
  </si>
  <si>
    <t>Las ventanas</t>
  </si>
  <si>
    <t>Viagraman</t>
  </si>
  <si>
    <t>El Pati</t>
  </si>
  <si>
    <t>Sugopy</t>
  </si>
  <si>
    <t>Esperó Primavera</t>
  </si>
  <si>
    <t>Se m'apaga la baldufa</t>
  </si>
  <si>
    <t>Performance</t>
  </si>
  <si>
    <t>El Gruyere</t>
  </si>
  <si>
    <t>Requiem</t>
  </si>
  <si>
    <t>Margalef</t>
  </si>
  <si>
    <t>7c</t>
  </si>
  <si>
    <t>Montserrat norte</t>
  </si>
  <si>
    <t>Montserrat sur</t>
  </si>
  <si>
    <t>Collegats</t>
  </si>
  <si>
    <t>Fleck</t>
  </si>
  <si>
    <t>La Pedrera</t>
  </si>
  <si>
    <t>Crit de Panic</t>
  </si>
  <si>
    <t>Sadernes</t>
  </si>
  <si>
    <t>Mallorca</t>
  </si>
  <si>
    <t>Cala Sa Nau</t>
  </si>
  <si>
    <t>Cala Mitjana</t>
  </si>
  <si>
    <t>Balsa Boys</t>
  </si>
  <si>
    <t>Rich Bitch</t>
  </si>
  <si>
    <t>Attack of the Spindly Killer Fish</t>
  </si>
  <si>
    <t>water solo</t>
  </si>
  <si>
    <t>Brego</t>
  </si>
  <si>
    <t>Cetaci</t>
  </si>
  <si>
    <t>Cova dels Bombers</t>
  </si>
  <si>
    <t>Hervé</t>
  </si>
  <si>
    <t>Josuai Lama</t>
  </si>
  <si>
    <t>Tieme</t>
  </si>
  <si>
    <t>Beso de Cobra</t>
  </si>
  <si>
    <t>Siuranella Este</t>
  </si>
  <si>
    <t>Cova del Bisbe</t>
  </si>
  <si>
    <t>L'Herbolari</t>
  </si>
  <si>
    <t>El Cargol</t>
  </si>
  <si>
    <t>Jeketepeke</t>
  </si>
  <si>
    <t>Cojón prieto</t>
  </si>
  <si>
    <t>La panxa del bou</t>
  </si>
  <si>
    <t>Rauxa</t>
  </si>
  <si>
    <t>Huir para vivir</t>
  </si>
  <si>
    <t>Grau dels matxos</t>
  </si>
  <si>
    <t>Cingles</t>
  </si>
  <si>
    <t>Piano Piano</t>
  </si>
  <si>
    <t>No ho sé</t>
  </si>
  <si>
    <t>Angel</t>
  </si>
  <si>
    <t>Arbolí</t>
  </si>
  <si>
    <t>Can Gans Dionis</t>
  </si>
  <si>
    <t>Prendre la tête</t>
  </si>
  <si>
    <t>No m'enganyis mes</t>
  </si>
  <si>
    <t>Little Ted</t>
  </si>
  <si>
    <t>El Dard</t>
  </si>
  <si>
    <t>Pelu</t>
  </si>
  <si>
    <t>Mystiflower</t>
  </si>
  <si>
    <t>Mr Krek</t>
  </si>
  <si>
    <t>El Falcó</t>
  </si>
  <si>
    <t>El Salt de la Reina Mora</t>
  </si>
  <si>
    <t>Anys Bionics</t>
  </si>
  <si>
    <t>Can Simiro</t>
  </si>
  <si>
    <t>Manara Clic</t>
  </si>
  <si>
    <t>Fotut Futur</t>
  </si>
  <si>
    <t>Lena</t>
  </si>
  <si>
    <t>Megatrix</t>
  </si>
  <si>
    <t>Karla Mexicana</t>
  </si>
  <si>
    <t>Can Paulet</t>
  </si>
  <si>
    <t>Esquerra</t>
  </si>
  <si>
    <t>Qui s'ha mort</t>
  </si>
  <si>
    <t>Chulilla</t>
  </si>
  <si>
    <t>Sex shop</t>
  </si>
  <si>
    <t>Chorreras</t>
  </si>
  <si>
    <t>Oasis</t>
  </si>
  <si>
    <t>onsight</t>
  </si>
  <si>
    <t>Yoel</t>
  </si>
  <si>
    <t>Guy</t>
  </si>
  <si>
    <t>Gustavo</t>
  </si>
  <si>
    <t>Dale duro negro</t>
  </si>
  <si>
    <t>Los caminantes</t>
  </si>
  <si>
    <t>Day</t>
  </si>
  <si>
    <t>Month</t>
  </si>
  <si>
    <t>Year</t>
  </si>
  <si>
    <t>Route name</t>
  </si>
  <si>
    <t>Grade</t>
  </si>
  <si>
    <t>Crag</t>
  </si>
  <si>
    <t>Sector</t>
  </si>
  <si>
    <t>Height (m)</t>
  </si>
  <si>
    <t>Belayer</t>
  </si>
  <si>
    <t>Total number of tries</t>
  </si>
  <si>
    <t>Patrick</t>
  </si>
  <si>
    <t>Byron</t>
  </si>
  <si>
    <t>Juan</t>
  </si>
  <si>
    <t>Will</t>
  </si>
  <si>
    <t>Martyn</t>
  </si>
  <si>
    <t>Jan</t>
  </si>
  <si>
    <t>Feb</t>
  </si>
  <si>
    <t>March</t>
  </si>
  <si>
    <t>April</t>
  </si>
  <si>
    <t>May</t>
  </si>
  <si>
    <t>June</t>
  </si>
  <si>
    <t>July</t>
  </si>
  <si>
    <t>Aug</t>
  </si>
  <si>
    <t>Sep</t>
  </si>
  <si>
    <t>Nov</t>
  </si>
  <si>
    <t>Dec</t>
  </si>
  <si>
    <t>Oct</t>
  </si>
  <si>
    <t>7c+</t>
  </si>
  <si>
    <t>Kathy</t>
  </si>
  <si>
    <t>Curriculo vaginal</t>
  </si>
  <si>
    <t>Masters</t>
  </si>
  <si>
    <t>Zikrutiña mientras puedas</t>
  </si>
  <si>
    <t>Fantasía</t>
  </si>
  <si>
    <t>Ulises</t>
  </si>
  <si>
    <t>Ay Mamita</t>
  </si>
  <si>
    <t>Kat</t>
  </si>
  <si>
    <t>Bindelef</t>
  </si>
  <si>
    <t>La Mainadera</t>
  </si>
  <si>
    <t>Baby sitter</t>
  </si>
  <si>
    <t>Cabernet</t>
  </si>
  <si>
    <t>La forum de les postures</t>
  </si>
  <si>
    <t>Mar de fons</t>
  </si>
  <si>
    <t>La mía</t>
  </si>
  <si>
    <t>El Charlatán</t>
  </si>
  <si>
    <t>Culample 4</t>
  </si>
  <si>
    <t>Calendra</t>
  </si>
  <si>
    <t>Ladilla</t>
  </si>
  <si>
    <t>Castell s'Espasa dret</t>
  </si>
  <si>
    <t>El prohibitivo</t>
  </si>
  <si>
    <t>Esgraons al cel</t>
  </si>
  <si>
    <t>Montserrat Sur</t>
  </si>
  <si>
    <t>La Piula</t>
  </si>
  <si>
    <t>Menganos</t>
  </si>
  <si>
    <t>Bisexual</t>
  </si>
  <si>
    <t>Corral nou</t>
  </si>
  <si>
    <t>Bocadillo de calamares en el km 0</t>
  </si>
  <si>
    <t>Salmoneti a contra corrent</t>
  </si>
  <si>
    <t>Herbolari</t>
  </si>
  <si>
    <t>L'Olla</t>
  </si>
  <si>
    <t>Cargol treu banya</t>
  </si>
  <si>
    <t>Fisuterapia</t>
  </si>
  <si>
    <t>Lo més negre</t>
  </si>
  <si>
    <t>Salmo veintitrés</t>
  </si>
  <si>
    <t>Café del mar</t>
  </si>
  <si>
    <t>El Casot</t>
  </si>
  <si>
    <t>Can Codolar</t>
  </si>
  <si>
    <t>Cova de l'os</t>
  </si>
  <si>
    <t>Antonin</t>
  </si>
  <si>
    <t>Jihad</t>
  </si>
  <si>
    <t>La Siberiana</t>
  </si>
  <si>
    <t>Siuranella Centre</t>
  </si>
  <si>
    <t>Tikis Mikis</t>
  </si>
  <si>
    <t>Inti</t>
  </si>
  <si>
    <t>El ultimo poeta</t>
  </si>
  <si>
    <t>Cop de roc</t>
  </si>
  <si>
    <t>Laila</t>
  </si>
  <si>
    <t>Avui si que no m'enganyes</t>
  </si>
  <si>
    <t>page 4</t>
  </si>
  <si>
    <t>page 5</t>
  </si>
  <si>
    <t>No name num 93</t>
  </si>
  <si>
    <t>El Trapella num 90</t>
  </si>
  <si>
    <t>El Drac</t>
  </si>
  <si>
    <t>Gabo</t>
  </si>
  <si>
    <t>Pota de bou</t>
  </si>
  <si>
    <t>page 6</t>
  </si>
  <si>
    <t>ACDC</t>
  </si>
  <si>
    <t>Ca l'Onassis</t>
  </si>
  <si>
    <t>Ni me n'entero</t>
  </si>
  <si>
    <t>Ca la Isabel</t>
  </si>
  <si>
    <t>Bamboleiro</t>
  </si>
  <si>
    <t>Grau dels Masets Baix</t>
  </si>
  <si>
    <t>No hi ha pa per tant xoriço</t>
  </si>
  <si>
    <t>Can Melafots</t>
  </si>
  <si>
    <t>Ca l'Orro</t>
  </si>
  <si>
    <t>Lydia</t>
  </si>
  <si>
    <t>Bernardo</t>
  </si>
  <si>
    <t>Grand Total</t>
  </si>
  <si>
    <t>Row Labels</t>
  </si>
  <si>
    <t>Remulo y romo</t>
  </si>
  <si>
    <t>La Morena de Montsant</t>
  </si>
  <si>
    <t>Pako pintxo</t>
  </si>
  <si>
    <t>Clone Club</t>
  </si>
  <si>
    <t>Grau dels Masets Esquerra</t>
  </si>
  <si>
    <t>La Transformació</t>
  </si>
  <si>
    <t>Alpha</t>
  </si>
  <si>
    <t>Mainada de plafó</t>
  </si>
  <si>
    <t>page 2</t>
  </si>
  <si>
    <t>page 3</t>
  </si>
  <si>
    <t>?</t>
  </si>
  <si>
    <t>No pasarán</t>
  </si>
  <si>
    <t>Semen up</t>
  </si>
  <si>
    <t>Daniel Taupin</t>
  </si>
  <si>
    <t>Tsunami</t>
  </si>
  <si>
    <t>El Nas</t>
  </si>
  <si>
    <t>El Sunyer</t>
  </si>
  <si>
    <t>Bous i Esquellets</t>
  </si>
  <si>
    <t>Sean</t>
  </si>
  <si>
    <t>Las orelles del llop</t>
  </si>
  <si>
    <t>Emboirats</t>
  </si>
  <si>
    <t>Tiramilles</t>
  </si>
  <si>
    <t>Cala Varques - Metrosexual</t>
  </si>
  <si>
    <t>Sac de Gemecs</t>
  </si>
  <si>
    <t>Desvariant</t>
  </si>
  <si>
    <t>Ventolera Cosmica</t>
  </si>
  <si>
    <t>Country</t>
  </si>
  <si>
    <t>France</t>
  </si>
  <si>
    <t>Spain</t>
  </si>
  <si>
    <t>Donald</t>
  </si>
  <si>
    <t>Muro de lamentaciones</t>
  </si>
  <si>
    <t>Penyes Aragonesas (Castellón)</t>
  </si>
  <si>
    <t>LSD</t>
  </si>
  <si>
    <t>Dumbo love</t>
  </si>
  <si>
    <t>Blue agave</t>
  </si>
  <si>
    <t>El Magnate del tomate</t>
  </si>
  <si>
    <t>Tierra de Nadie</t>
  </si>
  <si>
    <t>La ciudad perdida de Muchapicha</t>
  </si>
  <si>
    <t>SPUF</t>
  </si>
  <si>
    <t>Portugal</t>
  </si>
  <si>
    <t>Fenda de Arrabida</t>
  </si>
  <si>
    <t>Carallon</t>
  </si>
  <si>
    <t>Vittorio</t>
  </si>
  <si>
    <t>Revelhao</t>
  </si>
  <si>
    <t>Atlantida</t>
  </si>
  <si>
    <t>Gaivotas</t>
  </si>
  <si>
    <t>Alexandre Marques</t>
  </si>
  <si>
    <t>Cavallers</t>
  </si>
  <si>
    <t>Kaos</t>
  </si>
  <si>
    <t>L'Obaga del Falcó</t>
  </si>
  <si>
    <t>L'Obaga</t>
  </si>
  <si>
    <t>Arseniac</t>
  </si>
  <si>
    <t>Le Fayet</t>
  </si>
  <si>
    <t>Thermes</t>
  </si>
  <si>
    <t>Kati Golovina</t>
  </si>
  <si>
    <t>Le Coupeau</t>
  </si>
  <si>
    <t>Chris Knight</t>
  </si>
  <si>
    <t>La Haine</t>
  </si>
  <si>
    <t>Left</t>
  </si>
  <si>
    <t>Right</t>
  </si>
  <si>
    <t>Doigts de fée pour un cœur de lion</t>
  </si>
  <si>
    <t>L'âge de cristal</t>
  </si>
  <si>
    <t>Combat des chefs</t>
  </si>
  <si>
    <t>Plan Plan</t>
  </si>
  <si>
    <t>Austria</t>
  </si>
  <si>
    <t>Maracuja</t>
  </si>
  <si>
    <t>Zillertal - Ewige Jagdgründe</t>
  </si>
  <si>
    <t>Wam</t>
  </si>
  <si>
    <t>Wig</t>
  </si>
  <si>
    <t xml:space="preserve">Schuh des Manitou </t>
  </si>
  <si>
    <t>Juman</t>
  </si>
  <si>
    <t>It's Easy</t>
  </si>
  <si>
    <t>Martinswand</t>
  </si>
  <si>
    <t>Dschungelbuch Hauptteil</t>
  </si>
  <si>
    <t>Kotitscha</t>
  </si>
  <si>
    <t>Blitzaktion</t>
  </si>
  <si>
    <t>Engelswand</t>
  </si>
  <si>
    <t>Ötztal</t>
  </si>
  <si>
    <t>Blockparty</t>
  </si>
  <si>
    <t>Italy</t>
  </si>
  <si>
    <t>Jugant amb foc</t>
  </si>
  <si>
    <t>Can Toni Gros</t>
  </si>
  <si>
    <t>L'esquitx</t>
  </si>
  <si>
    <t>Kun</t>
  </si>
  <si>
    <t>Mort de gana</t>
  </si>
  <si>
    <t>Enganyapardals</t>
  </si>
  <si>
    <t>Négociée</t>
  </si>
  <si>
    <t>Fumanchu</t>
  </si>
  <si>
    <t>Permagel</t>
  </si>
  <si>
    <t>Marxuquera</t>
  </si>
  <si>
    <t>Natasha</t>
  </si>
  <si>
    <t>Klaus Charfreitag</t>
  </si>
  <si>
    <t>Mikel</t>
  </si>
  <si>
    <t>Y un cacau más</t>
  </si>
  <si>
    <t>Cherales Grande</t>
  </si>
  <si>
    <t>Hijos de Caín</t>
  </si>
  <si>
    <t>Potente</t>
  </si>
  <si>
    <t xml:space="preserve">Wunderbare Welt der Schwerkraft </t>
  </si>
  <si>
    <t>Tibor</t>
  </si>
  <si>
    <t>Wunderbare Welt</t>
  </si>
  <si>
    <t>Berglsteinersee</t>
  </si>
  <si>
    <t>Secret Garden</t>
  </si>
  <si>
    <t>Bold Man</t>
  </si>
  <si>
    <t>Knappenwand</t>
  </si>
  <si>
    <t>Asier</t>
  </si>
  <si>
    <t>Was nicht passt wird passend gemacht</t>
  </si>
  <si>
    <t>Verschneidung links</t>
  </si>
  <si>
    <t>Gebi Crack</t>
  </si>
  <si>
    <t>Astholz</t>
  </si>
  <si>
    <t>Hundepension</t>
  </si>
  <si>
    <t>Dödl up</t>
  </si>
  <si>
    <t>Unterinn</t>
  </si>
  <si>
    <t>10</t>
  </si>
  <si>
    <t>14</t>
  </si>
  <si>
    <t>2</t>
  </si>
  <si>
    <t>3</t>
  </si>
  <si>
    <t>4</t>
  </si>
  <si>
    <t>5</t>
  </si>
  <si>
    <t>6</t>
  </si>
  <si>
    <t>7</t>
  </si>
  <si>
    <t>8</t>
  </si>
  <si>
    <t>YEARS</t>
  </si>
  <si>
    <t>August</t>
  </si>
  <si>
    <t>November</t>
  </si>
  <si>
    <t>December</t>
  </si>
  <si>
    <t>January</t>
  </si>
  <si>
    <t>February</t>
  </si>
  <si>
    <t>September</t>
  </si>
  <si>
    <t>October</t>
  </si>
  <si>
    <t>MONTHS 1</t>
  </si>
  <si>
    <t>MONTHS 2</t>
  </si>
  <si>
    <t>Jul</t>
  </si>
  <si>
    <t>Jun</t>
  </si>
  <si>
    <t>Mar</t>
  </si>
  <si>
    <t>Apr</t>
  </si>
  <si>
    <t>MONTHS 3</t>
  </si>
  <si>
    <t>Chris Awe</t>
  </si>
  <si>
    <t>Ötz</t>
  </si>
  <si>
    <t>Starkenbach</t>
  </si>
  <si>
    <t>Herbstwind</t>
  </si>
  <si>
    <t>Betka</t>
  </si>
  <si>
    <t>Hokus Pokus</t>
  </si>
  <si>
    <t>Tiramisu</t>
  </si>
  <si>
    <t>Türkischer Kaffee</t>
  </si>
  <si>
    <t>Height range (m)</t>
  </si>
  <si>
    <t>Perros</t>
  </si>
  <si>
    <t>Zillertal - Astholz</t>
  </si>
  <si>
    <t>35+</t>
  </si>
  <si>
    <t>12</t>
  </si>
  <si>
    <t>Vecchia Roma</t>
  </si>
  <si>
    <t>Mister Inzing</t>
  </si>
  <si>
    <t>Der keusche Josef aus dem Zillertal</t>
  </si>
  <si>
    <t>Viva die Fichte</t>
  </si>
  <si>
    <t>Die Null im Kondom</t>
  </si>
  <si>
    <t>L'os</t>
  </si>
  <si>
    <t>Glasierte Leiste</t>
  </si>
  <si>
    <t>Germany</t>
  </si>
  <si>
    <t>Bichlersee</t>
  </si>
  <si>
    <t>Nadine</t>
  </si>
  <si>
    <t>Count per grade</t>
  </si>
  <si>
    <t>Count per height</t>
  </si>
  <si>
    <t>Count per belayer</t>
  </si>
  <si>
    <t>Count per year</t>
  </si>
  <si>
    <t>Count per month</t>
  </si>
  <si>
    <t>Count per crag</t>
  </si>
  <si>
    <t>Count per number of attempts</t>
  </si>
  <si>
    <t>Count per country</t>
  </si>
  <si>
    <t>Other crags</t>
  </si>
  <si>
    <t>Dummy value</t>
  </si>
  <si>
    <t>onsight/flash/redpoint</t>
  </si>
  <si>
    <t>redpoint</t>
  </si>
  <si>
    <t>GRADES</t>
  </si>
  <si>
    <t>GRADES &amp; ATTEMPTS</t>
  </si>
  <si>
    <t>Tries num. only excl. outliers</t>
  </si>
  <si>
    <t>CORRELATION HEIGHT / NUMBER OF TRIES</t>
  </si>
  <si>
    <t>Pearson coeff</t>
  </si>
  <si>
    <t>R squared</t>
  </si>
  <si>
    <t>0-10</t>
  </si>
  <si>
    <t>11-15</t>
  </si>
  <si>
    <t>16-20</t>
  </si>
  <si>
    <t>21-25</t>
  </si>
  <si>
    <t>26-30</t>
  </si>
  <si>
    <t>31-35</t>
  </si>
  <si>
    <t>COUNTRIES &amp; PLACES</t>
  </si>
  <si>
    <t>HABITS &amp; PREFERENCES</t>
  </si>
  <si>
    <t>Column Labels</t>
  </si>
  <si>
    <t>Count per Belayer</t>
  </si>
  <si>
    <t>Date</t>
  </si>
  <si>
    <t>Date_filter</t>
  </si>
  <si>
    <t>True</t>
  </si>
  <si>
    <t>% of flash, OS, RP</t>
  </si>
  <si>
    <t>Avg Tries num. only excl. outliers</t>
  </si>
  <si>
    <t>% of flash and OS per grade</t>
  </si>
  <si>
    <t>TIME FEATURES</t>
  </si>
  <si>
    <t>Cols</t>
  </si>
  <si>
    <t>Rows</t>
  </si>
  <si>
    <t>Avg num. tries per grade &amp; height</t>
  </si>
  <si>
    <t>Total</t>
  </si>
  <si>
    <t>Little Lenny</t>
  </si>
  <si>
    <t>Silz</t>
  </si>
  <si>
    <t>Guanacho</t>
  </si>
  <si>
    <t>Christian</t>
  </si>
  <si>
    <t>Sisyphos</t>
  </si>
  <si>
    <t>Grissini Kombo</t>
  </si>
  <si>
    <t>Score</t>
  </si>
  <si>
    <t>8a</t>
  </si>
  <si>
    <t>SCORE</t>
  </si>
  <si>
    <t>Sum of Score</t>
  </si>
  <si>
    <t>GRADE</t>
  </si>
  <si>
    <t>Mei ... was bringts ma?</t>
  </si>
  <si>
    <t>Score per year</t>
  </si>
  <si>
    <t>Miss Easy</t>
  </si>
  <si>
    <t>24</t>
  </si>
  <si>
    <t>Crosta Panic</t>
  </si>
  <si>
    <t>Corta y dura</t>
  </si>
  <si>
    <t>Colze de nena</t>
  </si>
  <si>
    <t>Masriudoms</t>
  </si>
  <si>
    <t>Francesco</t>
  </si>
  <si>
    <t>1</t>
  </si>
  <si>
    <t>Humor de gos</t>
  </si>
  <si>
    <t>Cova d’en Marian</t>
  </si>
  <si>
    <t>La vileta</t>
  </si>
  <si>
    <t>? (left of forn de pa)</t>
  </si>
  <si>
    <t>Lua</t>
  </si>
  <si>
    <t>Menjapendulo</t>
  </si>
  <si>
    <t>Arboli</t>
  </si>
  <si>
    <t>Falcololo</t>
  </si>
  <si>
    <t>Bellini</t>
  </si>
  <si>
    <t>Yun</t>
  </si>
  <si>
    <t>Espadelles extension</t>
  </si>
  <si>
    <t>Guybrush</t>
  </si>
  <si>
    <t>Siuranella Sud</t>
  </si>
  <si>
    <t>Abre los ojos</t>
  </si>
  <si>
    <t>La secallona</t>
  </si>
  <si>
    <t>Arco</t>
  </si>
  <si>
    <t>Chrissi</t>
  </si>
  <si>
    <t>Giardino di Nato</t>
  </si>
  <si>
    <t>Cintura di Orione</t>
  </si>
  <si>
    <t>Lo slancio</t>
  </si>
  <si>
    <t>Sgeve d’autore</t>
  </si>
  <si>
    <t>Hundertwasser</t>
  </si>
  <si>
    <t>CORRELATION DIFFICULTY / NUMBER OF TRIES</t>
  </si>
  <si>
    <t>Bogen</t>
  </si>
  <si>
    <t>Down Under</t>
  </si>
  <si>
    <t>Zillertal -Monkey Island</t>
  </si>
  <si>
    <t>La Vita e Bella</t>
  </si>
  <si>
    <t>Stubentiger</t>
  </si>
  <si>
    <t>Schuppen Flipp</t>
  </si>
  <si>
    <t>Blue Ice</t>
  </si>
  <si>
    <t>Oktan</t>
  </si>
  <si>
    <t>Nirvana</t>
  </si>
  <si>
    <t>Achleiten</t>
  </si>
  <si>
    <t>Hauptsektor links</t>
  </si>
  <si>
    <t>Zeck</t>
  </si>
  <si>
    <t>Glücksgriff</t>
  </si>
  <si>
    <t>Fotznknecht</t>
  </si>
  <si>
    <t>40</t>
  </si>
  <si>
    <t>Luca</t>
  </si>
  <si>
    <t>Ailefroide</t>
  </si>
  <si>
    <t>Gorges du Tarn</t>
  </si>
  <si>
    <t>La gorge</t>
  </si>
  <si>
    <t>El fuego de la muerte</t>
  </si>
  <si>
    <t>Maitre lardon</t>
  </si>
  <si>
    <t>Shadocks</t>
  </si>
  <si>
    <t>Coconut shake</t>
  </si>
  <si>
    <t>Master of puppets</t>
  </si>
  <si>
    <t>Etxauri</t>
  </si>
  <si>
    <t>De que fas aqui?</t>
  </si>
  <si>
    <t>Farniente</t>
  </si>
  <si>
    <t>Kiriako norte</t>
  </si>
  <si>
    <t>Butxiko</t>
  </si>
  <si>
    <t>Gradas de Ciriza central</t>
  </si>
  <si>
    <t>Reve de singe</t>
  </si>
  <si>
    <t>Dent de la Rancune</t>
  </si>
  <si>
    <t>Nord</t>
  </si>
  <si>
    <t>Think Pink</t>
  </si>
  <si>
    <t>Goldstück</t>
  </si>
  <si>
    <t>Jonathan rechts</t>
  </si>
  <si>
    <t>Rammelstein</t>
  </si>
  <si>
    <t>Sautens</t>
  </si>
  <si>
    <t>8a+</t>
  </si>
  <si>
    <t>Cavedine</t>
  </si>
  <si>
    <t>Magnilie di cioccolato</t>
  </si>
  <si>
    <t>Falegnameria</t>
  </si>
  <si>
    <t>Orgasmatic L1</t>
  </si>
  <si>
    <t>Diaframma</t>
  </si>
  <si>
    <t>Claudia</t>
  </si>
  <si>
    <t>Vocheso</t>
  </si>
  <si>
    <t>Adalpreto</t>
  </si>
  <si>
    <t>Castel Madruzzo</t>
  </si>
  <si>
    <t>Papillon extension</t>
  </si>
  <si>
    <t>Madame Roquette</t>
  </si>
  <si>
    <t>Petra Marginis</t>
  </si>
  <si>
    <t>Bassilandia</t>
  </si>
  <si>
    <t>OVERVIEW</t>
  </si>
  <si>
    <t>Count of Belayer</t>
  </si>
  <si>
    <t>Kleopatra</t>
  </si>
  <si>
    <t>Moonwalk</t>
  </si>
  <si>
    <t>Zentral</t>
  </si>
  <si>
    <t>Bassilandia - Petra Marginis</t>
  </si>
  <si>
    <t>Il Mare Calmo</t>
  </si>
  <si>
    <t>Cucciolo d'uomo</t>
  </si>
  <si>
    <t>Extraterrestre</t>
  </si>
  <si>
    <t>Fridolín</t>
  </si>
  <si>
    <t>El Nen del Fairy</t>
  </si>
  <si>
    <t>El Califato</t>
  </si>
  <si>
    <t>Esparnallac</t>
  </si>
  <si>
    <t>Black Uhuru</t>
  </si>
  <si>
    <t>Turcios</t>
  </si>
  <si>
    <t>Demà als Innocents</t>
  </si>
  <si>
    <t>Males Puces</t>
  </si>
  <si>
    <t>Agropunk R1</t>
  </si>
  <si>
    <t>Nutella</t>
  </si>
  <si>
    <t>Gioia e Revoluzione</t>
  </si>
  <si>
    <t>Simptomatic Love</t>
  </si>
  <si>
    <t>Le Trincee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</si>
</sst>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 &quot;*&quot;"/>
    <numFmt numFmtId="165" formatCode="0.0%"/>
    <numFmt numFmtId="166" formatCode="0.00000"/>
    <numFmt numFmtId="167" formatCode="0.0000"/>
    <numFmt numFmtId="168" formatCode="[$-409]d/mmm/yyyy;@"/>
    <numFmt numFmtId="169" formatCode="0.0"/>
  </numFmts>
  <fonts count="10" x14ac:knownFonts="1">
    <font>
      <sz val="10"/>
      <name val="Arial"/>
      <family val="2"/>
    </font>
    <font>
      <sz val="10"/>
      <color theme="1"/>
      <name val="Arial"/>
      <family val="2"/>
    </font>
    <font>
      <sz val="8"/>
      <name val="Arial"/>
      <family val="2"/>
    </font>
    <font>
      <b/>
      <sz val="10"/>
      <color theme="1"/>
      <name val="Arial"/>
      <family val="2"/>
    </font>
    <font>
      <b/>
      <sz val="10"/>
      <name val="Arial"/>
      <family val="2"/>
    </font>
    <font>
      <b/>
      <sz val="10"/>
      <color theme="0"/>
      <name val="Arial"/>
      <family val="2"/>
    </font>
    <font>
      <b/>
      <sz val="12"/>
      <color theme="0"/>
      <name val="Arial"/>
      <family val="2"/>
    </font>
    <font>
      <sz val="12"/>
      <name val="Arial"/>
      <family val="2"/>
    </font>
    <font>
      <b/>
      <sz val="11"/>
      <color indexed="81"/>
      <name val="Tahoma"/>
      <family val="2"/>
    </font>
    <font>
      <sz val="11"/>
      <color indexed="81"/>
      <name val="Tahoma"/>
      <family val="2"/>
    </font>
  </fonts>
  <fills count="11">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rgb="FF0070C0"/>
        <bgColor indexed="64"/>
      </patternFill>
    </fill>
    <fill>
      <patternFill patternType="solid">
        <fgColor theme="9" tint="-0.249977111117893"/>
        <bgColor indexed="64"/>
      </patternFill>
    </fill>
    <fill>
      <patternFill patternType="solid">
        <fgColor rgb="FF7030A0"/>
        <bgColor indexed="64"/>
      </patternFill>
    </fill>
    <fill>
      <patternFill patternType="solid">
        <fgColor rgb="FFC00000"/>
        <bgColor indexed="64"/>
      </patternFill>
    </fill>
    <fill>
      <patternFill patternType="solid">
        <fgColor rgb="FF0066FF"/>
        <bgColor indexed="64"/>
      </patternFill>
    </fill>
    <fill>
      <patternFill patternType="solid">
        <fgColor theme="7" tint="0.79998168889431442"/>
        <bgColor theme="4" tint="0.79998168889431442"/>
      </patternFill>
    </fill>
    <fill>
      <patternFill patternType="solid">
        <fgColor rgb="FFFFC000"/>
        <bgColor indexed="64"/>
      </patternFill>
    </fill>
  </fills>
  <borders count="1">
    <border>
      <left/>
      <right/>
      <top/>
      <bottom/>
      <diagonal/>
    </border>
  </borders>
  <cellStyleXfs count="1">
    <xf numFmtId="0" fontId="0" fillId="0" borderId="0"/>
  </cellStyleXfs>
  <cellXfs count="37">
    <xf numFmtId="0" fontId="0" fillId="0" borderId="0" xfId="0"/>
    <xf numFmtId="0" fontId="0" fillId="0" borderId="0" xfId="0" pivotButton="1"/>
    <xf numFmtId="0" fontId="0" fillId="0" borderId="0" xfId="0" applyAlignment="1">
      <alignment horizontal="left"/>
    </xf>
    <xf numFmtId="0" fontId="0" fillId="2" borderId="0" xfId="0" applyFill="1"/>
    <xf numFmtId="164" fontId="0" fillId="0" borderId="0" xfId="0" applyNumberFormat="1" applyAlignment="1">
      <alignment horizontal="left"/>
    </xf>
    <xf numFmtId="0" fontId="3" fillId="3" borderId="0" xfId="0" applyFont="1" applyFill="1"/>
    <xf numFmtId="0" fontId="0" fillId="3" borderId="0" xfId="0" applyFill="1" applyAlignment="1">
      <alignment horizontal="left"/>
    </xf>
    <xf numFmtId="0" fontId="0" fillId="3" borderId="0" xfId="0" applyFill="1"/>
    <xf numFmtId="0" fontId="4" fillId="3" borderId="0" xfId="0" applyFont="1" applyFill="1"/>
    <xf numFmtId="2" fontId="0" fillId="0" borderId="0" xfId="0" applyNumberFormat="1"/>
    <xf numFmtId="165" fontId="0" fillId="0" borderId="0" xfId="0" applyNumberFormat="1"/>
    <xf numFmtId="0" fontId="7" fillId="0" borderId="0" xfId="0" applyFont="1"/>
    <xf numFmtId="166" fontId="0" fillId="0" borderId="0" xfId="0" applyNumberFormat="1"/>
    <xf numFmtId="167" fontId="0" fillId="0" borderId="0" xfId="0" applyNumberFormat="1"/>
    <xf numFmtId="0" fontId="0" fillId="4" borderId="0" xfId="0" applyFill="1"/>
    <xf numFmtId="9" fontId="0" fillId="0" borderId="0" xfId="0" applyNumberFormat="1"/>
    <xf numFmtId="0" fontId="3" fillId="9" borderId="0" xfId="0" applyFont="1" applyFill="1"/>
    <xf numFmtId="9" fontId="0" fillId="3" borderId="0" xfId="0" applyNumberFormat="1" applyFill="1"/>
    <xf numFmtId="14" fontId="0" fillId="0" borderId="0" xfId="0" applyNumberFormat="1"/>
    <xf numFmtId="169" fontId="0" fillId="0" borderId="0" xfId="0" applyNumberFormat="1"/>
    <xf numFmtId="1" fontId="0" fillId="3" borderId="0" xfId="0" applyNumberFormat="1" applyFill="1"/>
    <xf numFmtId="168" fontId="0" fillId="0" borderId="0" xfId="0" applyNumberFormat="1"/>
    <xf numFmtId="168" fontId="1" fillId="0" borderId="0" xfId="0" applyNumberFormat="1" applyFont="1"/>
    <xf numFmtId="0" fontId="1" fillId="0" borderId="0" xfId="0" applyFont="1"/>
    <xf numFmtId="0" fontId="5" fillId="0" borderId="0" xfId="0" applyFont="1"/>
    <xf numFmtId="0" fontId="0" fillId="0" borderId="0" xfId="0" applyAlignment="1">
      <alignment wrapText="1"/>
    </xf>
    <xf numFmtId="0" fontId="0" fillId="0" borderId="0" xfId="0" applyAlignment="1">
      <alignment horizontal="left" indent="1"/>
    </xf>
    <xf numFmtId="0" fontId="6" fillId="4" borderId="0" xfId="0" applyFont="1" applyFill="1" applyAlignment="1">
      <alignment horizontal="center"/>
    </xf>
    <xf numFmtId="0" fontId="6" fillId="7" borderId="0" xfId="0" applyFont="1" applyFill="1" applyAlignment="1">
      <alignment horizontal="center"/>
    </xf>
    <xf numFmtId="0" fontId="6" fillId="10" borderId="0" xfId="0" applyFont="1" applyFill="1" applyAlignment="1">
      <alignment horizontal="center"/>
    </xf>
    <xf numFmtId="0" fontId="6" fillId="8" borderId="0" xfId="0" applyFont="1" applyFill="1" applyAlignment="1">
      <alignment horizontal="center"/>
    </xf>
    <xf numFmtId="0" fontId="6" fillId="5" borderId="0" xfId="0" applyFont="1" applyFill="1" applyAlignment="1">
      <alignment horizontal="center"/>
    </xf>
    <xf numFmtId="0" fontId="6" fillId="6" borderId="0" xfId="0" applyFont="1" applyFill="1" applyAlignment="1">
      <alignment horizontal="center"/>
    </xf>
    <xf numFmtId="168" fontId="0" fillId="0" borderId="0" xfId="0" applyNumberFormat="1" applyFill="1"/>
    <xf numFmtId="0" fontId="0" fillId="0" borderId="0" xfId="0" applyFill="1"/>
    <xf numFmtId="0" fontId="0" fillId="0" borderId="0" xfId="0" applyNumberFormat="1" applyFill="1"/>
    <xf numFmtId="0" fontId="0" fillId="0" borderId="0" xfId="0" applyNumberFormat="1"/>
  </cellXfs>
  <cellStyles count="1">
    <cellStyle name="Normal" xfId="0" builtinId="0"/>
  </cellStyles>
  <dxfs count="35">
    <dxf>
      <numFmt numFmtId="169" formatCode="0.0"/>
    </dxf>
    <dxf>
      <numFmt numFmtId="13" formatCode="0%"/>
    </dxf>
    <dxf>
      <numFmt numFmtId="2" formatCode="0.00"/>
    </dxf>
    <dxf>
      <numFmt numFmtId="165" formatCode="0.0%"/>
    </dxf>
    <dxf>
      <numFmt numFmtId="165" formatCode="0.0%"/>
    </dxf>
    <dxf>
      <numFmt numFmtId="13" formatCode="0%"/>
    </dxf>
    <dxf>
      <numFmt numFmtId="2" formatCode="0.00"/>
    </dxf>
    <dxf>
      <numFmt numFmtId="169" formatCode="0.0"/>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68" formatCode="[$-409]d/mmm/yyyy;@"/>
      <fill>
        <patternFill patternType="none">
          <fgColor indexed="64"/>
          <bgColor indexed="65"/>
        </patternFill>
      </fill>
    </dxf>
    <dxf>
      <numFmt numFmtId="168" formatCode="[$-409]d/mmm/yyyy;@"/>
      <fill>
        <patternFill patternType="none">
          <fgColor indexed="64"/>
          <bgColor auto="1"/>
        </patternFill>
      </fill>
    </dxf>
    <dxf>
      <fill>
        <patternFill patternType="none">
          <fgColor indexed="64"/>
          <bgColor auto="1"/>
        </patternFill>
      </fill>
    </dxf>
    <dxf>
      <fill>
        <patternFill patternType="none">
          <fgColor indexed="64"/>
          <bgColor auto="1"/>
        </patternFill>
      </fill>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i val="0"/>
      </font>
    </dxf>
    <dxf>
      <border diagonalUp="0" diagonalDown="0">
        <left style="thin">
          <color rgb="FFDCDC00"/>
        </left>
        <right style="thin">
          <color rgb="FFDCDC00"/>
        </right>
        <top style="thin">
          <color rgb="FFDCDC00"/>
        </top>
        <bottom style="thin">
          <color rgb="FFDCDC00"/>
        </bottom>
        <vertical/>
        <horizontal/>
      </border>
    </dxf>
    <dxf>
      <font>
        <b/>
        <i val="0"/>
      </font>
    </dxf>
    <dxf>
      <border diagonalUp="0" diagonalDown="0">
        <left style="thin">
          <color rgb="FF00B0F0"/>
        </left>
        <right style="thin">
          <color rgb="FF00B0F0"/>
        </right>
        <top style="thin">
          <color rgb="FF00B0F0"/>
        </top>
        <bottom style="thin">
          <color rgb="FF00B0F0"/>
        </bottom>
        <vertical/>
        <horizontal/>
      </border>
    </dxf>
    <dxf>
      <font>
        <b/>
        <color theme="1"/>
      </font>
      <fill>
        <patternFill>
          <bgColor rgb="FF7030A0"/>
        </patternFill>
      </fill>
      <border>
        <bottom style="thin">
          <color theme="8"/>
        </bottom>
        <vertical/>
        <horizontal/>
      </border>
    </dxf>
    <dxf>
      <font>
        <color theme="1"/>
      </font>
      <fill>
        <patternFill patternType="none">
          <fgColor indexed="64"/>
          <bgColor auto="1"/>
        </patternFill>
      </fill>
      <border diagonalUp="0" diagonalDown="0">
        <left style="thin">
          <color rgb="FF7030A0"/>
        </left>
        <right style="thin">
          <color rgb="FF7030A0"/>
        </right>
        <top style="thin">
          <color rgb="FF7030A0"/>
        </top>
        <bottom style="thin">
          <color rgb="FF7030A0"/>
        </bottom>
        <vertical/>
        <horizontal/>
      </border>
    </dxf>
  </dxfs>
  <tableStyles count="4" defaultTableStyle="TableStyleMedium2" defaultPivotStyle="PivotStyleLight16">
    <tableStyle name="Belayer" pivot="0" table="0" count="10" xr9:uid="{3B852CD3-873F-4B46-B9AF-0EAC3BA7239A}">
      <tableStyleElement type="wholeTable" dxfId="34"/>
      <tableStyleElement type="headerRow" dxfId="33"/>
    </tableStyle>
    <tableStyle name="Grade" pivot="0" table="0" count="6" xr9:uid="{ED94F21A-451D-464A-A285-04162855CE44}">
      <tableStyleElement type="wholeTable" dxfId="32"/>
      <tableStyleElement type="headerRow" dxfId="31"/>
    </tableStyle>
    <tableStyle name="Month" pivot="0" table="0" count="7" xr9:uid="{F096F372-2D61-41E2-A87F-AB7019E4C738}">
      <tableStyleElement type="wholeTable" dxfId="30"/>
      <tableStyleElement type="headerRow" dxfId="29"/>
    </tableStyle>
    <tableStyle name="SlicerStyleDark2 2" pivot="0" table="0" count="10" xr9:uid="{E4FA39DE-804B-4527-94CC-BAFD02E974DF}">
      <tableStyleElement type="wholeTable" dxfId="28"/>
      <tableStyleElement type="headerRow" dxfId="27"/>
    </tableStyle>
  </tableStyles>
  <colors>
    <mruColors>
      <color rgb="FFFFFFFF"/>
      <color rgb="FFA453C9"/>
      <color rgb="FF97DCFF"/>
      <color rgb="FF66CCFF"/>
      <color rgb="FFDCDC00"/>
      <color rgb="FFF8E162"/>
      <color rgb="FFFCF7E0"/>
      <color rgb="FFF8E15C"/>
      <color rgb="FF0066FF"/>
      <color rgb="FFFFC8C8"/>
    </mruColors>
  </colors>
  <extLst>
    <ext xmlns:x14="http://schemas.microsoft.com/office/spreadsheetml/2009/9/main" uri="{46F421CA-312F-682f-3DD2-61675219B42D}">
      <x14:dxfs count="25">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rgb="FFC00000"/>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gradientFill degree="90">
              <stop position="0">
                <color rgb="FFF8E162"/>
              </stop>
              <stop position="1">
                <color rgb="FFFCF7E0"/>
              </stop>
            </gradientFill>
          </fill>
        </dxf>
        <dxf>
          <fill>
            <gradientFill degree="90">
              <stop position="0">
                <color rgb="FFF8E162"/>
              </stop>
              <stop position="1">
                <color rgb="FFFCF7E0"/>
              </stop>
            </gradientFill>
          </fill>
        </dxf>
        <dxf>
          <fill>
            <gradientFill degree="90">
              <stop position="0">
                <color rgb="FFF8E162"/>
              </stop>
              <stop position="1">
                <color rgb="FFFCF7E0"/>
              </stop>
            </gradientFill>
          </fill>
        </dxf>
        <dxf>
          <font>
            <color theme="0"/>
          </font>
          <fill>
            <patternFill>
              <bgColor rgb="FFDCDC00"/>
            </patternFill>
          </fill>
        </dxf>
        <dxf>
          <fill>
            <patternFill>
              <bgColor theme="0" tint="-0.24994659260841701"/>
            </patternFill>
          </fill>
        </dxf>
        <dxf>
          <fill>
            <gradientFill degree="90">
              <stop position="0">
                <color rgb="FFF8E162"/>
              </stop>
              <stop position="1">
                <color rgb="FFFCF7E0"/>
              </stop>
            </gradientFill>
          </fill>
        </dxf>
        <dxf>
          <fill>
            <gradientFill degree="90">
              <stop position="0">
                <color rgb="FFF8E162"/>
              </stop>
              <stop position="1">
                <color rgb="FFFCF7E0"/>
              </stop>
            </gradientFill>
          </fill>
        </dxf>
        <dxf>
          <fill>
            <gradientFill degree="90">
              <stop position="0">
                <color rgb="FFF8E162"/>
              </stop>
              <stop position="1">
                <color rgb="FFFCF7E0"/>
              </stop>
            </gradientFill>
          </fill>
        </dxf>
        <dxf>
          <font>
            <color theme="0"/>
          </font>
          <fill>
            <patternFill>
              <bgColor rgb="FF00B0F0"/>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rgb="FF7030A0"/>
              <bgColor rgb="FF7030A0"/>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elayer">
          <x14:slicerStyleElements>
            <x14:slicerStyleElement type="unselectedItemWithData" dxfId="24"/>
            <x14:slicerStyleElement type="unselectedItemWithNoData" dxfId="23"/>
            <x14:slicerStyleElement type="selectedItemWithData" dxfId="22"/>
            <x14:slicerStyleElement type="selectedItemWithNoData" dxfId="21"/>
            <x14:slicerStyleElement type="hoveredUnselectedItemWithData" dxfId="20"/>
            <x14:slicerStyleElement type="hoveredSelectedItemWithData" dxfId="19"/>
            <x14:slicerStyleElement type="hoveredUnselectedItemWithNoData" dxfId="18"/>
            <x14:slicerStyleElement type="hoveredSelectedItemWithNoData" dxfId="17"/>
          </x14:slicerStyleElements>
        </x14:slicerStyle>
        <x14:slicerStyle name="Grade">
          <x14:slicerStyleElements>
            <x14:slicerStyleElement type="selectedItemWithData" dxfId="16"/>
            <x14:slicerStyleElement type="hoveredUnselectedItemWithData" dxfId="15"/>
            <x14:slicerStyleElement type="hoveredSelectedItemWithData" dxfId="14"/>
            <x14:slicerStyleElement type="hoveredSelectedItemWithNoData" dxfId="13"/>
          </x14:slicerStyleElements>
        </x14:slicerStyle>
        <x14:slicerStyle name="Month">
          <x14:slicerStyleElements>
            <x14:slicerStyleElement type="unselectedItemWithData" dxfId="12"/>
            <x14:slicerStyleElement type="selectedItemWithData" dxfId="11"/>
            <x14:slicerStyleElement type="hoveredUnselectedItemWithData" dxfId="10"/>
            <x14:slicerStyleElement type="hoveredSelectedItemWithData" dxfId="9"/>
            <x14:slicerStyleElement type="hovered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07/relationships/slicerCache" Target="slicerCaches/slicerCache3.xml"/><Relationship Id="rId39" Type="http://schemas.openxmlformats.org/officeDocument/2006/relationships/customXml" Target="../customXml/item1.xml"/><Relationship Id="rId21" Type="http://schemas.openxmlformats.org/officeDocument/2006/relationships/pivotCacheDefinition" Target="pivotCache/pivotCacheDefinition17.xml"/><Relationship Id="rId34" Type="http://schemas.openxmlformats.org/officeDocument/2006/relationships/styles" Target="style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07/relationships/slicerCache" Target="slicerCaches/slicerCache6.xml"/><Relationship Id="rId11" Type="http://schemas.openxmlformats.org/officeDocument/2006/relationships/pivotCacheDefinition" Target="pivotCache/pivotCacheDefinition7.xml"/><Relationship Id="rId24" Type="http://schemas.microsoft.com/office/2007/relationships/slicerCache" Target="slicerCaches/slicerCache1.xml"/><Relationship Id="rId32" Type="http://schemas.openxmlformats.org/officeDocument/2006/relationships/theme" Target="theme/theme1.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5" Type="http://schemas.openxmlformats.org/officeDocument/2006/relationships/pivotCacheDefinition" Target="pivotCache/pivotCacheDefinition1.xml"/><Relationship Id="rId19" Type="http://schemas.openxmlformats.org/officeDocument/2006/relationships/pivotCacheDefinition" Target="pivotCache/pivotCacheDefinition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4.xml"/><Relationship Id="rId30" Type="http://schemas.microsoft.com/office/2007/relationships/slicerCache" Target="slicerCaches/slicerCache7.xml"/><Relationship Id="rId35" Type="http://schemas.openxmlformats.org/officeDocument/2006/relationships/sharedStrings" Target="sharedString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8" Type="http://schemas.openxmlformats.org/officeDocument/2006/relationships/pivotCacheDefinition" Target="pivotCache/pivotCacheDefinition4.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2.xml"/><Relationship Id="rId33" Type="http://schemas.openxmlformats.org/officeDocument/2006/relationships/connections" Target="connections.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20" Type="http://schemas.openxmlformats.org/officeDocument/2006/relationships/pivotCacheDefinition" Target="pivotCache/pivotCacheDefinition16.xml"/><Relationship Id="rId41" Type="http://schemas.openxmlformats.org/officeDocument/2006/relationships/customXml" Target="../customXml/item3.xml"/><Relationship Id="rId54"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5.xml"/><Relationship Id="rId36" Type="http://schemas.openxmlformats.org/officeDocument/2006/relationships/sheetMetadata" Target="metadata.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6.xml"/><Relationship Id="rId31" Type="http://schemas.microsoft.com/office/2007/relationships/slicerCache" Target="slicerCaches/slicerCache8.xml"/><Relationship Id="rId44" Type="http://schemas.openxmlformats.org/officeDocument/2006/relationships/customXml" Target="../customXml/item6.xml"/><Relationship Id="rId52"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kern="1200" spc="0" baseline="0">
                <a:solidFill>
                  <a:sysClr val="windowText" lastClr="000000">
                    <a:lumMod val="65000"/>
                    <a:lumOff val="35000"/>
                  </a:sysClr>
                </a:solidFill>
              </a:rPr>
              <a:t>% OF FLASH &amp; ONSIGHT</a:t>
            </a:r>
          </a:p>
        </c:rich>
      </c:tx>
      <c:layout>
        <c:manualLayout>
          <c:xMode val="edge"/>
          <c:yMode val="edge"/>
          <c:x val="0.20467592592592593"/>
          <c:y val="2.314814814814814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456036745406818E-2"/>
          <c:y val="0.17171296296296296"/>
          <c:w val="0.88498840769903764"/>
          <c:h val="0.7353546952464276"/>
        </c:manualLayout>
      </c:layout>
      <c:areaChart>
        <c:grouping val="stacked"/>
        <c:varyColors val="0"/>
        <c:ser>
          <c:idx val="0"/>
          <c:order val="0"/>
          <c:tx>
            <c:strRef>
              <c:f>'PIVOTS &amp; CALCULATIONS'!$B$68</c:f>
              <c:strCache>
                <c:ptCount val="1"/>
                <c:pt idx="0">
                  <c:v>flash</c:v>
                </c:pt>
              </c:strCache>
            </c:strRef>
          </c:tx>
          <c:spPr>
            <a:solidFill>
              <a:srgbClr val="00B0F0"/>
            </a:solidFill>
            <a:ln>
              <a:noFill/>
            </a:ln>
            <a:effectLst/>
          </c:spPr>
          <c:dLbls>
            <c:dLbl>
              <c:idx val="0"/>
              <c:layout>
                <c:manualLayout>
                  <c:x val="2.7777777777777776E-2"/>
                  <c:y val="-4.62962962962979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F7-444B-8582-85C6385445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CALCULATIONS'!$A$69:$A$74</c:f>
              <c:strCache>
                <c:ptCount val="6"/>
                <c:pt idx="0">
                  <c:v>7a</c:v>
                </c:pt>
                <c:pt idx="1">
                  <c:v>7a+</c:v>
                </c:pt>
                <c:pt idx="2">
                  <c:v>7b</c:v>
                </c:pt>
                <c:pt idx="3">
                  <c:v>7b+</c:v>
                </c:pt>
                <c:pt idx="4">
                  <c:v>7c</c:v>
                </c:pt>
                <c:pt idx="5">
                  <c:v>7c+</c:v>
                </c:pt>
              </c:strCache>
            </c:strRef>
          </c:cat>
          <c:val>
            <c:numRef>
              <c:f>'PIVOTS &amp; CALCULATIONS'!$B$69:$B$74</c:f>
              <c:numCache>
                <c:formatCode>0%</c:formatCode>
                <c:ptCount val="6"/>
                <c:pt idx="0">
                  <c:v>9.8360655737704916E-2</c:v>
                </c:pt>
                <c:pt idx="1">
                  <c:v>8.771929824561403E-2</c:v>
                </c:pt>
                <c:pt idx="2">
                  <c:v>3.5714285714285712E-2</c:v>
                </c:pt>
                <c:pt idx="3">
                  <c:v>0</c:v>
                </c:pt>
                <c:pt idx="4">
                  <c:v>0</c:v>
                </c:pt>
                <c:pt idx="5">
                  <c:v>0</c:v>
                </c:pt>
              </c:numCache>
            </c:numRef>
          </c:val>
          <c:extLst>
            <c:ext xmlns:c16="http://schemas.microsoft.com/office/drawing/2014/chart" uri="{C3380CC4-5D6E-409C-BE32-E72D297353CC}">
              <c16:uniqueId val="{00000001-2CF7-444B-8582-85C6385445BB}"/>
            </c:ext>
          </c:extLst>
        </c:ser>
        <c:ser>
          <c:idx val="1"/>
          <c:order val="1"/>
          <c:tx>
            <c:strRef>
              <c:f>'PIVOTS &amp; CALCULATIONS'!$C$68</c:f>
              <c:strCache>
                <c:ptCount val="1"/>
                <c:pt idx="0">
                  <c:v>onsight</c:v>
                </c:pt>
              </c:strCache>
            </c:strRef>
          </c:tx>
          <c:spPr>
            <a:solidFill>
              <a:srgbClr val="97DCFF"/>
            </a:solidFill>
            <a:ln>
              <a:noFill/>
            </a:ln>
            <a:effectLst/>
          </c:spPr>
          <c:dLbls>
            <c:dLbl>
              <c:idx val="0"/>
              <c:layout>
                <c:manualLayout>
                  <c:x val="3.3333333333333319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F7-444B-8582-85C6385445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CALCULATIONS'!$A$69:$A$74</c:f>
              <c:strCache>
                <c:ptCount val="6"/>
                <c:pt idx="0">
                  <c:v>7a</c:v>
                </c:pt>
                <c:pt idx="1">
                  <c:v>7a+</c:v>
                </c:pt>
                <c:pt idx="2">
                  <c:v>7b</c:v>
                </c:pt>
                <c:pt idx="3">
                  <c:v>7b+</c:v>
                </c:pt>
                <c:pt idx="4">
                  <c:v>7c</c:v>
                </c:pt>
                <c:pt idx="5">
                  <c:v>7c+</c:v>
                </c:pt>
              </c:strCache>
            </c:strRef>
          </c:cat>
          <c:val>
            <c:numRef>
              <c:f>'PIVOTS &amp; CALCULATIONS'!$C$69:$C$74</c:f>
              <c:numCache>
                <c:formatCode>0%</c:formatCode>
                <c:ptCount val="6"/>
                <c:pt idx="0">
                  <c:v>0.36065573770491804</c:v>
                </c:pt>
                <c:pt idx="1">
                  <c:v>0.26315789473684209</c:v>
                </c:pt>
                <c:pt idx="2">
                  <c:v>0.10714285714285714</c:v>
                </c:pt>
                <c:pt idx="3">
                  <c:v>8.3333333333333329E-2</c:v>
                </c:pt>
                <c:pt idx="4">
                  <c:v>0</c:v>
                </c:pt>
                <c:pt idx="5">
                  <c:v>0</c:v>
                </c:pt>
              </c:numCache>
            </c:numRef>
          </c:val>
          <c:extLst>
            <c:ext xmlns:c16="http://schemas.microsoft.com/office/drawing/2014/chart" uri="{C3380CC4-5D6E-409C-BE32-E72D297353CC}">
              <c16:uniqueId val="{00000003-2CF7-444B-8582-85C6385445BB}"/>
            </c:ext>
          </c:extLst>
        </c:ser>
        <c:dLbls>
          <c:showLegendKey val="0"/>
          <c:showVal val="1"/>
          <c:showCatName val="0"/>
          <c:showSerName val="0"/>
          <c:showPercent val="0"/>
          <c:showBubbleSize val="0"/>
        </c:dLbls>
        <c:axId val="1542257343"/>
        <c:axId val="1542274623"/>
      </c:areaChart>
      <c:catAx>
        <c:axId val="154225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274623"/>
        <c:crosses val="autoZero"/>
        <c:auto val="1"/>
        <c:lblAlgn val="ctr"/>
        <c:lblOffset val="100"/>
        <c:noMultiLvlLbl val="0"/>
      </c:catAx>
      <c:valAx>
        <c:axId val="1542274623"/>
        <c:scaling>
          <c:orientation val="minMax"/>
          <c:max val="0.5"/>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257343"/>
        <c:crosses val="autoZero"/>
        <c:crossBetween val="midCat"/>
        <c:majorUnit val="0.1"/>
      </c:valAx>
      <c:spPr>
        <a:noFill/>
        <a:ln>
          <a:noFill/>
        </a:ln>
        <a:effectLst/>
      </c:spPr>
    </c:plotArea>
    <c:legend>
      <c:legendPos val="b"/>
      <c:layout>
        <c:manualLayout>
          <c:xMode val="edge"/>
          <c:yMode val="edge"/>
          <c:x val="0.37653849518810156"/>
          <c:y val="0.19502260134149893"/>
          <c:w val="0.35657370953630796"/>
          <c:h val="0.130209244677748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March 2026.xlsx]PIVOTS &amp; CALCULATIONS!% of flash, onsight, redpoint</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 OF FLASH, OS, RP</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CALCULATIONS'!$B$43</c:f>
              <c:strCache>
                <c:ptCount val="1"/>
                <c:pt idx="0">
                  <c:v>Total</c:v>
                </c:pt>
              </c:strCache>
            </c:strRef>
          </c:tx>
          <c:spPr>
            <a:solidFill>
              <a:srgbClr val="66CC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CALCULATIONS'!$A$44:$A$47</c:f>
              <c:strCache>
                <c:ptCount val="3"/>
                <c:pt idx="0">
                  <c:v>flash</c:v>
                </c:pt>
                <c:pt idx="1">
                  <c:v>onsight</c:v>
                </c:pt>
                <c:pt idx="2">
                  <c:v>redpoint</c:v>
                </c:pt>
              </c:strCache>
            </c:strRef>
          </c:cat>
          <c:val>
            <c:numRef>
              <c:f>'PIVOTS &amp; CALCULATIONS'!$B$44:$B$47</c:f>
              <c:numCache>
                <c:formatCode>0.0%</c:formatCode>
                <c:ptCount val="3"/>
                <c:pt idx="0">
                  <c:v>7.9646017699115043E-2</c:v>
                </c:pt>
                <c:pt idx="1">
                  <c:v>0.27876106194690264</c:v>
                </c:pt>
                <c:pt idx="2">
                  <c:v>0.6415929203539823</c:v>
                </c:pt>
              </c:numCache>
            </c:numRef>
          </c:val>
          <c:extLst>
            <c:ext xmlns:c16="http://schemas.microsoft.com/office/drawing/2014/chart" uri="{C3380CC4-5D6E-409C-BE32-E72D297353CC}">
              <c16:uniqueId val="{00000000-4709-4DE3-BA60-A916B1C4CF40}"/>
            </c:ext>
          </c:extLst>
        </c:ser>
        <c:dLbls>
          <c:showLegendKey val="0"/>
          <c:showVal val="0"/>
          <c:showCatName val="0"/>
          <c:showSerName val="0"/>
          <c:showPercent val="0"/>
          <c:showBubbleSize val="0"/>
        </c:dLbls>
        <c:gapWidth val="75"/>
        <c:overlap val="-50"/>
        <c:axId val="614700943"/>
        <c:axId val="614719663"/>
      </c:barChart>
      <c:catAx>
        <c:axId val="61470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719663"/>
        <c:crosses val="autoZero"/>
        <c:auto val="1"/>
        <c:lblAlgn val="ctr"/>
        <c:lblOffset val="100"/>
        <c:noMultiLvlLbl val="0"/>
      </c:catAx>
      <c:valAx>
        <c:axId val="61471966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70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March 2026.xlsx]PIVOTS &amp; CALCULATIONS!Average of Tries num. only excl. outliers</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AVG TRIES PER</a:t>
            </a:r>
            <a:r>
              <a:rPr lang="en-US" sz="1600" baseline="0"/>
              <a:t> ASCENT</a:t>
            </a:r>
            <a:endParaRPr lang="en-US" sz="1600"/>
          </a:p>
        </c:rich>
      </c:tx>
      <c:layout>
        <c:manualLayout>
          <c:xMode val="edge"/>
          <c:yMode val="edge"/>
          <c:x val="0.17712525517643626"/>
          <c:y val="0"/>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CALCULATIONS'!$B$50</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CALCULATIONS'!$A$51:$A$57</c:f>
              <c:strCache>
                <c:ptCount val="6"/>
                <c:pt idx="0">
                  <c:v>7a</c:v>
                </c:pt>
                <c:pt idx="1">
                  <c:v>7a+</c:v>
                </c:pt>
                <c:pt idx="2">
                  <c:v>7b</c:v>
                </c:pt>
                <c:pt idx="3">
                  <c:v>7b+</c:v>
                </c:pt>
                <c:pt idx="4">
                  <c:v>7c</c:v>
                </c:pt>
                <c:pt idx="5">
                  <c:v>7c+</c:v>
                </c:pt>
              </c:strCache>
            </c:strRef>
          </c:cat>
          <c:val>
            <c:numRef>
              <c:f>'PIVOTS &amp; CALCULATIONS'!$B$51:$B$57</c:f>
              <c:numCache>
                <c:formatCode>0.00</c:formatCode>
                <c:ptCount val="6"/>
                <c:pt idx="0">
                  <c:v>1.8770491803278688</c:v>
                </c:pt>
                <c:pt idx="1">
                  <c:v>2.1403508771929824</c:v>
                </c:pt>
                <c:pt idx="2">
                  <c:v>2.9642857142857144</c:v>
                </c:pt>
                <c:pt idx="3">
                  <c:v>5.583333333333333</c:v>
                </c:pt>
                <c:pt idx="4">
                  <c:v>9.8000000000000007</c:v>
                </c:pt>
                <c:pt idx="5">
                  <c:v>27</c:v>
                </c:pt>
              </c:numCache>
            </c:numRef>
          </c:val>
          <c:extLst>
            <c:ext xmlns:c16="http://schemas.microsoft.com/office/drawing/2014/chart" uri="{C3380CC4-5D6E-409C-BE32-E72D297353CC}">
              <c16:uniqueId val="{00000003-9202-45AC-A3FC-AD960FC026A6}"/>
            </c:ext>
          </c:extLst>
        </c:ser>
        <c:dLbls>
          <c:dLblPos val="outEnd"/>
          <c:showLegendKey val="0"/>
          <c:showVal val="1"/>
          <c:showCatName val="0"/>
          <c:showSerName val="0"/>
          <c:showPercent val="0"/>
          <c:showBubbleSize val="0"/>
        </c:dLbls>
        <c:gapWidth val="75"/>
        <c:overlap val="-50"/>
        <c:axId val="1360983695"/>
        <c:axId val="1360959695"/>
      </c:barChart>
      <c:catAx>
        <c:axId val="136098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959695"/>
        <c:crosses val="autoZero"/>
        <c:auto val="1"/>
        <c:lblAlgn val="ctr"/>
        <c:lblOffset val="100"/>
        <c:noMultiLvlLbl val="0"/>
      </c:catAx>
      <c:valAx>
        <c:axId val="1360959695"/>
        <c:scaling>
          <c:orientation val="minMax"/>
        </c:scaling>
        <c:delete val="1"/>
        <c:axPos val="l"/>
        <c:numFmt formatCode="0.00" sourceLinked="1"/>
        <c:majorTickMark val="none"/>
        <c:minorTickMark val="none"/>
        <c:tickLblPos val="nextTo"/>
        <c:crossAx val="136098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GRADES PYRAMID</a:t>
            </a:r>
          </a:p>
        </c:rich>
      </c:tx>
      <c:layout>
        <c:manualLayout>
          <c:xMode val="edge"/>
          <c:yMode val="edge"/>
          <c:x val="0.35439814814814813"/>
          <c:y val="7.326007326007326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351851851851852"/>
          <c:y val="0.18300925925925926"/>
          <c:w val="0.85648148148148151"/>
          <c:h val="0.76606481481481481"/>
        </c:manualLayout>
      </c:layout>
      <c:barChart>
        <c:barDir val="bar"/>
        <c:grouping val="stacked"/>
        <c:varyColors val="0"/>
        <c:ser>
          <c:idx val="0"/>
          <c:order val="0"/>
          <c:spPr>
            <a:noFill/>
            <a:ln>
              <a:noFill/>
            </a:ln>
            <a:effectLst/>
          </c:spPr>
          <c:invertIfNegative val="0"/>
          <c:cat>
            <c:strRef>
              <c:f>'PIVOTS &amp; CALCULATIONS'!$A$15:$A$20</c:f>
              <c:strCache>
                <c:ptCount val="6"/>
                <c:pt idx="0">
                  <c:v>7a</c:v>
                </c:pt>
                <c:pt idx="1">
                  <c:v>7a+</c:v>
                </c:pt>
                <c:pt idx="2">
                  <c:v>7b</c:v>
                </c:pt>
                <c:pt idx="3">
                  <c:v>7b+</c:v>
                </c:pt>
                <c:pt idx="4">
                  <c:v>7c</c:v>
                </c:pt>
                <c:pt idx="5">
                  <c:v>7c+</c:v>
                </c:pt>
              </c:strCache>
            </c:strRef>
          </c:cat>
          <c:val>
            <c:numRef>
              <c:f>'PIVOTS &amp; CALCULATIONS'!$B$15:$B$20</c:f>
              <c:numCache>
                <c:formatCode>General</c:formatCode>
                <c:ptCount val="6"/>
                <c:pt idx="0">
                  <c:v>0</c:v>
                </c:pt>
                <c:pt idx="1">
                  <c:v>32.5</c:v>
                </c:pt>
                <c:pt idx="2">
                  <c:v>47</c:v>
                </c:pt>
                <c:pt idx="3">
                  <c:v>55</c:v>
                </c:pt>
                <c:pt idx="4">
                  <c:v>58.5</c:v>
                </c:pt>
                <c:pt idx="5">
                  <c:v>60</c:v>
                </c:pt>
              </c:numCache>
            </c:numRef>
          </c:val>
          <c:extLst>
            <c:ext xmlns:c16="http://schemas.microsoft.com/office/drawing/2014/chart" uri="{C3380CC4-5D6E-409C-BE32-E72D297353CC}">
              <c16:uniqueId val="{00000000-BFFF-4DB4-AE29-79FA336ADEEE}"/>
            </c:ext>
          </c:extLst>
        </c:ser>
        <c:ser>
          <c:idx val="1"/>
          <c:order val="1"/>
          <c:spPr>
            <a:solidFill>
              <a:srgbClr val="00B0F0"/>
            </a:solidFill>
            <a:ln>
              <a:noFill/>
            </a:ln>
            <a:effectLst/>
          </c:spPr>
          <c:invertIfNegative val="0"/>
          <c:dLbls>
            <c:dLbl>
              <c:idx val="0"/>
              <c:layout>
                <c:manualLayout>
                  <c:x val="0.39351851851851855"/>
                  <c:y val="-3.08641975308643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FF-4DB4-AE29-79FA336ADEEE}"/>
                </c:ext>
              </c:extLst>
            </c:dLbl>
            <c:dLbl>
              <c:idx val="1"/>
              <c:layout>
                <c:manualLayout>
                  <c:x val="0.28240740740740738"/>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61-4EBE-9CB6-9CAFB8506D71}"/>
                </c:ext>
              </c:extLst>
            </c:dLbl>
            <c:dLbl>
              <c:idx val="2"/>
              <c:layout>
                <c:manualLayout>
                  <c:x val="0.22222222222222221"/>
                  <c:y val="-3.08641975308641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61-4EBE-9CB6-9CAFB8506D71}"/>
                </c:ext>
              </c:extLst>
            </c:dLbl>
            <c:dLbl>
              <c:idx val="3"/>
              <c:layout>
                <c:manualLayout>
                  <c:x val="0.17592592592592585"/>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61-4EBE-9CB6-9CAFB8506D71}"/>
                </c:ext>
              </c:extLst>
            </c:dLbl>
            <c:dLbl>
              <c:idx val="4"/>
              <c:layout>
                <c:manualLayout>
                  <c:x val="0.1388888888888889"/>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61-4EBE-9CB6-9CAFB8506D71}"/>
                </c:ext>
              </c:extLst>
            </c:dLbl>
            <c:dLbl>
              <c:idx val="5"/>
              <c:layout>
                <c:manualLayout>
                  <c:x val="8.7962962962962965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61-4EBE-9CB6-9CAFB8506D7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'PIVOTS &amp; CALCULATIONS'!$A$15:$A$20</c:f>
              <c:strCache>
                <c:ptCount val="6"/>
                <c:pt idx="0">
                  <c:v>7a</c:v>
                </c:pt>
                <c:pt idx="1">
                  <c:v>7a+</c:v>
                </c:pt>
                <c:pt idx="2">
                  <c:v>7b</c:v>
                </c:pt>
                <c:pt idx="3">
                  <c:v>7b+</c:v>
                </c:pt>
                <c:pt idx="4">
                  <c:v>7c</c:v>
                </c:pt>
                <c:pt idx="5">
                  <c:v>7c+</c:v>
                </c:pt>
              </c:strCache>
            </c:strRef>
          </c:cat>
          <c:val>
            <c:numRef>
              <c:f>'PIVOTS &amp; CALCULATIONS'!$C$15:$C$20</c:f>
              <c:numCache>
                <c:formatCode>General</c:formatCode>
                <c:ptCount val="6"/>
                <c:pt idx="0">
                  <c:v>122</c:v>
                </c:pt>
                <c:pt idx="1">
                  <c:v>57</c:v>
                </c:pt>
                <c:pt idx="2">
                  <c:v>28</c:v>
                </c:pt>
                <c:pt idx="3">
                  <c:v>12</c:v>
                </c:pt>
                <c:pt idx="4">
                  <c:v>5</c:v>
                </c:pt>
                <c:pt idx="5">
                  <c:v>2</c:v>
                </c:pt>
              </c:numCache>
            </c:numRef>
          </c:val>
          <c:extLst>
            <c:ext xmlns:c16="http://schemas.microsoft.com/office/drawing/2014/chart" uri="{C3380CC4-5D6E-409C-BE32-E72D297353CC}">
              <c16:uniqueId val="{00000002-BFFF-4DB4-AE29-79FA336ADEEE}"/>
            </c:ext>
          </c:extLst>
        </c:ser>
        <c:dLbls>
          <c:showLegendKey val="0"/>
          <c:showVal val="0"/>
          <c:showCatName val="0"/>
          <c:showSerName val="0"/>
          <c:showPercent val="0"/>
          <c:showBubbleSize val="0"/>
        </c:dLbls>
        <c:gapWidth val="10"/>
        <c:overlap val="100"/>
        <c:axId val="1174629312"/>
        <c:axId val="1174631232"/>
      </c:barChart>
      <c:catAx>
        <c:axId val="1174629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631232"/>
        <c:crosses val="autoZero"/>
        <c:auto val="1"/>
        <c:lblAlgn val="ctr"/>
        <c:lblOffset val="100"/>
        <c:noMultiLvlLbl val="0"/>
      </c:catAx>
      <c:valAx>
        <c:axId val="1174631232"/>
        <c:scaling>
          <c:orientation val="minMax"/>
        </c:scaling>
        <c:delete val="1"/>
        <c:axPos val="b"/>
        <c:numFmt formatCode="General" sourceLinked="1"/>
        <c:majorTickMark val="out"/>
        <c:minorTickMark val="none"/>
        <c:tickLblPos val="nextTo"/>
        <c:crossAx val="117462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[Sport climbing data and dashboard - March 2026.xlsx]PIVOTS &amp; CALCULATIONS!Count per grade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5">
              <a:tint val="50000"/>
            </a:schemeClr>
          </a:solidFill>
          <a:ln w="19050">
            <a:solidFill>
              <a:schemeClr val="lt1"/>
            </a:solidFill>
          </a:ln>
          <a:effectLst/>
        </c:spPr>
        <c:dLbl>
          <c:idx val="0"/>
          <c:layout>
            <c:manualLayout>
              <c:x val="0.13930348258706468"/>
              <c:y val="0.13888888888888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5">
              <a:tint val="70000"/>
            </a:schemeClr>
          </a:solidFill>
          <a:ln w="19050">
            <a:solidFill>
              <a:schemeClr val="lt1"/>
            </a:solidFill>
          </a:ln>
          <a:effectLst/>
        </c:spPr>
        <c:dLbl>
          <c:idx val="0"/>
          <c:layout>
            <c:manualLayout>
              <c:x val="-0.16417910447761194"/>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5">
              <a:tint val="90000"/>
            </a:schemeClr>
          </a:solidFill>
          <a:ln w="19050">
            <a:solidFill>
              <a:schemeClr val="lt1"/>
            </a:solidFill>
          </a:ln>
          <a:effectLst/>
        </c:spPr>
        <c:dLbl>
          <c:idx val="0"/>
          <c:layout>
            <c:manualLayout>
              <c:x val="-0.18407960199004975"/>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5">
              <a:shade val="90000"/>
            </a:schemeClr>
          </a:solidFill>
          <a:ln w="19050">
            <a:solidFill>
              <a:schemeClr val="lt1"/>
            </a:solidFill>
          </a:ln>
          <a:effectLst/>
        </c:spPr>
        <c:dLbl>
          <c:idx val="0"/>
          <c:layout>
            <c:manualLayout>
              <c:x val="-0.20895522388059701"/>
              <c:y val="-0.12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5">
              <a:shade val="70000"/>
            </a:schemeClr>
          </a:solidFill>
          <a:ln w="19050">
            <a:solidFill>
              <a:schemeClr val="lt1"/>
            </a:solidFill>
          </a:ln>
          <a:effectLst/>
        </c:spPr>
        <c:dLbl>
          <c:idx val="0"/>
          <c:layout>
            <c:manualLayout>
              <c:x val="-5.4726368159204022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5">
              <a:shade val="50000"/>
            </a:schemeClr>
          </a:solidFill>
          <a:ln w="19050">
            <a:solidFill>
              <a:schemeClr val="lt1"/>
            </a:solidFill>
          </a:ln>
          <a:effectLst/>
        </c:spPr>
        <c:dLbl>
          <c:idx val="0"/>
          <c:layout>
            <c:manualLayout>
              <c:x val="0.17910447761194029"/>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 &amp; CALCULATIONS'!$B$4</c:f>
              <c:strCache>
                <c:ptCount val="1"/>
                <c:pt idx="0">
                  <c:v>Total</c:v>
                </c:pt>
              </c:strCache>
            </c:strRef>
          </c:tx>
          <c:dPt>
            <c:idx val="0"/>
            <c:bubble3D val="0"/>
            <c:spPr>
              <a:solidFill>
                <a:schemeClr val="accent5">
                  <a:tint val="50000"/>
                </a:schemeClr>
              </a:solidFill>
              <a:ln w="19050">
                <a:solidFill>
                  <a:schemeClr val="lt1"/>
                </a:solidFill>
              </a:ln>
              <a:effectLst/>
            </c:spPr>
            <c:extLst>
              <c:ext xmlns:c16="http://schemas.microsoft.com/office/drawing/2014/chart" uri="{C3380CC4-5D6E-409C-BE32-E72D297353CC}">
                <c16:uniqueId val="{00000001-6B33-4F45-873A-00AF5FF30C91}"/>
              </c:ext>
            </c:extLst>
          </c:dPt>
          <c:dPt>
            <c:idx val="1"/>
            <c:bubble3D val="0"/>
            <c:spPr>
              <a:solidFill>
                <a:schemeClr val="accent5">
                  <a:tint val="70000"/>
                </a:schemeClr>
              </a:solidFill>
              <a:ln w="19050">
                <a:solidFill>
                  <a:schemeClr val="lt1"/>
                </a:solidFill>
              </a:ln>
              <a:effectLst/>
            </c:spPr>
            <c:extLst>
              <c:ext xmlns:c16="http://schemas.microsoft.com/office/drawing/2014/chart" uri="{C3380CC4-5D6E-409C-BE32-E72D297353CC}">
                <c16:uniqueId val="{00000003-6B33-4F45-873A-00AF5FF30C91}"/>
              </c:ext>
            </c:extLst>
          </c:dPt>
          <c:dPt>
            <c:idx val="2"/>
            <c:bubble3D val="0"/>
            <c:spPr>
              <a:solidFill>
                <a:schemeClr val="accent5">
                  <a:tint val="90000"/>
                </a:schemeClr>
              </a:solidFill>
              <a:ln w="19050">
                <a:solidFill>
                  <a:schemeClr val="lt1"/>
                </a:solidFill>
              </a:ln>
              <a:effectLst/>
            </c:spPr>
            <c:extLst>
              <c:ext xmlns:c16="http://schemas.microsoft.com/office/drawing/2014/chart" uri="{C3380CC4-5D6E-409C-BE32-E72D297353CC}">
                <c16:uniqueId val="{00000005-6B33-4F45-873A-00AF5FF30C91}"/>
              </c:ext>
            </c:extLst>
          </c:dPt>
          <c:dPt>
            <c:idx val="3"/>
            <c:bubble3D val="0"/>
            <c:spPr>
              <a:solidFill>
                <a:schemeClr val="accent5">
                  <a:shade val="90000"/>
                </a:schemeClr>
              </a:solidFill>
              <a:ln w="19050">
                <a:solidFill>
                  <a:schemeClr val="lt1"/>
                </a:solidFill>
              </a:ln>
              <a:effectLst/>
            </c:spPr>
            <c:extLst>
              <c:ext xmlns:c16="http://schemas.microsoft.com/office/drawing/2014/chart" uri="{C3380CC4-5D6E-409C-BE32-E72D297353CC}">
                <c16:uniqueId val="{00000007-6B33-4F45-873A-00AF5FF30C91}"/>
              </c:ext>
            </c:extLst>
          </c:dPt>
          <c:dPt>
            <c:idx val="4"/>
            <c:bubble3D val="0"/>
            <c:spPr>
              <a:solidFill>
                <a:schemeClr val="accent5">
                  <a:shade val="70000"/>
                </a:schemeClr>
              </a:solidFill>
              <a:ln w="19050">
                <a:solidFill>
                  <a:schemeClr val="lt1"/>
                </a:solidFill>
              </a:ln>
              <a:effectLst/>
            </c:spPr>
            <c:extLst>
              <c:ext xmlns:c16="http://schemas.microsoft.com/office/drawing/2014/chart" uri="{C3380CC4-5D6E-409C-BE32-E72D297353CC}">
                <c16:uniqueId val="{00000009-6B33-4F45-873A-00AF5FF30C91}"/>
              </c:ext>
            </c:extLst>
          </c:dPt>
          <c:dPt>
            <c:idx val="5"/>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0B-6B33-4F45-873A-00AF5FF30C91}"/>
              </c:ext>
            </c:extLst>
          </c:dPt>
          <c:dLbls>
            <c:dLbl>
              <c:idx val="0"/>
              <c:layout>
                <c:manualLayout>
                  <c:x val="0.13930348258706468"/>
                  <c:y val="0.1388888888888888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33-4F45-873A-00AF5FF30C91}"/>
                </c:ext>
              </c:extLst>
            </c:dLbl>
            <c:dLbl>
              <c:idx val="1"/>
              <c:layout>
                <c:manualLayout>
                  <c:x val="-0.16417910447761194"/>
                  <c:y val="0.129629629629629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33-4F45-873A-00AF5FF30C91}"/>
                </c:ext>
              </c:extLst>
            </c:dLbl>
            <c:dLbl>
              <c:idx val="2"/>
              <c:layout>
                <c:manualLayout>
                  <c:x val="-0.18407960199004975"/>
                  <c:y val="-8.33333333333333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33-4F45-873A-00AF5FF30C91}"/>
                </c:ext>
              </c:extLst>
            </c:dLbl>
            <c:dLbl>
              <c:idx val="3"/>
              <c:layout>
                <c:manualLayout>
                  <c:x val="-0.20895522388059701"/>
                  <c:y val="-0.1296296296296296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B33-4F45-873A-00AF5FF30C91}"/>
                </c:ext>
              </c:extLst>
            </c:dLbl>
            <c:dLbl>
              <c:idx val="4"/>
              <c:layout>
                <c:manualLayout>
                  <c:x val="-5.4726368159204022E-2"/>
                  <c:y val="-0.1527777777777777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B33-4F45-873A-00AF5FF30C91}"/>
                </c:ext>
              </c:extLst>
            </c:dLbl>
            <c:dLbl>
              <c:idx val="5"/>
              <c:layout>
                <c:manualLayout>
                  <c:x val="0.17910447761194029"/>
                  <c:y val="-0.125000000000000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B33-4F45-873A-00AF5FF30C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&amp; CALCULATIONS'!$A$5:$A$11</c:f>
              <c:strCache>
                <c:ptCount val="6"/>
                <c:pt idx="0">
                  <c:v>7a</c:v>
                </c:pt>
                <c:pt idx="1">
                  <c:v>7a+</c:v>
                </c:pt>
                <c:pt idx="2">
                  <c:v>7b</c:v>
                </c:pt>
                <c:pt idx="3">
                  <c:v>7b+</c:v>
                </c:pt>
                <c:pt idx="4">
                  <c:v>7c</c:v>
                </c:pt>
                <c:pt idx="5">
                  <c:v>7c+</c:v>
                </c:pt>
              </c:strCache>
            </c:strRef>
          </c:cat>
          <c:val>
            <c:numRef>
              <c:f>'PIVOTS &amp; CALCULATIONS'!$B$5:$B$11</c:f>
              <c:numCache>
                <c:formatCode>General</c:formatCode>
                <c:ptCount val="6"/>
                <c:pt idx="0">
                  <c:v>122</c:v>
                </c:pt>
                <c:pt idx="1">
                  <c:v>57</c:v>
                </c:pt>
                <c:pt idx="2">
                  <c:v>28</c:v>
                </c:pt>
                <c:pt idx="3">
                  <c:v>12</c:v>
                </c:pt>
                <c:pt idx="4">
                  <c:v>5</c:v>
                </c:pt>
                <c:pt idx="5">
                  <c:v>2</c:v>
                </c:pt>
              </c:numCache>
            </c:numRef>
          </c:val>
          <c:extLst>
            <c:ext xmlns:c16="http://schemas.microsoft.com/office/drawing/2014/chart" uri="{C3380CC4-5D6E-409C-BE32-E72D297353CC}">
              <c16:uniqueId val="{0000000C-6B33-4F45-873A-00AF5FF30C9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0"/>
      <c:rotY val="1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'PIVOTS &amp; CALCULATIONS'!$A$15</c:f>
              <c:strCache>
                <c:ptCount val="1"/>
                <c:pt idx="0">
                  <c:v>7a</c:v>
                </c:pt>
              </c:strCache>
            </c:strRef>
          </c:tx>
          <c:spPr>
            <a:solidFill>
              <a:schemeClr val="accent1"/>
            </a:solidFill>
            <a:ln w="12700">
              <a:solidFill>
                <a:schemeClr val="tx1">
                  <a:lumMod val="75000"/>
                  <a:lumOff val="25000"/>
                </a:schemeClr>
              </a:solidFill>
            </a:ln>
            <a:effectLst/>
            <a:sp3d contourW="12700">
              <a:contourClr>
                <a:schemeClr val="tx1">
                  <a:lumMod val="75000"/>
                  <a:lumOff val="2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CALCULATIONS'!$C$15</c:f>
              <c:numCache>
                <c:formatCode>General</c:formatCode>
                <c:ptCount val="1"/>
                <c:pt idx="0">
                  <c:v>122</c:v>
                </c:pt>
              </c:numCache>
            </c:numRef>
          </c:val>
          <c:shape val="pyramidToMax"/>
          <c:extLst>
            <c:ext xmlns:c16="http://schemas.microsoft.com/office/drawing/2014/chart" uri="{C3380CC4-5D6E-409C-BE32-E72D297353CC}">
              <c16:uniqueId val="{00000000-63E8-4BFF-9399-3213331B5A09}"/>
            </c:ext>
          </c:extLst>
        </c:ser>
        <c:ser>
          <c:idx val="1"/>
          <c:order val="1"/>
          <c:tx>
            <c:strRef>
              <c:f>'PIVOTS &amp; CALCULATIONS'!$A$16</c:f>
              <c:strCache>
                <c:ptCount val="1"/>
                <c:pt idx="0">
                  <c:v>7a+</c:v>
                </c:pt>
              </c:strCache>
            </c:strRef>
          </c:tx>
          <c:spPr>
            <a:solidFill>
              <a:schemeClr val="accent2"/>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2.2662889518413599E-2"/>
                  <c:y val="5.4562874535232508E-17"/>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CALCULATIONS'!$C$16</c:f>
              <c:numCache>
                <c:formatCode>General</c:formatCode>
                <c:ptCount val="1"/>
                <c:pt idx="0">
                  <c:v>57</c:v>
                </c:pt>
              </c:numCache>
            </c:numRef>
          </c:val>
          <c:shape val="pyramidToMax"/>
          <c:extLst>
            <c:ext xmlns:c16="http://schemas.microsoft.com/office/drawing/2014/chart" uri="{C3380CC4-5D6E-409C-BE32-E72D297353CC}">
              <c16:uniqueId val="{00000002-63E8-4BFF-9399-3213331B5A09}"/>
            </c:ext>
          </c:extLst>
        </c:ser>
        <c:ser>
          <c:idx val="2"/>
          <c:order val="2"/>
          <c:tx>
            <c:strRef>
              <c:f>'PIVOTS &amp; CALCULATIONS'!$A$17</c:f>
              <c:strCache>
                <c:ptCount val="1"/>
                <c:pt idx="0">
                  <c:v>7b</c:v>
                </c:pt>
              </c:strCache>
            </c:strRef>
          </c:tx>
          <c:spPr>
            <a:solidFill>
              <a:schemeClr val="accent3"/>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0.20337301587301587"/>
                  <c:y val="-5.092592592592592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CALCULATIONS'!$C$17</c:f>
              <c:numCache>
                <c:formatCode>General</c:formatCode>
                <c:ptCount val="1"/>
                <c:pt idx="0">
                  <c:v>28</c:v>
                </c:pt>
              </c:numCache>
            </c:numRef>
          </c:val>
          <c:shape val="pyramidToMax"/>
          <c:extLst>
            <c:ext xmlns:c16="http://schemas.microsoft.com/office/drawing/2014/chart" uri="{C3380CC4-5D6E-409C-BE32-E72D297353CC}">
              <c16:uniqueId val="{00000003-63E8-4BFF-9399-3213331B5A09}"/>
            </c:ext>
          </c:extLst>
        </c:ser>
        <c:ser>
          <c:idx val="3"/>
          <c:order val="3"/>
          <c:tx>
            <c:strRef>
              <c:f>'PIVOTS &amp; CALCULATIONS'!$A$18</c:f>
              <c:strCache>
                <c:ptCount val="1"/>
                <c:pt idx="0">
                  <c:v>7b+</c:v>
                </c:pt>
              </c:strCache>
            </c:strRef>
          </c:tx>
          <c:spPr>
            <a:solidFill>
              <a:schemeClr val="accent4"/>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0.15"/>
                  <c:y val="-3.7037037037037035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CALCULATIONS'!$C$18</c:f>
              <c:numCache>
                <c:formatCode>General</c:formatCode>
                <c:ptCount val="1"/>
                <c:pt idx="0">
                  <c:v>12</c:v>
                </c:pt>
              </c:numCache>
            </c:numRef>
          </c:val>
          <c:shape val="pyramidToMax"/>
          <c:extLst>
            <c:ext xmlns:c16="http://schemas.microsoft.com/office/drawing/2014/chart" uri="{C3380CC4-5D6E-409C-BE32-E72D297353CC}">
              <c16:uniqueId val="{00000005-63E8-4BFF-9399-3213331B5A09}"/>
            </c:ext>
          </c:extLst>
        </c:ser>
        <c:ser>
          <c:idx val="4"/>
          <c:order val="4"/>
          <c:tx>
            <c:strRef>
              <c:f>'PIVOTS &amp; CALCULATIONS'!$A$19</c:f>
              <c:strCache>
                <c:ptCount val="1"/>
                <c:pt idx="0">
                  <c:v>7c</c:v>
                </c:pt>
              </c:strCache>
            </c:strRef>
          </c:tx>
          <c:spPr>
            <a:solidFill>
              <a:schemeClr val="accent5"/>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0.19722222222222233"/>
                  <c:y val="-9.7222222222222265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CALCULATIONS'!$C$19</c:f>
              <c:numCache>
                <c:formatCode>General</c:formatCode>
                <c:ptCount val="1"/>
                <c:pt idx="0">
                  <c:v>5</c:v>
                </c:pt>
              </c:numCache>
            </c:numRef>
          </c:val>
          <c:shape val="pyramidToMax"/>
          <c:extLst>
            <c:ext xmlns:c16="http://schemas.microsoft.com/office/drawing/2014/chart" uri="{C3380CC4-5D6E-409C-BE32-E72D297353CC}">
              <c16:uniqueId val="{00000007-63E8-4BFF-9399-3213331B5A09}"/>
            </c:ext>
          </c:extLst>
        </c:ser>
        <c:ser>
          <c:idx val="5"/>
          <c:order val="5"/>
          <c:tx>
            <c:strRef>
              <c:f>'PIVOTS &amp; CALCULATIONS'!$A$20</c:f>
              <c:strCache>
                <c:ptCount val="1"/>
                <c:pt idx="0">
                  <c:v>7c+</c:v>
                </c:pt>
              </c:strCache>
            </c:strRef>
          </c:tx>
          <c:spPr>
            <a:solidFill>
              <a:schemeClr val="accent6"/>
            </a:solidFill>
            <a:ln>
              <a:noFill/>
            </a:ln>
            <a:effectLst/>
            <a:sp3d/>
          </c:spPr>
          <c:invertIfNegative val="0"/>
          <c:dLbls>
            <c:dLbl>
              <c:idx val="0"/>
              <c:layout>
                <c:manualLayout>
                  <c:x val="-0.1247797283129977"/>
                  <c:y val="-0.13359794094439936"/>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CALCULATIONS'!$C$20</c:f>
              <c:numCache>
                <c:formatCode>General</c:formatCode>
                <c:ptCount val="1"/>
                <c:pt idx="0">
                  <c:v>2</c:v>
                </c:pt>
              </c:numCache>
            </c:numRef>
          </c:val>
          <c:shape val="pyramidToMax"/>
          <c:extLst>
            <c:ext xmlns:c16="http://schemas.microsoft.com/office/drawing/2014/chart" uri="{C3380CC4-5D6E-409C-BE32-E72D297353CC}">
              <c16:uniqueId val="{00000009-63E8-4BFF-9399-3213331B5A09}"/>
            </c:ext>
          </c:extLst>
        </c:ser>
        <c:dLbls>
          <c:showLegendKey val="0"/>
          <c:showVal val="1"/>
          <c:showCatName val="0"/>
          <c:showSerName val="0"/>
          <c:showPercent val="0"/>
          <c:showBubbleSize val="0"/>
        </c:dLbls>
        <c:gapWidth val="60"/>
        <c:gapDepth val="50"/>
        <c:shape val="pyramidToMax"/>
        <c:axId val="1174609152"/>
        <c:axId val="1174633152"/>
        <c:axId val="0"/>
      </c:bar3DChart>
      <c:catAx>
        <c:axId val="1174609152"/>
        <c:scaling>
          <c:orientation val="minMax"/>
        </c:scaling>
        <c:delete val="1"/>
        <c:axPos val="b"/>
        <c:numFmt formatCode="General" sourceLinked="1"/>
        <c:majorTickMark val="none"/>
        <c:minorTickMark val="none"/>
        <c:tickLblPos val="nextTo"/>
        <c:crossAx val="1174633152"/>
        <c:crosses val="autoZero"/>
        <c:auto val="1"/>
        <c:lblAlgn val="ctr"/>
        <c:lblOffset val="100"/>
        <c:noMultiLvlLbl val="0"/>
      </c:catAx>
      <c:valAx>
        <c:axId val="1174633152"/>
        <c:scaling>
          <c:orientation val="minMax"/>
        </c:scaling>
        <c:delete val="1"/>
        <c:axPos val="l"/>
        <c:numFmt formatCode="General" sourceLinked="1"/>
        <c:majorTickMark val="none"/>
        <c:minorTickMark val="none"/>
        <c:tickLblPos val="nextTo"/>
        <c:crossAx val="117460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[Sport climbing data and dashboard - March 2026.xlsx]PIVOTS &amp; CALCULATIONS!Count per number of attempts</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NUMBER OF TRIES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925925925925923E-2"/>
          <c:y val="0.13004629629629633"/>
          <c:w val="0.89814814814814814"/>
          <c:h val="0.68822506561679786"/>
        </c:manualLayout>
      </c:layout>
      <c:barChart>
        <c:barDir val="col"/>
        <c:grouping val="clustered"/>
        <c:varyColors val="0"/>
        <c:ser>
          <c:idx val="0"/>
          <c:order val="0"/>
          <c:tx>
            <c:strRef>
              <c:f>'PIVOTS &amp; CALCULATIONS'!$B$24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CALCULATIONS'!$A$25:$A$40</c:f>
              <c:strCache>
                <c:ptCount val="15"/>
                <c:pt idx="0">
                  <c:v>2</c:v>
                </c:pt>
                <c:pt idx="1">
                  <c:v>onsight</c:v>
                </c:pt>
                <c:pt idx="2">
                  <c:v>3</c:v>
                </c:pt>
                <c:pt idx="3">
                  <c:v>flash</c:v>
                </c:pt>
                <c:pt idx="4">
                  <c:v>5</c:v>
                </c:pt>
                <c:pt idx="5">
                  <c:v>4</c:v>
                </c:pt>
                <c:pt idx="6">
                  <c:v>6</c:v>
                </c:pt>
                <c:pt idx="7">
                  <c:v>8</c:v>
                </c:pt>
                <c:pt idx="8">
                  <c:v>7</c:v>
                </c:pt>
                <c:pt idx="9">
                  <c:v>10</c:v>
                </c:pt>
                <c:pt idx="10">
                  <c:v>14</c:v>
                </c:pt>
                <c:pt idx="11">
                  <c:v>24</c:v>
                </c:pt>
                <c:pt idx="12">
                  <c:v>40</c:v>
                </c:pt>
                <c:pt idx="13">
                  <c:v>1</c:v>
                </c:pt>
                <c:pt idx="14">
                  <c:v>12</c:v>
                </c:pt>
              </c:strCache>
            </c:strRef>
          </c:cat>
          <c:val>
            <c:numRef>
              <c:f>'PIVOTS &amp; CALCULATIONS'!$B$25:$B$40</c:f>
              <c:numCache>
                <c:formatCode>General</c:formatCode>
                <c:ptCount val="15"/>
                <c:pt idx="0">
                  <c:v>86</c:v>
                </c:pt>
                <c:pt idx="1">
                  <c:v>63</c:v>
                </c:pt>
                <c:pt idx="2">
                  <c:v>22</c:v>
                </c:pt>
                <c:pt idx="3">
                  <c:v>17</c:v>
                </c:pt>
                <c:pt idx="4">
                  <c:v>10</c:v>
                </c:pt>
                <c:pt idx="5">
                  <c:v>9</c:v>
                </c:pt>
                <c:pt idx="6">
                  <c:v>5</c:v>
                </c:pt>
                <c:pt idx="7">
                  <c:v>3</c:v>
                </c:pt>
                <c:pt idx="8">
                  <c:v>3</c:v>
                </c:pt>
                <c:pt idx="9">
                  <c:v>2</c:v>
                </c:pt>
                <c:pt idx="10">
                  <c:v>2</c:v>
                </c:pt>
                <c:pt idx="11">
                  <c:v>1</c:v>
                </c:pt>
                <c:pt idx="12">
                  <c:v>1</c:v>
                </c:pt>
                <c:pt idx="13">
                  <c:v>1</c:v>
                </c:pt>
                <c:pt idx="14">
                  <c:v>1</c:v>
                </c:pt>
              </c:numCache>
            </c:numRef>
          </c:val>
          <c:extLst>
            <c:ext xmlns:c16="http://schemas.microsoft.com/office/drawing/2014/chart" uri="{C3380CC4-5D6E-409C-BE32-E72D297353CC}">
              <c16:uniqueId val="{00000000-D314-47EC-838E-5351AE404291}"/>
            </c:ext>
          </c:extLst>
        </c:ser>
        <c:dLbls>
          <c:showLegendKey val="0"/>
          <c:showVal val="0"/>
          <c:showCatName val="0"/>
          <c:showSerName val="0"/>
          <c:showPercent val="0"/>
          <c:showBubbleSize val="0"/>
        </c:dLbls>
        <c:gapWidth val="75"/>
        <c:axId val="1225433552"/>
        <c:axId val="1220341056"/>
      </c:barChart>
      <c:catAx>
        <c:axId val="122543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341056"/>
        <c:crosses val="autoZero"/>
        <c:auto val="1"/>
        <c:lblAlgn val="ctr"/>
        <c:lblOffset val="100"/>
        <c:noMultiLvlLbl val="0"/>
      </c:catAx>
      <c:valAx>
        <c:axId val="1220341056"/>
        <c:scaling>
          <c:orientation val="minMax"/>
        </c:scaling>
        <c:delete val="1"/>
        <c:axPos val="l"/>
        <c:numFmt formatCode="General" sourceLinked="1"/>
        <c:majorTickMark val="none"/>
        <c:minorTickMark val="none"/>
        <c:tickLblPos val="nextTo"/>
        <c:crossAx val="122543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March 2026.xlsx]PIVOTS &amp; CALCULATIONS!Count per month</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FAVORITE MONTHS FOR SENDING</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CD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CALCULATIONS'!$G$27</c:f>
              <c:strCache>
                <c:ptCount val="1"/>
                <c:pt idx="0">
                  <c:v>Total</c:v>
                </c:pt>
              </c:strCache>
            </c:strRef>
          </c:tx>
          <c:spPr>
            <a:solidFill>
              <a:srgbClr val="DCD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CALCULATIONS'!$F$28:$F$40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&amp; CALCULATIONS'!$G$28:$G$40</c:f>
              <c:numCache>
                <c:formatCode>General</c:formatCode>
                <c:ptCount val="12"/>
                <c:pt idx="0">
                  <c:v>5</c:v>
                </c:pt>
                <c:pt idx="1">
                  <c:v>27</c:v>
                </c:pt>
                <c:pt idx="2">
                  <c:v>31</c:v>
                </c:pt>
                <c:pt idx="3">
                  <c:v>37</c:v>
                </c:pt>
                <c:pt idx="4">
                  <c:v>22</c:v>
                </c:pt>
                <c:pt idx="5">
                  <c:v>16</c:v>
                </c:pt>
                <c:pt idx="6">
                  <c:v>13</c:v>
                </c:pt>
                <c:pt idx="7">
                  <c:v>7</c:v>
                </c:pt>
                <c:pt idx="8">
                  <c:v>19</c:v>
                </c:pt>
                <c:pt idx="9">
                  <c:v>23</c:v>
                </c:pt>
                <c:pt idx="10">
                  <c:v>16</c:v>
                </c:pt>
                <c:pt idx="11">
                  <c:v>10</c:v>
                </c:pt>
              </c:numCache>
            </c:numRef>
          </c:val>
          <c:extLst>
            <c:ext xmlns:c16="http://schemas.microsoft.com/office/drawing/2014/chart" uri="{C3380CC4-5D6E-409C-BE32-E72D297353CC}">
              <c16:uniqueId val="{00000000-4D9C-4600-A757-0B302E3EF320}"/>
            </c:ext>
          </c:extLst>
        </c:ser>
        <c:dLbls>
          <c:showLegendKey val="0"/>
          <c:showVal val="0"/>
          <c:showCatName val="0"/>
          <c:showSerName val="0"/>
          <c:showPercent val="0"/>
          <c:showBubbleSize val="0"/>
        </c:dLbls>
        <c:gapWidth val="75"/>
        <c:axId val="226069424"/>
        <c:axId val="773902656"/>
      </c:barChart>
      <c:catAx>
        <c:axId val="22606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902656"/>
        <c:crosses val="autoZero"/>
        <c:auto val="1"/>
        <c:lblAlgn val="ctr"/>
        <c:lblOffset val="100"/>
        <c:noMultiLvlLbl val="0"/>
      </c:catAx>
      <c:valAx>
        <c:axId val="773902656"/>
        <c:scaling>
          <c:orientation val="minMax"/>
        </c:scaling>
        <c:delete val="1"/>
        <c:axPos val="l"/>
        <c:numFmt formatCode="General" sourceLinked="1"/>
        <c:majorTickMark val="none"/>
        <c:minorTickMark val="none"/>
        <c:tickLblPos val="nextTo"/>
        <c:crossAx val="22606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[Sport climbing data and dashboard - March 2026.xlsx]PIVOTS &amp; CALCULATIONS!Count per year</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ASCENTS OVER THE YEARS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CALCULATIONS'!$G$4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CALCULATIONS'!$F$5:$F$26</c:f>
              <c:strCach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strCache>
            </c:strRef>
          </c:cat>
          <c:val>
            <c:numRef>
              <c:f>'PIVOTS &amp; CALCULATIONS'!$G$5:$G$26</c:f>
              <c:numCache>
                <c:formatCode>General</c:formatCode>
                <c:ptCount val="21"/>
                <c:pt idx="0">
                  <c:v>1</c:v>
                </c:pt>
                <c:pt idx="1">
                  <c:v>1</c:v>
                </c:pt>
                <c:pt idx="2">
                  <c:v>2</c:v>
                </c:pt>
                <c:pt idx="3">
                  <c:v>0</c:v>
                </c:pt>
                <c:pt idx="4">
                  <c:v>0</c:v>
                </c:pt>
                <c:pt idx="5">
                  <c:v>1</c:v>
                </c:pt>
                <c:pt idx="6">
                  <c:v>3</c:v>
                </c:pt>
                <c:pt idx="7">
                  <c:v>16</c:v>
                </c:pt>
                <c:pt idx="8">
                  <c:v>0</c:v>
                </c:pt>
                <c:pt idx="9">
                  <c:v>0</c:v>
                </c:pt>
                <c:pt idx="10">
                  <c:v>2</c:v>
                </c:pt>
                <c:pt idx="11">
                  <c:v>31</c:v>
                </c:pt>
                <c:pt idx="12">
                  <c:v>25</c:v>
                </c:pt>
                <c:pt idx="13">
                  <c:v>7</c:v>
                </c:pt>
                <c:pt idx="14">
                  <c:v>10</c:v>
                </c:pt>
                <c:pt idx="15">
                  <c:v>17</c:v>
                </c:pt>
                <c:pt idx="16">
                  <c:v>19</c:v>
                </c:pt>
                <c:pt idx="17">
                  <c:v>22</c:v>
                </c:pt>
                <c:pt idx="18">
                  <c:v>11</c:v>
                </c:pt>
                <c:pt idx="19">
                  <c:v>42</c:v>
                </c:pt>
                <c:pt idx="20">
                  <c:v>16</c:v>
                </c:pt>
              </c:numCache>
            </c:numRef>
          </c:val>
          <c:extLst>
            <c:ext xmlns:c16="http://schemas.microsoft.com/office/drawing/2014/chart" uri="{C3380CC4-5D6E-409C-BE32-E72D297353CC}">
              <c16:uniqueId val="{00000000-6E00-4D5B-BDDD-F5F25119C631}"/>
            </c:ext>
          </c:extLst>
        </c:ser>
        <c:dLbls>
          <c:showLegendKey val="0"/>
          <c:showVal val="0"/>
          <c:showCatName val="0"/>
          <c:showSerName val="0"/>
          <c:showPercent val="0"/>
          <c:showBubbleSize val="0"/>
        </c:dLbls>
        <c:gapWidth val="75"/>
        <c:axId val="226068464"/>
        <c:axId val="941554400"/>
      </c:barChart>
      <c:catAx>
        <c:axId val="22606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554400"/>
        <c:crosses val="autoZero"/>
        <c:auto val="1"/>
        <c:lblAlgn val="ctr"/>
        <c:lblOffset val="100"/>
        <c:noMultiLvlLbl val="0"/>
      </c:catAx>
      <c:valAx>
        <c:axId val="941554400"/>
        <c:scaling>
          <c:orientation val="minMax"/>
        </c:scaling>
        <c:delete val="1"/>
        <c:axPos val="l"/>
        <c:numFmt formatCode="General" sourceLinked="1"/>
        <c:majorTickMark val="none"/>
        <c:minorTickMark val="none"/>
        <c:tickLblPos val="nextTo"/>
        <c:crossAx val="22606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March 2026.xlsx]PIVOTS &amp; CALCULATIONS!Distribution per height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ASCENTS PER HEIGHT</a:t>
            </a:r>
          </a:p>
        </c:rich>
      </c:tx>
      <c:layout>
        <c:manualLayout>
          <c:xMode val="edge"/>
          <c:yMode val="edge"/>
          <c:x val="0.2227029914529914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88382461807659"/>
          <c:y val="0.22785493827160494"/>
          <c:w val="0.80019222356820785"/>
          <c:h val="0.71813271604938267"/>
        </c:manualLayout>
      </c:layout>
      <c:barChart>
        <c:barDir val="bar"/>
        <c:grouping val="clustered"/>
        <c:varyColors val="0"/>
        <c:ser>
          <c:idx val="0"/>
          <c:order val="0"/>
          <c:tx>
            <c:strRef>
              <c:f>'PIVOTS &amp; CALCULATIONS'!$S$4</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CALCULATIONS'!$R$5:$R$12</c:f>
              <c:strCache>
                <c:ptCount val="7"/>
                <c:pt idx="0">
                  <c:v>0-10</c:v>
                </c:pt>
                <c:pt idx="1">
                  <c:v>11-15</c:v>
                </c:pt>
                <c:pt idx="2">
                  <c:v>16-20</c:v>
                </c:pt>
                <c:pt idx="3">
                  <c:v>21-25</c:v>
                </c:pt>
                <c:pt idx="4">
                  <c:v>26-30</c:v>
                </c:pt>
                <c:pt idx="5">
                  <c:v>31-35</c:v>
                </c:pt>
                <c:pt idx="6">
                  <c:v>35+</c:v>
                </c:pt>
              </c:strCache>
            </c:strRef>
          </c:cat>
          <c:val>
            <c:numRef>
              <c:f>'PIVOTS &amp; CALCULATIONS'!$S$5:$S$12</c:f>
              <c:numCache>
                <c:formatCode>General</c:formatCode>
                <c:ptCount val="7"/>
                <c:pt idx="0">
                  <c:v>10</c:v>
                </c:pt>
                <c:pt idx="1">
                  <c:v>24</c:v>
                </c:pt>
                <c:pt idx="2">
                  <c:v>75</c:v>
                </c:pt>
                <c:pt idx="3">
                  <c:v>69</c:v>
                </c:pt>
                <c:pt idx="4">
                  <c:v>34</c:v>
                </c:pt>
                <c:pt idx="5">
                  <c:v>11</c:v>
                </c:pt>
                <c:pt idx="6">
                  <c:v>3</c:v>
                </c:pt>
              </c:numCache>
            </c:numRef>
          </c:val>
          <c:extLst>
            <c:ext xmlns:c16="http://schemas.microsoft.com/office/drawing/2014/chart" uri="{C3380CC4-5D6E-409C-BE32-E72D297353CC}">
              <c16:uniqueId val="{00000000-5739-43F3-87B1-E0C0AEB0BE3B}"/>
            </c:ext>
          </c:extLst>
        </c:ser>
        <c:dLbls>
          <c:showLegendKey val="0"/>
          <c:showVal val="0"/>
          <c:showCatName val="0"/>
          <c:showSerName val="0"/>
          <c:showPercent val="0"/>
          <c:showBubbleSize val="0"/>
        </c:dLbls>
        <c:gapWidth val="75"/>
        <c:axId val="1978030256"/>
        <c:axId val="1979940416"/>
      </c:barChart>
      <c:catAx>
        <c:axId val="1978030256"/>
        <c:scaling>
          <c:orientation val="minMax"/>
        </c:scaling>
        <c:delete val="0"/>
        <c:axPos val="l"/>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(m)</a:t>
                </a:r>
              </a:p>
            </c:rich>
          </c:tx>
          <c:layout>
            <c:manualLayout>
              <c:xMode val="edge"/>
              <c:yMode val="edge"/>
              <c:x val="0"/>
              <c:y val="2.6716365315446688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40416"/>
        <c:crosses val="autoZero"/>
        <c:auto val="1"/>
        <c:lblAlgn val="ctr"/>
        <c:lblOffset val="100"/>
        <c:noMultiLvlLbl val="0"/>
      </c:catAx>
      <c:valAx>
        <c:axId val="1979940416"/>
        <c:scaling>
          <c:orientation val="minMax"/>
        </c:scaling>
        <c:delete val="1"/>
        <c:axPos val="b"/>
        <c:numFmt formatCode="General" sourceLinked="1"/>
        <c:majorTickMark val="none"/>
        <c:minorTickMark val="none"/>
        <c:tickLblPos val="nextTo"/>
        <c:crossAx val="197803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March 2026.xlsx]PIVOTS &amp; CALCULATIONS!Favorite Belayer</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10 FAVORITE PARTNERS</a:t>
            </a:r>
            <a:endParaRPr lang="en-US" sz="1400"/>
          </a:p>
        </c:rich>
      </c:tx>
      <c:layout>
        <c:manualLayout>
          <c:xMode val="edge"/>
          <c:yMode val="edge"/>
          <c:x val="0.20197499726596677"/>
          <c:y val="3.086419753086419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solidFill>
            <a:schemeClr val="accent2"/>
          </a:solidFill>
          <a:ln>
            <a:noFill/>
          </a:ln>
          <a:effectLst/>
        </c:spPr>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55134281200632E-2"/>
          <c:y val="0.11271806140511506"/>
          <c:w val="0.93048973143759872"/>
          <c:h val="0.5675920161142648"/>
        </c:manualLayout>
      </c:layout>
      <c:barChart>
        <c:barDir val="col"/>
        <c:grouping val="clustered"/>
        <c:varyColors val="0"/>
        <c:ser>
          <c:idx val="0"/>
          <c:order val="0"/>
          <c:tx>
            <c:strRef>
              <c:f>'PIVOTS &amp; CALCULATIONS'!$P$4</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CALCULATIONS'!$O$5:$O$15</c:f>
              <c:strCache>
                <c:ptCount val="10"/>
                <c:pt idx="0">
                  <c:v>Chrissi</c:v>
                </c:pt>
                <c:pt idx="1">
                  <c:v>Guy</c:v>
                </c:pt>
                <c:pt idx="2">
                  <c:v>Tibor</c:v>
                </c:pt>
                <c:pt idx="3">
                  <c:v>Lena</c:v>
                </c:pt>
                <c:pt idx="4">
                  <c:v>Chris Awe</c:v>
                </c:pt>
                <c:pt idx="5">
                  <c:v>Kathy</c:v>
                </c:pt>
                <c:pt idx="6">
                  <c:v>Yoel</c:v>
                </c:pt>
                <c:pt idx="7">
                  <c:v>Christian</c:v>
                </c:pt>
                <c:pt idx="8">
                  <c:v>Gustavo</c:v>
                </c:pt>
                <c:pt idx="9">
                  <c:v>Angel</c:v>
                </c:pt>
              </c:strCache>
            </c:strRef>
          </c:cat>
          <c:val>
            <c:numRef>
              <c:f>'PIVOTS &amp; CALCULATIONS'!$P$5:$P$15</c:f>
              <c:numCache>
                <c:formatCode>General</c:formatCode>
                <c:ptCount val="10"/>
                <c:pt idx="0">
                  <c:v>39</c:v>
                </c:pt>
                <c:pt idx="1">
                  <c:v>21</c:v>
                </c:pt>
                <c:pt idx="2">
                  <c:v>14</c:v>
                </c:pt>
                <c:pt idx="3">
                  <c:v>11</c:v>
                </c:pt>
                <c:pt idx="4">
                  <c:v>10</c:v>
                </c:pt>
                <c:pt idx="5">
                  <c:v>9</c:v>
                </c:pt>
                <c:pt idx="6">
                  <c:v>9</c:v>
                </c:pt>
                <c:pt idx="7">
                  <c:v>8</c:v>
                </c:pt>
                <c:pt idx="8">
                  <c:v>8</c:v>
                </c:pt>
                <c:pt idx="9">
                  <c:v>5</c:v>
                </c:pt>
              </c:numCache>
            </c:numRef>
          </c:val>
          <c:extLst>
            <c:ext xmlns:c16="http://schemas.microsoft.com/office/drawing/2014/chart" uri="{C3380CC4-5D6E-409C-BE32-E72D297353CC}">
              <c16:uniqueId val="{00000002-BF73-4A21-9604-683B3517292D}"/>
            </c:ext>
          </c:extLst>
        </c:ser>
        <c:dLbls>
          <c:dLblPos val="outEnd"/>
          <c:showLegendKey val="0"/>
          <c:showVal val="1"/>
          <c:showCatName val="0"/>
          <c:showSerName val="0"/>
          <c:showPercent val="0"/>
          <c:showBubbleSize val="0"/>
        </c:dLbls>
        <c:gapWidth val="75"/>
        <c:axId val="1225436432"/>
        <c:axId val="760647184"/>
      </c:barChart>
      <c:catAx>
        <c:axId val="1225436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647184"/>
        <c:crosses val="autoZero"/>
        <c:auto val="1"/>
        <c:lblAlgn val="ctr"/>
        <c:lblOffset val="100"/>
        <c:noMultiLvlLbl val="0"/>
      </c:catAx>
      <c:valAx>
        <c:axId val="760647184"/>
        <c:scaling>
          <c:orientation val="minMax"/>
        </c:scaling>
        <c:delete val="1"/>
        <c:axPos val="l"/>
        <c:numFmt formatCode="General" sourceLinked="1"/>
        <c:majorTickMark val="out"/>
        <c:minorTickMark val="none"/>
        <c:tickLblPos val="nextTo"/>
        <c:crossAx val="122543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FAVORITE CRAGS</a:t>
            </a:r>
          </a:p>
        </c:rich>
      </c:tx>
      <c:layout>
        <c:manualLayout>
          <c:xMode val="edge"/>
          <c:yMode val="edge"/>
          <c:x val="0.2498811415020491"/>
          <c:y val="1.29032258064516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AC0000"/>
              </a:solidFill>
              <a:ln w="19050">
                <a:solidFill>
                  <a:schemeClr val="lt1"/>
                </a:solidFill>
              </a:ln>
              <a:effectLst/>
            </c:spPr>
            <c:extLst>
              <c:ext xmlns:c16="http://schemas.microsoft.com/office/drawing/2014/chart" uri="{C3380CC4-5D6E-409C-BE32-E72D297353CC}">
                <c16:uniqueId val="{00000001-67CB-427A-AF67-DE38FC4BE00E}"/>
              </c:ext>
            </c:extLst>
          </c:dPt>
          <c:dPt>
            <c:idx val="1"/>
            <c:bubble3D val="0"/>
            <c:spPr>
              <a:solidFill>
                <a:srgbClr val="BC0000"/>
              </a:solidFill>
              <a:ln w="19050">
                <a:solidFill>
                  <a:schemeClr val="lt1"/>
                </a:solidFill>
              </a:ln>
              <a:effectLst/>
            </c:spPr>
            <c:extLst>
              <c:ext xmlns:c16="http://schemas.microsoft.com/office/drawing/2014/chart" uri="{C3380CC4-5D6E-409C-BE32-E72D297353CC}">
                <c16:uniqueId val="{00000003-67CB-427A-AF67-DE38FC4BE00E}"/>
              </c:ext>
            </c:extLst>
          </c:dPt>
          <c:dPt>
            <c:idx val="2"/>
            <c:bubble3D val="0"/>
            <c:spPr>
              <a:solidFill>
                <a:srgbClr val="CC0000"/>
              </a:solidFill>
              <a:ln w="19050">
                <a:solidFill>
                  <a:schemeClr val="lt1"/>
                </a:solidFill>
              </a:ln>
              <a:effectLst/>
            </c:spPr>
            <c:extLst>
              <c:ext xmlns:c16="http://schemas.microsoft.com/office/drawing/2014/chart" uri="{C3380CC4-5D6E-409C-BE32-E72D297353CC}">
                <c16:uniqueId val="{00000005-67CB-427A-AF67-DE38FC4BE00E}"/>
              </c:ext>
            </c:extLst>
          </c:dPt>
          <c:dPt>
            <c:idx val="3"/>
            <c:bubble3D val="0"/>
            <c:spPr>
              <a:solidFill>
                <a:srgbClr val="DC0000"/>
              </a:solidFill>
              <a:ln w="19050">
                <a:solidFill>
                  <a:schemeClr val="lt1"/>
                </a:solidFill>
              </a:ln>
              <a:effectLst/>
            </c:spPr>
            <c:extLst>
              <c:ext xmlns:c16="http://schemas.microsoft.com/office/drawing/2014/chart" uri="{C3380CC4-5D6E-409C-BE32-E72D297353CC}">
                <c16:uniqueId val="{00000007-67CB-427A-AF67-DE38FC4BE00E}"/>
              </c:ext>
            </c:extLst>
          </c:dPt>
          <c:dPt>
            <c:idx val="4"/>
            <c:bubble3D val="0"/>
            <c:spPr>
              <a:solidFill>
                <a:srgbClr val="EC0000"/>
              </a:solidFill>
              <a:ln w="19050">
                <a:solidFill>
                  <a:schemeClr val="lt1"/>
                </a:solidFill>
              </a:ln>
              <a:effectLst/>
            </c:spPr>
            <c:extLst>
              <c:ext xmlns:c16="http://schemas.microsoft.com/office/drawing/2014/chart" uri="{C3380CC4-5D6E-409C-BE32-E72D297353CC}">
                <c16:uniqueId val="{00000009-67CB-427A-AF67-DE38FC4BE00E}"/>
              </c:ext>
            </c:extLst>
          </c:dPt>
          <c:dPt>
            <c:idx val="5"/>
            <c:bubble3D val="0"/>
            <c:spPr>
              <a:solidFill>
                <a:srgbClr val="FC0000"/>
              </a:solidFill>
              <a:ln w="19050">
                <a:solidFill>
                  <a:schemeClr val="lt1"/>
                </a:solidFill>
              </a:ln>
              <a:effectLst/>
            </c:spPr>
            <c:extLst>
              <c:ext xmlns:c16="http://schemas.microsoft.com/office/drawing/2014/chart" uri="{C3380CC4-5D6E-409C-BE32-E72D297353CC}">
                <c16:uniqueId val="{0000000B-67CB-427A-AF67-DE38FC4BE00E}"/>
              </c:ext>
            </c:extLst>
          </c:dPt>
          <c:dPt>
            <c:idx val="6"/>
            <c:bubble3D val="0"/>
            <c:spPr>
              <a:solidFill>
                <a:srgbClr val="FF3F3F"/>
              </a:solidFill>
              <a:ln w="19050">
                <a:solidFill>
                  <a:schemeClr val="lt1"/>
                </a:solidFill>
              </a:ln>
              <a:effectLst/>
            </c:spPr>
            <c:extLst>
              <c:ext xmlns:c16="http://schemas.microsoft.com/office/drawing/2014/chart" uri="{C3380CC4-5D6E-409C-BE32-E72D297353CC}">
                <c16:uniqueId val="{0000000D-67CB-427A-AF67-DE38FC4BE00E}"/>
              </c:ext>
            </c:extLst>
          </c:dPt>
          <c:dPt>
            <c:idx val="7"/>
            <c:bubble3D val="0"/>
            <c:spPr>
              <a:solidFill>
                <a:srgbClr val="FF5A5A"/>
              </a:solidFill>
              <a:ln w="19050">
                <a:solidFill>
                  <a:schemeClr val="lt1"/>
                </a:solidFill>
              </a:ln>
              <a:effectLst/>
            </c:spPr>
            <c:extLst>
              <c:ext xmlns:c16="http://schemas.microsoft.com/office/drawing/2014/chart" uri="{C3380CC4-5D6E-409C-BE32-E72D297353CC}">
                <c16:uniqueId val="{0000000F-67CB-427A-AF67-DE38FC4BE00E}"/>
              </c:ext>
            </c:extLst>
          </c:dPt>
          <c:dPt>
            <c:idx val="8"/>
            <c:bubble3D val="0"/>
            <c:spPr>
              <a:solidFill>
                <a:srgbClr val="FF7878"/>
              </a:solidFill>
              <a:ln w="19050">
                <a:solidFill>
                  <a:schemeClr val="lt1"/>
                </a:solidFill>
              </a:ln>
              <a:effectLst/>
            </c:spPr>
            <c:extLst>
              <c:ext xmlns:c16="http://schemas.microsoft.com/office/drawing/2014/chart" uri="{C3380CC4-5D6E-409C-BE32-E72D297353CC}">
                <c16:uniqueId val="{00000011-67CB-427A-AF67-DE38FC4BE00E}"/>
              </c:ext>
            </c:extLst>
          </c:dPt>
          <c:dPt>
            <c:idx val="9"/>
            <c:bubble3D val="0"/>
            <c:spPr>
              <a:solidFill>
                <a:srgbClr val="FF9696"/>
              </a:solidFill>
              <a:ln w="19050">
                <a:solidFill>
                  <a:schemeClr val="lt1"/>
                </a:solidFill>
              </a:ln>
              <a:effectLst/>
            </c:spPr>
            <c:extLst>
              <c:ext xmlns:c16="http://schemas.microsoft.com/office/drawing/2014/chart" uri="{C3380CC4-5D6E-409C-BE32-E72D297353CC}">
                <c16:uniqueId val="{00000013-67CB-427A-AF67-DE38FC4BE00E}"/>
              </c:ext>
            </c:extLst>
          </c:dPt>
          <c:dPt>
            <c:idx val="10"/>
            <c:bubble3D val="0"/>
            <c:spPr>
              <a:solidFill>
                <a:srgbClr val="FFC8C8"/>
              </a:solidFill>
              <a:ln w="19050">
                <a:solidFill>
                  <a:schemeClr val="lt1"/>
                </a:solidFill>
              </a:ln>
              <a:effectLst/>
            </c:spPr>
            <c:extLst>
              <c:ext xmlns:c16="http://schemas.microsoft.com/office/drawing/2014/chart" uri="{C3380CC4-5D6E-409C-BE32-E72D297353CC}">
                <c16:uniqueId val="{00000015-67CB-427A-AF67-DE38FC4BE00E}"/>
              </c:ext>
            </c:extLst>
          </c:dPt>
          <c:dLbls>
            <c:dLbl>
              <c:idx val="0"/>
              <c:layout>
                <c:manualLayout>
                  <c:x val="0"/>
                  <c:y val="-2.777777777777777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CB-427A-AF67-DE38FC4BE00E}"/>
                </c:ext>
              </c:extLst>
            </c:dLbl>
            <c:dLbl>
              <c:idx val="1"/>
              <c:layout>
                <c:manualLayout>
                  <c:x val="7.575757575757576E-2"/>
                  <c:y val="-6.944444444444444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CB-427A-AF67-DE38FC4BE00E}"/>
                </c:ext>
              </c:extLst>
            </c:dLbl>
            <c:dLbl>
              <c:idx val="2"/>
              <c:layout>
                <c:manualLayout>
                  <c:x val="0.10101010101010101"/>
                  <c:y val="-4.166666666666666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CB-427A-AF67-DE38FC4BE00E}"/>
                </c:ext>
              </c:extLst>
            </c:dLbl>
            <c:dLbl>
              <c:idx val="3"/>
              <c:layout>
                <c:manualLayout>
                  <c:x val="0.13347763347763347"/>
                  <c:y val="-1.38888888888888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CB-427A-AF67-DE38FC4BE00E}"/>
                </c:ext>
              </c:extLst>
            </c:dLbl>
            <c:dLbl>
              <c:idx val="4"/>
              <c:layout>
                <c:manualLayout>
                  <c:x val="7.9365079365079361E-2"/>
                  <c:y val="-1.6975112544026657E-1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7CB-427A-AF67-DE38FC4BE00E}"/>
                </c:ext>
              </c:extLst>
            </c:dLbl>
            <c:dLbl>
              <c:idx val="5"/>
              <c:layout>
                <c:manualLayout>
                  <c:x val="-8.2972582972582976E-2"/>
                  <c:y val="1.38888888888888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7CB-427A-AF67-DE38FC4BE00E}"/>
                </c:ext>
              </c:extLst>
            </c:dLbl>
            <c:dLbl>
              <c:idx val="6"/>
              <c:layout>
                <c:manualLayout>
                  <c:x val="-9.9203601012949658E-2"/>
                  <c:y val="1.5955490112455641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7CB-427A-AF67-DE38FC4BE00E}"/>
                </c:ext>
              </c:extLst>
            </c:dLbl>
            <c:dLbl>
              <c:idx val="7"/>
              <c:layout>
                <c:manualLayout>
                  <c:x val="-0.15668893317904395"/>
                  <c:y val="-5.3830817332737131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7CB-427A-AF67-DE38FC4BE00E}"/>
                </c:ext>
              </c:extLst>
            </c:dLbl>
            <c:dLbl>
              <c:idx val="8"/>
              <c:layout>
                <c:manualLayout>
                  <c:x val="-6.4935064935064929E-2"/>
                  <c:y val="-6.944444444444444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7CB-427A-AF67-DE38FC4BE00E}"/>
                </c:ext>
              </c:extLst>
            </c:dLbl>
            <c:dLbl>
              <c:idx val="9"/>
              <c:layout>
                <c:manualLayout>
                  <c:x val="-5.772005772005772E-2"/>
                  <c:y val="-0.1435185185185185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7CB-427A-AF67-DE38FC4BE00E}"/>
                </c:ext>
              </c:extLst>
            </c:dLbl>
            <c:dLbl>
              <c:idx val="10"/>
              <c:layout>
                <c:manualLayout>
                  <c:x val="-3.6075036075036075E-3"/>
                  <c:y val="-5.55555555555555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7CB-427A-AF67-DE38FC4BE00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 &amp; CALCULATIONS'!$L$5:$L$15</c:f>
              <c:strCache>
                <c:ptCount val="11"/>
                <c:pt idx="0">
                  <c:v>Siurana</c:v>
                </c:pt>
                <c:pt idx="1">
                  <c:v>Arco</c:v>
                </c:pt>
                <c:pt idx="2">
                  <c:v>Grau dels matxos</c:v>
                </c:pt>
                <c:pt idx="3">
                  <c:v>Chulilla</c:v>
                </c:pt>
                <c:pt idx="4">
                  <c:v>Martinswand</c:v>
                </c:pt>
                <c:pt idx="5">
                  <c:v>Gelida</c:v>
                </c:pt>
                <c:pt idx="6">
                  <c:v>Garraf</c:v>
                </c:pt>
                <c:pt idx="7">
                  <c:v>Arbolí</c:v>
                </c:pt>
                <c:pt idx="8">
                  <c:v>Margalef</c:v>
                </c:pt>
                <c:pt idx="9">
                  <c:v>Font Soleia</c:v>
                </c:pt>
                <c:pt idx="10">
                  <c:v>Other crags</c:v>
                </c:pt>
              </c:strCache>
            </c:strRef>
          </c:cat>
          <c:val>
            <c:numRef>
              <c:f>'PIVOTS &amp; CALCULATIONS'!$M$5:$M$15</c:f>
              <c:numCache>
                <c:formatCode>General</c:formatCode>
                <c:ptCount val="11"/>
                <c:pt idx="0">
                  <c:v>61</c:v>
                </c:pt>
                <c:pt idx="1">
                  <c:v>17</c:v>
                </c:pt>
                <c:pt idx="2">
                  <c:v>16</c:v>
                </c:pt>
                <c:pt idx="3">
                  <c:v>13</c:v>
                </c:pt>
                <c:pt idx="4">
                  <c:v>12</c:v>
                </c:pt>
                <c:pt idx="5">
                  <c:v>12</c:v>
                </c:pt>
                <c:pt idx="6">
                  <c:v>7</c:v>
                </c:pt>
                <c:pt idx="7">
                  <c:v>7</c:v>
                </c:pt>
                <c:pt idx="8">
                  <c:v>7</c:v>
                </c:pt>
                <c:pt idx="9">
                  <c:v>5</c:v>
                </c:pt>
                <c:pt idx="10">
                  <c:v>69</c:v>
                </c:pt>
              </c:numCache>
            </c:numRef>
          </c:val>
          <c:extLst>
            <c:ext xmlns:c16="http://schemas.microsoft.com/office/drawing/2014/chart" uri="{C3380CC4-5D6E-409C-BE32-E72D297353CC}">
              <c16:uniqueId val="{00000016-67CB-427A-AF67-DE38FC4BE00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March 2026.xlsx]PIVOTS &amp; CALCULATIONS!Count per crag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FAVORITE CRAGS</a:t>
            </a:r>
          </a:p>
        </c:rich>
      </c:tx>
      <c:layout>
        <c:manualLayout>
          <c:xMode val="edge"/>
          <c:yMode val="edge"/>
          <c:x val="0.308216216216216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CALCULATIONS'!$J$4</c:f>
              <c:strCache>
                <c:ptCount val="1"/>
                <c:pt idx="0">
                  <c:v>Total</c:v>
                </c:pt>
              </c:strCache>
            </c:strRef>
          </c:tx>
          <c:spPr>
            <a:solidFill>
              <a:srgbClr val="BC0000"/>
            </a:solidFill>
            <a:ln>
              <a:noFill/>
            </a:ln>
            <a:effectLst/>
          </c:spPr>
          <c:invertIfNegative val="0"/>
          <c:cat>
            <c:strRef>
              <c:f>'PIVOTS &amp; CALCULATIONS'!$I$5:$I$51</c:f>
              <c:strCache>
                <c:ptCount val="46"/>
                <c:pt idx="0">
                  <c:v>Siurana</c:v>
                </c:pt>
                <c:pt idx="1">
                  <c:v>Arco</c:v>
                </c:pt>
                <c:pt idx="2">
                  <c:v>Grau dels matxos</c:v>
                </c:pt>
                <c:pt idx="3">
                  <c:v>Chulilla</c:v>
                </c:pt>
                <c:pt idx="4">
                  <c:v>Martinswand</c:v>
                </c:pt>
                <c:pt idx="5">
                  <c:v>Gelida</c:v>
                </c:pt>
                <c:pt idx="6">
                  <c:v>Garraf</c:v>
                </c:pt>
                <c:pt idx="7">
                  <c:v>Arbolí</c:v>
                </c:pt>
                <c:pt idx="8">
                  <c:v>Margalef</c:v>
                </c:pt>
                <c:pt idx="9">
                  <c:v>Font Soleia</c:v>
                </c:pt>
                <c:pt idx="10">
                  <c:v>Silz</c:v>
                </c:pt>
                <c:pt idx="11">
                  <c:v>Mallorca</c:v>
                </c:pt>
                <c:pt idx="12">
                  <c:v>Rodellar</c:v>
                </c:pt>
                <c:pt idx="13">
                  <c:v>Montserrat norte</c:v>
                </c:pt>
                <c:pt idx="14">
                  <c:v>Roc d'Anglars</c:v>
                </c:pt>
                <c:pt idx="15">
                  <c:v>Sadernes</c:v>
                </c:pt>
                <c:pt idx="16">
                  <c:v>Zillertal -Monkey Island</c:v>
                </c:pt>
                <c:pt idx="17">
                  <c:v>Zillertal - Astholz</c:v>
                </c:pt>
                <c:pt idx="18">
                  <c:v>Berglsteinersee</c:v>
                </c:pt>
                <c:pt idx="19">
                  <c:v>Gorges du Tarn</c:v>
                </c:pt>
                <c:pt idx="20">
                  <c:v>Ötztal</c:v>
                </c:pt>
                <c:pt idx="21">
                  <c:v>Etxauri</c:v>
                </c:pt>
                <c:pt idx="22">
                  <c:v>Zillertal - Ewige Jagdgründe</c:v>
                </c:pt>
                <c:pt idx="23">
                  <c:v>Masriudoms</c:v>
                </c:pt>
                <c:pt idx="24">
                  <c:v>Starkenbach</c:v>
                </c:pt>
                <c:pt idx="25">
                  <c:v>Le Coupeau</c:v>
                </c:pt>
                <c:pt idx="26">
                  <c:v>Achleiten</c:v>
                </c:pt>
                <c:pt idx="27">
                  <c:v>Sautens</c:v>
                </c:pt>
                <c:pt idx="28">
                  <c:v>Montserrat sur</c:v>
                </c:pt>
                <c:pt idx="29">
                  <c:v>Hundepension</c:v>
                </c:pt>
                <c:pt idx="30">
                  <c:v>Ailefroide</c:v>
                </c:pt>
                <c:pt idx="31">
                  <c:v>Atlantida</c:v>
                </c:pt>
                <c:pt idx="32">
                  <c:v>Le Fayet</c:v>
                </c:pt>
                <c:pt idx="33">
                  <c:v>Can Paulet</c:v>
                </c:pt>
                <c:pt idx="34">
                  <c:v>Fenda de Arrabida</c:v>
                </c:pt>
                <c:pt idx="35">
                  <c:v>Gorges de la Cesse</c:v>
                </c:pt>
                <c:pt idx="36">
                  <c:v>Collegats</c:v>
                </c:pt>
                <c:pt idx="37">
                  <c:v>Penyes Aragonesas (Castellón)</c:v>
                </c:pt>
                <c:pt idx="38">
                  <c:v>Dent de la Rancune</c:v>
                </c:pt>
                <c:pt idx="39">
                  <c:v>Carol</c:v>
                </c:pt>
                <c:pt idx="40">
                  <c:v>Unterinn</c:v>
                </c:pt>
                <c:pt idx="41">
                  <c:v>Roc de la Lluna</c:v>
                </c:pt>
                <c:pt idx="42">
                  <c:v>Marxuquera</c:v>
                </c:pt>
                <c:pt idx="43">
                  <c:v>Cavallers</c:v>
                </c:pt>
                <c:pt idx="44">
                  <c:v>Bichlersee</c:v>
                </c:pt>
                <c:pt idx="45">
                  <c:v>Arboli</c:v>
                </c:pt>
              </c:strCache>
            </c:strRef>
          </c:cat>
          <c:val>
            <c:numRef>
              <c:f>'PIVOTS &amp; CALCULATIONS'!$J$5:$J$51</c:f>
              <c:numCache>
                <c:formatCode>General</c:formatCode>
                <c:ptCount val="46"/>
                <c:pt idx="0">
                  <c:v>61</c:v>
                </c:pt>
                <c:pt idx="1">
                  <c:v>17</c:v>
                </c:pt>
                <c:pt idx="2">
                  <c:v>16</c:v>
                </c:pt>
                <c:pt idx="3">
                  <c:v>13</c:v>
                </c:pt>
                <c:pt idx="4">
                  <c:v>12</c:v>
                </c:pt>
                <c:pt idx="5">
                  <c:v>12</c:v>
                </c:pt>
                <c:pt idx="6">
                  <c:v>7</c:v>
                </c:pt>
                <c:pt idx="7">
                  <c:v>7</c:v>
                </c:pt>
                <c:pt idx="8">
                  <c:v>7</c:v>
                </c:pt>
                <c:pt idx="9">
                  <c:v>5</c:v>
                </c:pt>
                <c:pt idx="10">
                  <c:v>5</c:v>
                </c:pt>
                <c:pt idx="11">
                  <c:v>4</c:v>
                </c:pt>
                <c:pt idx="12">
                  <c:v>3</c:v>
                </c:pt>
                <c:pt idx="13">
                  <c:v>3</c:v>
                </c:pt>
                <c:pt idx="14">
                  <c:v>3</c:v>
                </c:pt>
                <c:pt idx="15">
                  <c:v>3</c:v>
                </c:pt>
                <c:pt idx="16">
                  <c:v>3</c:v>
                </c:pt>
                <c:pt idx="17">
                  <c:v>3</c:v>
                </c:pt>
                <c:pt idx="18">
                  <c:v>3</c:v>
                </c:pt>
                <c:pt idx="19">
                  <c:v>3</c:v>
                </c:pt>
                <c:pt idx="20">
                  <c:v>2</c:v>
                </c:pt>
                <c:pt idx="21">
                  <c:v>2</c:v>
                </c:pt>
                <c:pt idx="22">
                  <c:v>2</c:v>
                </c:pt>
                <c:pt idx="23">
                  <c:v>2</c:v>
                </c:pt>
                <c:pt idx="24">
                  <c:v>2</c:v>
                </c:pt>
                <c:pt idx="25">
                  <c:v>2</c:v>
                </c:pt>
                <c:pt idx="26">
                  <c:v>2</c:v>
                </c:pt>
                <c:pt idx="27">
                  <c:v>2</c:v>
                </c:pt>
                <c:pt idx="28">
                  <c:v>2</c:v>
                </c:pt>
                <c:pt idx="29">
                  <c:v>2</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numCache>
            </c:numRef>
          </c:val>
          <c:extLst>
            <c:ext xmlns:c16="http://schemas.microsoft.com/office/drawing/2014/chart" uri="{C3380CC4-5D6E-409C-BE32-E72D297353CC}">
              <c16:uniqueId val="{00000000-8FAB-4B51-9372-04972A5DF2EA}"/>
            </c:ext>
          </c:extLst>
        </c:ser>
        <c:dLbls>
          <c:showLegendKey val="0"/>
          <c:showVal val="0"/>
          <c:showCatName val="0"/>
          <c:showSerName val="0"/>
          <c:showPercent val="0"/>
          <c:showBubbleSize val="0"/>
        </c:dLbls>
        <c:gapWidth val="75"/>
        <c:axId val="1232114992"/>
        <c:axId val="628608288"/>
      </c:barChart>
      <c:catAx>
        <c:axId val="123211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608288"/>
        <c:crosses val="autoZero"/>
        <c:auto val="1"/>
        <c:lblAlgn val="ctr"/>
        <c:lblOffset val="100"/>
        <c:noMultiLvlLbl val="0"/>
      </c:catAx>
      <c:valAx>
        <c:axId val="62860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1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March 2026.xlsx]PIVOTS &amp; CALCULATIONS!Count per country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3791821561338289"/>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5774473358116479"/>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685254027261462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9653035935563859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4374225526641884"/>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s>
    <c:plotArea>
      <c:layout/>
      <c:doughnutChart>
        <c:varyColors val="1"/>
        <c:ser>
          <c:idx val="0"/>
          <c:order val="0"/>
          <c:tx>
            <c:strRef>
              <c:f>'PIVOTS &amp; CALCULATIONS'!$M$19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55-45FC-BFD2-DDA1D04896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55-45FC-BFD2-DDA1D04896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55-45FC-BFD2-DDA1D04896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55-45FC-BFD2-DDA1D04896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55-45FC-BFD2-DDA1D048966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31A-4AEE-93A8-65A97D2187E0}"/>
              </c:ext>
            </c:extLst>
          </c:dPt>
          <c:dLbls>
            <c:dLbl>
              <c:idx val="0"/>
              <c:layout>
                <c:manualLayout>
                  <c:x val="0.14374225526641884"/>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FD55-45FC-BFD2-DDA1D0489660}"/>
                </c:ext>
              </c:extLst>
            </c:dLbl>
            <c:dLbl>
              <c:idx val="1"/>
              <c:layout>
                <c:manualLayout>
                  <c:x val="-0.23791821561338289"/>
                  <c:y val="-5.0925925925925923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FD55-45FC-BFD2-DDA1D0489660}"/>
                </c:ext>
              </c:extLst>
            </c:dLbl>
            <c:dLbl>
              <c:idx val="2"/>
              <c:layout>
                <c:manualLayout>
                  <c:x val="0.16852540272614622"/>
                  <c:y val="-0.13425925925925927"/>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FD55-45FC-BFD2-DDA1D0489660}"/>
                </c:ext>
              </c:extLst>
            </c:dLbl>
            <c:dLbl>
              <c:idx val="3"/>
              <c:layout>
                <c:manualLayout>
                  <c:x val="-0.25774473358116479"/>
                  <c:y val="-0.1157407407407407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FD55-45FC-BFD2-DDA1D0489660}"/>
                </c:ext>
              </c:extLst>
            </c:dLbl>
            <c:dLbl>
              <c:idx val="4"/>
              <c:layout>
                <c:manualLayout>
                  <c:x val="-3.9653035935563859E-2"/>
                  <c:y val="-0.1481481481481481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FD55-45FC-BFD2-DDA1D04896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&amp; CALCULATIONS'!$L$20:$L$26</c:f>
              <c:strCache>
                <c:ptCount val="6"/>
                <c:pt idx="0">
                  <c:v>Spain</c:v>
                </c:pt>
                <c:pt idx="1">
                  <c:v>Austria</c:v>
                </c:pt>
                <c:pt idx="2">
                  <c:v>Italy</c:v>
                </c:pt>
                <c:pt idx="3">
                  <c:v>France</c:v>
                </c:pt>
                <c:pt idx="4">
                  <c:v>Portugal</c:v>
                </c:pt>
                <c:pt idx="5">
                  <c:v>Germany</c:v>
                </c:pt>
              </c:strCache>
            </c:strRef>
          </c:cat>
          <c:val>
            <c:numRef>
              <c:f>'PIVOTS &amp; CALCULATIONS'!$M$20:$M$26</c:f>
              <c:numCache>
                <c:formatCode>General</c:formatCode>
                <c:ptCount val="6"/>
                <c:pt idx="0">
                  <c:v>154</c:v>
                </c:pt>
                <c:pt idx="1">
                  <c:v>38</c:v>
                </c:pt>
                <c:pt idx="2">
                  <c:v>18</c:v>
                </c:pt>
                <c:pt idx="3">
                  <c:v>13</c:v>
                </c:pt>
                <c:pt idx="4">
                  <c:v>2</c:v>
                </c:pt>
                <c:pt idx="5">
                  <c:v>1</c:v>
                </c:pt>
              </c:numCache>
            </c:numRef>
          </c:val>
          <c:extLst>
            <c:ext xmlns:c16="http://schemas.microsoft.com/office/drawing/2014/chart" uri="{C3380CC4-5D6E-409C-BE32-E72D297353CC}">
              <c16:uniqueId val="{0000000A-FD55-45FC-BFD2-DDA1D048966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March 2026.xlsx]PIVOTS &amp; CALCULATIONS!Favorite Belayer last 12 months</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FAVORITE PARTNERS LAST 12 MONTHS</a:t>
            </a:r>
            <a:endParaRPr lang="en-US" sz="1400"/>
          </a:p>
        </c:rich>
      </c:tx>
      <c:layout>
        <c:manualLayout>
          <c:xMode val="edge"/>
          <c:yMode val="edge"/>
          <c:x val="0.28194444444444444"/>
          <c:y val="7.716049382716049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solidFill>
            <a:schemeClr val="accent2"/>
          </a:solidFill>
          <a:ln>
            <a:noFill/>
          </a:ln>
          <a:effectLst/>
        </c:spPr>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55134281200632E-2"/>
          <c:y val="0.16442840478273549"/>
          <c:w val="0.93048973143759872"/>
          <c:h val="0.51357963935063677"/>
        </c:manualLayout>
      </c:layout>
      <c:barChart>
        <c:barDir val="col"/>
        <c:grouping val="clustered"/>
        <c:varyColors val="0"/>
        <c:ser>
          <c:idx val="0"/>
          <c:order val="0"/>
          <c:tx>
            <c:strRef>
              <c:f>'PIVOTS &amp; CALCULATIONS'!$S$24</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CALCULATIONS'!$R$25:$R$28</c:f>
              <c:strCache>
                <c:ptCount val="4"/>
                <c:pt idx="0">
                  <c:v>Chrissi</c:v>
                </c:pt>
                <c:pt idx="1">
                  <c:v>Christian</c:v>
                </c:pt>
                <c:pt idx="2">
                  <c:v>Guy</c:v>
                </c:pt>
                <c:pt idx="3">
                  <c:v>Chris Awe</c:v>
                </c:pt>
              </c:strCache>
            </c:strRef>
          </c:cat>
          <c:val>
            <c:numRef>
              <c:f>'PIVOTS &amp; CALCULATIONS'!$S$25:$S$28</c:f>
              <c:numCache>
                <c:formatCode>General</c:formatCode>
                <c:ptCount val="4"/>
                <c:pt idx="0">
                  <c:v>31</c:v>
                </c:pt>
                <c:pt idx="1">
                  <c:v>5</c:v>
                </c:pt>
                <c:pt idx="2">
                  <c:v>1</c:v>
                </c:pt>
                <c:pt idx="3">
                  <c:v>1</c:v>
                </c:pt>
              </c:numCache>
            </c:numRef>
          </c:val>
          <c:extLst>
            <c:ext xmlns:c16="http://schemas.microsoft.com/office/drawing/2014/chart" uri="{C3380CC4-5D6E-409C-BE32-E72D297353CC}">
              <c16:uniqueId val="{00000000-285A-4E21-BCC3-1BBDCEE1CE06}"/>
            </c:ext>
          </c:extLst>
        </c:ser>
        <c:dLbls>
          <c:dLblPos val="outEnd"/>
          <c:showLegendKey val="0"/>
          <c:showVal val="1"/>
          <c:showCatName val="0"/>
          <c:showSerName val="0"/>
          <c:showPercent val="0"/>
          <c:showBubbleSize val="0"/>
        </c:dLbls>
        <c:gapWidth val="75"/>
        <c:axId val="1225436432"/>
        <c:axId val="760647184"/>
      </c:barChart>
      <c:catAx>
        <c:axId val="1225436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647184"/>
        <c:crosses val="autoZero"/>
        <c:auto val="1"/>
        <c:lblAlgn val="ctr"/>
        <c:lblOffset val="100"/>
        <c:noMultiLvlLbl val="0"/>
      </c:catAx>
      <c:valAx>
        <c:axId val="760647184"/>
        <c:scaling>
          <c:orientation val="minMax"/>
        </c:scaling>
        <c:delete val="1"/>
        <c:axPos val="l"/>
        <c:numFmt formatCode="General" sourceLinked="1"/>
        <c:majorTickMark val="out"/>
        <c:minorTickMark val="none"/>
        <c:tickLblPos val="nextTo"/>
        <c:crossAx val="122543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tries vs height of the route</a:t>
            </a:r>
          </a:p>
        </c:rich>
      </c:tx>
      <c:layout>
        <c:manualLayout>
          <c:xMode val="edge"/>
          <c:yMode val="edge"/>
          <c:x val="0.2122845581802274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27537182852142E-2"/>
          <c:y val="0.17171296296296296"/>
          <c:w val="0.87250240594925632"/>
          <c:h val="0.7060495042286381"/>
        </c:manualLayout>
      </c:layout>
      <c:scatterChart>
        <c:scatterStyle val="lineMarker"/>
        <c:varyColors val="0"/>
        <c:ser>
          <c:idx val="0"/>
          <c:order val="0"/>
          <c:tx>
            <c:strRef>
              <c:f>DATA!$O$1</c:f>
              <c:strCache>
                <c:ptCount val="1"/>
                <c:pt idx="0">
                  <c:v>Tries num. only excl. outliers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25400" cap="rnd">
                <a:solidFill>
                  <a:srgbClr val="C00000"/>
                </a:solidFill>
                <a:prstDash val="solid"/>
              </a:ln>
              <a:effectLst/>
            </c:spPr>
            <c:trendlineType val="linear"/>
            <c:dispRSqr val="1"/>
            <c:dispEq val="0"/>
            <c:trendlineLbl>
              <c:layout>
                <c:manualLayout>
                  <c:x val="9.5222440944881886E-2"/>
                  <c:y val="-6.3823636628754746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rgbClr val="0070C0"/>
                      </a:solidFill>
                      <a:latin typeface="+mn-lt"/>
                      <a:ea typeface="+mn-ea"/>
                      <a:cs typeface="+mn-cs"/>
                    </a:defRPr>
                  </a:pPr>
                  <a:endParaRPr lang="en-US"/>
                </a:p>
              </c:txPr>
            </c:trendlineLbl>
          </c:trendline>
          <c:xVal>
            <c:numRef>
              <c:f>DATA!$K$2:$K$213</c:f>
              <c:numCache>
                <c:formatCode>General</c:formatCode>
                <c:ptCount val="212"/>
                <c:pt idx="0">
                  <c:v>15</c:v>
                </c:pt>
                <c:pt idx="1">
                  <c:v>25</c:v>
                </c:pt>
                <c:pt idx="2">
                  <c:v>25</c:v>
                </c:pt>
                <c:pt idx="3">
                  <c:v>18</c:v>
                </c:pt>
                <c:pt idx="4">
                  <c:v>20</c:v>
                </c:pt>
                <c:pt idx="5">
                  <c:v>20</c:v>
                </c:pt>
                <c:pt idx="6">
                  <c:v>25</c:v>
                </c:pt>
                <c:pt idx="7">
                  <c:v>25</c:v>
                </c:pt>
                <c:pt idx="8">
                  <c:v>25</c:v>
                </c:pt>
                <c:pt idx="9">
                  <c:v>18</c:v>
                </c:pt>
                <c:pt idx="10">
                  <c:v>12</c:v>
                </c:pt>
                <c:pt idx="11">
                  <c:v>25</c:v>
                </c:pt>
                <c:pt idx="12">
                  <c:v>20</c:v>
                </c:pt>
                <c:pt idx="13">
                  <c:v>20</c:v>
                </c:pt>
                <c:pt idx="14">
                  <c:v>20</c:v>
                </c:pt>
                <c:pt idx="15">
                  <c:v>20</c:v>
                </c:pt>
                <c:pt idx="16">
                  <c:v>18</c:v>
                </c:pt>
                <c:pt idx="17">
                  <c:v>25</c:v>
                </c:pt>
                <c:pt idx="18">
                  <c:v>30</c:v>
                </c:pt>
                <c:pt idx="19">
                  <c:v>30</c:v>
                </c:pt>
                <c:pt idx="20">
                  <c:v>25</c:v>
                </c:pt>
                <c:pt idx="21">
                  <c:v>20</c:v>
                </c:pt>
                <c:pt idx="22">
                  <c:v>22</c:v>
                </c:pt>
                <c:pt idx="23">
                  <c:v>18</c:v>
                </c:pt>
                <c:pt idx="24">
                  <c:v>15</c:v>
                </c:pt>
                <c:pt idx="25">
                  <c:v>25</c:v>
                </c:pt>
                <c:pt idx="26">
                  <c:v>20</c:v>
                </c:pt>
                <c:pt idx="27">
                  <c:v>20</c:v>
                </c:pt>
                <c:pt idx="28">
                  <c:v>25</c:v>
                </c:pt>
                <c:pt idx="29">
                  <c:v>32</c:v>
                </c:pt>
                <c:pt idx="30">
                  <c:v>25</c:v>
                </c:pt>
                <c:pt idx="31">
                  <c:v>25</c:v>
                </c:pt>
                <c:pt idx="32">
                  <c:v>25</c:v>
                </c:pt>
                <c:pt idx="33">
                  <c:v>35</c:v>
                </c:pt>
                <c:pt idx="34">
                  <c:v>30</c:v>
                </c:pt>
                <c:pt idx="35">
                  <c:v>25</c:v>
                </c:pt>
                <c:pt idx="36">
                  <c:v>10</c:v>
                </c:pt>
                <c:pt idx="37">
                  <c:v>10</c:v>
                </c:pt>
                <c:pt idx="38">
                  <c:v>12</c:v>
                </c:pt>
                <c:pt idx="39">
                  <c:v>25</c:v>
                </c:pt>
                <c:pt idx="40">
                  <c:v>20</c:v>
                </c:pt>
                <c:pt idx="41">
                  <c:v>30</c:v>
                </c:pt>
                <c:pt idx="42">
                  <c:v>25</c:v>
                </c:pt>
                <c:pt idx="43">
                  <c:v>25</c:v>
                </c:pt>
                <c:pt idx="44">
                  <c:v>28</c:v>
                </c:pt>
                <c:pt idx="45">
                  <c:v>30</c:v>
                </c:pt>
                <c:pt idx="46">
                  <c:v>25</c:v>
                </c:pt>
                <c:pt idx="47">
                  <c:v>25</c:v>
                </c:pt>
                <c:pt idx="48">
                  <c:v>25</c:v>
                </c:pt>
                <c:pt idx="49">
                  <c:v>25</c:v>
                </c:pt>
                <c:pt idx="50">
                  <c:v>20</c:v>
                </c:pt>
                <c:pt idx="51">
                  <c:v>20</c:v>
                </c:pt>
                <c:pt idx="52">
                  <c:v>30</c:v>
                </c:pt>
                <c:pt idx="53">
                  <c:v>30</c:v>
                </c:pt>
                <c:pt idx="54">
                  <c:v>38</c:v>
                </c:pt>
                <c:pt idx="55">
                  <c:v>20</c:v>
                </c:pt>
                <c:pt idx="56">
                  <c:v>25</c:v>
                </c:pt>
                <c:pt idx="57">
                  <c:v>20</c:v>
                </c:pt>
                <c:pt idx="58">
                  <c:v>25</c:v>
                </c:pt>
                <c:pt idx="59">
                  <c:v>12</c:v>
                </c:pt>
                <c:pt idx="60">
                  <c:v>32</c:v>
                </c:pt>
                <c:pt idx="61">
                  <c:v>32</c:v>
                </c:pt>
                <c:pt idx="62">
                  <c:v>32</c:v>
                </c:pt>
                <c:pt idx="63">
                  <c:v>18</c:v>
                </c:pt>
                <c:pt idx="64">
                  <c:v>20</c:v>
                </c:pt>
                <c:pt idx="65">
                  <c:v>18</c:v>
                </c:pt>
                <c:pt idx="66">
                  <c:v>30</c:v>
                </c:pt>
                <c:pt idx="67">
                  <c:v>30</c:v>
                </c:pt>
                <c:pt idx="68">
                  <c:v>25</c:v>
                </c:pt>
                <c:pt idx="69">
                  <c:v>35</c:v>
                </c:pt>
                <c:pt idx="70">
                  <c:v>35</c:v>
                </c:pt>
                <c:pt idx="71">
                  <c:v>25</c:v>
                </c:pt>
                <c:pt idx="72">
                  <c:v>25</c:v>
                </c:pt>
                <c:pt idx="73">
                  <c:v>30</c:v>
                </c:pt>
                <c:pt idx="74">
                  <c:v>10</c:v>
                </c:pt>
                <c:pt idx="75">
                  <c:v>25</c:v>
                </c:pt>
                <c:pt idx="76">
                  <c:v>25</c:v>
                </c:pt>
                <c:pt idx="77">
                  <c:v>12</c:v>
                </c:pt>
                <c:pt idx="78">
                  <c:v>25</c:v>
                </c:pt>
                <c:pt idx="79">
                  <c:v>12</c:v>
                </c:pt>
                <c:pt idx="80">
                  <c:v>22</c:v>
                </c:pt>
                <c:pt idx="81">
                  <c:v>25</c:v>
                </c:pt>
                <c:pt idx="82">
                  <c:v>30</c:v>
                </c:pt>
                <c:pt idx="83">
                  <c:v>13</c:v>
                </c:pt>
                <c:pt idx="84">
                  <c:v>25</c:v>
                </c:pt>
                <c:pt idx="85">
                  <c:v>20</c:v>
                </c:pt>
                <c:pt idx="86">
                  <c:v>30</c:v>
                </c:pt>
                <c:pt idx="87">
                  <c:v>30</c:v>
                </c:pt>
                <c:pt idx="88">
                  <c:v>20</c:v>
                </c:pt>
                <c:pt idx="89">
                  <c:v>35</c:v>
                </c:pt>
                <c:pt idx="90">
                  <c:v>22</c:v>
                </c:pt>
                <c:pt idx="91">
                  <c:v>25</c:v>
                </c:pt>
                <c:pt idx="92">
                  <c:v>25</c:v>
                </c:pt>
                <c:pt idx="93">
                  <c:v>25</c:v>
                </c:pt>
                <c:pt idx="94">
                  <c:v>25</c:v>
                </c:pt>
                <c:pt idx="95">
                  <c:v>20</c:v>
                </c:pt>
                <c:pt idx="96">
                  <c:v>28</c:v>
                </c:pt>
                <c:pt idx="97">
                  <c:v>30</c:v>
                </c:pt>
                <c:pt idx="98">
                  <c:v>30</c:v>
                </c:pt>
                <c:pt idx="99">
                  <c:v>18</c:v>
                </c:pt>
                <c:pt idx="100">
                  <c:v>40</c:v>
                </c:pt>
                <c:pt idx="101">
                  <c:v>15</c:v>
                </c:pt>
                <c:pt idx="102">
                  <c:v>20</c:v>
                </c:pt>
                <c:pt idx="103">
                  <c:v>25</c:v>
                </c:pt>
                <c:pt idx="104">
                  <c:v>20</c:v>
                </c:pt>
                <c:pt idx="105">
                  <c:v>20</c:v>
                </c:pt>
                <c:pt idx="106">
                  <c:v>16</c:v>
                </c:pt>
                <c:pt idx="107">
                  <c:v>20</c:v>
                </c:pt>
                <c:pt idx="108">
                  <c:v>25</c:v>
                </c:pt>
                <c:pt idx="109">
                  <c:v>18</c:v>
                </c:pt>
                <c:pt idx="110">
                  <c:v>18</c:v>
                </c:pt>
                <c:pt idx="111">
                  <c:v>22</c:v>
                </c:pt>
                <c:pt idx="112">
                  <c:v>18</c:v>
                </c:pt>
                <c:pt idx="113">
                  <c:v>18</c:v>
                </c:pt>
                <c:pt idx="114">
                  <c:v>18</c:v>
                </c:pt>
                <c:pt idx="115">
                  <c:v>25</c:v>
                </c:pt>
                <c:pt idx="116">
                  <c:v>20</c:v>
                </c:pt>
                <c:pt idx="117">
                  <c:v>15</c:v>
                </c:pt>
                <c:pt idx="118">
                  <c:v>35</c:v>
                </c:pt>
                <c:pt idx="119">
                  <c:v>20</c:v>
                </c:pt>
                <c:pt idx="120">
                  <c:v>35</c:v>
                </c:pt>
                <c:pt idx="121">
                  <c:v>20</c:v>
                </c:pt>
                <c:pt idx="122">
                  <c:v>23</c:v>
                </c:pt>
                <c:pt idx="123">
                  <c:v>23</c:v>
                </c:pt>
                <c:pt idx="124">
                  <c:v>15</c:v>
                </c:pt>
                <c:pt idx="125">
                  <c:v>16</c:v>
                </c:pt>
                <c:pt idx="126">
                  <c:v>16</c:v>
                </c:pt>
                <c:pt idx="127">
                  <c:v>16</c:v>
                </c:pt>
                <c:pt idx="128">
                  <c:v>27</c:v>
                </c:pt>
                <c:pt idx="129">
                  <c:v>20</c:v>
                </c:pt>
                <c:pt idx="130">
                  <c:v>18</c:v>
                </c:pt>
                <c:pt idx="131">
                  <c:v>15</c:v>
                </c:pt>
                <c:pt idx="132">
                  <c:v>20</c:v>
                </c:pt>
                <c:pt idx="133">
                  <c:v>12</c:v>
                </c:pt>
                <c:pt idx="134">
                  <c:v>10</c:v>
                </c:pt>
                <c:pt idx="135">
                  <c:v>15</c:v>
                </c:pt>
                <c:pt idx="136">
                  <c:v>18</c:v>
                </c:pt>
                <c:pt idx="137">
                  <c:v>25</c:v>
                </c:pt>
                <c:pt idx="138">
                  <c:v>28</c:v>
                </c:pt>
                <c:pt idx="139">
                  <c:v>20</c:v>
                </c:pt>
                <c:pt idx="140">
                  <c:v>28</c:v>
                </c:pt>
                <c:pt idx="141">
                  <c:v>18</c:v>
                </c:pt>
                <c:pt idx="142">
                  <c:v>25</c:v>
                </c:pt>
                <c:pt idx="143">
                  <c:v>18</c:v>
                </c:pt>
                <c:pt idx="144">
                  <c:v>30</c:v>
                </c:pt>
                <c:pt idx="145">
                  <c:v>25</c:v>
                </c:pt>
                <c:pt idx="146">
                  <c:v>16</c:v>
                </c:pt>
                <c:pt idx="147">
                  <c:v>22</c:v>
                </c:pt>
                <c:pt idx="148">
                  <c:v>15</c:v>
                </c:pt>
                <c:pt idx="149">
                  <c:v>18</c:v>
                </c:pt>
                <c:pt idx="150">
                  <c:v>20</c:v>
                </c:pt>
                <c:pt idx="151">
                  <c:v>10</c:v>
                </c:pt>
                <c:pt idx="152">
                  <c:v>20</c:v>
                </c:pt>
                <c:pt idx="153">
                  <c:v>12</c:v>
                </c:pt>
                <c:pt idx="154">
                  <c:v>18</c:v>
                </c:pt>
                <c:pt idx="155">
                  <c:v>15</c:v>
                </c:pt>
                <c:pt idx="156">
                  <c:v>10</c:v>
                </c:pt>
                <c:pt idx="157">
                  <c:v>22</c:v>
                </c:pt>
                <c:pt idx="158">
                  <c:v>22</c:v>
                </c:pt>
                <c:pt idx="159">
                  <c:v>24</c:v>
                </c:pt>
                <c:pt idx="160">
                  <c:v>18</c:v>
                </c:pt>
                <c:pt idx="161">
                  <c:v>20</c:v>
                </c:pt>
                <c:pt idx="162">
                  <c:v>22</c:v>
                </c:pt>
                <c:pt idx="163">
                  <c:v>20</c:v>
                </c:pt>
                <c:pt idx="164">
                  <c:v>12</c:v>
                </c:pt>
                <c:pt idx="165">
                  <c:v>20</c:v>
                </c:pt>
                <c:pt idx="166">
                  <c:v>20</c:v>
                </c:pt>
                <c:pt idx="167">
                  <c:v>18</c:v>
                </c:pt>
                <c:pt idx="168">
                  <c:v>25</c:v>
                </c:pt>
                <c:pt idx="169">
                  <c:v>8</c:v>
                </c:pt>
                <c:pt idx="170">
                  <c:v>27</c:v>
                </c:pt>
                <c:pt idx="171">
                  <c:v>22</c:v>
                </c:pt>
                <c:pt idx="172">
                  <c:v>25</c:v>
                </c:pt>
                <c:pt idx="173">
                  <c:v>25</c:v>
                </c:pt>
                <c:pt idx="174">
                  <c:v>40</c:v>
                </c:pt>
                <c:pt idx="175">
                  <c:v>30</c:v>
                </c:pt>
                <c:pt idx="176">
                  <c:v>16</c:v>
                </c:pt>
                <c:pt idx="177">
                  <c:v>20</c:v>
                </c:pt>
                <c:pt idx="178">
                  <c:v>19</c:v>
                </c:pt>
                <c:pt idx="179">
                  <c:v>24</c:v>
                </c:pt>
                <c:pt idx="180">
                  <c:v>15</c:v>
                </c:pt>
                <c:pt idx="181">
                  <c:v>15</c:v>
                </c:pt>
                <c:pt idx="182">
                  <c:v>33</c:v>
                </c:pt>
                <c:pt idx="183">
                  <c:v>26</c:v>
                </c:pt>
                <c:pt idx="184">
                  <c:v>22</c:v>
                </c:pt>
                <c:pt idx="185">
                  <c:v>20</c:v>
                </c:pt>
                <c:pt idx="186">
                  <c:v>20</c:v>
                </c:pt>
                <c:pt idx="187">
                  <c:v>20</c:v>
                </c:pt>
                <c:pt idx="188">
                  <c:v>10</c:v>
                </c:pt>
                <c:pt idx="189">
                  <c:v>10</c:v>
                </c:pt>
                <c:pt idx="190">
                  <c:v>25</c:v>
                </c:pt>
                <c:pt idx="191">
                  <c:v>20</c:v>
                </c:pt>
                <c:pt idx="192">
                  <c:v>30</c:v>
                </c:pt>
                <c:pt idx="193">
                  <c:v>18</c:v>
                </c:pt>
                <c:pt idx="194">
                  <c:v>22</c:v>
                </c:pt>
                <c:pt idx="195">
                  <c:v>27</c:v>
                </c:pt>
                <c:pt idx="196">
                  <c:v>30</c:v>
                </c:pt>
                <c:pt idx="197">
                  <c:v>28</c:v>
                </c:pt>
                <c:pt idx="198">
                  <c:v>25</c:v>
                </c:pt>
                <c:pt idx="199">
                  <c:v>11</c:v>
                </c:pt>
                <c:pt idx="200">
                  <c:v>15</c:v>
                </c:pt>
                <c:pt idx="201">
                  <c:v>22</c:v>
                </c:pt>
                <c:pt idx="202">
                  <c:v>18</c:v>
                </c:pt>
                <c:pt idx="203">
                  <c:v>20</c:v>
                </c:pt>
                <c:pt idx="204">
                  <c:v>30</c:v>
                </c:pt>
                <c:pt idx="205">
                  <c:v>30</c:v>
                </c:pt>
                <c:pt idx="206">
                  <c:v>30</c:v>
                </c:pt>
                <c:pt idx="207">
                  <c:v>27</c:v>
                </c:pt>
                <c:pt idx="208">
                  <c:v>25</c:v>
                </c:pt>
                <c:pt idx="209">
                  <c:v>22</c:v>
                </c:pt>
                <c:pt idx="210">
                  <c:v>25</c:v>
                </c:pt>
                <c:pt idx="211">
                  <c:v>20</c:v>
                </c:pt>
              </c:numCache>
            </c:numRef>
          </c:xVal>
          <c:yVal>
            <c:numRef>
              <c:f>DATA!$O$2:$O$213</c:f>
              <c:numCache>
                <c:formatCode>General</c:formatCode>
                <c:ptCount val="212"/>
                <c:pt idx="0">
                  <c:v>7</c:v>
                </c:pt>
                <c:pt idx="1">
                  <c:v>4</c:v>
                </c:pt>
                <c:pt idx="2">
                  <c:v>1</c:v>
                </c:pt>
                <c:pt idx="3">
                  <c:v>2</c:v>
                </c:pt>
                <c:pt idx="4">
                  <c:v>2</c:v>
                </c:pt>
                <c:pt idx="5">
                  <c:v>2</c:v>
                </c:pt>
                <c:pt idx="6">
                  <c:v>4</c:v>
                </c:pt>
                <c:pt idx="7">
                  <c:v>1</c:v>
                </c:pt>
                <c:pt idx="8">
                  <c:v>7</c:v>
                </c:pt>
                <c:pt idx="9">
                  <c:v>1</c:v>
                </c:pt>
                <c:pt idx="10">
                  <c:v>12</c:v>
                </c:pt>
                <c:pt idx="11">
                  <c:v>2</c:v>
                </c:pt>
                <c:pt idx="12">
                  <c:v>1</c:v>
                </c:pt>
                <c:pt idx="13">
                  <c:v>1</c:v>
                </c:pt>
                <c:pt idx="14">
                  <c:v>2</c:v>
                </c:pt>
                <c:pt idx="15">
                  <c:v>2</c:v>
                </c:pt>
                <c:pt idx="16">
                  <c:v>8</c:v>
                </c:pt>
                <c:pt idx="17">
                  <c:v>14</c:v>
                </c:pt>
                <c:pt idx="18">
                  <c:v>1</c:v>
                </c:pt>
                <c:pt idx="19">
                  <c:v>1</c:v>
                </c:pt>
                <c:pt idx="20">
                  <c:v>2</c:v>
                </c:pt>
                <c:pt idx="21">
                  <c:v>2</c:v>
                </c:pt>
                <c:pt idx="22">
                  <c:v>10</c:v>
                </c:pt>
                <c:pt idx="23">
                  <c:v>2</c:v>
                </c:pt>
                <c:pt idx="24">
                  <c:v>2</c:v>
                </c:pt>
                <c:pt idx="25">
                  <c:v>1</c:v>
                </c:pt>
                <c:pt idx="26">
                  <c:v>2</c:v>
                </c:pt>
                <c:pt idx="27">
                  <c:v>3</c:v>
                </c:pt>
                <c:pt idx="28">
                  <c:v>8</c:v>
                </c:pt>
                <c:pt idx="29">
                  <c:v>1</c:v>
                </c:pt>
                <c:pt idx="30">
                  <c:v>3</c:v>
                </c:pt>
                <c:pt idx="31">
                  <c:v>1</c:v>
                </c:pt>
                <c:pt idx="32">
                  <c:v>1</c:v>
                </c:pt>
                <c:pt idx="33">
                  <c:v>2</c:v>
                </c:pt>
                <c:pt idx="34">
                  <c:v>1</c:v>
                </c:pt>
                <c:pt idx="35">
                  <c:v>3</c:v>
                </c:pt>
                <c:pt idx="36">
                  <c:v>1</c:v>
                </c:pt>
                <c:pt idx="37">
                  <c:v>1</c:v>
                </c:pt>
                <c:pt idx="38">
                  <c:v>2</c:v>
                </c:pt>
                <c:pt idx="39">
                  <c:v>1</c:v>
                </c:pt>
                <c:pt idx="40">
                  <c:v>5</c:v>
                </c:pt>
                <c:pt idx="41">
                  <c:v>3</c:v>
                </c:pt>
                <c:pt idx="42">
                  <c:v>2</c:v>
                </c:pt>
                <c:pt idx="43">
                  <c:v>1</c:v>
                </c:pt>
                <c:pt idx="44">
                  <c:v>3</c:v>
                </c:pt>
                <c:pt idx="45">
                  <c:v>1</c:v>
                </c:pt>
                <c:pt idx="46">
                  <c:v>2</c:v>
                </c:pt>
                <c:pt idx="47">
                  <c:v>4</c:v>
                </c:pt>
                <c:pt idx="48">
                  <c:v>6</c:v>
                </c:pt>
                <c:pt idx="49">
                  <c:v>2</c:v>
                </c:pt>
                <c:pt idx="50">
                  <c:v>1</c:v>
                </c:pt>
                <c:pt idx="51">
                  <c:v>3</c:v>
                </c:pt>
                <c:pt idx="52">
                  <c:v>1</c:v>
                </c:pt>
                <c:pt idx="53">
                  <c:v>2</c:v>
                </c:pt>
                <c:pt idx="54">
                  <c:v>1</c:v>
                </c:pt>
                <c:pt idx="55">
                  <c:v>1</c:v>
                </c:pt>
                <c:pt idx="56">
                  <c:v>2</c:v>
                </c:pt>
                <c:pt idx="57">
                  <c:v>2</c:v>
                </c:pt>
                <c:pt idx="58">
                  <c:v>10</c:v>
                </c:pt>
                <c:pt idx="59">
                  <c:v>3</c:v>
                </c:pt>
                <c:pt idx="60">
                  <c:v>1</c:v>
                </c:pt>
                <c:pt idx="61">
                  <c:v>2</c:v>
                </c:pt>
                <c:pt idx="62">
                  <c:v>1</c:v>
                </c:pt>
                <c:pt idx="63">
                  <c:v>2</c:v>
                </c:pt>
                <c:pt idx="64">
                  <c:v>5</c:v>
                </c:pt>
                <c:pt idx="65">
                  <c:v>2</c:v>
                </c:pt>
                <c:pt idx="66">
                  <c:v>2</c:v>
                </c:pt>
                <c:pt idx="67">
                  <c:v>4</c:v>
                </c:pt>
                <c:pt idx="68">
                  <c:v>2</c:v>
                </c:pt>
                <c:pt idx="69">
                  <c:v>1</c:v>
                </c:pt>
                <c:pt idx="70">
                  <c:v>1</c:v>
                </c:pt>
                <c:pt idx="71">
                  <c:v>1</c:v>
                </c:pt>
                <c:pt idx="72">
                  <c:v>2</c:v>
                </c:pt>
                <c:pt idx="73">
                  <c:v>1</c:v>
                </c:pt>
                <c:pt idx="74">
                  <c:v>3</c:v>
                </c:pt>
                <c:pt idx="75">
                  <c:v>1</c:v>
                </c:pt>
                <c:pt idx="76">
                  <c:v>1</c:v>
                </c:pt>
                <c:pt idx="77">
                  <c:v>1</c:v>
                </c:pt>
                <c:pt idx="78">
                  <c:v>2</c:v>
                </c:pt>
                <c:pt idx="79">
                  <c:v>2</c:v>
                </c:pt>
                <c:pt idx="80">
                  <c:v>1</c:v>
                </c:pt>
                <c:pt idx="81">
                  <c:v>2</c:v>
                </c:pt>
                <c:pt idx="82">
                  <c:v>2</c:v>
                </c:pt>
                <c:pt idx="83">
                  <c:v>2</c:v>
                </c:pt>
                <c:pt idx="84">
                  <c:v>1</c:v>
                </c:pt>
                <c:pt idx="85">
                  <c:v>2</c:v>
                </c:pt>
                <c:pt idx="86">
                  <c:v>3</c:v>
                </c:pt>
                <c:pt idx="87">
                  <c:v>2</c:v>
                </c:pt>
                <c:pt idx="88">
                  <c:v>2</c:v>
                </c:pt>
                <c:pt idx="89">
                  <c:v>2</c:v>
                </c:pt>
                <c:pt idx="90">
                  <c:v>6</c:v>
                </c:pt>
                <c:pt idx="91">
                  <c:v>1</c:v>
                </c:pt>
                <c:pt idx="92">
                  <c:v>4</c:v>
                </c:pt>
                <c:pt idx="93">
                  <c:v>1</c:v>
                </c:pt>
                <c:pt idx="94">
                  <c:v>1</c:v>
                </c:pt>
                <c:pt idx="95">
                  <c:v>1</c:v>
                </c:pt>
                <c:pt idx="96">
                  <c:v>4</c:v>
                </c:pt>
                <c:pt idx="97">
                  <c:v>2</c:v>
                </c:pt>
                <c:pt idx="98">
                  <c:v>1</c:v>
                </c:pt>
                <c:pt idx="99">
                  <c:v>1</c:v>
                </c:pt>
                <c:pt idx="100">
                  <c:v>1</c:v>
                </c:pt>
                <c:pt idx="101">
                  <c:v>2</c:v>
                </c:pt>
                <c:pt idx="102">
                  <c:v>1</c:v>
                </c:pt>
                <c:pt idx="103">
                  <c:v>4</c:v>
                </c:pt>
                <c:pt idx="104">
                  <c:v>1</c:v>
                </c:pt>
                <c:pt idx="105">
                  <c:v>5</c:v>
                </c:pt>
                <c:pt idx="106">
                  <c:v>6</c:v>
                </c:pt>
                <c:pt idx="107">
                  <c:v>1</c:v>
                </c:pt>
                <c:pt idx="108">
                  <c:v>2</c:v>
                </c:pt>
                <c:pt idx="109">
                  <c:v>1</c:v>
                </c:pt>
                <c:pt idx="110">
                  <c:v>2</c:v>
                </c:pt>
                <c:pt idx="111">
                  <c:v>7</c:v>
                </c:pt>
                <c:pt idx="112">
                  <c:v>1</c:v>
                </c:pt>
                <c:pt idx="113">
                  <c:v>1</c:v>
                </c:pt>
                <c:pt idx="114">
                  <c:v>2</c:v>
                </c:pt>
                <c:pt idx="115">
                  <c:v>1</c:v>
                </c:pt>
                <c:pt idx="116">
                  <c:v>40</c:v>
                </c:pt>
                <c:pt idx="117">
                  <c:v>1</c:v>
                </c:pt>
                <c:pt idx="118">
                  <c:v>1</c:v>
                </c:pt>
                <c:pt idx="119">
                  <c:v>1</c:v>
                </c:pt>
                <c:pt idx="120">
                  <c:v>1</c:v>
                </c:pt>
                <c:pt idx="121">
                  <c:v>1</c:v>
                </c:pt>
                <c:pt idx="122">
                  <c:v>3</c:v>
                </c:pt>
                <c:pt idx="123">
                  <c:v>1</c:v>
                </c:pt>
                <c:pt idx="124">
                  <c:v>3</c:v>
                </c:pt>
                <c:pt idx="125">
                  <c:v>2</c:v>
                </c:pt>
                <c:pt idx="126">
                  <c:v>2</c:v>
                </c:pt>
                <c:pt idx="127">
                  <c:v>2</c:v>
                </c:pt>
                <c:pt idx="128">
                  <c:v>5</c:v>
                </c:pt>
                <c:pt idx="129">
                  <c:v>1</c:v>
                </c:pt>
                <c:pt idx="130">
                  <c:v>1</c:v>
                </c:pt>
                <c:pt idx="131">
                  <c:v>3</c:v>
                </c:pt>
                <c:pt idx="132">
                  <c:v>1</c:v>
                </c:pt>
                <c:pt idx="133">
                  <c:v>2</c:v>
                </c:pt>
                <c:pt idx="134">
                  <c:v>4</c:v>
                </c:pt>
                <c:pt idx="135">
                  <c:v>2</c:v>
                </c:pt>
                <c:pt idx="136">
                  <c:v>1</c:v>
                </c:pt>
                <c:pt idx="137">
                  <c:v>2</c:v>
                </c:pt>
                <c:pt idx="138">
                  <c:v>1</c:v>
                </c:pt>
                <c:pt idx="139">
                  <c:v>2</c:v>
                </c:pt>
                <c:pt idx="140">
                  <c:v>1</c:v>
                </c:pt>
                <c:pt idx="141">
                  <c:v>2</c:v>
                </c:pt>
                <c:pt idx="142">
                  <c:v>2</c:v>
                </c:pt>
                <c:pt idx="143">
                  <c:v>1</c:v>
                </c:pt>
                <c:pt idx="144">
                  <c:v>1</c:v>
                </c:pt>
                <c:pt idx="145">
                  <c:v>1</c:v>
                </c:pt>
                <c:pt idx="146">
                  <c:v>1</c:v>
                </c:pt>
                <c:pt idx="147">
                  <c:v>1</c:v>
                </c:pt>
                <c:pt idx="148">
                  <c:v>2</c:v>
                </c:pt>
                <c:pt idx="149">
                  <c:v>2</c:v>
                </c:pt>
                <c:pt idx="150">
                  <c:v>2</c:v>
                </c:pt>
                <c:pt idx="151">
                  <c:v>2</c:v>
                </c:pt>
                <c:pt idx="152">
                  <c:v>2</c:v>
                </c:pt>
                <c:pt idx="153">
                  <c:v>3</c:v>
                </c:pt>
                <c:pt idx="154">
                  <c:v>2</c:v>
                </c:pt>
                <c:pt idx="155">
                  <c:v>2</c:v>
                </c:pt>
                <c:pt idx="156">
                  <c:v>3</c:v>
                </c:pt>
                <c:pt idx="157">
                  <c:v>6</c:v>
                </c:pt>
                <c:pt idx="158">
                  <c:v>2</c:v>
                </c:pt>
                <c:pt idx="159">
                  <c:v>1</c:v>
                </c:pt>
                <c:pt idx="160">
                  <c:v>3</c:v>
                </c:pt>
                <c:pt idx="161">
                  <c:v>2</c:v>
                </c:pt>
                <c:pt idx="162">
                  <c:v>2</c:v>
                </c:pt>
                <c:pt idx="163">
                  <c:v>5</c:v>
                </c:pt>
                <c:pt idx="164">
                  <c:v>1</c:v>
                </c:pt>
                <c:pt idx="165">
                  <c:v>3</c:v>
                </c:pt>
                <c:pt idx="166">
                  <c:v>4</c:v>
                </c:pt>
                <c:pt idx="167">
                  <c:v>24</c:v>
                </c:pt>
                <c:pt idx="168">
                  <c:v>2</c:v>
                </c:pt>
                <c:pt idx="169">
                  <c:v>2</c:v>
                </c:pt>
                <c:pt idx="170">
                  <c:v>1</c:v>
                </c:pt>
                <c:pt idx="171">
                  <c:v>5</c:v>
                </c:pt>
                <c:pt idx="172">
                  <c:v>2</c:v>
                </c:pt>
                <c:pt idx="173">
                  <c:v>3</c:v>
                </c:pt>
                <c:pt idx="174">
                  <c:v>8</c:v>
                </c:pt>
                <c:pt idx="175">
                  <c:v>2</c:v>
                </c:pt>
                <c:pt idx="176">
                  <c:v>3</c:v>
                </c:pt>
                <c:pt idx="177">
                  <c:v>2</c:v>
                </c:pt>
                <c:pt idx="178">
                  <c:v>3</c:v>
                </c:pt>
                <c:pt idx="179">
                  <c:v>2</c:v>
                </c:pt>
                <c:pt idx="180">
                  <c:v>1</c:v>
                </c:pt>
                <c:pt idx="181">
                  <c:v>3</c:v>
                </c:pt>
                <c:pt idx="182">
                  <c:v>1</c:v>
                </c:pt>
                <c:pt idx="183">
                  <c:v>5</c:v>
                </c:pt>
                <c:pt idx="184">
                  <c:v>6</c:v>
                </c:pt>
                <c:pt idx="185">
                  <c:v>1</c:v>
                </c:pt>
                <c:pt idx="186">
                  <c:v>1</c:v>
                </c:pt>
                <c:pt idx="187">
                  <c:v>2</c:v>
                </c:pt>
                <c:pt idx="188">
                  <c:v>2</c:v>
                </c:pt>
                <c:pt idx="189">
                  <c:v>2</c:v>
                </c:pt>
                <c:pt idx="190">
                  <c:v>5</c:v>
                </c:pt>
                <c:pt idx="191">
                  <c:v>14</c:v>
                </c:pt>
                <c:pt idx="192">
                  <c:v>2</c:v>
                </c:pt>
                <c:pt idx="193">
                  <c:v>1</c:v>
                </c:pt>
                <c:pt idx="194">
                  <c:v>1</c:v>
                </c:pt>
                <c:pt idx="195">
                  <c:v>1</c:v>
                </c:pt>
                <c:pt idx="196">
                  <c:v>1</c:v>
                </c:pt>
                <c:pt idx="197">
                  <c:v>2</c:v>
                </c:pt>
                <c:pt idx="198">
                  <c:v>2</c:v>
                </c:pt>
                <c:pt idx="199">
                  <c:v>2</c:v>
                </c:pt>
                <c:pt idx="200">
                  <c:v>1</c:v>
                </c:pt>
                <c:pt idx="201">
                  <c:v>5</c:v>
                </c:pt>
                <c:pt idx="202">
                  <c:v>2</c:v>
                </c:pt>
                <c:pt idx="203">
                  <c:v>2</c:v>
                </c:pt>
                <c:pt idx="204">
                  <c:v>2</c:v>
                </c:pt>
                <c:pt idx="205">
                  <c:v>1</c:v>
                </c:pt>
                <c:pt idx="206">
                  <c:v>2</c:v>
                </c:pt>
                <c:pt idx="207">
                  <c:v>2</c:v>
                </c:pt>
                <c:pt idx="208">
                  <c:v>2</c:v>
                </c:pt>
                <c:pt idx="209">
                  <c:v>2</c:v>
                </c:pt>
                <c:pt idx="210">
                  <c:v>2</c:v>
                </c:pt>
                <c:pt idx="211">
                  <c:v>2</c:v>
                </c:pt>
              </c:numCache>
            </c:numRef>
          </c:yVal>
          <c:smooth val="0"/>
          <c:extLst>
            <c:ext xmlns:c16="http://schemas.microsoft.com/office/drawing/2014/chart" uri="{C3380CC4-5D6E-409C-BE32-E72D297353CC}">
              <c16:uniqueId val="{00000000-C054-485E-B0BB-85D1FEDD616C}"/>
            </c:ext>
          </c:extLst>
        </c:ser>
        <c:dLbls>
          <c:showLegendKey val="0"/>
          <c:showVal val="0"/>
          <c:showCatName val="0"/>
          <c:showSerName val="0"/>
          <c:showPercent val="0"/>
          <c:showBubbleSize val="0"/>
        </c:dLbls>
        <c:axId val="476432623"/>
        <c:axId val="476429743"/>
      </c:scatterChart>
      <c:valAx>
        <c:axId val="476432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(m)</a:t>
                </a:r>
              </a:p>
            </c:rich>
          </c:tx>
          <c:layout>
            <c:manualLayout>
              <c:xMode val="edge"/>
              <c:yMode val="edge"/>
              <c:x val="0.85450568678915129"/>
              <c:y val="0.92960629921259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29743"/>
        <c:crosses val="autoZero"/>
        <c:crossBetween val="midCat"/>
      </c:valAx>
      <c:valAx>
        <c:axId val="476429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tries</a:t>
                </a:r>
              </a:p>
            </c:rich>
          </c:tx>
          <c:layout>
            <c:manualLayout>
              <c:xMode val="edge"/>
              <c:yMode val="edge"/>
              <c:x val="0"/>
              <c:y val="3.3140492855059787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32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tries vs height</a:t>
            </a:r>
          </a:p>
        </c:rich>
      </c:tx>
      <c:layout>
        <c:manualLayout>
          <c:xMode val="edge"/>
          <c:yMode val="edge"/>
          <c:x val="0.3298529868135220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27537182852142E-2"/>
          <c:y val="0.17171296296296296"/>
          <c:w val="0.87250240594925632"/>
          <c:h val="0.7060495042286381"/>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25400" cap="rnd">
                <a:solidFill>
                  <a:srgbClr val="C00000"/>
                </a:solidFill>
                <a:prstDash val="solid"/>
              </a:ln>
              <a:effectLst/>
            </c:spPr>
            <c:trendlineType val="linear"/>
            <c:dispRSqr val="1"/>
            <c:dispEq val="1"/>
            <c:trendlineLbl>
              <c:layout>
                <c:manualLayout>
                  <c:x val="0.12064627740440567"/>
                  <c:y val="0.39613664661627773"/>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rgbClr val="0070C0"/>
                      </a:solidFill>
                      <a:latin typeface="+mn-lt"/>
                      <a:ea typeface="+mn-ea"/>
                      <a:cs typeface="+mn-cs"/>
                    </a:defRPr>
                  </a:pPr>
                  <a:endParaRPr lang="en-US"/>
                </a:p>
              </c:txPr>
            </c:trendlineLbl>
          </c:trendline>
          <c:xVal>
            <c:numRef>
              <c:f>'PIVOTS &amp; CALCULATIONS'!$AB$38:$AH$38</c:f>
              <c:numCache>
                <c:formatCode>0</c:formatCode>
                <c:ptCount val="7"/>
                <c:pt idx="0">
                  <c:v>10</c:v>
                </c:pt>
                <c:pt idx="1">
                  <c:v>15</c:v>
                </c:pt>
                <c:pt idx="2">
                  <c:v>20</c:v>
                </c:pt>
                <c:pt idx="3">
                  <c:v>25</c:v>
                </c:pt>
                <c:pt idx="4">
                  <c:v>30</c:v>
                </c:pt>
                <c:pt idx="5">
                  <c:v>35</c:v>
                </c:pt>
                <c:pt idx="6">
                  <c:v>40</c:v>
                </c:pt>
              </c:numCache>
            </c:numRef>
          </c:xVal>
          <c:yVal>
            <c:numRef>
              <c:f>'PIVOTS &amp; CALCULATIONS'!$AB$39:$AH$39</c:f>
              <c:numCache>
                <c:formatCode>General</c:formatCode>
                <c:ptCount val="7"/>
                <c:pt idx="0">
                  <c:v>2.2000000000000002</c:v>
                </c:pt>
                <c:pt idx="1">
                  <c:v>2.75</c:v>
                </c:pt>
                <c:pt idx="2">
                  <c:v>3.0266666666666668</c:v>
                </c:pt>
                <c:pt idx="3">
                  <c:v>2.8695652173913042</c:v>
                </c:pt>
                <c:pt idx="4">
                  <c:v>1.9705882352941178</c:v>
                </c:pt>
                <c:pt idx="5">
                  <c:v>1.2727272727272727</c:v>
                </c:pt>
                <c:pt idx="6">
                  <c:v>3.3333333333333335</c:v>
                </c:pt>
              </c:numCache>
            </c:numRef>
          </c:yVal>
          <c:smooth val="0"/>
          <c:extLst>
            <c:ext xmlns:c16="http://schemas.microsoft.com/office/drawing/2014/chart" uri="{C3380CC4-5D6E-409C-BE32-E72D297353CC}">
              <c16:uniqueId val="{00000002-6171-479D-AD29-456BEA44DE45}"/>
            </c:ext>
          </c:extLst>
        </c:ser>
        <c:dLbls>
          <c:showLegendKey val="0"/>
          <c:showVal val="0"/>
          <c:showCatName val="0"/>
          <c:showSerName val="0"/>
          <c:showPercent val="0"/>
          <c:showBubbleSize val="0"/>
        </c:dLbls>
        <c:axId val="476432623"/>
        <c:axId val="476429743"/>
      </c:scatterChart>
      <c:valAx>
        <c:axId val="476432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(m)</a:t>
                </a:r>
              </a:p>
            </c:rich>
          </c:tx>
          <c:layout>
            <c:manualLayout>
              <c:xMode val="edge"/>
              <c:yMode val="edge"/>
              <c:x val="0.85450568678915129"/>
              <c:y val="0.92960629921259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29743"/>
        <c:crosses val="autoZero"/>
        <c:crossBetween val="midCat"/>
      </c:valAx>
      <c:valAx>
        <c:axId val="476429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tries</a:t>
                </a:r>
              </a:p>
            </c:rich>
          </c:tx>
          <c:layout>
            <c:manualLayout>
              <c:xMode val="edge"/>
              <c:yMode val="edge"/>
              <c:x val="0"/>
              <c:y val="3.3140492855059787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32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25AD160-6F02-404C-8289-8DB4921FE5EA}">
          <cx:dataLabels>
            <cx:visibility seriesName="0" categoryName="0" value="1"/>
          </cx:dataLabels>
          <cx:dataId val="0"/>
          <cx:layoutPr>
            <cx:geography cultureLanguage="en-US" cultureRegion="ES" attribution="Powered by Bing">
              <cx:geoCache provider="{E9337A44-BEBE-4D9F-B70C-5C5E7DAFC167}">
                <cx:binary>zHprk504lu1fqajPVy5A6NUxPREjOK98OJ9+fiHSmU4hEAiQQIJff3eWq1xld3VVT9y+MZNhpw0c
DmI/115L//EY//ZoPj9MP8TO9O5vj/HvP9beD3/76Sf3WH/uHtyrTj9O1tln/+rRdj/Z52f9+Pmn
p+kh6F79lCVp/tNj/TD5z/HH//wP+Db12V7YxwevbX8zf57W289uNt79ybU/vPTDo517/3K7gm/6
+48n/2DWH3/43Hvt1/t1+Pz3H7/5xI8//PT99/zDM38wsCw/P8G9OX5FMkJIwvPk55/0xx+M7dUv
l9PsVUpfzvMvVxO4/OXRrx86uP0vV/PzWh6enqbPzv3wy79fb/tm4V/PameLL+9c2Jclnu5/fqef
vrXpf/7HdyfgLb878zuzf2+Sv7r0vdX/a3Z+0g+/vvy/we7sFeEsYUnOvjV4/irNE8E5Jl8s/p3B
/4WF/LHJv974ndG/nv/e7P/1v8Dsh+nh6fNfGf3/n9fvhgfd/9Xjvw3LP8215BUWSZrQVHz54d+4
HkEqkhxTmqZ/nGx/uZw/9vwvt33n91/Ofu/13d3/fLLtp4f+8S/d/t+wO31Fs5wnIvs217JXOeGY
5YL94g/xq6+/FLe/XscfG/zX+76z+K+nvzf5/vZ/3uTXdvKzejC/GuD/vcBh8YryLBWMfGt0xF4J
uMCZwL9YHa7/vqX8K0v5Y7v/dud3lv/twve2v/7fUOQ+T91D/2/s6SR9lYhUcEaTLyb+1gMplCEO
DZ3xX5r6dy3m8Nfr+WP7f73xO/N/Pf+99cvdvyPy/3n9/1qMywf/sPsZMf2u8f/51Z9fETDcd7f+
GfD6EsWnp7//mCZQSr7isJev+CbEj3OvHqavHv96x+cH5//+Y5a94oIScCFLCM6yl6oVPr9cSemr
NE35yw/JBf8ZO/SQuTXgOA54glAikoyB18HzP/7g7PzzJfKKQVtJE8yzFxzH+FeAem3Nqmz/1RK/
HP/Qz9211b138MwsxT/+MHz54MtKWZLlAhMqRAL/ywjOoY0Njw+3AINfPv9/VOOaJu/ZWHRI2Vl2
o2FHs6n51CWsfk1MHXeWkvC6rle123grkZsSLfskyqFPbnHeiMMyZp9WvthWBoZaSYbgTtxWtOD1
JOQk0vao8wWfp6ttTr5ba8lZiHdtMDdNn207WjVY5n7MzjsxmUdbba2T22RnIVma+ouI2kPqhLio
fOuOnd7Mm4mTD21PP2ZJpWWlh/mQL97cxYr4thjnjt+5daalIKw/si5nu3qI/D4dRl4XS+ZG2WTE
3zClSIG44FPpbDMUcWyTXUZM2HeLcBcNr7lMSU0KNjfbKHG6jed+XcczTPtKOqLNxYLoul+Qp8Vi
OSr6CT9vczZe2nomxUqW92s2+53fXNxhlyenFavlliyUShtdd8stmnaE9+ZybTI07uagkzeaje+z
uou7RPTxOcuaUaJ1XN6tTZLsKmTxWWXI+3Xu6tdj2wyyqzw/kLmqB7lmA7pasyr/ELp1Oh+Izct+
ShiRouoP2tan0TdmPCkzzxL3U3i3Kl0lkk8BndjoUyeFGftBzmFoPtS+D4/LiuorVwkDLsr8IDVd
tyIb1vFqdUPfyW1b1YMVLh698slWaN2I+37rhRxWEu5XF6Z9ZoZeeoTGM2264RNOE1K6tsp3iW79
ZWKCWuTa5eatj932FIc8lO3APszIJFLlsZJG0LUpcc+IOfERgZe4yC7omC1Xa43zXppx6+6yUSVl
9E4drFiNZM6chJj3kVE46Kf80XWr7iVx2TzJ1ZtayQn3+ti2Li11JeJWQJ7muxj5Z5sMm2TjwKVr
R/Su6rLAZKi3o2Is/wwZPZ9iEOM+acZFkmz9GIdOFyZn9Yl3KK3lnAV7g7I1v57nYZSh7+hRu+h6
SQ2aDinDlEtkwDXI2P28WrUXVQ7hnCuxvh+XPi+UUGnJomqLul7UflLc7tpVuRseY7NIm7bNldIB
QiCEOpyvuOeTxCxppXUpeEZHX+jl5fqo+/6NwTq5arJoT7abXWlTP5SbMajc4ubfrrrrPs6my4vB
tINMNQ9n1CVcWl+ZEvOxKrDg+Sm6yd8Y0YakrK31BVrmtmxylb0OuJ127RiuRzcdksQPsRhiSI8z
ofHcdb69SDNPzG5Ws85kwFZdqTzB+zUf7VVnVlH2Wdtcuxz5PZlmI72KqmQTtxAiyXDUdfqeePqp
VpA6BXKtOOh8oMWUqHnHdVAMXK7t1dKw+jGl8/ihbxObywrx8MZ1eNzzJjFvyBI+UYr0MRmWsOsz
9jjguD03WaVWyIltPgWx6p1AYS4HlnY7b6FGyzoJyXXdsPTjuKZ25+a5lm0DcVkQMb2rnAtHMpq5
mDs0n3uUzbtm2PxzP6nuWTPCH0mVtVdk6OrzYJK1zDY0n3WuQR/6uKIiLAPe0XGeRtnXtd5X9bZX
nUflEtytirEucugRxZhmqKTr2L6rK+Z8OQXePmFcr8ckZLwYmO4/ND0bXhvta5kLpS61nrbLmM6q
EFq8yRWv7zfzUlzV7LPnkVdBFJFHKh3KIlRTlKbFXKn2OBFjLNh/w+WGUfaU8mldZb0idJNHSD9B
8u2MVe0VZfWwW9JmP20DuyVkGm8TQ/NdTafm5CpnHgRf8gs3R3VmGwcuS2qwf02pvsu2Jbmakz7Z
rx06qFSdhoHfQ5G/T8blkCYpRF17pb0qJ4Rq2Zl2H2piZeX9sR/ovsFtYXPzAffNLvXzPpnBjEYc
0ciPG/NKJsm+Vv1+aHg5pug6Y37H5/y4ECj6NTq2i7kca37p+tFI5MdbymYlRU6VpKk+baHeL0M7
SoH5rRDrWNDRS9LaEw7jtQ8Ujjdx0Y39VDRzPxTNIshhpUN/jCEWiIT3cXwHAXvVtbgcN3+eDeOw
a8R6M+N4vrbZeTqmD34kFyiEMyuyyz5ZT2gwZ8Gzs2qMpz5Uncz08nGc8VU9V0/e5a/zRr+u0/yS
VtBObWtuN85LSkkJT7ycc3zvctwVTZ1DDA/EyI0toei6Bv5Or3nVQf0bpvOu0ieMhqEcXd2Ujhkk
PRu7Ms94U45619oJDuyyyjFhkDB9Be8g5utkzq8IN/AAKo4Z4qm0tD2QKvSlYuN1pzok59GTx961
vYRfENSUPOVpGo5m7qd9h7dGLv37ltNPU6x1AZ2Fy4asWkbDtLTZtMrWvd1UN5Y9gdgNc3MhHBqK
Oefn29Sfi0ZfiBD3Q8BL2ecRmoniJ4abizljQ9E55g55Pu5obJ7rNTvlQ/ostLJQmPsnkW7TPq2q
eBZrse0xM500tj2wuX6TtSNAHT+LsvW133eD2C1I31TdeB98V+CuPiIXCp25btcae6bdeEoje2uI
WQuG8C5tddng4SGfTBlyKHU5xGMa83e638A5Id+FdXvTMaH3bTqRY907XCRzdQCjQDD3bO9czy/8
1u+qyV+1ajEXWT4/u+DxNQrrUCKrH4ZZW8AUzVYYezm27X6ZLjLKn7IWve1percYM0lncXZc3RRk
Uq+neRpeb4aeiXZbDtig8FmTutupxL6roJCeAzxsJBJTX+YNe2YazG67rDlAQidH4erXXZMZCYCW
yUTU6WuzblAKlix5jlsYpWrG8XE2izqvGSISQ2s64LTDkizp8FrU+XA+6HS8FEzXUkFHkyTY5B4a
6lKwPuJrWkfSF4SpZr/GJN8jlNqbMNDluW692Y2Vmt/1UPLPczqHtHAZwiV84XZeZ9bJNddxk4lT
21XGfdeVva8hB2bM0EWOzVZUQ+YOlcmz9yqbXSZtt1TF1Pf2nFbUF86rsd6tSXo/qkUUziB8rCbL
pNcQdnXS5KfgfJZJk1p+xsM2FkYAfGv0eEvSzErHqqu0iapgXYIvpk00Uc4mdZcs9qHwcRlkRDE7
+WU4G6Oar/DkprJroKXRutW3C1PxOGXLsCMB9fd5rO9aM/hO6mTWsu4Xd4CEzs78OvTFlk6JHEmb
yWgzeHmMkis7DyvgGmfk4FuzGxzZDkMc+wuRxe0MfmEHpavuypGkVX0F48WyH5Y2ryE6uN4rP4oj
JWoEVMvJXb+w5Kk3SSg7Z9x+bGJ+vtVruFYEb+Wc4LnUHU32GoWloMs23EWmU4iCbL3LzEiKSg3T
sZ01mwu30XA+pa67mrqNHNq4sIuuB0TlqN81Dmd4582yXrW082c8Zc2p6+x7bcbYlwM45rYK81YI
ksUrY5u72Fq9z43nuuiFGHfVOvgb6hXF0J4q95TxzuwM7u5in+QHAcPIEzUxlNOw3OupB8jg6rRY
k9mUq87GKz665MC7lLvCetwUG6/XC5SbN31D5quJr/S6CqsqN+riGWPZWPJe5dJX5KGjobqhoBbc
9jaAq5SvzqnOspK7Tu9o1vWFqE2/t6iHqG/qhZVNpO5GOB6v2gkPB23EUhDPSLmollay5YA0AMmE
8TKk41RD+mC+J/nUB+ndtL3OstFfMj2KXmYjX9/VaTeUKwRE6Wg6DmWw1B6aSaf1PobF3fsurY+B
0UZLAgBJHSuMTV3UnWVvEtL2mUyqdrKSNjj/tFqHL17Q132HiH+2WvAPQ4zuul7r/GOnUTzLqmU8
0CRlB7WxtMTL6pwcPe5RaTvev2t6DCFoTNKcZU023aWYTUcTCL+fkb9r0za/EQHnQTaKp1ryceOn
ZMrRta9ZSHbz3AK0qlhbeUmZsB+CwortRJwoNOdG3SZJLQYA9FXoLoioqj1Lt17vyVqr5RyzmIIN
q0XfhD7MqVxYTj+uSeYSuVrc3TZjHdPdFCi+9DXU72J1ml42geRDORvSLhKNm5Op8Voq7Orb2MUy
dnX2TucvmK+qapfsiPf+wtlsbKTmapkkJD49p42Du9IhLKVqg9h3q3GdDGk3nvcwLD3Xi4ahjIr2
wZuk7orE5eapNpSWPW97DAgi7U5NEPMFV+EJgBZEoUb+2DXCnSiiAOy7EM/nJZLSbvN8T7skg/pf
QamHmA2HUIk3c04I4H4cXRmGLVyZxtFSTd69WdLWnBNmmjcNpfx+4DM7JyvNLMhd/GPT+K0YEtVc
D3kDkCPOJLkZadfHQsRoy8Xm81jaZEouDMunktt8ewOrePb9pG+mav60ZiMrzLjwIl1NMdVdd5mO
GpVVtWQlCHRPc2v9rrJ9cuegO7yOuSHHBXf0hEJMMgm1564PCpVqnDYpHLHnvh6f9SDq02LrcFev
y2tnGlXATBTPJteRW9zNejdU8V2+VVSmNbnAydIdTGPcWjqkP/EsWwrNydPompBKXaFwN4c6lqMP
ebkmmgDwDb5IdcqPrkVbQZmqS97Q9ZImCPqpNxLYkYuBtuhY6+1c0B4/G6pCuXRz2I2i7qBHKKA/
EqouQ4Wf15b2ZzPC+SpTmNL2vRibt8u2cjmgNttNo/0gbB0LvW2dxO1avc26ej83mn8gM6ZSWSg2
K9TDqqcMSnZoX/u1bU8BxpEyY+atWPJrPRNxZGkFKMHm03HxfAEMvw1clYAS38N8BJiGoP6CzW1/
ch5fdTNVkJLqgESvCgPTI2ObgNiAePXchaugibmMHdNXmHRr2Vd9+1orrM8TZTngOKILzjAMUwYv
t3Fdh2Lrq7asAn4eguev24TSQ05bdlkvOd2lGB3EMLbHvsZaztsyEEljezAIeviUCVQXVWzNGars
VEIZVAAaQ2G3ZM2L2E4v47Q6Y6QqXIrCLsNTf2gpwieA10OROsDMlTV5EUaOi61rk8dWILerEsMP
FV43OdYEK6lBTigpIJcdnfNZgo/oCWdOHGrn/U5Mmd2tKRYFzLHswmzJR4dHjCWqRrrJHJimgxuy
wUmD1uXtKlC1n5D4XEVdnWU+ay6nNJ92bNJ2P3Vry2WgSVeapmmeI5jiIg0qlc0SP1XVbIqwMRi6
gb/Zr5t5q0A53HNkR4DuiO/VZuu9HdBy4TN1Ej1hJZ+DORuAIdovI33f19VnGIfpexpJe2JQ04ok
tuPO9pgeFCAECdr23eTGETg2AOuHaRiqi+WFhhvcIIp1AFMsIScnGxcgbKJLztJ8qG8QVet+s9n6
tkVTcjTAv75bO4oKB3zRsQ6BngUT6S5nGpguxFhJlBHllr1wThbZoqIh4rIZ6uV9EAoaoZkmCvMU
Sw+9j6Kw0G0koMJVcsNtuTXhqXeZYQVUUxj7OAKypWvXA+/ne13zM5u32WHS0yUXgIe2TXQF8wMq
1Fh1uyk1y3mWtOMdseKyMeCcidaThBn6duAQEUyNO55t7jBvbJXwwkg2IQGWyDfbZYsrEK1Jzio5
zQL4gajsDd5ikIQjJSMzyx6lU3Pjx4j3aSvcdZZk1JQZ6C4AqVednDaUrMfAhyhBihmOiYP6kGRd
dtpyAZS8Tcq5nYZ9tZAL5egi67HRO58P+oKgoS1EB7AgW9u6aFpo/nimAOYm1bYFmoZGYpgPDmxK
Bkh9vQHDonacz8vBEad2ymQvE6vQJXMTLoUhtpxhqj5DekvLNvXps5qIktuyJmeQRDDdEGNlm9aq
UN3L/3iFwWkzBqgWoJavQL6BM6drnOXooqkgt6hagG/guSgU0kquwEOfTzzOBRAZ9IJXTTxrX0jF
sPBd8GHbM59Vr6HN+wLjdgCqAoldj9hwzG3/vq7wgxhcgHES5hvlVyBJVnGHunXc+7FPENAlaXuW
LDyGokF19UH7NkkK0U7b+VYpflEn2wwYl9Vup6uKnUzK16tmqdeHgMxHFDTAa14lh8VEW3i3AHD2
hMh+ndkOxsmOSszn/gAoPxy5Q9sNGukglWDZTQVI+O2ABLYFwCR2q7WugeVu0fqoFxTl5nMvTYBO
TLd5ffZDG68d2HwD9PcRSpL2xdiqc7Ss5NyPQ3jXYuIvgeRQ5e8Fk2/Y+0c7rJNW9S87TL4e/ue9
7eDPz3sjfjv5skHlt6PLX3e2fP+pF2nl68dAJfhFankRNL45+Adt5Z+oJ1/2wPyTi/+atMLzP1NW
ftVYf5NiXj7/RVcRr0A0EbmgOflZIMGgW3zRVRB5BXiSZ4LxhDBOUwySxy/CyouYBqIJCCskJSmm
LPtNWElfYdjEQXlOcYpzRul/R1ih36gqUDryHDaEYJrRPIEj/p2q0o6kmirQRyStx9geY9psb/OW
iLN+6txF284Q3b8zzR9IOf/wRNhtAOoOAYWJJmAa0Jl+r+MkHRq8s26Rpp/6AteEWbmFkCaFjRNU
IpLp7ebPH5mC9X+nHcF7EdDcU0CTOTB9IKW8aEu/047sSLStknaWkW5AKDXL2oEqEl/UnC3bGIC0
ge0oA3lnZ7RR7+fcolyuKn+OeDKfwpAttlAYx3fC48D3f768lzf+Tdl6WZ1I0xddi+Q5ZpiDMvr7
1WE708orPMnWroDnl97Rtaw2R69IapGWmwkcqCW7zl8S9csehT9wxXeaGjwZdihADKUgqIlEMPpi
t9/ZRc8wpdQTsnJdCLRGm3B8UAZvkxxAFkpO2iZQzTTNpitoHlN6PupZAJkAVTMtJjUCzF/HWRtg
FVqP5J+bJSXf24XCsmBxNIckgeyAHPj96oAogxmCWiuHysZMIpzS6yl3UdqphQlxGjvNjmhCvC8J
nVZ6yFhtny3PIZbaDrmPM/H6ppv7Fl3WME2icqUI5rG/Wqb4NqRZllAMfTVhlKWc4IQm3y6045qK
SMAYDanISatq2sHbNOdta5IjS6Yna5ptl+ZielurkH8a+0ZNwLUxDxN7by7WRpEP1Nc5TGTAndyg
yGDCWg1QJjOfRnoaF0XeY43GuhxAW4BxYSHpwzyJ1RdNWAw0IGjRh1EJU5eRI79dh1WYeJMLnX7a
Kkvz45BVcwV8yzz17fXWZL0CAs1ifNOIbst2ePIYFKfO8iYDDre2YgRVY4rL3qTp1lzXNOh4UKzv
GwmUe+5KD8VNEbl4yvwdm8iQgqMi/8TQnJhy0iNyp9mAQgINp+sPwCVBT608gm4MIvQQCtJAzKHN
2+k0zYPLrtalr9bTRhkAnsR6BEh2IrGBMWcB9qr3IT4oVlPQi3oByUCBVtYXqyZbkHhr2x0UHPjG
bVgTL5dkyQdZDV12MzmYUYxvCbDAwCpc5hsMhZc97BtIAIVG+I2iyVSBWpiUCmXbtpUw5YMpvd2q
8ZAnoVVybDvIi27RTTysKEk+KUpAAxPZBh9UpJsLY4ZpBqZQjWdDpdJ8D7xobe4X5905zCwYydDW
zQoaAiYNjFujeZuy3PFSKMGfgKJkAOwmXEN7n2MsOrGxT8k6AUPBQBMwoC+aeE1zD3V6qxICnRxE
SAD7dUZkAiROBVnLk0c+1cCxRtJs79lmVFFDWXnq1ILzHSI9BwFZbEWo1jTdxdFkZQ248S2IunNS
BB/7TVbNXN9sHPMnbUNActVUTpvrYWbr0vSGiMxPZ1XTBg9cAhHxfs4X+yJQ2hqIhJqnIAf24zVR
sZ/kmPn+HYLCsgCZU9O7gQw2nghaeCebToUb3uYakC/MyalMJ6HJrp8WexrJMBxQ69MzbPhD16Eu
Sops+wAwB2WPA62mvUva5mltCAHZmbZQqSa8AmNC5n7c6a6fz9eNnofBb0+pmYGDnL07YJ0tMH05
Xp+wyHp48hb90YcJvwaSrDspOrt3wCrhEvtKSaNhjrUxBxLKebsnfoG3XmO2grc5QFxXj51skV32
AujKRvYkh4DNB5/uY+erWjoOck4fXPq4KT5pGL+r7F0K4xGRadsHXNilmUDAIvMMTBLQZ2nCPgNB
2NyjJhfPIxrJWni4H3heZwB0DQlOASQyfZZOERUwx7Ey7zFQsZsb7pocgZ48+r5519qkLfXEAZOH
MQOpIgUnZ6B1tyoBBUIQ2TkHRWsDDH/G1pnc5VtDPum49ldTzCLoRWMF0lvPTqP2sO3YwugnhwS4
joFkUErsSPECNGTb+D1tejLtzZwP+xXEq8+Wi+lyZHHbzekA8mpvq/os5CCBS27n9tm6TRdbhdum
WGu0CNkG1F5HEI7FITILojtogbdJO+gibXh+3irXFLFxqL5cPZrFuRlRW6SLSRc5+0iBYk+m3RC0
E0WfQLtKku0KhmwGrcz78H7ADEK0ogpfZq4G3WIe1TXvU31o2hZkaFR5t1uIz25atXngkR0+Msfz
Ip8teTuKwepCr1oAu23RtodZfAGGJstADx8bfmxqxdoCBBN9ts7jekhGQ/yFVSY/YVDJgA232SB7
tLgCKNb5Dtq9+cSpxpdNOi37rotVdeNT0PBKkK6nRY5bNt4COS+mIwL67GbFtIYRWlf0nCyCt+eL
7+vdssbtGvWxkSQJepMcNigUqnag/c1u+4iVAxqhtzndb4K9tBxlc37TzrZDNx1E+nDSQWziCF0Y
VacFUqErg4v1foSIhYxu89eOZTAFBhp2oJ6EsqE1KkD7nksEM95ZNOR64eGUY35vK55dtMu67gPy
hwym4pGlj53ZbodEfHbpcJtasaNt9mlV6mrawj7f9DWQhvmJABFwleMJNiMYx2G/BwjvktTpnRno
pU8TvXca9i5EE85i97KLoQW5ZGQ9bMap/i81Z9Zkqa5d6z9kTgBCCF5pVpd9ZVeVL0RmNQgkgSQQ
An79HWv73Ovjc8N2OPzklx1RUXvv1YmpOcf4xvRRHYVqf4U5vB5MTNPDoPP+BKk3qvIsJmdcb6wK
2q7/3eiI10nQmiPOIKtF6uevJTHrzYKXgFOEE17bDN9jkhHzNva2Cas5hJS27et0CG0GOoOSeegu
lm5uK63M9Y3ro0UUNpS6tGMMFiAR7rM3+yGCpN/dpUo4X0UBDw+s81ZOBb7Qpv0M6OpcmTVZ8Ky7
tj2gKvP23PUpQX9FFOTGpmnD7A6uOc3qnPLpZQxRSuNeR/iGhaph67jm22BgcSQtaSBS81aXALya
9qIgWaDBnentYprr0Nut0xH9hS9zu1Jeks6v98L3uS+y3Hl7Sza91t0S7hipSdgvVW4WM9XIHywn
uOn03qQGPftGEs3KcVQpL7eVbWERzvv+rW/wnaMMUhKVCVf0h3GM5zWkQl7uJtwhK8k2Xg4MzdMr
nllz22/h5sshyNha2GVIq35T+nFHAYJPHmxDvUyt/JW1M7l+R6zebBRnFQGokxRm7PoXhoY+L2av
pqTcIMzGx8wHyRMLuqaUfS7+6KgNXo3TnYP32UFW5G0LtzQRthSMTWXeivh1TUn2nceJchcz5jCr
+rlLxvPcEaBGZtn8kYejOSXDMlTr0oL76Ix9GCGK8NMY9/IhC/L1h4uV/pb01F42FWZPC/76jtDo
fckgdjCRxHcjke1bvEFtcjyeow9g+BTqLDzptpHRH/hK7LV1dqrt2Lif+Gbpjzlqwhv8cDgx+HgN
7DcbB1DLJbXvqYFWC4FyJ/UWXK2hwX6t8bjWOwa4UhCnT1Msrsa0hiWAZx93v0wC4k+uldGHFtD+
MyvyS2RGpotswfsUngzDQYBOw3M/wraD7Ivfe10vqZqWI/ROAZV+XOrG6+69Z2j3dp1ml1C1JiqZ
XvFLupxshySgDh1VJPztkpKbru2Xi2qgsTU7YLIm9OwLflZfZhqPm2vcuSEQepNs32iN2uXvx4jc
+E2O32By+L3cWrKc/bq2tQl09ujpHL0ITocbNUfmfmN6e9y0gvaxyyE/CD9CZo5SDJXheoYQKj4w
j/JyggP/BGIsOIJSDZoarN3+wMkwF6HuPfxJgjEIg6L5NcRJc6uiJbqxNpheCQb0Uw/y56Lymd+B
lWofTShuACQ+sL0ZbvXmwrhC139pWXAeeiu+p83oP2njxleHFucoZfoUiu6Izm2DgTnC7g9CA7YQ
drl1dIKXoaaCR2l8AGLh7vZAQbbc4x4XGhC/USp6kDaH/xgGmBKN0i/EYzAfMyKP2wBxO844L7pO
REeY7rdM6qjO29nd54INpU9B8kCLt+VsMnCC8FseiBDN2adwiYjz2w0AufkCyCh4QaMVVZYOwc0C
hoyDxvPw6bSxwCw4Z9Vmk/hta408ZkTvN34YfDU4+sU13NpkcKb2uVpqJbrlKBry2yR2zA9O7AqC
WNLcmAA8BedTDnhoix8grY0vEZ+GOzWE6YobqmP1ygla6O2qaTnhDxnj882mWVquwbadBMTZSgdu
u1HJML3wXfzJfTb9Uj4XVbus+VjwuM0K1sW+6Jxvjrrt5VGGc4Aenw95lQ7jreLq19aMkMgJH2DT
7xB941kUMyT1DwivW9lq3aLuTNM9W2lQjBLO/R6mXclJb4t0QOfR7BjPl7THT9yJ45SI/cllc/zC
Et6fVpBxB+kN5F49mPzO9dNeDM7u5dQbnANi+0OIuvszR2f4m1m5F26JcM80TXxWUxPcJRlYlW1K
stc8aTAwzbP0N4HUruaLfMv2FjWXUlU0cujKJY/tezTOVTA3/QUkWLaAXEsxT0ULrn5pQoVpxbe3
gV3otRcO686s+22j0+jg5/YZv8lawP4gVcOb6eBy/5Y1oBy2bZXndQuBu0V7Ta7EYDQO20EqduSg
FGvSzUqXRuOILOm4VWF89UrVthwG36EcCcwuEe6WFyiW5BSglTpn6C8wxQ3kp4QHcYA59Y3MGpq7
XXL+HnbBo2yhBwdx9jsNaXzBrx3VGa6Wc951cGrcBmtqvt9gld+gFmBe84F6Rr+2n0Qyy5LHMe7S
tbuNHQUJNqgkU2WTM1fnRm7HJRglwBBc7y0e7xP0ruaA5viHYp4f8zQn76pn+Z3ZFnRWI08LCtju
wLxDHRH515Rnz4AfolI3vS21jlwZRUAj03g7BXiAisEn5HYVWQ8qQfp3rzJ8BSvYuHPmwT1u+/AI
20+p0jPBnsEE6MMyM+UKuKRoaihvTnTfv4N52Q/AoxxGMOq2AheYqs2iZbmTLHVnoHBrUijnZmjl
84Kf0Ox8LBKGWSkxGBGKrEXzEcrhq5nHdwla9JfZ5v4G/6F6YJPj6bkxjt4lre6HglubfG/dmFzS
ZVzuA0m3TwF/4dFHep0KcAXmFFL6megQEEqaWX0HPDj5lEmoH9MeJrpJguTOxgN5TCbgmSFYK3jK
XfiEMZJeGjjHRz04fSGwclTRBjw6D1a6SzBk/m7u7Po0cmnvTZfjj8qDgII1+TyrNYCekfgPmyzR
lwLbVIUBHI4jHbxgoK/EdsrFIEgxQeY605RN+AcmAfhjcD3R1r1qtoe/miDZ69xl2y+CE36Ez78e
LBvhtQKykGDMhqmkgdPHVWIIqvNGGFSFJInmKoS/z3GrrZ0p4OaSVxYT7+BnUjSd+5y/j7uMuitP
Q38vweRmgInGPE1a9m9kxyvBcVrcU8OC7bJaBvVTCPsT0Fx+ElFEvo+jHy/tQH8FnRwuyZZPZZAS
9oK2/VkutLs1PebYIiX7k89I+M5TtLJAxd0pBGTwJZJM/NbwQyAGpGiz7HwcZThdFgXkb7YgdLdZ
6JdsMdlTyOxQ9zg0pxyYduV7iBur7pdyAGV5hJ8bfIv98LRumlcJdU9ujKOfcgItRNTo78TifyCJ
IAGwROEcgg4P9FceJgu4lL215SjGdgZwG1DAOt3anJQL9PfVUgPcQwQ3bdqL+fqFA90O2zsVTawC
ZzyYouv79EKG1ZNiVQrqDbrY5NBkEud9Xq9UKLCv07zZrfmmJVxmOPL5HBx2u65HHW/pb+bTvTaR
7+90Oz4r0qzjTz6vySKLJaZD9NQqBkRwhJjxsAhJm9pTAz5rtWF0iZw16M7dHme1RWFJ6jYSK38z
kJx8EaU6/IpyDYi+kd595Gi8riSbyY/N7AKcQrbHNylU6KcFiApA9U1BMNuSJMjjotXxldNkWy+6
E7Gw7Q+Q7dAdg7tIsxtqlsaXsRVbdsqHJp/Pww6Z5VbHLfSzMQCVUESGxn1loyio+jnDlBV52R5x
84FEHAFiPKKcDuITrEAHbVukXQ8DmeX0u+cYhe458NH0D2Q3oS3exzJvmF/7GcUTVHfimgNRaLkL
kVodPSSphPOm3DL1hx5dy68lIuolxkCQ01y6bzmu6uaGJV6+zcrKN0xPYFKbUCUfuxWpO3ZDRvf7
cBnj7thRzWtKfXLv8JRhPO9jyisDllLVG6bWOzAE63RWEBBBb87N9GjjphkuDHkEU4xD3FVBMqjb
QepgK/KMX9vNUa7Dcch4h1ZzaZ84bRgobAdhGEerW3U5DFr+yR2E1iqKEGF5RWhslsexs6jpPIql
rFtEEEa0TtFs6sl73wD8T8h4H4XrIPF72hTaO9RIcSKAS2xh4xj//rCDVj9OKodpsk9mfVz2BY83
vPpk+cY7GO0P6zThX2doO4dSQL97gVMZ4wdbQlj92iNnUIt9juZyb3kCorCx0O74YtFMzA0Eau0b
kxzG9qqOIGyx3oHWYXvZRsy9w+Xwp0VwSb+lY5AXsqGBKQltUot7A4/VMx1IdoeunN+1LVwHeLZg
gqqxg99UTjgQYdmh+2RlD/BHIDCS9HsRZYKHMA97SOdLrpAZ2SOxu0quc6fhWDJe5WPn2dNOuoQN
RdZ0QBOWjkDU0OQK2rWIlOwDiGOV7mIo034OJ5QVOBAF7pb1BTwgQ5e8pwlw5WXDBbKAgkzPO6Dh
uWpihZqxjvoXT2ykynzL6escCvE8ETL8mpl0b2nscwjfenpIphDxj3hkEpzYjtBFP6jVHx1paHKi
aRNNZ6BKa3YerYU4y20yenjrdLqdjIwKjrbqMY7JRku3DPJNTgGoJA6V2lRAnnOCy3SkrzTcQrBB
+cpwLzvOPncDUCqANI4beh2ytMg0W9R7Nw8NmnlgvN2fJV+g0cOddeI0+QTtPgTnQR0gwUz5bYu7
9phTCxShy5ptPeBdk88FHPZckKDJcNo32tUOMZAOsE3sL3bdu+/xPtqXrCXzfWRFe4TGgOMSZinL
qhm9Y3uaZ7qLm30TIZgU3XZZNRIY6FWXKDzG/a5IfFRriKYKnGr8SA1T5GaTAz71nNJYnoO4Gxzc
e8NwaTft2lQM8vtWgtfLb9ZhgjafbQGKGmJNspTbTC+um4m6hCk6xBpzGg6279HrVyl14UdHry1n
Fyr/nMwcuBgfHZ6IEEM7njfkDs7btKDMe4RKPpMNOFQ2dhzoB8bvtJ54OqFVbVarTrtV4n7K5jx+
IHBMY4gREdoqvaVKlgFL8BEsnkhgnTrACBj/ddbDrOW/V9HHwEAw4t3H+JCk0gtszWyKRkBZzo4f
E/WgTI1PIzD60yyfoeVmn52ZxQfwML4ee03kW4yGE/BQK8jbHkIHKGhukmJJEtAPgYjw+vArozc8
GwFiY2Ly1YTESX8OOz9gqP7raDEVi7Tmo5wpSMKmByRP2vAenCT9Anihzmo2eDhdO+On49Ea8iPz
VMuiW9ByF27IVVCRpBmgbW9EH0QGbAMMc6BuYVqCss6TBKB9bvDRnAzDo59tAEOzCdI6ZKQFe2w0
ECaMF818DuN48schGsl6DOkucVtYDjtlGZZE1qOX21SqRfuxlvg44LHB/7DaKdCnQFhR73ABuwoa
x9ocMNyo4db13t9OyX5F8dnM9u9posafG2N0qnCFx9sNxWy0Pk18aNGaKh8bsIz7Bsw1G82rn5ke
S6NGGBtb0GfLt79sq01FSp3DvUtIASI1+honn98vPbIdh2mNswGTewy2dct1+yz6JY5PSxCldYqH
jRUBd/mbSDbWYRbN5m95B83kjPTYMNZd3v6e8rgrEexBPzd2SX7mC6QiMBTZ/EZps6+VdZbsCCwo
Co3b4JorBpP428bEuT7oaciPNMgg8M9Q+IfTMsW4FXgqge23w3DbRPHQ3IgsV+kvxya+Pfb5bNp7
m854eKlCjuk2XBeDJxAiSXwzCdbvp3GZ4R1idibyTPO52StjAzBDk1X2jx2DFiGmPRBvmphwu/Gr
iJsf8Z7uJi/itZFnMkV2/gy7UOxvcXPtDLLIs6wGK5qzOoM+YZ6TpkcQg0ei1tGcuzIdM55UUH+6
akgnaD5LY3BfwDbpOEJpcYfR0msn5lIx3BJfyQ6ycC9Wb5V7hCLfT0/KdPHr7vaR1ZPJyXoIxwl5
xcxQRx9cEIBKxO6PKlvCGzFE8TfXDuJgIQu+Myn2n20XNnd0HyOMvpTegDfZ3xM6duiup+kbA2t2
0ltGC9qm8G/mNDsJtEoPJu5sFeso1MD/dnaLRg6vFOvQVbBh2TPSqfNPoViL45N37Bhybh5hXMvf
kbbLn2lv1w5P1dYgWraYb12v+/zGI5F5k2qT2ioQ3ndlEOd56dtme2fh2p2mXtdznM9dJfjOPtYk
b35MIctfA7S9FZtxFJjgpuqDlv5WncoS5HFYfLds/XxmyxA+8IRQduKAFeLL1YUDfzxqQIVjP59Q
DOgJI5XVBWSS8UtzDVC8dz5YD1tIEMhzhn+SPelPgVwx/Wc+v0lJsl4ocI0yjYL8snEFq3AV7B7s
cVyn2zxnJcKKoB+TlYIva3BBHpXk+zPvgjSEhwX0vAB2y++yPVlPEurgZzxPvIwYAk14gnRQMS7R
UAJrcj89ySU0Q9hQcLmX/nZO4jQuBSQUAx+6Q5yyxZR7WHKTi3pkij/s0FpBN+rJHA1tt6FIIo1M
RQxC7nlHchcUKkexixZMa1yFYV9CTtaktGCZS77w2SMyIZIaPe2AsJEmU2UEGHWE2Eb8rJFAlqlr
zlvuZdGDP/uR7pGsnHHImex7e45GCWMsat4RZh5w99Am6EsWjSOtgffZ981Hf7Iu6e+1W14ZjTZc
haOoN6hZt3BMt4dVc4GIVGK7b+Ps6TXp50bwd7D6bDPRC7hBWC4kcC98S7LPTfrxNgJT8QghFQcf
kZPhEFKLyCc1OBt5i6iNbXBxlHhreYveKm7OEmtbSNksgT+wVKdjlavQ8C9FpuAC063MFqttGfSd
PfId+Q4AEYGrksz3aeExGZdipc/hmqlboCNjAYs6YwXqaXKK8Z3BnsaQ/5i4bfOFRpzlbm90fsZw
LN/gNqhqFi6GwDZwGPNN1pEy8Xl+0w9u/Fi7Bfec3/j46nXG7ru9334Al41rxCxd0UOcfx+u4Ktr
Zlyp3WghVhARdiCFPUSswirQ3AFu8m2I0/bQhrGtfKD/BCxeTnTQs6yuTFD5L9xHG37qpi/2IIcm
6pDkrfG1M2QXO4t+rW3GS99BkJpAB5cy88O/pv3/Qybm38M4YDkyEmNVCgOCEFOSkivr8Q9IjEW9
DAfNUXN7g0qdEUJB9rnlp6cxvLZQsYfex+gq/3OK5P9DSDIAtCwF6xVG6NzoP73s4LqV7gjEoJsJ
WIbw4JY0lYTejZKqMgwGbFiy/+I1o/DK9/wbeYQPizg/1mIwBk8nxEqSfyJs7JTms7oGrOcluSqZ
/RjCgwpRvAogQ7M98NW7l7WZYeBG6KdBP2T9CTY/pr1FpPtc8y0Nv5AdyBcMT12IwZVNq36niM8G
yAFALUeiL/Nq/1zpOPKfmib9HyXk1sP4zoCl0HBAf7D10fwTCQrYP8jg5ohSjvmgTsBBh6cekkZQ
GrmT+yXS7jXDhIuE4Iy29mm0aQTuJ3R6PnGnFlfPvd+2WviGmSqaKay5HkOR+cq35IqMgGlFFcVD
B5ksD6OXvHNwT00/B+ew2QRShd4bXbJ02c+UDOm3lfQSjxbmhC+/etx1fM2gv6K1OpAAzWVp2oQk
Vd8Gewj4XjUT9Lc0TCvLw4iesy5ceLVNw3ZOZYh5baUUygeoHn2JRGrgmWC2fgfFbJAfomPwWw1Z
h15jXRk7wq3qfqRyiOmx65dsrpMm2n7KbO1C8LerM4VYQEbX/bICCjB8T6tZQ4XGBDmuKAFQxoIy
7IkzZ6kAhGKaERCNc2btTb6D+y2y3fcSyJBF/rRl4yYQwswtZrGgG44tQr8EgUlCVN2ns0OQ23MJ
SQCoMco3OBlabNLZSxLJMD+YddvPOt/C9fjXw/F3rvPvoNq/roP4R+7zHzHQ/xFQ+u/+R8ff43XR
zvS/gDqNGVDA/3ihx/Nv+/Vv28GuWzL++g/+vs+D/A2PNJZywJ7CbicS/z/uNMr+hhkJ26AiylgE
NhpV4f/u88Cqj+uOnCzF2c+AS6I6Tn/f5xH/LQYmiooB+Tv772Kn0Bn+qfTgHYRYyBNFMf4Ob+Wf
Cp6b3bBrSKSIyyI+1pEI7MwcugOcUV5DJTCnAXq5wFYLrJRLTcCeDLC430HLZCWknx4MnI8S+oT9
nDphv/zSgKXZGlXtFvccsrnN+2gj8WGj7ZfUHsZ8kED+RTdBn7oEUYRGQaiazYilGUx4pNzJfBfN
SIT0XocXniFcHbpxehoRHD9C1dAn0izz4+oS9TS3sL3I0AYXlYbkRYE+uQjtMT5ymRVAfp8bpZCX
7vOsRDx/OEMuMkfoMGFNdJh8jHKZa9u58AlBUonyQtgt+iOwjdgRMSPUChACI+h9g16Hw9jslwHX
auDWg0tE8Jwb1vzMRm5O2W7nDwh84tC3zt0POgmPHRw7lnUCmx2SFca3W1QB8OBTdGCVdpShqvdK
Pi4akpmP9/C+z7u4EqALvivrEMDLEl/vW0PhSSbsJ8QfqGx64eRiA4c+O1jPK5KPB4nFgwjggVa4
XvkofJrp9EmhiphqarSoY0n02YNzSwGYZjcIN7zCiUMwvwdEqAh7G0gznDJn5am3/XSgcRueYDO4
20B17gGz/5X1Y2TSdQvBN6iDjiTvtl/726kNhnrMHAAoSG7V0JL+m8VSiXufMEiAXf6eICpYxUvT
vzUDQswMlLWsYMkG7qCMH6fKAdLrCkQ5YCfQACNrkaV8BlKCrxxRuJHtASpykj6BrEPIq/OIZB+j
DnIaGMF4upf5qitMo/aAg0lhwqW3xo0iP2Rinb7bTogB8dUeH96Kuf8xtsB7CuglnB/nkcGBHJL8
SxsSnfkgVNXbib6snA2ynDzNr/Hm9XknUXN2U/Zjx+Vmax9kusx3C8fEzerZqwCpviWhyGKvw3yT
GLR5JF4QC6Xc3XBgMTccE/ft3KwNTKSM8HuMStsr70ay1Vi302A8WdZMVDBjS+hf9nPtYgnThnCe
lyKXQ7016/xkLK7ZYVJATXzTnG3cI4oEaOnSq8lhmG+cuqKZ7atfrLxJRre6eona4TihRL0q0UZ1
DFjqTvbJWvWIkM5Y8ZChuVmhBWCJgx3t/hJtGM4LeBLyMQw3HE49bAzrLFIc8qJPRqj1hCAhjdP/
TqENfERy98cwXmVbD5SPiCyRSGPK2dvb8XrYdtntQzEuS/Yz8xH9Qg+DCWEZG43GO4LaMKXs3car
PlrOgDxMEL1ESUFobZeocSgAFBl3jP9I8aIVVla/dWpjR2S3yINjTMZ4yRFiKQKfS3rpEowChkjE
K5IAOy1425Harxop9yyHojptgABHxHWClvwaVmdfuI7jvES/qTAYqUu+R9gNoNL2faajvkgv5l/Y
s9A8BWoJXvII7XVJsCLpa/Gh/NOuPnocZ7od176Vpcna4J5yj7hyC1QzXPvVHwaH77Tcdqz4ibA7
5T3lW36fea7f5aj+UB8vFRJ2+hQPLvwFpcjeZAHNyyRpt9OcgwbLYWVdfRr1SDpLPnD9B98T7xhw
FNdyWUUxm78HqRk+eY+MUQh7RUGXGcfvBuALDLilNqYdzhB+aJWtev5pxni3d2IDQqnFZC4jnuyp
lJ43dQulBMBdHqJzAz+CwTg1HyqV5jGMVltDhMvesQoHNsG4tHGxSLGA4GXwvEDnYnNAsPTq0Kc9
MAWst+k/FsdMeOWHRCnjabuDXs1/rdKiUvU6+COx3QQLF9KxFNicEGgWv48xG35D1JJlDBepjOlO
X2Q8zBepee5LrpDs7Xo8WBBOSSKAWPWQlsdJSoBPEtYB69hUhAFg/XLeJBhXq7yDqy2y2056cmaZ
jbByCdWx0ltM1xJ/BrMCmhIxTlaSkIcV2WX4CjEQK4r0dVtRIEX7uf+1wohctxmlAxLm4yBmtG/X
hUF9EHLsHbluQPLYhUTbREE/mFMI8GGGebdzc47QVpov721i8G7+WqzUY8USbJbjaK/5KEOxf2m9
bmLqQp/8MEnTPKR/LWqK4V4f0xx0TDpk7X1D4u+xbMllax12PF23PTWuNXBdEv+nadu1TufxuwMz
/rqhBJta8kbchZaCzsQynG94UNLC5KH7tnc+BFeA7VEmQdi2m+bvrdHYReWwlUphPRWzJMDWAyxh
8dfdVfN1i1Vy3WeFGdaAWDXmJvtr3RX8JFqK6w6s4boNCykyf8DiGVCuyGuWzAO8rfDzJtiEQecn
sOYGXvfOeDlHInsZUL7r7Lp/a4LcgnRnyp5x+WE9V+u4fFY5d0dy3d6VReSDTORHjHH2Nbhu+Iqg
7BYR0OTDOHP1A+5K9tV1UfTmgpj8yBeLzWJ+V0+5i325JcpgZN2WwqL7wQoC2KBRiyQctj8M53Vs
xGHfs+RJ23WrxgX7arXuH5AM92+2aZsDcORv5BreDaT7sh0WMmCTQgpf47q/Bu8+CgLM3s2yHQFM
ke+hs7gMGgtzCJTSDQ4WWh6Sg7uS+3hUcCH6Ytt29YMnYKZJ6DF8anCLHyv241QLwscvcxNBFpbj
fq9GrACBjdg8gaulT0vT/Vgs+7PoLMQgRVzziay0fJsIFiVEAfZ7KCwOutCw0w963PRFCIyQFNMX
lrLAoPb7sv1EfvO6JufKchALwL/AVoNRwkib9Z0lZj5tWTKiUEzBtz3Q/Ukzh3wlfiKEhhZyXkUY
qTubaV0jQBovxYSU/QmaXrPWfaDsd7iPQa0gZpYWNvEphn0DEWSeDHK4+eieebiBFY3T19xMUOFU
mnr4UDs5ujYnooKRM92IddAH0/LuGEiU6gJjZb9WnBD2sXgUVY5G4gFIrCl3EQ1lIElTAhNTp9x4
jGjU5CWjw0mMjTkjzJ+cQOTQyxAT/r4Ogh8g29A/7ZIFFxg23SVCXb8LaJD8Ab63l27f/eeEPT0f
oBLMfSxdg+VXO/ZsIJe1VCry8d00isvaderbFMU7sKil9UWyIfHLEyEfc35NDaG0kLpB/KKIJ5BQ
tu/kYQUvky/INEDiDhWIc7fUWFq2HXELRBf0D8Nvt4P4hNSaPsc9viAkaP3vPTDYPQVFHQEcZSkc
41gOAxQ/g1Z92X6MaBYPfI7XA8gzcjtF7Q3cpx7EuMWCKCgvD0Hk+C3iReZTx4zeByEYjSsu2BxV
O+6HJBHZAXa4OWjPxetk4vMoZnGmfmMnA5IT9NSEtXDcDie/QiLKZ8/rFattBIR31Ll8Dtmjw+KW
2sbYaMLb/jOVApL3DhHvykWnNzxfFoC0aXaQ0yIfmNzlk4+YPa9obKoFPuQR+LQ+KDH8AYKYHsNV
b12FfC/KQWNAZGwoWC0W8+CiZ5c9H25x8cmSIuxwt3Oe3RgGoL5s12TSxYhdANcgAZbADd0TTvIG
pzTJXtgmjuP4f7g7k+bGjS5d/5e7xxdITAks7oYAR4mUxFJpqE1GDSrM84xffx/Q7g673J8dvbnR
0RuHbVVRJAhknnzP+z5H0FRTMyRw7VSgSencUuMF66fnxyF8mtrFAbJKGFgYJsejqC6UFei5KpG+
czpmA3LFRit07Pw4LjNrQwZmmxuWfCgczi2VPod+YpFoxyoWj9Ela3MkSAy8YXFq9EnRQ2xphPmF
7fG1ZEn53bABJm1GYsF3hRQpBL7RxWMzuXvTicGkdEJcit4IL0OohzpKhRO+oS3JB7XgmlM2ga4t
pui7ujYPad19MapIfoRpNrBRhlH5oMcZnBUVOcVdy1Vjc9T1E+Zx8Zm7iH5OquWY7Oxsaaedo3Ol
fUlsYCQdIW20yblwvMA1O5QJ+Fzd2aysqAe7R5jNT5LyRVDik/jHxk47YTaPYFzmfTq06kIHVPS7
lhztpzQFFViPmfazc/rmqNVz9C2rPWAl6RJpdHq8hhT3lGFKt50HVZXGNk1UaPqiqV07CC1ZDv5U
DCRXilZDO+HC4U1YnPAiUPLNXR5KmsdOimgYVI2ek4ie0zMWkW7a1ErrN4ZDi81Xs8YGXhrFUAVN
ORu7orF/pl5D/9NUlTyNU6h+eq5X+HrYEqPQoyQ5VkqzD1mTHUNl9yxu9GWHXlPQ8ITh14OFFKfa
5IiVVu1DQowXNDc9yGJAFthYwo+xxTBH+V1uDTvsvtVpRewxBTHDlz5+ifL0C625Okhj17KxQaSC
xzWjjw+oAgu325rn1qj3uNieeoPNBGBglbI84CiFE9HAMQwgXbWfMg2Dezi32bzz8Fh+aWasB6Qj
WHEM4W70RLee61KDUlTHJmfmtj9axfKeQtsBydRTg6vB6S9osea9HbMFbKrITEFGhLwQ5hSnCMie
pW+1grgRyLx+k6SwsIBN8qfiqlpjEZ7nZiTVptOqVtasHVyXA96S1sZ14mn6HppWyGEsmkt/yPL5
bnLS8gkzizZtm1lv6JXoSYd6B5PFX3D59sFcpdZmYTHblgSR1jWvjnZdx+2TmDEdK/Kux9wAyKgy
7aQ6I3pdcvVOkmvahLUVHpK40B4KrVLHJZXq6Ipy3jW569zR0dZPc9Ia+SbP8UVVwFcC6jEMjVWR
1ABY0uSwGHl+XUTYBrTSR1w+1SGvqFNj2fVBMwzdaWq7F54H+sASskIl22XrTpIwehNWweA5Q0wz
K50AgQ7ZTk4qn1bjDaeDCU892q2GG6V8VyIHeNHHy6PVDeV2MebGR6YFHpEO0b6fopSE0Fy8uXNZ
Xdra/aKBBCDeoo1+Wme7WfTJZ5hHYyCV6I61iLR7at2v7bqoxsotvocjuIsIGujDjAVm61HP7znk
hMf/v8Lh/8AkukRI+/eS4JYQWvFnTXD9C79Lgu6/Vv3O5bF1DVt4NjHo8eMG/xX/IoOO8oepzPXW
uQz/KQnaELVXxU+i6IDydQU9gt8lQZtpAmiL/AV6YrwaP/qPkP2fNF14xr//9x8Rv8babPhDMwK1
0jAlEXQES92zaEr8ufOyREuyJjBFEAo9eeiLbj7WCjcNoYJyp7w3aBJAC5G6/aQOk002oHD3RpTA
aXCvSab3j1Go7uuYhbiI5NnCbbDpY0QYq7YmiG2duHfy0HoAFSr/oWkk4Bz/6b2TWzHXqD5mUJL+
znqR/tg1cgon9vCFqWBi5d2Asui2KY6HS+vY02NvlgJiR/7CQTJa6bFkd5yIQIbYS3cxz1qzlmvU
36+a2dVfnJgU6oj5/NUuHbnXluLzH26J/+JKw0D85e1i+tAJmwtELxvwgPtL4nyUXT3SPeCoSQnA
vhhxuB7oy4YTzuQybysca6LfxMAxHmwFwim2w/h+BDLIOZPSJAkTzNld5O3nMZwfxVRZWwtTO5Hi
NkVZk3obLCVNENWhkEL81JYl0EOyO1heiAlQKwMLQwq8mDrwp0HPvT0ZGPW+LJXn7EidUuOac4ET
WQys3yJpfmgWFrHK4ZvHaU4hl8OzA8nDe1YHdNYK5UL70TT3TU4yT5afiTk9CFFvsA3JTw3WIV8Y
0+Brk07phsba9H21G53pZ4lq5EcJFs5mqtHdinSMN6vBTCooxuTnYURHVX92Ku8Tp40fErdTkC/h
skm6Vp2qBg0uKrvB97K4JG02Nke9Fupk11i58dmSl0YG2TvxXJxFEnZUJPRj6gnYk1vN+m4gVEvw
OiYyFhfSo4yTQEE9U51Ku58uFj61bThS+WnVhBqmmUBJSGHdZ1ac+5ym2RoAEMGEa/1ByvAgjMZ8
AXXy0NFE8kc+1KYr84GtX0vOlqG9IFcIrAYGKbDVDdfOVmDWNi7Yvn2G0ujhdvfEQeRU40SO24Bs
tIfRdF4umSg+N6J4CScDW2pt9I9lqkYYOXZ9rocWPEASbrUpJ4rtcZkJahGVNKXcdaEdB/0IQs82
I+15KEeThDbf+oCQyacrYRzRXQsyk4tpRQIOVlJxDwHrvYJ95doilG5yayBko2XiLGzyuZk9BaOA
D6wqfcAoubh7r9ERcPOaDbLjRWjQozJp9udMIv2HVXhneLPJp4oaXxXmF0Q4vo3wx1BO+rZtvbty
nM3nYYQa14ETAizWq/dKywjzpYtxmsdmxC8tTK5lrk5NyNsROPZ9R6uNALK0SeCct9JgXNkMbfxY
rtJ/6PDNzvE8EL/hNfH90ZYHRfg8EbDZyai2l10O7OsJhSJwhJweu8Z75uF4ajPjHYlL306kQQ/c
QM1RCl4f33a8BdzqwuLVohgR360hCcX2Z8ui0JjbabjX8fR1m6R0P5OMpk/Y4/bfTFFRfKdEqV/j
dmxjvytcdx9aeInsKf4BvMlmDcjq9nWIMivAv9icUhOpPC8AP9Gtof7BG3qildi+5rXeHMOqK2Yc
1w2EqfV+cUUr7vMFjhBCjMlB2RD3IzajoMrk9MbZHB+BzKduWw51+LZgW37BwEbycP22G9jhVy/M
7G8G0MsjTmxWS5RqtMzY29fZGjlO8EwQTHsqRDf6WaWuolbmjiw/TrO6HH163F+NME5Pv33gpeL2
0NAMClQvHqaIINPRSvKD7lSE7XXthAnW2Okzq/a43o9k+kf6IXnDMRMi1LJwe2LyNC9JTMa7bHVO
U231UkUhfmfOunt0Nx5ZvEwB7Xf8eQh2l9np2XX0IjtkWvqt6yIWFPyS0BwrEA17Zzb1b2RDl10h
XHaERidBqyOzb/NFf12GELrYzGXW3ZjXwirzVVq5t62sutx53jh+2Is7++Rk20Ma1nC1WYdvzXgw
RfoO+AKsaA8faR6NH17k/aiz1ZBrptauqeLvkLCNQGAdPkw2h5GMYuAuEtq8M4E1PHPUJoAdxoCW
bYo+Zw7VK4vZKz1/cd+VA36xFhKYVbOU3u5pYa9St4NGcpljojdY9azQ112Iorj/T5iWyOkbXfkj
tBq+eyOUu7xtrsQQuRXsjlaVopkF5ZCu+BRh7JhDnVZdS/hA9IM8kPg6rX5w3G7uaxOVbPzsrLAE
XLUmVY3A6dI00BY5Bw1dsn3ahv3mtlogPo2kE0maRQ6LMIl/HsPSaY4ot69uTboOOJflZ30YP4UE
DZ/MwiX+Fs1g5mBWles7x+qB0snsrsDAkHEGM68HTWiBl3Lnz2K0iF5WY+OjHup+NxTzg1WRsMOq
kTy5lffQmut/6SzP4BcUp9ZiJuCRPCB3mVedc8dm9bTvoBGvBxrjDWQAAJaF9Q5gO0tdLJojljDd
Tyq92c1u9FXUY3HCCtHSvcl7GiKVsfHIjmzsGjWe2P7gk1rh+cor1su5E4eOtRZ/BW7S3OYHjhqs
fSGJb9zWdhKcoG5bA7ORCR6ClcrVeUQIS2T+IHqMXu26yhUxV/Dvq5C/lky2IcEOSVMIx5W/MnmG
eqkSp2nc31bqIsfDWycNO4JTZAYObHheG63M0xMLm/4NAaT9J/vLr1UQRZstDVrjeESkY/86UWJ0
R1yjNvBo7PbsNSoePmyls7zVDrUQ4TiOd4n34InplUYNj1Cm8W7XpUJ3FvDjFpmoRONeqLNvbWXy
VRXsFHR42te/v1S/kHDgM+mOIT2ulGGZuJLcXwAzZBatLh1FuL1txU3HtSjQPHsavFAKMceZxlZb
7Hjf43SjyeISDQ31HSA0AWN65lsP7fZVGpn6aB1MZP/w9v76VfKkWcjfrm3g9bNWkM8fPFNeolLk
5EIFremdF8eccISvgzFqnopmVQjsMdZRcuV0rkZkNvzcOMy9tDpx1ZCeFFK0htoHN8NNztrofus9
+xkoS74zEUj/oVhfzxF/PGdwFTFEQKFy6cPrMKD//G5H+io28qoT1G5B+LzpbYKwE9LAIgmgs94T
lWx+O4j+W1eZ8avfATckV0bqkL5gPXFMWK1Yf7hGXADJjITUChZUqHvkDL63Ad7qg8BXf9SLUdsm
eAm+mTD7L4acnecaGWFXt6NxHQpxzpZVklpAAt1KHmxy4wlzHIGEFuIguTT9MHrr4AeQTXea27UX
UCr6VpsFfky6cv6UdYZvD7rmOzbbG03xZ0VeI4Ah41NJsfNP8D0Rma0jFQ616dBmEB9bigTvYpIG
25SSfBRW6IdqogpPKPSBmeS7Dl0J1d493Y499UQV5EG921njqH9ju5oeb7WYNypxP0eVvrdG+cWt
RrEnzsXu15HhdPTko3NJYOErxvN5exZvFbKxPk0D/XNsSMYFx+hlnNrpa+W2DdMreqKRt/vbi/C7
pxqLYeH03R6CJOTD0tT3uZqHD3JV06VcV5hWlcbVSzNvz3QuGIaZHA6YjAHtN5SlKW3efTKo58wz
21dT4+qEhdY/htY4BywDo1+RzNu6g5DHqe7xdObJVZu76gnIAlX/WnLentCiiGPa7RUi6JL86Flk
N71MDf+2PtdO0m8rBOw75arsq8U4mcucjvahmTL3jKF45JqYM9trzOXuXS0omKzwSl9YD3RFPa5V
+f1gdAMhsW4lKSypP1deSQ911oOW2pHhPQ1Y0CX8QgH92Cv7m2g7GXRyGAgfEiCLiAbC4uUP685Z
DRH9ryj8IHSTbAd2d7AMjGnxsn3OweENo0YCCXT9cENcdS8h9rvjrQ6MkxZcS64s+PscECdsIHaF
H6GN7vNkPAK8cveLB9k4Vxr2tjGN8zfb08KdAtjm4+lX745qyaZICKYkF7hzJhXTdM7o5FhJok4U
6ubm9gP6Ru26XTbOc5wuYpfopXfySAHSPEgi59DHTnYumvapYjrVSadPvXXX9VrkRLRuxdUyU6AS
4XW3KTI/c0wosVTOeu9pa8ONov+ut880u0y75kCGld9gY6fuKsdkW3bLQaWJcz95Vvm4IBPTDrNZ
gf9+KXV+FUFYJlhHPZZRF6PVX+ynJp4Q+s1rzl7q4n6xhcCPgD02NKwQu3UJ5aByi0sWjuSq7Amj
TZnH1Nl69dIsFUMxlsiKYFnMiB1K41JxR99OqKohrurYSX1s8bnvJ8CeAb23A4ci6xir0d51kWPv
FpcMvGmU2StwMWNrk4falOQc7vIo5Rzr4Z5253t3rLu3wszelnZ5nQicE30msebV8Z3A7LmZ3KHw
WT/uwCZ0O2lo1gXGx0GGMwfS0Wse+f7bXemZzlNPl8knikkDd9H2VkwecV6L9phpP6d4LdyA5MYb
+D1f5hzkNYAKdRrnNZtHPVy9/P31/8tOxuVn1BR1ie3hAnbXn/9hlRacDrM2C/EPJFUdoM5zR2ru
c0YSLaCbc4fXhOPm0E9X/PHh4e9/+S8eYLYIXLimZxocFFwprF9UmSJxGcQhBye4aRTDum+TPdcO
kzdDGNOr9PEfft9fPy0FMk4/y6HIJ/73y57kRRhr2Ffs38/ZE8lIkAoctdYyMo/UdLFHlkpqB8UY
AP7fDGDO2HRrLZbOFJhKcnshfE0XohmY8tdVMJS9WWxbz4rUXum2onmt9xwR1xa/mS+7KXbENa3Y
Ycz14abFudqs1zO+U8VY+m7H6MSrD6EnnGBO5ouOR26XrHdy3nege/PKW63fLWKOxTsT6xbhiLxj
Nsckue+Z5YK27EyPt9WDxtN0uf2q2zYgmWYV4K9Ha5hM1n05UmevH/BWMVe6e2zrpg0m1tDtTcZJ
JUVp33MMvdWoznoA7wYBPiejN0DN1nIym6fH26+4yRnrEnx78b//uv5aBQoT1ybEUCp+TND6L/eH
G3nhMuSlESTriCjsjC0xrITnwjIPwNZ+NpCZaRLixBmxZK2CgzKm5siqy+4xU+IWiyuYMZD8U3n6
X9y4ch1jZdiGsFaT6J+fGlXIWGe0ghmUJTNrbiqH0dqYwwUhIt+AB8DEiaE5lq54RNvdg2J8hTDV
HM3Q6I8F1UhhLGo/mjQMbLP58Q/Xbf31fy74YK9S4xumkLhd7V/E2c7Tip6aBwjUKqoBZEBq6ATd
HtOzsXAw0EfX49cZh8htbtcdLTSx//v38BdxG6IB0/EMMJ/Ctaji16L0DwuLxMg+ROnIsx0qH8mH
vVRablBhndgIcEGTHud3HnmPbZVFziZOCb1XhXetq7S6p+vDqdmiJOyK4SNiJs5RjtWwjUz5E47+
S4sTBly3etQSxr78/TunTP3LOYkzEuWy9IxV33Z+LV3DLJyxRPQh42JKikW8qsU5nidr5yxqCJJ6
FA/kPnBANsPqJ+QgS+DdMKovcSvtO3D59YPtJC6NbgxeF8aTlMl2bp1otxSNcYkdKb/Q0NbARw5V
+A7KoHnG0QBnewbksNOavvmesRMW+7kr45MN3eAnB7Tu5wSj8cNM6x1IpIOmf+vi+UskoCNXzb6D
IpaKEfeJDIC576GcBKYJAccDHKpjJ4TQkBbu9zafd4UzS1/KPN9UOIGPo3KuchTG3mzq+pzNIzav
rHvSxyw/ow58lJapdrD4vri1o29Urs7VNAN+NqEaGKwcvHG91BJsjtV3UdWngSExFvpgxdso3ZlC
1MayIvUVwoKDBBaNUC71DJN6RCnOZPfAmeAPGaZzEV2M1Dsqmvta5JyoCYyN6UUvuvaSepAjdAJu
i3wpuV+d1PsRmSiv+hgGfVw9Y9zDFOjAD9ABkrJUa+gBaevXsLIZ5uBy8gnLANjlRiz8y8iIAaaC
BUUJxZC/dlcl5T2sHwTB1uX99gY+afEoxXCsDLSZsCJbGjMsj3b+HSe4vY1OsLF6i+a5/TLbEVh/
1igMV4E7EyyKi0dpggORFBx7lRgPsebdT+5yivJxJxw+GL9ir4OPYc7dZ5vgXNBmJVvRvDXA+YB2
zA6TFfMCkIr6Jg4ynXmMUzhtmHQzbeSy4CSQ8PtDeszJZ56u2u9n62QRHcKDeXWz7r5aqodcUq30
bnKcGD3SztVFG5tDnzC9BZvtUxnr95FrPnj4ev1C9sKP0x9ygDQDTN8b3yjeTi4BWL9seU9RX55p
UmgbS++A3JVXy2wCT8afK2tEdbMCqY+P5UyeXNf2WW7uSwVPRDKNbSpWhWPjZtW2TNsdQ2B815Rg
HTlyCRt827yprNe239dLvTW8iVhY/mAbGiM3GBdDXlN684aG/uc4OZKoZDrTcinrcaeST8yVC0pN
e04gujj9/GyQc23kZ5uREMq7s9MXarqAWQyb1lEMNfi+dNfQtR9Ze3yNfaNrnkfCIQmk9XDXm+IJ
xxu+b48okIfc8dya3xissM316hjG4a4crgUWMqEdmPX+tITds0RY7TWsUyV1KMt/kxCvTvQzpNN9
YewaJndxUN0Iw3vuU+IvM55//CbZxCSLUGwcxtH1Nbnf1bJIJ8cagFjG46HJjB065naWOeoC2W/I
QoCDd2Eoiaal4C9dprCo8H6UoDKjqT2YjrWJbVEfGob43XnC2guv8FD/ONY5Tsu0JBuEk4bt0Jg1
nNntDFOguwqsejVzGgvH3XY4uRrb+c6kCwI0iItdvNWblzYe92km7vjwztBAzkj8QUu3YZHBWZ9e
C+s6O+TzyBHDc2u5IvF1XhrM+cRqJ1ttDOYdkGr6wPRekcZvpnPOnKFgmuprMrUf0mLmnrhAtDj1
YnhPFmI1JiPVTm2nvlV5M74PgrhTOr5EXuv4OQ5fgvopYxXER7XgqDVAbNVue53F/FylkSJ1nIMH
a5lH4VEh1O4nS4SPLamwfWNPVtCF8xevJGhAL+ROlv1XkrnWVH0tmV5H6/dtnMFCzObM/EW6bl7l
MYzKYTwHR15F0i8J5UGyCrQW2Fi+asDZBIRDHVGH0knrcO2N9s/SmCIUD/ubPQG5XnMN54TWWY+7
B9AhzrXZBtPvoBp8y/W2Jf02R/GMoSEeB2M/pLqBBzRWwqTbZ3+XVpUFJDP6oJ1ZdMsufqc1YPiG
F6c8gs3sW0O8BZHynVFMbyQ4Sp8kic36wL8pCT4FUirRxW6pglXb1Pv+SDTrgq0eDiu+sa71fvZd
bH3pNICBFRr36A67SJrdgQR1s6vH6AoRw2CkoPEetS7n1XK6Nl7f0m1bHudkYViIch8qpd5zJl9i
O5+SUyVKZqbkiqhDam49z7wuLl2shJSZz0yVIqEBtHxVCmdJWcE+5KhIDHdg9oqh4vaegHbvJ5MC
JuCVh2KkA2RmpmlspGt+OLwZBeSAlWTo7xuNGFiroJ2Zbdt/oIXHQe60DF4cUuxS5fwBugt2l1kl
SBtAcfBGp745elZAOy47ed4qnE/xZcWJHOoIg+WyaF9HWcfXqa6yN6tPL3hrSjp6bXfMIj3yHY5H
gaLU8wWi0A5OGrtBEuacG2yIzEyeeRJZxdxsMn9rQkVjDM6YXXUhfqRezRyCUh84X7RNi65T0Me4
UxEaIK78cj5iWuakwmhFuJLM7HqbHEB9+wVsHEMQK4dRv4bWKE6wJgZD2FKq+QQ1EQtSW64vyuiq
RTvxpHvvQ5eoR6xr8XDQw1U/xS2oPc82pxFHDzH1Rel8thjrtZs1NyRQVJjXiGQ0HetZfkWgrQO9
dhhsODvb2wkktCtUQ0EwA9cWTXAOUXNMqGdQ51gl0Xf8TvJoV6E9bcTa5nEd5b3fmmZWxcjKrhle
CcuCQTLC8QQ48i0cJMF+CBvLOhES9MCtP9Y2hIZibRg+oLLI71AexcPtsIPtbbp4KjeRBGhyac7I
7+iH9E1jTtumzyULoZ5+agqaZ1WaH5Vrs5He3sqtWJceM+cS+O7nhCmrRJMpStitseUPeID8NpyA
RIB7E9fbqSJMWZfrPqLX4r6zr64ocEecRtfQ9hq69AGL/jo6yPywoFtC1VkPVBKF87kvw33sim+u
21wzzbAwpYkwoOnd37dRy2QoTFN6xPCU0aPjJ/iGr3B/OTN6WJ7yoaXGxL3CZyhJ3QNbMChpYDlC
/Qh3XY7zHmBafipn3f3MtBKLKk+eYUsUXyawZ9tbO8XyOOWSR+WgKohLAi3ocNl3PxYs+ozSMppj
YWjDvqhn7U4W9sj4vy7d2kwV4JBayUdHWMNJRxYJvIpXCvUcSdZam9pQU1kQU8feA7c2GNxcQHPx
0W7R4Esnf85614VlrzsESlYtMrRptcmJywfzCqlL9tyKaekcZ016Qd0TVdFqUklKZPnDwkSSIxC9
CuNetJEjWdCCmGhDuX6yzVWgmsIBBREJrWWsxDtNxO6rHC2TGS2NeuqSRHx3slFwjmfkpkpz5CJE
Pu6j5nkI3e6BZqby6xVrUapBbnGHU3rGJbC3lkmWK+o3iq9ez/vpCrZofaI/dbuMVr9+S6tPoC80
fQ+xl1SMFON6nG8uvCuFtxTB4NYVVgZbigPqhvuB17QjbGAyEt25dpNwM8hC3DmejQ0EGR7m3fQY
5dBzpsar9iIiY3e7tVPbXfwcSeaojwtWNqmDaWDI7K7vx/cSnOclzItHlFsYNHOMcNc4M+ihAtVQ
NCC4nSHn9D8snPkjDv4MrrKYB2frZ3sycGinkXHFosrNRd4Of3/hYePcQiRmhJ8yXuh/dDtvqk2o
qwxGw3CN8XhJ2mc8GeaxNlJkSqvHHsCd0b4adSmepsr8Oq69oZuw2ljF+ED4iaF6qBY8WGvzOjFL
ZMqwogu60IYL0gRs+E1oESy08X7AhXMd2dM21VQ1RzLz3DtlBCze4fYA2492V6X2dZIRwx/LutoR
TeB00bjhfVwgrtxkFRZLYAGKIda7rqfuFXYkX25N+pv+7RHgw5+9aG+dQ/3YP3VgI16Uyt+5/eQj
Cwz9iQhc/+2Jvt0st2ZltC6JOWFD6KDUA0SWkIqMBViKagwIo23D2X9tSKarG6ZZXSGCIX3YJuiz
kU4e7rx1FQmBvsLBWlr1flOSEnPWt6XNhFYPKMLbLDh3RBy6tkXVj3tmAGb3mMRGmr8ek7pWNQdV
iediWJGkkjFGlVF+lVwLxJBVvrFoPc2rrpMaRf1FYtLaLTcNF6wSj02xJLsqEgfP6Yw7IGXVVXNM
P9Np8xlxP3/cbpsxpfHgtNAWbvJ1a0bdyWzS6lx6sDw2dWWSdVSKY0rpPkCRMIJZmYcxkvETtz6p
Tp2BR6jH+d2tWwDMrDzg6CH2wPA1bzWPtIZiFCCd2x10JD4IUK39lFEQWPHChGjAf0fV0TrdsGFt
biaMfrWVmBG0hzIyzLuksd5uH/j2Bdl5NV0IkIt7MSCo51Oc3hMgZwmCGOsBYYaGl01HI6U6qw12
cq3hmSqo5INonp9vLcSbjoYqm/rLpItzHIEcakE1bbRqzAM8eDYhAj642Xln9tXuUlboBDXN072E
BHDNOv3QuEl2vt2JgHKGj5tjYzSwSd3ku9sKMSTRpSuZHXH7oe5gdzEGhHaYe4NvrU61cPTeLYQt
5kKgJErqGSo/xiYXc8mDoXfhZz1OOEVm0G20wWwORuQmO6OM9Ls19OAzaKp+FQy2kfkwbaOI4sAB
y3fbY27+ANEVGlNm52Tr4uVmGmnO2gZoYMNQahxviRNv53VrGhIa6NraPLhd6ZttKQ6Ncs9oq6Bw
zflQht6XKWRaaK9zx62S4G3tGoecTpsxjvzztpk2KTpmvppBxMRhu4KohkBOSTiY9R0Tnrz9uAxs
DDcn4ZxMtMZbghypS0uL7G29H0vjjeGfpFDqARdhwdSKtd/EjGbKoI6GyfFmREOa4ChvWWd7iK2g
YILBVi32GNCA2TTEkBhCitFHhdzZVOuDfxPwslUNdhrQjxnNBT8R88/G8OjvaebZbTk0Ts4nl6Pg
IcMQ5dd1Pzw0ZUXLcM6+MUAWV+Mq4N88UQY+5U3f994+Q0vamKW7ENKrOj8kJ3ilUyTvzfUeTBm/
zgoSktZDCt24Y7sErk1toOYlRpbFfShXgXeJTWpIvTQOgmWDapG/5o49Q+3o+uDEzwl/afYz7dDi
280c42Row8wSA9Mez5ipGkJgim2YPifbOHCIh9grse2EnIq63J4ueiqPRrMWkzcpnl2ReC4MTjE7
j4Ywfg4NbK566Kw937DaR03nPFjz2o3Hv27Bf9ob8JgZeP624IInrjHS7BXmI31wa8dQVutLJpll
fVuYm7ZtX4tSg8FXIaN0hn7nVljBY0tPMUYXattqLnMloM4TlGOiXhEK+5Lg6HvMTXMEJa7UYVyL
HChHLCEO03Wn+q2j3upcJqh2nEvvb9J3TwQ03dhTC9QOYxBZMSxa6MrOk22yUOjEAI2uf/C48Phg
CJKSlGSgcSXH1UTA6+eWuNfVGPl6Ohz7cqzgUxpazZRAD6ZuWssfXb8+r2OTvsCZG5l/KhrOdCES
JxQPRRFZYrSyYEtsWjq+TuA1xGSdmY5OmBS0vIuOBzxbvrXObO3oJggG3Dba8+3j5daoH4o4fe/i
AZtRGx4GFxR7XSxbayopaEZt2KEq24e5dLMzmcrls+4V7WsLdnve2BaPsQdt4LdNsXIW+ryOcjnZ
U4zBhmtfOwWcxoMRvtWkNT1MppMfWmookkVmlaGBVq62cZjI9kh9xNGWvDURu8GpfsKXGu+KPmEE
coPj32becdFAXo70cVs5tf7uLu5yNiA9fxo4WTwYua7fDQwcwMQaqf5FX6bhpZvddlvSE6l8Vkv1
Kesa3uzAUUfqXXJBKLOQ5ojDzGGca/60MGXHIT++Jc0it3qnvprZYJ4b5TWwqCPr2k40bqNorA5N
yBXwNHe4c72MpjiPoZxzwEWMttsiFMZ7oRiDUBRYEEdCOCdJFhdAPSETKFm8yKiPO0PP5BP2joYp
d6mAX1YMmnsVWdKroI+8/C2p+GbIxWNe8GaGBBf18NOZ5mkPtyVkUgA3GBqgoIQiSWfasLI4c1+q
ToueI4LjO/gvw33RZ4rEXvNgdp3yRzeRQW719X2szIwWaC/GLyk4cj+CFfaYTXq2t3WiVlW4Vjau
oz1oc299revaNQLcJjjqbBeICUNApmYzDJWx9wQ2PvCDxVfplOjZbW4eY1npjP4zCV7UeCKHPlp6
UC3M/sI265x125g+RVWecx+FJplXE2ohMMEudcCeiIhuKPhtY9LGV0+PrGeRRXg0QFLqmnNisPbJ
cNYuvXCu+KxZsgx33BtGU7IfNIV4tiJZ0xHRyeXgYajIc9EXR7bRcw4Tttfr42/N5v8WVuXf0VD+
hEx5/t81zI/T9h96IOtYwd+HAK5cmP/7fz5VX+OCzATMHSIGK1Vl/fO/RSisf7EcknigW2pitSUX
8R8RCg2sCvE8gEqWbVqe4I/9Z4bCMv+Fv80SOh4u3D+3zu7vGQpD/ospeDoGOJvOIWf7/9Y0P8Ff
/FOzC7S1adHmwucrDIPBgsYvo+4wlINDyYafvS3c4SmS1lD5zD7oYI91Xjvivl0AuDskf7eaqIe7
tPOYNDka1ofyyHW/q//H3ZksR45kV/RftEcbZjiWwhBzkAzO5AZGJknM84yv1wFTUlemuqusFzKT
adNWnZkMRiDgjufv3XtuEfQaz/wcmTnP6Dl9Cq0adWurFlAB01Vsogya1r/1hB7iJa8VE6yQhrDS
NSqrmTBSGb25UWjGNXeVFNiQGygtbmhFKNp2ymNz8PtJN9rtMqzNgWmpZcJg2R4zbJE5ZYSdEREG
bygfvDhfUDbHTFFuJDWCpRKpCJroviQNSaVyMrEXJEGvM3mupIfInOvCxUcbrPMfo/jSijZiKmOq
SX0VK3H9IpB9KcdumoE2RxyWXXOErekABi4pDoOkAplCx6PnGYtYzqt4IKs+L3IKmlBX/awY59tR
rji0aThCXyQVXpY3tbjv7paa4LBNYuCxOszTOM5Y6pL4PoYb7YdmRscY+CWjgFJAtaONlVKotd1U
T6/8NFLHvpqG8Z62nild7Hqq+g3NLJ6YxEXIt0leKwb4gpBplda1JHEMCzoap26D+qWTFXWFt7Y4
47GaNh81o3vrDqk3YBbZMKoFxIq82mYAWL0YRZxlm0jMSuhWUxgt2FOUOt0I8pRQRNcKe+USK3bs
6p0SHYxx6NBYFZZ1FeLU1W6tpR5iL0hiPkXHIeml7Il43YMwUC8jTCFSBOmYHICVL6GvD5hpN7M9
NzqcrGGqr7pIq4hlG1t63CK0a/ZkNGngqcw16E+DWHKw1NUPmCP7eO6Bh9reMOhBxqOij56iwgos
h7ox1X2U2kW7l8KWPNwBAnD9MsZ58lVWURaCjdZD5aM0munG6nAWuT1ucOQxaqGjoRV8SYzZx2AD
+DUXAI6pxTEA9EntNaypyJdLI4weKgKt39Uy6VU8i3LHSiJ1efHiNKBwNYhJVoHUKLxYOCm8mB5T
YyhOMxdh6xMnjtGDUZrJfSGGxQyO5VSTg1zro1AI2galStq2rMBMHQfpLtM7oe8Fx2/F6xSBYbfM
c16U5ANoc0ozTTeTKqcETv9cih1tQ1pBGKJ4icoo2ukVhgBPm0ialwS9XKRN8GA7UtnyDz3VYKU4
8D4njPYSjR2E1JUR2fbjFJWkCHgxaTIKUTFT9SLaFIh1luZDsPl5u2I/CIznXun50nOJfBn3503X
jFEO76YacKOrLQDyE1MJjdWB45pkwlagXA8Hw9O/owubITSeVZCv5r7QR2IGw9nS3MpI2gvXhNxt
Dpb6C2qi9GSs2YimMko1ztpI5zAxQvctgvIjWTMV1dVSjtur8YdWNQDkwA40vzGCoYAoSPvnK+yn
hs7tihs0V/Ig/RyLAvobSph8AwoHhtaIVGUDuXwSyAxcsTwZhC76yco3nCphXZXAAB/sQaTUOWFY
vkIMIXoMZZ7mzt+oxD6FmtgXYKealaQofzMVV7oieQ2crfOVuah94xfnRGi7ECiW5UzkAz9k0BpF
hByPbyqmjNDloesuQh373rN5BbBBoZWoXJ+WEWYPIVBBuSlxoaHXhQCWVnwkHDZQkrOBpbtSrPk2
LWEqoFUfDBqVOZNlUfEdrGDKfkVUtiusEhkuEIhmJVhWK8wyNMBaAvuHcAnhY75eVuwlM4AUKAYo
TFozD6lF6Qmx5UtecZmYVldy5jdF02SflfaoUoIngMt3/dKEdIcAb/LpM28Qff8yrVjOeAV0pjbA
8WqFdlYrvnP4JnlaK9RzWfGe8RBB+pRgS0GxXvmfCLRYuck3F3RZEaHyCgvtyzm/Y8fOQ/ImSbjn
hAJYVP5mjFYrbhTtPOTRsa6bjRG2mOSzbzZpxDNBxTuYJ6fF1sPIFRE0U/ENNl2+Iac23IG3crE1
zE+F+gqymo4NDv8aqIcEKTUI5PmuHmuAAHFYS3gnVCJnrG/Cqq0nql+GpnlFC53OJNRG0ERaf8qJ
qHChIIcHVRc1geXW8orXjoNvr/b5psacghYfUcQ7j8Zkjffp4h0SiW6Xr1zYcAGa73Si0FUAQys6
NsvJzcTxzTfmUHsOHxL5hJ9mNHwF8tKcwwwQLQwEG/4KcFrBMfZVQlkWe8AI3qHEFBXETlKyGjmA
T4M2WPFi7gt+VWpbxyRZMbjySsTVVzYuKDkwuY09Vp+z3LVfRFrVN+zwNchz1t4VDM3uh6J01l0P
QtnDxwGEt1x5vH2hM1xjbpuBIVHFBQS+9ZY3c31JJDO+ZcPM/Zb6/QmdBsgkESnsNlVwFisTuF3p
wD3En43att3FsFAtVHNHahBEAAZZVTi8dEEMWryysMtf5Wq03C/0GBOmA4KNoWubatilmkEzvKQi
W0EVCEX9BO8hsw9yEeGRJ8N8jsrAfEmRUVwxNyWIcNFIFWGug42OjLA+++LcojNKGKv2UTBIDRy2
A5G5cYzhk7EcwUFR3OHcj8BPumqn8zBORm4iJsiFZm2IwJmmDU+D9Ck1u8HcdOkyHHWjGCyvIkdj
23a0nkizG8jaKWv6WReOri1Q9xyCcBKWhyVic3cM4ofN9fSQLdsIZyfJaupMhIJNMQaEdeI7EA+D
rTDFFkWfM33NGOUSGpMY4lmtedPuJBuJ4dHbgLsZICjNCPEbSCqnCEq9UmdxeVgRK9srg0L6VK2e
0LpRIMT0wmy2B7JR1BoT+dRtxikIFzeqhtjmcVexdysMLQbGqBxqKUsY6ACz7KEkBw0qNSgepnQ7
WrFCw46+Tkh7rVFamCsKcWTwt5XXXrMQ0fXQI9181vVqS2Qz57hVbgdjAnEuPI9lqPobk0opRjKz
AqKqYFY75Hs9yUUq23l6shO7fY5nvbrwRBbDgci7kpwmqg6m0SAQendu8HD2IOwz1CZonrbpRMYj
XngNmW1mM1/WwOOF6MAJN9Ej26rcASwP89/RMCWn1WSqVkbApnLJah0DZQxN5MYYARA4KYq3ba+l
9hFprS18lQJvnYvQs2AmRV4dlFXzOAfVGsKQTglEwTC5/Qmt1yvd+KI4ujLzBNtqDWPBOigaKdWO
ZS6A55m7txO3ZCzlGymYkuPIUfWYo86hA0WOGpCrsE31YwmXrfGJXIV9CnuQgQf+kfrFqsJAOPoy
1ldrLjGTqam86AGhpZ7cyzZt+kqm6JgGbSKPQaIUw9Cvz+TvpZCWaFzrhp+HLcU6LLrorSnC7o5Y
Yx7LS9ukZxpl5meoINiaEUmBAaHa8ic6VOgk8+rVVkIb1VWU8fP4CE3FsXUaYk7cDWs3E9Ry67SE
zatkasV0r6LW4CYtihLo6Ai3S8BMH6GG5/JS11vVorPq9IshnWRks7UH4ExSDhx8Ojx2Wh8/MuVr
jTWHVjyPeRNiYNZndCJRLB5rIFtgBVv2Hrcz7WqfrGhDtRIrWy+3WL6NWfA2I61UHwXhFSe7APVB
Fl4HaM/qE+tkDobd0Cfu9QetS8sXna4dLSQ7edVjjWKeMKjpQyWe7iLqkhAIbOyBvu+ZJzBd1Frc
fplcQJrryUoICDpsnfH7EBBlNIFPJNs8JiEGN582Eo6sYRlLcm/EyARFl3QCOIcAwTZGkOBLw1pz
lGN52vP8F3ssOt3JbosycWswUZWXRxoT5t6W5GKt/ogfXVRteYqUZnnsFZokvmL2yx3qTCARtG+0
Y2ak8YeqBUjN62kSN0SrCVI+cKu7oGxb31AaTXVLfWh3jRo2d5TfqGhY/iTejPGuCtYDYVTiEOHC
p2eAAyXZixL4L5RP+6iKPgwTchlc/2nPoiN9hyBddN2NnPMld5K5i2JQWJAOo4seG8lno+f6Vz8Y
0m1ux82rPUX2XYhmxEcNp3ng32iDkc8lEHE0BQNalu9nME6wpSqOLM8dtPkKz+gSaQwWRjrmdTNb
L0pTaoMHC2B2pPX8JUbF5P+Xop6vBxXVhYqnG5SjVSBpzEraeBMaH1crCDKmG1ccZjI1iYhI6MRx
phSZBdMw0EIwJabMKI/KY5vYzVOMJftBkVTzqDY6m4Wsqbsln3ZUb7gF8Q0/G9UILwQmZXSk/0ik
I8VJg0lULW5USaOByN1O7MekT0hU5qzdRLMyPEyZYm2tkAK+lrUNmsLhGiEczeoAE9aJxIaPclKQ
IqZBRBr2QkP8KIo42XXDwhoJwp5sGbCf4hCXk7rn6fMZjWH4gZN52M2RoiEgsBHF2aVknuQEFBuq
GjMu3c5IwDN3WRfdsktm55w4D3+sYuLCs4q7k2e9TbS4ptn2ZpwT87kkbcHt2zDxtAqcmC1rAkQW
VK6aeflNHhMgF2njcB6X7NPo+ClmX9K+MTU4komk7obApBPa5zoacin/FEml+UD26ms7a82FCq9s
UIfj+je2UVp0Vzp+nkvBCG5rVYqEdC0MM+TouGqAl0aY/MEWGThs0JsgClm0TSbl1NdBS5s8EWVy
oIc6XJiWvC1hNR0oL7pdOpvNKeuBUQrYuDRu2+xxyKOh9iEn43tBI2M9jck0bwkiaikv1K7D+WbH
40bLYu4l7s99UDXE39EHtN/1Ii5vi1bu+PKByjpVE2XdES1MgDgurmXb79Rk+MqamoOLsk5O486G
54p/N92uMLx3RvvZdVtVVX8wTGNAzCWxiCJapkzlFnAJ8gTFkH4842+k8doT0D+c9U2PjDa1rOk9
QP1KLCtVB6t3DkvUoRIHFG7jBbFGo0N2Gqe4v9MFaS0U48QvR6j5XY1krZEnomz4lVbAbmlJ/97U
gfqi17XC3JSg5Bx39oZgrcQEMya9ypNsbVWG+0Q5J9MRdnYIaWsV6HYS+sd+5tnaJDT9RQrttEb2
RcIgvvJdg7r+YerQlrnsC0bqm3jEULgryhMmGGCYcPcn2lF2ehNOZf1qAL4k9SZty/t5Cu6bNuyu
s8lk7Ds2EguHSVOf3DcFMzgHzYlMSJuZjDexPkjB9WwMwh2awX5EedSg0ZFHshdD5o9TOOpw9jp5
9uopyW6pB5nWjRptWUsxmvfUKJq3Pg0bOmb18GMau7Txem1BwSBl2yHP9C2VJ1MpYY/6YRrqCqb7
IF3xAKzfe4Xc68gIa6gBSMRccwHqpnL0Z5Y4N2R0olfflxySLvkAfcnKmJvho8nel7ircIHTxt8r
UX5MNTE7+PCjnaLnbBSY53ekZPH4o1jvXWxx4rMZca+6hsWhDTMYid/uYEpNt53ws16sZeifa4OA
zbJnDnwzY5fYlFH3yuM4v0vwSvoiBRucz9G+59Nue6lnoZOl1H/qozkahwU1nUwIqmgJ3SOzjyww
o34WeXdVJWrOJF8hwVOz4uc4LOTbpklyl9wilQaaHL/YaVvtpLCnX2hJd2WA3AoNLuwQamYbmKYm
UW1zToZqPpr43/ol3XOcLLaMZsxXeMGKl4YamkK+JXzqZuJ1WJ3hKS9GsafX0xFsrc77PtKlW6z9
fAaQaSwF7ZZUrf5A0y9kSiI1GxRm+jnQu/lUAoKKfHXpyKaDZmARlS6I+HEto4+v5MZWXoKeym5s
gR/7PSHwRzhGE725qni1Io0aLpu/FDKeNrWaxY/QkHsKqyAmtclIDpMdNWfCxk3cntkDoo/CRbnw
gW5AvjfalhXU5sTUZWhldTyPj51eRPFJEkX32OqGdKgL0b2IYgVTGlpaqjdAYOkBFYYIacJaYAC8
LmAY5XEeMml3gS9mXlnlOp+RVl9R38RLTjPVynjy4AisEapCuR7QC3F8IVWHThDOPrneRtpA47LW
Qro/NgN6yYkzSX6Ya7336iHCWR5Gg34EQsc/4GBv3jACzQlmjYg2NwsI+HDjyxCRQBbSHhg4jOQe
GSx1dew6cuG9MqKociIBeMU3JmWqCM/o7cSru4ZtZtItDl18p4LmE3Sy4S88d/+oY27ohkFBKdPq
N3+zZtQlGeKqZn8K05oPeEplZoeLjhhyJsjQZSS1svaCZr6yMJg+/2Gy8A9QPL86sNZuvYlvRjMN
vEwy6KPfKOjCHFqcUcubKFtmULbWb8MZ+uZC09WLlbrfERzd30pBqudu0kvy5s9//W/cIn4/2iaC
Jzh66FjwLfm3acEo+iaMagg7RjasCUehNC47SyoQvvRVbm45gNOxhP2iwG4YpKn3JpIReloF83rG
7leeR0K4TM8VWktiPeOI4Pd5LBqf9FKQqyWbWIWw08pRzOVjJG7/1Y8AmkrjIuLn5tkLT+BXZ01k
GZE0mTTDF1mJIoTphUUP1I7j+UeQ68ZwXwkd+XIk29xFkyTL70mS4D5sEH1C1G56WkwcW+rEI3tt
SvdBL83ZEaVioG6NSCV5SwdTPN2UC8EdDP+JJz/9xUdYfXZ/NyjxLVA66ZbBVGlFadn6b98C1g78
0ooOQ08JUhMlAV56mI6FShgfal3V71JFyaj2Ur6jCGYLZ49vfkYiTeOj3qZ5vl0aCQm58v0tSDVU
wb8wCyr/4E0SGiAbFG4sE97nr9dZ03he4NPNHAACybANNMksjyDbeF/UHpcVcvJpk0ILoytduMjf
d4WNLKrx1Tokii1K4LI4k0XYGB1QA87Qn19GbX0Hf7yMAs8AdzPLSTVk/acF/w8eqyohzMyO4ICq
OryfHW72TLxmMIUHbPCs8Lec9L/MGyXQqGcMSrgN2DcROoYwoKMjxqIQriJQGQZaagQjlVlYG3qj
QbSZA+CA3TNZx0K0BOANj92sPiLxJ3fRbjITFjO6HH1TU0BPazoaicgWcatbSZR5yQvm0hdHp+RW
kzWarsTM0dudFiG9VREkisuInvXenmAXI6PqqvKv7rF1Gfx6cfBwcdgyuEq6SS7Pr18fg4sIgE9K
wmSPFPr256aKKCiZtsoaM3XFc8FoN2bMPIb0v2Y29+HULtmVXUTTlDloSxS6H1NKeZjVBWupnTSW
ERG2WOmgV2lj6HRjZ4rzn3+t6q/uQsMUim6xAHSZUB7+y/htgRPTxSCcuZQz8E6iKykWnM6Q5i+B
G1P2lbDfSx0mJSKc0G/imDiZxTbDFPzwGi2DLNO6ZoDRxlu7YERLko2hVzt2xjQ5IjIT+gZnPQHf
THZxEtRpz/RJ5CE/qk4M+CnyoKuOnmj6RLxVZp4uexpHyTMzCnm+//MP++vzwFLhfNBQxWLHbSyz
Lf32LUX/HX+Ur8lGHAJCN13TjnI5rw5olmhpyKVJObTmIqFlz9u/WETqr8ucd8BFNg0WkGabmEy/
58t/WEQLXtu5SNDmEPPWEmkdKjp18CJoi/ycSnGZLX1vB3r0HEtlB0EoWuNLJyVUf8DhrgqwTAYS
M5X+MmmPIMPo2mgk5hYJz3EO0OQHSAPIFd+wbX1r9GkGFZrzeuwUxgIE0snVQEJxTa91++dXV/39
8jJh1xQhoH+YmiVMTf11ERiRGcqB2X1wuKrPNIuA3PxM06TJYZ85COPGjOEgHgJC3N4qCE6ARa0m
DXz80wEqJbvoFAewnX0909z1SHVL7tRp6gDCSYpxZ/dzcgT+xLIhyq4gh6FQi8aT5RHV5CQsl642
nX8xawn894IobNqRRuvndtXc6gHnub9yb66e4L8ve0vlEyNVgDxCuqpiIFv49RNnEiGpRpl9dN/Z
qBqDG45BJRJx4ldls3AF3bNhs2RGclFnBD4bo6R1zLGCk1lXa9H0F/CV3/QJ6xsCu0LMFQTi1ZFr
/Vbx5LoeUwdhkuhGHuf7sq+kuySxC8sJeyWoPfRW88NQDwrD6C4LYn80ZhGcbBukBg2zDt3ayKw9
AZ1u2F8F+s4OcIpsXllaqimbHn/DVxMbTFuNqs7PBLzW2Z08iokj4jqjZaOpXtSqNe4N5FGKM8sy
DcjvP5UGo2LeIA+ShWNliAcvlESaQQwm1skpiW905KHlBGoA3SYDFiUQ0U45QiJ3ZBIfugHpuPE2
x2HOHQ0NiqYR54qIlxz1GZEnMoxnG4Mlmu/vIaqa61q4w2ZY7zCrKRuBcoGzsBH0AdkmHMqZ1Abl
5BNBVZdImnNb3xdzsqoFJDU9zVmlPLQgC3rXIK2EHlrSWORb5PY5kytTwVVN3rKvdTkVuJFlhMJV
XF3Jgc/KxOx7bf1LYqL/Zzohm8Xyz1Gr2/i9ecu6t+aPUqH1R34qhSTjb1DgDQHrR8a0vsJT/1sq
xF+ZJl5+Nlht3XHXsvs/E5g0Epjga1MEkCwnr0eCf/sv3Or6V2wzpiyzkMlAgw/xL+BWFfl/VnSr
VEhe3yHwKxXl4K97Q0D6NB7l8ksBArknues+v1WQjEJQd8XkVJ7pf6SH/MCg6aTsYAiWW2yPO+to
H+dP4zR8dPvqpr0q7skPvs4+kg/Fo3y6XyLf+jE+doFTv7W+7Bb72a19e8ckex/uYP0el/3wEaFE
IrXDDQ+ZV1/qA9SCG/0r3jE4P6lvNtTXbIc7U31s7rtTe5A2RI9fd162KbzIzfbpo3qpTqMfXJI9
3c9bjH9+djP79YUFVEK8v8/9eAeIzt4U1+VlfBgnl79pL8tJbKdT/wiV+Fa61n6oB90li33bncxt
emVs6m3g0e/z5YO1waDwldyUB97llXa0dsFjfiuRnvZDfDGADYUXYeLZ9aZD5V6bDg4YcagP7AN2
5zTX9sbYyQ/hdF0fKvvmvT/HBzTJh/AqupkPPD8euYQnPsMXCqMNOGgnPoDy9I1jcW05llNtsrvg
Hvj9ljfotu597lp+7lcn+aCdIm9w5U10Je6xr2xI2XQxcTr5dvwsgk1DPN2zsSsPaCw3kt/t+nNw
WV240jF4tXbpVr9biHy7ME8njzjY0DBsXfQssUkGlF/w76MzZX74jsOVfLvxiMDCNd1iMx2xKFfT
aSZ9zxUv3d1ceBphCqZjPC+nfBdfqmO9TXMn2dc7wwPHzufqnIzLAo18D8JgV25BcB6K+/ZVusrP
4obf8GRvFOKs/WhPK15w2dNtvDU96xajZ+skH6HtSk/pcbget+JrPjcYCZ/s29CZnrRjd9dcr4ey
aMvup8u7Nc4Wq/xOvoo3io+pdNu7PBPexGE+dIXr2aZPKte1dMf9CWI0Kq7jfGdteKSf+XkPVoWD
XOSIoUbeWHwjWzRgL62Dr+My3FAJRuR0X3HRcmBw3rSDO0+mp0JA4iYqNozl0GtVp2Ezuj2WnHfD
mzy6J8ik3PB8k7sOp+HbZLM4kLd32cemu0drZUIFJsv5PAou0ytuysgRfuDiTPBVn0mPxbsgBOe8
HItNd11iViD9gZf4SLiNZJcoLgux+TUARictTsx4scr3GOqfyehhJX9JKrRR+yvjeZg7pkEDbjdp
5865+UEhADfML3a1p+Pa9Dqi4h+Gy3xnPIAAIF65yo/8Gaz4bHbRx7U/eg+E6EPmI9DYNWDBJ1w+
LnY2OTsRnV4MTKER6RgOsRGjfcgAPoD+/THprQuM0kc/sdVxZL3Vh+UJ4GFiH0IfKzpM50Pwo7wn
TTjldOubA5/iUO8LP7XeskN8bdzXX7Fq7mbrLrjCJel3m/lQnPRtt9HkT+MBh3zrtdf9HUHAFpbZ
TXs9nGcCKp3lbDzqG0z8LgabCRs+dzExw4UFGZWHs04Ou+5JeGtoP2kRSQec6vjAZ3NZ3VzesNXu
mwMr2DEfVn5wj4n3MnA8+haoE77jJOfyRv8QqmP6E0wIVz3UxF8w2MrO2Vt8RwTm1kYagJFvO31J
3uwSwvJUlu5qpXfSi+SzpvcYcagBO+2N6ys/k+ui6k+o4kkS+ayaJwmStEeQA6p9HBTLjnQFVZy1
zC/eRzpxUJVsN4sDpzlOudO+TC4B2/54W7sCkLZnRkcNS9Pi44/lhoACBps1VZ7mHOBS+YqEhNgS
0u+y4EfAiVfbaGh4dnl0MymEgh6IPXgE2qC86EdLPRcPGPPzp/4pXgyGa47YEWEATGPcyudGmO6r
ZW6t2GkfSTYxzccOR5P8RERIiQHKodsOtbbNPLnwlufe9oxli2g0xZP+xrWe77SUFxzvxjvrkXvK
Lbi5r7rb1RFFwAVqqEN3Sb07a68QA+ssaCXEZh4/InEK7UsoeeNT+yRfGO0MG0SbvbRJnI4etbuj
61o8SDfitt194KsEtUwYAtkRZ0l/s84yAEf63td9WjrtBk3hWQlvi412TT94Mhw6uf1Dn49OXDPD
MNfUUkT3PxJ33pJVhnR0D4nC7bz4dvRn3yQAg/xADpFOdM/rPGduhAaXzue4WSUaoGgPjd9XZ9U+
m++EzDmxB3IN40S0Z9tw6DcW5hNFpKNta4SySu1DM8+YTp7HXPfY3hAZWGR2PZIql7/YpH2QeZ+f
42e5eFauiQJUwj1zyD48tV8aZ7O6+mE0D/a1kR77Q26fdHnr1T5k72uDZJ/JfRh8f/yRt76JbZ+V
CBzA0Z/C5WM4Kwjtq0r1QvZJvzozHGFvdzNiSNCtbGnbh5d+QxODaL8UYE0s3/DAAjnxoxX0yYtH
PQYQk+ZP0ObGc9F76V2QuExHbXJmtvAWkkO/Hz26JO/iVlxZCZcCG2jqYlNS3/mf7pwd5lNwbbi5
V79zGtjzq/hSK9f0s5PAEYWQcVftTR4u+iv9/PeqdsZj/67djDv9CGucufRkOulNeUIhUD+Pxo2y
w/HrwfvFd+5yWrBofpDqpTv408CbRdxoJUKeHfdqFbukHlrjzhCkHmxrZALxgUD2vtx1xtOouuFH
vw8ab1pcS/IL8iWIUCQHytoeInrzxB87AyZyPONOv4u9N7EjWl3hQC02o0kyxI1cEvCGecD7kBtX
1v93yvF/Jv//Pxh8wEHxnxfj/569v/2We8C//8/YA+VvyOR14NWwN8FUyfzNz9gDxf4bAFq6hiaJ
pxbMNTqK/5WEqhJ7gCSfliwUEZ1K/u91uP03/gilnYYYCOEZrKd/oQ7/hmP9ckIXaJhkzgPr8IHu
xNqz+EPDhfzcaYQ6HUJyiI6qHn/KRXfS1VhBZwPtqAuelNKo3USTGQVrmmuo8bOSKm/tnNyiE0dt
BR1hkySQV2CqJbpZbWRJve6m5fUPV/Tm51v6Y0DDz0nIL28V2xNdMN1UIagSRv7b2X1Jp8luAubk
aN1eSn4tTty4f07z0HQqO7dfZ4slN8romux5oCDFe482hn6CyA0cq/Jo2Fc4x60z+oHXdJLlbWB0
lAwAZP22RgSN7xSFWYvuceB0DnZiEjhNkw/UHECkMFWh9xZ2fqCJzpDYaLgGVTrOOTmM7ExNuvTb
MZTV1AuWJNoRD0XZa6ZD2lIzUeRMcXg/JWrAJhpEXyQU8nxT1YehSQceRzbXfE4BPkA2ZIhfJ1mx
DfI+fxhoD9Kdsqd2k6M7e4npMp5Qbps/6P5GR2ECVJlrnvPxoLicudmI+l4jIMBggAnNpsCVHzIC
/GT0PPhArCxXAjXo05AtoY/IwQ5XR7eLzfaRBBh2/74GEYmKUjUetLo1ETkY+XEeRuMtGgiqRC5q
QXpt5Pp2Ehm5F7re3yg9EA+1mKGR6/BCEA2uypEiOaH0B0ZK6/yl6dgPE+7o9yHO32N6JT/SvE7Y
k5n+3abzSIZmkNrTaahjyFdWb+4SS9SvM+3PYJnixxaJeuJJmlYx71TnF7szrGMqiF10EsNA9VXK
xFVnlOBVzUMBmgK9dJvYXd1tIHgdKnIEw12MyvOKWYshNlZg9pLX2ob+YoVFAHuvSuVtiF0MpgKy
B+iQglmkUatnuY7FsUSa7uOHBKat6dSVCnr4k4b6n/piIQ+BW0AUWwDJiWsV4aqGmZL0A5BAFfLk
xo2bxk15gVGDXCVEZAtmpUSfIYsuxVwCMZPqGd4nHnVRnhuGZ50z1rFxN8dyjJMuQA9dmvwKZ5Tm
rTUQbdoSfzqhFt2bSw3I0uA4OI8d72fKCsz8ddOJq4pIU9JTy/itk0W4w5BgfcaTVr8SoWC8gjOH
BxvIQ0N6kjkvLkwPjDq6lFTHtCFqzW1stBPGJKRN3mVo1YCloeFB7aA9hlpPlLlo6vAFb0R86XOe
yOhya3x322Fp+djlSJGgYCA41mavvkjgPJ6klgCFohpUPHpWi9NbHt2iXHPV1FkmU81Essoj3QKZ
RdvbYZ9MGMSGZfsewaHbkaU0IMKJEsUVUj/cJgoMIl2Zu6MZQx42RTFeMtauDQy2wptCSlBWtqQ8
V9k21RmqE1W2kAWiIEJjbe1VhSi0mqwPPKlliv09I/+EPIrBumIoalLIVm4Yy+ahR+0HUgMh1ijA
CrAQ6m6fQ/+hTRubL0Qip1dyON1XIehZvTKjXaO3h1nO+hPwKLFC2fT8aYpG9Wkp5/gWoVfj56IW
j9NIuoGK+m8XmVFabaSFUKlBrkYvVnNO96HNgT9GUQ1qzK4+yyhb7iO1ls5SKTWI5hohXByN7ZYu
5sggVRve9UkewL6UHNr4DdC2aBRhjJVIEngSRD1ysKy0MYd6beacxc2ctiPiy6MmC1I0bdW6J8hv
2cVRmj+jvK03upr1mxBzgGeUYX5LQz25lfthLJyhTj7UZmRIiwjrlikZLVwwT0lUGmy7ZfyczwXe
w1y3oTy1AHe4W8xda00wjOWaXEMaGjwGDVS0Ur/PmobNUkI2otbLnmBpTOd66mcZ8M1MXKVFcURT
wqar1wzIcdc4ubBT4iRZrFsYvOpmMOsZPd48zlsz046NrkdMgteDTDZXuzZllQTCBBohc6SOiVV1
anJeXalI4xvFYrsu4xZvbN9nm2GydzYIr+cqqbrjJGQBCnqAIBVw3plQlDpDMD+QqAydGVUwkp7O
U3QOOloi94SpQFKu5vIpaCltoyqG3aFCSJNMNTq2E+ooCNXEQkb9fND0CjTx0IZnA6H0oagyIGuD
ro9uZ9fNobZU3SUY7aaz1Jsxr3ejue/VJPeyarF2S9DfZ8x1/MZIP/o4KpFbvlrAFoBhkVZNoz+M
t0Rje3EzfpbAsNxpnukT2fZVriDtSvtxNyB1py8vLmFcbHtz8VphLk7Xsr2WeKbdIOeglPShQsrW
f1B2nsttK+m6viJMIYeqU/sHSVHJkqxgy9YflJMaQCM1gEboq99Pi97nLHvNeJ1dUzVeEkUSaHT4
whvQH1aTc1yRUdplIVy5xuB66mhbt1/Y5suUY1c65XRR0SubKVD5HoLR23BWm7i6qtrAuW63bXgx
hgb4tlb6HGTl+0pmz2HoPnRdKo8Y4iHGrNmMZEheB2TuOVV1t4+78bUfkNjeTPEjq7wIDABUIzrj
+k5mW3MBP3k5TklQ37GaERnLvQpjHDwBRwrt+zFts6OaUTCe8lAdshKF3UxgET03FZqFSTnI5Kzt
5hFDp168UzIx5yjzRJbxt1wHgBFvGix0vnnBVuzLNYdx7pvuCuGp8lhWqUSEpfnGRIPGYOTBK3Bf
lCB/rxs/EEg8MVPRCCyMeu8N293mBlDt18csGW4jt6beNdq6e11QUGmFct854BVztGwOQ+HcG2QW
7+awuAsUNaAt9O+Ik2IiESg6KBL0AOULFiE794YfHoA2Fzg7hvZicT/SpcD6qKO6ARnmCZr09yBU
CI8HmPqYRO3MwBMTbjCcrU7wGCF3QicMlp4sHWiAHSn32GfqOMzJ8m7u0me0ot854/CUIIClV6ZB
GXHswBx/6drse2q+mDz4YLB9RoCByhGqIvStzrBzOAvy5hqd1YU0BIgJvEFylWl1adbFxXkcr8+j
G3xPYBmWYAqOtcEzD3/18bJGHRHUoNmXEdFU1BMuAF95ytr4ptoOsS7O6Grvwxwjk9C8YHLJaaEv
mRaActnnorlQuzUE9tV44sfYOdFtWFOlcdpsOrgzQgcFZai88d8nMToLAMLOvLw7qr4OaaFofKjB
bO67yhoKTKguriT7eVp+GGt+HYYDG6z7EX7goUDoEoh+9zKgMspN8EDzyrxMo/uSpC312bH8HEPY
OVeKkBmyAg9gXI5Jk3D4jlOE3hRC1xF1+F28qujMwVdzj01Scxwr5FtS3VI/COG5bA2ykHDuuuui
48QT8TvR18ju9s73ao3tx5IHq/WTjJyPGzw7BPY0HHxNWgwXIYSGkn6liTsfcLIUN2MdfwnHrD00
W0pLRwGzNh2RUh9/TMA+oajsfADnySYtPmdO/4IeDhUX1R4TJ91vSQ+Hc6ASTLS0zzaSf3h6yEEg
0UkeY+2RKSPQzrqI8NA6+Iggrm38cRmQmpxFh/lKO95q3AT3EfEHvI30PTYz7lmitq9Vn1DaaBNg
9tu12HqqoDjkogsuFcz4/qoNqvR9lebzzRx0qFJ1WQWPn/w/KKMX4M1UWAp1X+rxxW1RWZ0j9NYb
UEf7beoRVAFO96NpaTwQ7DzXrsCRiBnE+bQkAWWBmFbX0Jt3Tt4ehsFQK8Z6fLcEMC0nAY4YgBYb
yfJhw34e6DhiDHX1MLmUgYrldUj4Wc23NScvCvWPObA28Nzmk2nSgNol8ek84GEc+fpl9dIbIJs3
XuldR4U4oID2Q/nho2+yr7J8clOw2O66/AAA3+5V5H5rlfwBFO5gjGTNUuqLPWbaYj0UkU6jxYvI
8UFp4pRSuk+FWI7IdKAmGJlLWsYPuBS/c4fxCZ2jp35y4XJixOy23WFskWcVLTIKC6p6idkeUtec
B9r5VAkci0T9TnHfcEDeGwtSDdQBbgIuNAKHgGIqXuAp+PupgNNRgSJYovJYz7R1khYV9gqEXXkf
uAQq+NeSKZxbHQb8E9Af7KKdJnbcjeXmP+bz/NFzkYdQeEucNQUlWRU/5PB6d8hCfbFe4Hqywgcz
pUr8M7MUmnFwO7vi/dSE1d4txHW4snjIGi/8gbEz4dCde+u4fpCKjFEGs/dV+4BCXTg9VLXDmbaw
6Nby8S1x/V+1Jv9ToeMXnYOb8ht6nN3r9H9+qX+8ZfffIJ8MJVjZ//r3Xc5f3jH+19sniB+dVRf4
5QcaKMgK3Osfw/bwY9T19D+1A/uX/78v/hQneNp69Aq+dXxk+6Od/tqI9PD3o3X4nysmZ3ro+h//
5i2nokkc/ytIINWFwIUIBxOLHDwVTZDl+xcIazezkDsPzGRM3/Bn1STx0ECI0jCjO4lI+S/dy/Bf
RKwoJ/CGLPX/l1UTPpWyyP+rRURhiNS4Z7GLocsRi4rGr2WTWuDk0cGBgCvdJYN3uw5uL/q7WrMH
bgcvglrjHSV+UQ51Z8AgwILDKjdU9trAm+lO6sSXWXCZiAE4FAc/fJn9aEkgD+6WNga87VKZjx00
1urVFaY0H6NODuSkP9/fVV0yP3gjGjm3pOY1MtGyLCf5paQKAGGqiQdeLwlQ+ZQansn1WDcuL+B3
zAdHwwDCaHOMkl+S3K+X7noaA2+9NnXbEf+v7TrEtzlAcb7y9APw3Eps5E7GXkYVwka91n25gWzS
fQAvCv3Et9tAblBWrydkFpoFPX+9SIcvajxttgu0ZOP5dXsT3i9cJIW6S2/CE+coEBnlNvxqs4yv
yd+alVKxG8DI3k9x7KP1+3ZTbhrVjJbRMaMyzDjuzufcHIQtfMVq+QVaYle96hG65K0ZHclFU02K
5odcc5jd1itBtr/H9rfjGSlH99Vr1Qg7aJCF+LPRLxh0H7AHrWg30jldIXSZVt5UVVGxdniGWdRZ
piMI/05P0vvKqcYdGLak8VipAJQSbVl2/Ycsn3kCFRwe+SUqxrZ6DTPMBLbDJhr+FrWbmg/sHcRe
lp3pczu2qN8oPsAvm953d0lgEIujShXYy0bOY7XNbfSc0u8mAFiTnrl5xYCfZokOE2HnwukmMY2e
dHYmUni1PqpNrlPfCdeqz2+xdLFqAY7Xow1dcnXglgDUQVZu+e/Cq+w8ht/MSMSefSCRnB3CJR+c
EBcwuhlwXGBGWcuBI1nL095MsYB1Xji+y5WePs9TzTw2ew1xsIA5iwROfPvzD9olsPceof9ZpUfp
OO4Y4NT3NkvDIl5YVp6YOv7k9ESrFRMKkAFLoEFvDmvLgyveJvjUVAU3HTQBl5vMgHBgR/fKyI9o
TClx09Q5CkJH6Cp26Z0ezCBQAwyuqkCBUjoUCLGxBuBDVjyHDjAS/7Rvq4+0t+TEjXNBrvFRhMrV
3xvtcB+I4zNRFuXaET/d2umzXTd3GIhgNgi1/hw+x9Mt/Qx0uYfiOzwVVmeSCl7vEwdjud3o4KBI
rhDNiKh4SANCB5iQDmzQONz1wOAQVZz6ooLd9ZeN998UVn8HYoQYx8Y+iwYJY5BakQWR/LUEDNw+
XyoM9iDULugsMFIAlU4qDKuJQMzuXC5m/cBMnol6qg1E/1XgLz2v0L1ky/KGbPDvtAKm7v38VQaj
BsrPny/VYi3/uuvaKw3tWgXQwhYf/1YB7tpe5o1yvP3pGlWvwFB7ZQAObqeKBqyvQo84hEKCXt5P
vaL/aKJlP/yXL+cLE/RzkLgCKe8Fv2357Wp6Y9oGXBOqIPGVwSWWux1nKip0MX2xftgilJP/AX/6
+0EDNSANE46zBN3UFOeqXx8OGht5HuGxvs+ZmQMuWacnkiq1MfzrSA7d/sMoe3+7U1CvoNkB7sWA
XjlHf/1OKeO0RuxipGNaBPFjHUMK8889ymDVa+bnSY5Kajbp8Wyew6R9DuYyndDdrCCcNO9Kb4Wm
I/opZSf1SjBjw1gxRxKh7KUO8McEuV6D2VrxTxfO0f/rIwLwREvEw9cQZ5ks+u3Coe5Sx3DRx89m
6USfZNcAxNOF4IrTnsLQXaIBYg+I9FRA7dIuzwIXAQoh/csUKbn2KYpbQymhN1Uaffrz3KUv89vF
xS42HBlzKAxw4ngDGv+l0zLPVM5iVHn3jVFWDaWRYqKLkCBH5JVQGlquL6xchgr5jbKmgYiKifOI
KQ1ARc8RaKs0MYrKHwxn3fyAOgcnXlb07njr6Jgb7TGCGG8VXgSMM67VrNKhlXl9JkeUhKfzEnQt
ryQbwm7HP9/cr7Bd5ij0ERQALNosBMGb/bY2kM7wQHPhuoTaAJpNo/CqEsuKAK76n7/I+xVRar8J
KFmaZeCUgW/+7RHXztQ0svY5UeaUUahrr1IUpPzSoZMOB9lXX9ETZpTWBOWPD1u/xLyQhqgWPWdS
FuU9JLph/Yfm1N9WDIA4N/FT1ijI//j3FVOOoXYrMI77YPJa7wOFEmd6LTJCjUurR9ffJEYE8d0/
jMWveGLGwm5HwMX9ANKBm/2+HUadWUQyOFZOhRV76zuZay4WZJ/H47qA8X3sYdbBMguhrV8EECDG
94IEjwp7joNVcFYnYFvPEH4Pt1dTItQIciAe4+gwr749BsugKp3HHLWm+lZGZbp86og3i3+4jb/f
Regj05H6DByYxNSum7+sC9QA+H6zglXYeqraA4pAw3BYGgflKFS0ZxUjkilG9xbNniX6TP1JoIun
JtqZZ/8woL9PLsD+DCXt1gAEOhf12zR2k3rLm9LU+6Gh4EcVExT4/EA9UzuPcWAqFmVWIl/+icSW
k2fTQRF/QoWL+eT46Jxfbn0oi8Ofr+r3uWUvKg7shAex/PdNTXSUY/A+rPcU2WJYIPnsGw4eD9vK
JdvBJmdmD34wsJf8+YtJ2n7bsmCHUW3FeCfyaLv+bTy0TBTch4VsGpqaQOSVTp0rYYXFsnP2Undj
Tjw2z+ukLpylWbIM3D3t1KsBwYuxPSvRTpMhFZeBIBSB9BmyXlZWE7YLDb0qZ6NE7GvzHv1Gogkk
u+fAe/LCVukaidmscO+XMlmCp9KBWgw10Nu67bzPChl9lpRFejzkSBMxC3S3nnpN2zf+hyTKIWnv
QR27uG0k/tp81XW4xXe0SAUU+L5ssd7bBZFMyungKIqBqD54Rtb089wCMfvLYg1xZ9gLGa/uu1zl
IzXHrXAjoCvuKqb0kONwgnpvSumYbnDXmcAZEJislEGcFh+p4SaNqyI/2vIY1U1Ur/PyaTCITP7w
+y6LMtt50GF2Vk2dTK6pvMa41cct5J1rojSpXjkMtBddCE00fjDrOvjfYlnE2ddkRZ/mRtJyC8vd
KkRvvg0hKvTo4XTcOJIeQwWZpEpaYHqy8/T0EqDbLT71+dQGd062zOB4SnajBRAMGls54NVRzvl3
VDy3Kd2Ruk7RuY+5I46+Xj7y0HZz34zueT9lTVeeV3hnxE9Q9xoangb2bArX3081qqmTPWtx9tFO
8jw6feFcNlszRNe5xi5n3RuHwf+KTWgbfsYfACONc3ItXNr2kOhc9KQVvjZ8aGxW49Ik2Uy8PikR
RcxASIFhUJ9zWPZbQz958cvoWPtTlFfn6QhNvNm77AjDPxxsoJ5/WwOEE4QUWQRIGUEHtA1/3Z4Y
oEIgZmu9ITUxRe+Elm5SVLG8GUvQHudV6ttkQfUOx2oVgrcAkxW5MSXOJOnxLuyNv6K+Q2sfTW9U
/rILs9QpFcxtcmVw7yLCiVKbOzlDUhy9PtdipdLYBubCx2Kj+wBLrAYlVWb4YSL62UNxjCYsg8YL
MQbbdklbmHM/I46htJWuuGwc5p70+prGOIgrKPUo/dreTLEmOBgQu807bbCNeV18k3j9lbtZR1W6
gEuLpkSHdMtDhMHn+hBsPDBsqNE/aMfzBpoZeTcS2RQVdhFlzPh2DbeF4Nu3y7Hbt+vkee/ZFboE
30Y6/MjFbQWid9cabJp+NaargDhqzEpAeL3p4I2bWAPqkaXYxLlfd9ixXKmxIPDRFaoSD8UGefES
Sr+2eYiqYmx8IumEwAxbjMLFXoUergz0aBFBuYpWHheL3y3Lnk4tSzz/2AeI5cTgKTpq3pS6R/bp
XuilfDdnc571mGbEHnFREyU2hpjdxI5gpwcYpTgUOdP60szoGt3ie92t16MmL9PAt8KWp15NOpwf
pnRgzPKSXg+Prq6L6BPUftL187IYiID7LUVpMXsTtnPWBp25fT9VW90cuiib8LbFqQIoxUUP+zHG
FuBNOm/wRc0Gn3sCgO9qEIxBv90r4DNluZgZ7USN4A/2cTORS/oUvtTXUeG35B4DsUrOqpK9keaJ
7EzhYIUS90tfP7Ev4sdUIhRV5KDh/D6pLuq12jjuUELJok8Y36jq1TiotiM7gMHg+lJt6coPeuzn
9SVB2UyVPyjC1KjK9y36gqLouYTAxKQ/Y6/tdCuJ72dg6G/xqTAdh9SEZ6/zyDY8BtEOizWIuSvG
JuHF7HQsnXguCBqbGATArSjnGIelrKIoipBKlkzyWUGfgsOE+hsz1zh5Ao4typgiTjiY8TafM2QD
0ZWy6IO+HvP+cq4mHtssIQJfLkURqK/Q+7gEk6mN8VNJTKyKi8g63kY1s/rQFsZTX0/JnL+asrw/
RdZq6Im+/ZI9AlRP69TfC7dbnUfhGlIiQQmHNd8sGxH37EN9bw65O/KKnEYvPkd3oZUgM9ckJ92I
+tJlxSQIXUWfIugZ1E/aN80k8jEby05vM9QMbKZPsTf1oMdL9oYzkxtZ0TSI6j64CgrNzrK8LZGm
FrN8TgO8WFHVdmk6oRIeTGxNTu0z+wS5yPzQDUAQnoqibGhjJ+6Yot+Zj8paIITgai6zJLJp9Ck1
Qv6Cy29HwR1xRpE/jYsiyhnajhvSnGSV7Wv7TMYmQjzoUWKBA1+7hG2qdyhoJdwpGWLApQQmZFAx
Q2CiODzu8GKj6qu+5iMqkK+BWw6oT3bVyBsd3zNsm21Is+ExMPz2dVUhD7frCr63bCMmmJiR5X8u
aW6Ot1tXIxupN9AeH0BVgJ0e642rBTXilRj/BN1Q3Zw0Munhv+VLuVFf4XnObCdtODqqo8cEoOx7
Y3Ut770KXTK1n32v2i5PkwwRKpydz00l/fjcX9ywuwWiNnmgUefGR+Mo1mN7kRDoyJvu7XSQnET6
JXApBt+TY7I08qBnR1vQXZ4/l74K5COWsxPtpbYfZueh3WSL4RgCBL4/7ZEPFyx8MgqIU47f2qU5
xtS43lFk7LwHuoaN97FEKkiBux7KgSbj7Kj0Pakn6rtUY7fKewzdWcnzYFvW5Fz2IRWynVfh03Uc
OySW7v2cwbwggrRBrS9KBtkM0MAuNMQxxM5Evi23CeYK6jlUUkXHboPJflkWGC9QhE6mTps9knUj
4+gPsvKYOq27Dp/EUGdsoz/rItPWlPfV6FGamROI4Y9ZkK3ofSLQsShBozbtaVuX44ZGRD8uLNHA
QW3zw7AVWU4xOhbxp5P0gy/GQX+RgEua90WsYjHswq1jyftsbzHhTWkze3IHLZ8hVPOF2LvYodOL
8eVNgOwKRWlDnfC5p2Wr0xvwKxJ0UY9OXX5UGgMNkPIOQuZyB7DYrsspEoTHbKBIi6N7RMlLnnmF
I5P3AG4C3Kwmdu0CtfHADkPjJAWD2S/hBEILKnty+eeA/PdwnDAEfAkRLf8D/vl7BSFKiCCAii07
+sMUbH9WkIuAgu2pgv7nr/tb4pEhYRUDHyT8hxBsGWR/TcyoT/eIOYYlcdvK6ltX/LycPUZtTGXX
M7ZEEYPSGm///LW/F/lwqUfHGqq4rfUhTvBbOVIMlcF00+FwWgqEgVDHXeyTjVDrz4Hj4LV6FQqR
c0aX6HRQrfnz19t47q9lPqiqVAnYn2CIUi94iwf/mo5Wa4ZRK/3rUzfm1DOgkpRT+/7zN/0+vjis
ks8RXQbUq8Ls92yzXOl9JQTkoL5zj/toCseue6om9n5V48/d5ykGBP+PBV/L8PvrTSL8QQ2KnDIj
rM0CCH2/Plrcxj2vXPtXH11eeCPUFzHjgGQw9gRuxRrozTnqoR3ptoaZYxC2ccy0qXQfpThMQYRD
n28ab0YgdN3nAIhF+owOzhjRLgZj6mPGFyDuAayirqdsO0/DvA/mq4ResPkYrps/Z/tZQbdXgLhE
vd7Hbsr/S/I+YipnIlwa4fcMVYg4KKrG4XzIk8C5wYcVa7Jj1iL/CCoojdTq7ILW68LsKMrEM6Ao
KWsa8SFZTeKPkHBKFZWwvrOBNhWCeZHGqmUt5okqhwDQNGU3rZ/Agj4MYbBy83VeUW7doXmiyfCy
fKzS5Vj2bH7JHpvLATnJBPQBTAtSt1JHZ25cEyPeAdtjMPdNAvrjSzIjV/CY8jpaRKelOdBiwTEA
s6AoTV4cST3t2WhcrUI8LUDhxNfpHK+OuKLiW+UZkHzcPoYdDS89v1YTfY5oJ6LcA+xh3LVFHq8r
tggAGb3TMX6c/BIYN00l9jZcZ6Xf+2dGeBSHDhsatFmz79NMLcnOUMmCiYsAQ2y8Mycqm8zZI8sY
wSxf/XCV5T7F8JtvqxcVLduRyZhn99oVSYelaYwzWXRtGEim6BSm1jA9Vl6qMC8SUT1J8F4Dnfa9
LyPOePQ0B4B1bVUFONv4q2jHp8wPFqhBolUDWMuko0CW7somlxjV5nMR4kK4lnjsVYel92sI/WDx
cKXFJEWHG6AXFGqkb0US5fRegbMuntY2yLpPTqvCnHtBVApIYoWeaQGtLx7ypt0hngYo9sjpMRfL
niMiQjHD6XtI+MetByYNEirf7OQrtE4oAVDj39j5HWcrZQyehQMM8jPJDrpK0YKoWrQLQmdlMgVC
qukBkeAqoqmXlzErGZXUMcFfTFUuh2WT8kDxbJVN5n1ly1rWTxQ6KkWzTaQjGogkaK25A1daR9s9
+Oh1Wi864NAmPwz56LvEqh4qE258kfqDNfYZ/LmGqKcRgusvmJlj7Z2j374hqtcV7QY4eKMmESgo
gsDXh2u/CyZd4hSKpCqqzQ7Fg+qBA27ifXJRky/PqPJsgE0rlWwwyQnpQLvS45sitKcw44CNJAMQ
HKrYFk9+JTxfmW6nh7yxoU6Xg6gCJlYBTla9MMrF9H2hU1x2QA85Juf9moXMmz2Wd9q2uYa1ZLjH
kf0JTGjotCzQxDgucmNV5tRfc8C25mNc9B0v4DWO58uhovnhNGchF0GDcRYb3YDLgaSST4pR41Vf
Iz06S/95CQfArQ9RiWMm4Eb84dh+onTt8S/dsastzFcOgm4F2peFanZv0bxJ0YhSSR/zjqRucgLR
TMz2/YbglnWRdEnKRcwsL9xiyXiY4EtO2xXAdopL03xVTpO9sJEAjD1N2nTIq4OET1rjAunGK88z
9gNP14oOru2TxjpeNLlz1Orl06Ry7gJLEbtIDY+Iv87XOeWfKJKCoTDKsWFuoLv5g9s5InvvNYT2
8iKipWs+zsMGeqBsC7tATa3let9FeB3cTK5A2uqMXFcjr7Ym2HpSrPIz26gsYof+AjXVwuVrB9Ki
9f40/h1yl8K/yGr8xTggdNYA18ScyuCAcPp0F2UKe60hv4Xt0DTOdMn+E9of3h5J5aT2nnOzpO6z
gyDixdS2JSO4dHkgbxI66tGyrxe3EcN5SeOXCw/o5quvQ5vajWjDyKwxh1UDM8gwJnZnpp5TtT5f
kZiWPzxFjqd4qDltWwjSUQZ3ZpeHhBZHOUwHgdQpzwrhMvtEhp7q3HSocgANH8koJC+dxracsYK6
x7XT9tupWdtHIdm7EOE9tfkp8ffsgjqd7UsKaTbeu4WoyYGUPP39FK7lej8OmJvdU4wDAoBgmr2Z
pIiZ1rRzHKYSYaPiXmQ+b/atDeUkl3OvDpjkw2lzHTOMhS+zQtkPOm3MMEPsYpj6wb4rKHI7Hqeb
lxrZEYQaT9+FrBMd/UiiKi8vVgJKeXO6ww3dGR4n8jVcWO2UdqxPqyhBHoDPBuhvv88Z7KEC2NEu
Tmw0Inu7b/eETMfK4VASTMmb1HEGTnmOPntKxXXWMHyoYFTNTa1yFabI9/qL86NoIRvN71C4QUrz
DA0Cn686HY8FQuO2gz+mLthLIXQVzRdxIOKpuIlDkLAfvKrxgGkRSszNdmAaF0ghunLFEUT1Ia2y
Y7SNiroQwdSIuDw2gKP2b5xWc/aDphyn+jmQiIaPu9OsaGasbI9oY9kcd40VEXxeuyRrOsmzaT6O
bW97gVPscPieA0Uj1EE3BqgfhQAQaxa053SffRTjCYv7eiNb3bI5Hb7jcdKK7zM6y6x/9KxkdYk1
Dxqg+3FiEr+4Lkp/z0D6G+bNqQzWS49Uht2ZtHtaQD7LJ0Aitn6WGvBD607EM+hFNOw6m5iwV6S9
+yAdgWAUUsrUyC6sUQTpDkh923iPUJXkEc/1ZDcN7DtJiNba2Ab9z+LkuHGt42U19pQ1UWMGG2o1
rktC7lYF/O7U28+wjEZDCy9KlPJEP6zDl3BAdR8snWaX3NELt1+ERYjtCaBZw6X0aN3buswEPAIK
BxE7ok/2qsawCvpP0VbG+aOMfc2vOP7p0y1y0HbuE5NzD72cCyomIEZSm3EFucM9Y1Yy8zwg/oAt
OKuJtjo0Yux2uWSaVe6EgHQ+hYkc/AoxSMD/3OqC8DMWADoJLuI2kO19nlKZwVsAfpJ/pwxm6nht
v5V9yEgsrCiPEuoXe2DH6HhTbVpcvrRmzlJdI9Xkzyl+2KtTeDqUr/SZXfdOpAZeFa4DA3LwZCzS
nki9J136Hq5jbHlxVu0MXrsofb4+9GMe91Y0NWMWYJjWV1/qcA0dyCcZfmtIuJYWa3EafJ0grPZp
3URQfEMNsoavbxrHba5jYGp8tDhZbhg52vpUXhiBi57fZCjDoMILVeUQCOBDKLPn65anexPVW11i
kKEou+ktsPtgmlbsAqkzZeF36Yq2Jz7WmKo1+yGqXOTLx4G46sO20aMakKHORJCewd6pyvenRAnv
egw7EIoFhwy5oOsVBo/CIHS/71i4TIQ3Bcd1XJggp+pAFzl850hZUr4QrWsXQ7t4FGzVBLqMd6t5
8smV37R2og4NfJTlulFdXXTviWiibtv7cTG1VIyUkyVXZWVQsHnII9+eycY4OivPp0bHGd7tS9BT
ZG8bXUaXqJvPm+r2vYPfTH3hFIEbzMe5pDGRnIHEquMaEMC2gSP50jleYP+ZyfJh6Md5mKfQ30v2
YiADoHuzrG9La/JQlMt4VPy8ZN9oFkkw65DY075Lv9VdlBjrgxybcstfwzmZ7KKp0tVdJZL+Kmlp
tBz16NVxM9xomfV18dUE0JuCrxZVFQPAQpC1sQliuA5mZf9ZVo89AcsGcPMetodQAsMVrp9EzD6h
OEEoUxEjwlcpM19Am168YsGJnXmG8n1/qPx5NuLWTNpNlu9hl01Vcil6yDQYLAd4d/Tel3acwhjj
mqRsBWE9ogOmLRJWaNlLFOTacUi8Hx5hcp5dAmTyvPnOo37EVUZSJ/wzm6gamDADJsrzpSs60OVQ
blqvYs8s5nhC1UhNTdFflDT942sodfTY4DUnE0B+D6bF2jZ7KYcJFPk6yzCcL0uTBmV9mdrkOcSA
3gyJc+dCVhmnK/pMcizoPBYF/yxDCo4PHdmIj0PRdqYRvZ98UhXcaQFkBG51JxRIVAFXruxNHv9w
jZ+g6rYAnCP7LRW1zvBSrfTmyMlFmG0XI3YyG6rQ0Sry536OZOxhY+M52bMI0UwLzgH+iYlLmWOS
wRv6eMkMlibmhm60qzdUATuf5POzjIsV5luW1BltjUhWjsOGiFZ603Cu41RAhQV1pjisb5Zs7rzq
jhC05R3Qn7qQEKbBCiK4MpTEGdQWPVyJeSQwLA/cd0s17qsIk2IA1ZziuN5ithlThT1LRw4WbFqi
NeCRwHvDmutByYaJcD5V1Dc3GDRuUiBJphW8syu0ajU22B3oOlO9q5xqXstrxKqpvhwzzdGSHnst
iWJxr0hnR78DKqWBsO9yf1qL/CwzDvTN62LZjM7utBlrd0N5rJpL9LWT2V68xHWpJ1wA3jbIM5o3
s60Omsgu5GjDKoxtospjdWxwPE7goo2FS1yaR8bGuXAMxw12C4VYJlIF+BEakYm6BFqzkUGe7FUa
YdJ6vvZKE4Eop1xQ+Y0yyXNcGxcrReT9lhZ5nRHH7NK9awhiKOziTjsjvHXWygqDTZpHQNKt22ci
dHK+8fwiTLgxt4BvyzY84keRfltcNzJgLMI8NrWCLUlpGNWU1cfxJ4MEEVGaQYWhrGg2XlSz41mT
xs3P14eVKqqE7DbHwFTzofHTl0incgqvF0W5rfk4FF62PkB6pnPFFceDh9ZJ0ZYIAd8tAcgIjIGw
UpnM+LGx+LnP2D/3a/VFzfTlCFFTFFCje6UzfwppriSSBQoWwm5FKPba7krnrh2/HLNOOdBuei1i
/7H3g2Yuz+J1qlPngGp24yDEwVRJ9DUF/amHt+QKuoPu1egMK8zjsC48fN7wxuagpWepsjm7aLbZ
Q4g5RXseY6U4zLyqPUfQMKvVWZFGMLSuQp2XA4I0ip2pPY7z0rgUKeLOdf3DUpN5zVSO0bBLjtGo
x3Hbx5habngVtn2oh2M/I+cHc522+OadkZs1mCl6cYJo8EH3CYQzkMhq4u051Z6weBDDOGpxHH1D
f/F2YR+EDiXwGcj9y1i0Ddcy5a7NOecy6nkNs0XZvMshspDYJ9GI3etB9ibV8G4LTdx3AC03BckO
DAuR3z7zKDW89L5UvFmVi53CPXLDTNqyTno+uC+phCJtOZIlnQGFmfjDKllWfuctRU4075JoVJDe
B/u7sfPtn/uYofFPJvK5/RAi172g4N2h7sj2VOSNey052pDPqatIo36CGxpNkqPIFaYV9H1whSbp
1uztL7a3xdXMBZsqTyzC1cPFrMan54Fg+yjadAcPzquifaAnOwSeIMjxL5u0bxmecIrta8bpaKwp
WnH8BZBot3EuCNXj+CVvpoybzoLFfvV6GsYWd5C1u3BDODZnp1vXEQFGcwYuZBqRda955Apat/Dw
eB4KBx3QA57brNx9hztgjC8fxTO6DrSza4liUWGzo//JP6OO9Y04H230AzGyZ4dK08N0dkWR2hvM
3q7t/96tKvjDn8ONJrR97mwRtjJRqtVwIWJKan6p4I+x+6h+iXitIq/iJwzpaVdllCr4YJDc5GsD
G4DzSL8+qW9XCl58Qu1h6fijC+jQmn0Y57KasOoG+hFhnoemLeObAkxBDn00cUDjJ/BkxpMDP8G7
f66BFm/FZDiuhYuHCr80aaLJPJXvPtVbIIS5IFSwydXkD3rI9iCQO69BB3KyDxdDbzsEqiOKw+02
gZMKn3iu7eX9fCI4afj8tMUFU6PqlR0C4L62IN2svkGqi4p/4QT7Dh6PM1O3K7FQBNSzqByOrUZI
/HkGh4Oz8Br5PBN8S6JSohFzKmFWsu9y91IkRKV4saM8EQXvvDX+b+LOYzluJVvX73LnOJFI+MGd
lKUTjSjKTRByG96bTODpz5csnmixdA8Ve3Q7oqXevSUWCkisXPmv3/ROvwE3XMBzI39s/C96Shwi
R3O/S4AKbFBlvlWhAmmJrcBZvG8e8pFNRh9C1aUKnZ7d0YMsTlnNd26vUxK2ytqNZtIOF6h0KPrb
WnKgtxLOAe/IquPXKeSVnG8aJRWbyQueETQFcvJkaJvkHsuGXjLST8UwvxNqKpjskNC1kGwxJqrH
1GsGxZqvFBSMlbxrEyuE+1StlD4wyZydr9Km0uMpQzAjRjz4cKzr44AnP4kuIoccA/8dbeX4MZMi
mS7nZzQ8DYeO83SV2uYsbumxr36QkFYGN1hBDgpETUw9YqWFHDDP34kBLvvlkjkGhujUYDCjsJta
vqxsbPOms7wAOYAVFGesE0RTzsrAFRSfkv+Pm5JjXVZVpXZ/gB+myXSXr9QJBcoY257erZa/YGTr
tOH4qXOa1IcC0bV1p+/WnP6YdPJK2f17N5/8qtuPg68W4qk4rCGpTU9o1Jgy4rc/D8QiIgNp5cwZ
FVcpKVZaGhLgkxlrphxnDQyLVjhxzYaGPsIqb44MTlaHgZFgpM83qnc5LpLk0eSQBg60j2UabpO+
096vOXEd6wljT9mgVqCZxZd3XWpwxHezF3U+OSluP2vc+8hwK/p9MAh/+KxQLId0JRY9+Kc2SxNn
AJrQnmMdiG2YxoeAnIdqJc3TBnC9zKvCxqB+YY75MDEAGWE3ha6HIvjlyzIo6NJpt8gSa6pDn05M
zPYtCiWBr5JwDVAiKmHeynCugik8OCS+8MbOo6eIniF6SC8pFtBEpX5thknJrxw8vDF66Av4pA9R
S9Q7CE7VcG9fik4Kv433dChasxBSxhL8dFMruZN9Ohr8amoiG3gxqcw4ZJ5tQ1xSvh0grQcvaZBW
Yvhd4RwLW7NJ9BFfUVOU8QwAykD+/Iy81Y5j0ColDWb4AqrhP0uDs1VM9q2nYMx8/KvAvr3snUrJ
Schver5YVLPmXWfgwMO0xJc471cOXMAT2je2uDt/jCvfZ9EnSw14Copc2TGeTKEgLZl5iuJwXUyx
nC/atVs4y8hncsEJYWPEyyraQy/r1mlLGrIkYpXLGvDIPuGEU9HSF5HunazOA6D0BIoX64Ykt80y
FGGldwRJm1qHuMTcGvSOCujMpo/hffSWCQL2fnWrjkwXL22nReztxcaGYEf64GhZHK3wl6m2aTWY
v46tu5kz0e0b+BHSjsFBicIwK1yfbqbj9u0Y3A2uPQ7WbThZBnPsks7m7+WWoEYhbzavAoRDg/ZN
jWN2np5QHn7IBDl2JeiHv1DhcK6h66b7ISD5LdtbgYjXByuX0r6SyDeq2yjGDWI9FvmScyaARTOS
0DQMSi1f3XGyl/sCMRuWbC1qsvWraqHrwaHRWZcGlz7JEuS/BRBHCNQ7lZCkKGict/HgFgmOY2Pr
k8eNd0daFDsmDObLnl5W/HIDgPqp7hR/nr2l1g8v0LzO8ctId94CnPM4OsyhP0z46Xff0xMQTLCG
gXnjNF25MZyXwowOpK84OeOpr0Ly2rIF6wH/sbbTuC2uT6j7MtUh8OTqOku8/kTNV5pNpNJLuz5C
Jc7C+rOnaDkD3uduWn4FVjG7nIw8xCe06NixdN2dn1WG4gVtH24dmCqWAJIddcmkcR/3QwfjrdGR
/BBtE31KIo3XNR2yHzeqsnwXS4KSyI8k3magSNLvX1ojSOodTQTB3U8jEuK62ztQX2KJi0RksY4c
bwhY/k3eB3ymGMlndN6Xuq+Iw7DTfDKr47Q2i2dI6gVVrqvAIE510Egz2XjGmF/A7OdyKUmZwC8V
X2M4UM8QfeYMz/OX55euPN3lxobyhVJ3iEc+J1bJYn47VZqoxCUFh0ombkQONpPDVrVxevwt8l1z
QtT9wWmm41LZWRDdkSPzXB4yzJFN0uei+S3lSMz1CaifBpEmF2V1D2zHA1J+NGO8/q4SbZRvEVRD
ELvBIXvu00NKm+TUuymPKye+QoXjz+1OtGuFoyK85bJfNlaiJwL0HAiC1RfZL8C1h6RrdVe/a5wA
AvK30e3wjNrTGUyIVQbXpVN7V7nZVGOgMFd+Nn4dYPYxJVRR4c2kxjq92X7Ro7njsFW6CKrxMI1J
hklL34yaf0qwGOK3pqzC6ks5dB3YJWFUzQTGRqBh/MBJx3NAOFbtRu8VWZqO3nolpOEvcUWJ/d6X
3RROd+Hop53Z2pZ1/Fg4jgruNVTk3t/SVZkZwwndb6LObBjgSowQYKBBQaWPNZWmPQ1cuoTIWioN
m8KEy7mZfVjTasrNnHDqoqAFgdkNXobAIOk0Hxcj0SfzJyB/l1j4hQSL2N21kbtgBTmsg+kAiSkC
NAF7T5zgJ31sopLdygnICQhcQXUXXzZktyUxJhLIQJIHhu6WX9xyqmotDOdsVCv6IOSQdnrPxFlq
Z8vYKMOiwnMnL6+vrSQtB/qFtCWwl7SCLC+/lC7lDSeaeBqlScjySE7YNM8cIYH7wfoxIoyOX0vP
3CFG+gWGCSEhkQwwbZ+V+UGTR5t91VXPfciSucOCFxmqk4GEaCCF/FDHpWkrCdoa3Ha3psnIj2Ci
NEj9nejOmiIMmgISqWvPVN8q855B9aSe4o86HOym3+YapJ3W9DTlQqFgznYKKEY/YAphilfZC65T
4ybOrzZOCR/m3neH5SZx+7Lu32kylosHyw8WrlyXxOcxOrOtoY4gZvWxuO1cQVrXDWbiuY32rYtW
j9xIizpdM54oS3AqMUoJ1Af0jdxy37GbEe6aECZRlxdIi4oeQ8ql7iIOldB68ALMW4iy5L4VWtmf
LGvI9fwYNe6wJhu0LJX9mQ16Dt+DpTC62RCkoRtoxwuJOCv2zEsLNW3JoVr8zNqSGcfGCqQ3FPs1
C0r7s+0kIz+obkzzb4q7+bEwwfACP9Q+w+vgiP9KXqF/zaaVRG6BgnmCaERwKBLpqG+n9MsYMrEs
dpJZQoptRIjEEPurZRba3cfPa7uaKQUNPUVhpq5F0wZAhnwwkalsf71d/2oi5mf+BS5Qyyr2eq2T
VF3hWPRc0AmLYVfo58o8U9vo66igkjMv7IKWfNWPfqjN/1fVXm+exUpyuw87b9blk9dFIlnuT8Or
l9cpUZMZvlk9s21xpE1kF9g0Bef6kbg+WE2sktgyYLvWdQYBIYlK8IB90zqOHPfBhOw9PIahqivc
QNqJdxnPWJSMBHEOYG4LCJrHtdMyqwzPH7jFdP4fBuwOsv6xFOkSKsL9cjFa1YY5gbla3cxOW+/p
uS1nuJozzZON7UkJ3EpQGMTffUJMk/TgCXx0Roxn2iX+rmGWtB/sNHHbDyE9dYMxHeRvvluRIpnj
UBxLBtwt+B23/zQr1H1JzCPoTNJ7+CeJxqncDY2bmXnOaW+GuvCiJ0aCL2P00zhg6Duzsb/cOlJp
zZHjZbcP1Wr6hZcGiBfQjG1f9qga7I1HgzrSXI+H7Q4jR8FomzMPTD/90KOX4jMhW/jYc7V96w/p
djYTZJCXE3vhZQKMkZn0kht00gnG94xiq0YerLxqmWMYNoF7mY91ICe2Dnr6DivbWEcDaR7Csv7C
zDIeCb/xsvzIw43dTBztALWN49ln3LdgiCAmr5m3i2g5AyZTFsW+hCtDYC2cwpqUFBb4WHjugZAU
c5oDNJ7hG6vnlCqQEcPhBT4mPGobU0ER8v4Pr4XRLtNB5E3mt2e9qpdylC/ZkGwzBQszjwExfhmm
gCXerBiInmSHp3EgbjMM9TjqITPA6+55dtco6LxIzZkjwZuYur2L8MD9FQOT+Vfjc3Q8pHnzTMdA
0dD3Gj8Dcm3bhuzHTbZAYb9oc8ex8cTtkRpkm0rNxoLQEnJc278Q7l5T+7i78CY57fgSF3s/wHHz
NeuN/L1g7IAk992gZHMgAxS0A2H9PHDwepvb9//6KDcUwmhHoPedp3pVsHtguclw73QBKd7QMPCj
lEX58e2Pea2dO32j3z/m7Bv952MYHCV+AEPJNTWN2WYRhWBibSTEjiEN7m5XPe4CFsw9N8akO5uH
0b5++2Ls16xCczXcWgz9BTknaEHPlXz2xCiEeQWB9hxm1NNCqChriM6PY4wiw5alGYdBx9zVjllq
jFYYBZ7WSjM3PX92zQEX8dU7DTTV1BriwdtX+Zp1iaAZYFkamSbJ1IZQeyY3dIOevN0AhYIXV8bW
gFAfBDWhg49BuW2dAlcLlN1YR7z9sc+v7n94peZzsSwJyVvAgsR2nm1LfmfTwhdffbyG2oOEaUsh
G4imYihaDDQnJdmnVLMhSRm7rz3o+Y5t17zyLtUVpszzgPvtCzJL49X1BNKWkY3jWehJG0Lo65fB
bb3JsHvjfQvpHqkZmBYWHXPrVcW3ErSaGCNH1MaN4tkKpAgYkb5/+xL+WDAhiqqAd8TjvwQ4n7+Q
HcICH56NofW6K6tjqgLtfUUHv9ZYJo+KeX5Iheoq3NxM+Qja1UM4cDqRwLpQ98OgjXfJwBGCaf1p
rP72Rb4mXfPQjLjW3Ck+lkXtnZVk3D+g3FljuBUOOjRcBk+Se6LR+watW5ezfv5Sp86XKB+JLbCN
9NLm+fA/Xj8axGZ92g0hyQOhAub5gAdDXV2UnT007XUifFyzAPhyxu1vf9WzNcp7C3rlELJmNMzG
b/Hsg+FGLBlxQmLXEyUZH4C/oG5UGc5VTyevhdMekLT1ZN5SLViuIKc5epwUV1b5l1f1zIjAXA/N
EbB4GBhHH/dcVg0uU6QupgI75oaGYX/iyhiMEDxlsgqzy50IPCEYM9YfQhnWxEK8sCt2NOuo2A78
VSvK4NcNudJHDYgG8IskgZfPWwiG3OYpDrCf376V0iyL/7xeXHoAg9z3cKpAOyv882dI2q41Ahlw
Kwdvknd6mcz5S0wLfKmMWV71Sa0rHPRtGSVGD9R6SGpcZKv6mSyCS7B6ClqvRHdX68DQdgI3hamE
mMewYAISsPlb2TN5x25gyLHfSyTxV8lKCwOX93lTfvtL/fE8bB6I69q+T0cfCO9ccL7UK/F5ZYY7
nBQngg50m3dT36EvKijksGJSI6RQG1IrYZCiFah6JtNWGWZMGl3sTy8UY6ri3ckqQybP7EkUbmYE
FUpGZv3WFQWSurev/CycjxqD9sUOBbYLLvUOzOj1KyXJvCZfqtLYIRZmwDEUFqymzuUo9BRqxknf
EbyEWEbEEfW29ye+PTa8CUfsKYAm9GvIsR74ztzGc6ETF93SXGeV8uZbwRhS35RYAhUoihbsMV24
ZzbBXpuOFiBGu8OcQjy8PDHSxdgAc5vxF+fdRrpkXIXRAB0bwkm92l+KFo77P55lV8QdF13ZWfVu
qTNTHlOIrMU78Mww/THYTupke4cxn/95CdCEfXr7lp05LZhbBt0wpCJ4EWGGbO2vbxm85gpdGI58
aGsFGMlLS1gAPfJynRpOOB5540ECKMr8O2NZusHIAe/Kjkk/5/wxIiPX/C9d8tm2wZXRo4FT0BVK
9nL/PFXMJgXdpQiuW/GsAiQp3RzTMrtALFuHCOxoI2NnyZYN3QRqUQSErp3fd4pJyRMMAz0RIkio
eX1lx4ndTVgvD6YDfvsGvtaxmKuEJMFm72AK4SH1OLt/HLFiYI/B24YuOsDPQA1jQao10kQSs+Zm
tttvEZPiFM1erdzub7YBfz4/9nQOt5ilg2OGJDe9fn4MHyVPIEt2zABHiqcMYuMbsGLvN2aPCxUM
o5xn4aFveFicSmMnpl7muCXyx3urhaJWycqUpbfvzB+X5gAkipCFFYAKRNCSXl9aj1+MkxaEn6x1
zg4D1gs1Di1ZSQGJBAHQdw6sDK5l8UQsPi8etKbqkKrSMPPQPw8FBPK4zH/+5brOizbOJXgsUOIc
+jWbdvb1dcmxaZBXTZoUpXVlCi18C00rNBZDmME50cWOYL32Gu2WtyArIV69OEaYCVt4Gm/bYI5M
Ct6+LPOpv20lp0xEMmaRRaHY8c91WLztYVbivcNUFu7FlzJy8dbB4PuZzJnZrIGrxkcO/rdOWZ6t
YIkMy1QAErkdWpE/WkQVwgIumXqCRglI5auN3zGTC7Aa6C0dgMnAyHBUI5HBKCjjEQ5EzZQVt3vk
0vkddlEMYDfQKW28ChzO5thXV85gZiJoewCky2nQ069azXAZySpEX1lUWA1AjOqpwnzpofksUTB6
P3AHhzY5QoOeb8ZFmERot8cQgTlCxPR9D/JCafx3953wQsaD7HW0H4J36WyVYlYS8anzz5NWfpwX
FulL9/XyjsAgp/q+/ann1U0C8kgqL6m8uBVGf9x1RtZqbUCXMFTKNFW/Syb6r4FVYPbIpDOVit3J
dGADkyno15ltmiMrYRa33vXEBfOah30t+IOphXXmE4L2FKzg7Qs9c0bg+EAB9ghz5Uht+sXgrDMu
/FHbQzQjGDuNGvM2b4Yv6NZqlocqFsMnknKIsLHO4xIZ/RINY/2Pi/R9MArpgDUVZqGOK/B+nxnO
Nus6P/uBj7bht6+ib/lBPntASCTqyDEkvLYWdB2GSePJHLC6DLxu3QkNq+AOrNpw6nEiMJ1W0xDH
zAQlXCQ5UtBI/CMGAVYQbHsSgKdfLUYTYbHz2H/r+C/17fy9sWERgjB4MuDY8KdOs1uItgO2h0IK
Z8n9lCoyE3dzh3qJcAcmBzzUCdnY9GNYMiD4v+w7rw8sPBbPiXz264hHwkZ5vu+gZxkZE6gER2hE
eiH6r2ePsCkbRnOQesZv3l4J5wUK/SDlwYXAYE4OtIevyyYgDv4FS8Hsu0wMvta4hWlOCa81i/SF
QC41B923P9cxW+jvlVFi0kMvh0OHa9Jaz7WaeLZMMdsv84/EsavrGiIv9LzT+Mst6LEeIH5ST6x1
pdpMtlCsHat0Bn6jZWHkcOwZWVOCYM8YcmGf+KW3S1vbIQzMttIGWkhf65QAhKYaIS/ttaIp35+O
o/hJrPF9AMtdg5gtFSygcNGJeA95u07VTsHLASCFyzt2j00hcBjbTBlPXtxK3SW9i+TDCu3hXomZ
UnJoxiWX5dXbN8lUqdf36NkrS3DUD0xFOXs4nVc6tGLhuImWPMIwy6Jb+Xwiwbz9QeernsLF2TFi
akquJMZpZ/1O3M3uImLamZPSfpVQit5Dveexn5rF1HJM7eIsQ3F/+7PPOwrJf4AvOSYyGA/c4Hzn
npSzdHhvwyyIC/PCO7MZCTAE4umfdhbOIuiW7Tri5Y+f18NpqBZ7gj/j1L2ZIr19VX/cevBGLMF8
GjAj2D6HWKqpHvEkgFSKEUuC8zJmNwya9j4CK/iMb3/W+dkdN9yQrpcuwTO9MSzS1y/hOBJQ4NkZ
4ZnPhRWv0a65a4cBHU8904K+85+nwtIZoHIkgW+KdB2t7LkjeEv1NyzwvCZQDSQAdogCAUO4P6pQ
EybQ0mwHV56AqcVtyFusPnR5aFqHIsQbO2J6DB+Z5iKryIu9cSDOsGFgeMOCWYSDdHcb4KSCDIAy
O1u7tmUwlx9h7xnqg5KE0lgXxfNX+7e3EnA4BKujEQw8B5/f17eyJWBntNVSI6JgvR2ZRatMY21n
yEhRGnXkc66F+QZxwmH5OFhh5/3D+KmtnF2kjePuv74g+lI2WYMlSPkHZglJFR2WxhqityLqXGXD
P77sem0oFqvvr+yg+Mt1FmB6QcPdM/9Maq6P48VKQaywMuG2v31Rr/FDwiZokdn6eekdvNuYXLy+
SUUmFN4u+J0vAK28Oqkhwnyf8Js3MxscVkwlXjTrK0kr3jx0poYD+/ZF/LHKDIjJSZCX3mw85y0I
so2wxvWx2p7oc4Hf80mVBobt/oe5ORlJ6OPbH/tcTn4vqkBRJFFhP4iTI5XnHLgcmkAHyibgtddY
A/WIBhLCPDYCcnDyyUmxgruC0c2U3nkmXkwpszrSSvOc5VITlMDGhIM07CPcMPmK+9C3BKJvVxm9
UzuLdfoVJSl8CJTEhg8y4a3Y3L1I5TKfdXhajVMOsafcCAxo+K3PkeoFyLzQzet3pzf97S/+et7A
Qze2i1R3EZD1hZ3l2UPHR8nL8og4nDI1Ziuc9c1+/8JCs0q0pb8iRUHMNn5TjgN6+ASQD5nmswTy
+Vr+la/6/2qZ/v/TD52ybtzVk6ypXxmcR8xL/ndH9PumH6fkW/nHX3kJdCZ+mVvPecT3MY4AW+TZ
vFiiO/Z/SR6Ii52DCTYX7Mz/yZEzPH/y41imzBYdBo5DM43p//0/jvgvoAkEvp5P1xb5YfhvcuRe
Lww+wQDVptkEL+fIJM4WhmrqcnVFHsCbLYLbNF+zh3mIuwPOjQQP11lTItx18a0mYuedmPz0b2+k
+YD/vJFcgEtYHidknxEql/F8qvrNtkO1hNakDm7+XKn1ZA2jtRkniRuLW+vLua/whGrgY23g8mS3
7BxYPWhUq/s1nMkuwc9vvdaYAnysFv9LnLUDeiDtqA8yyef1aLVYeR/6mlwY7NWOvz3m+9M1/h5s
d7Zzm0sPsYTF1BSiJbb5z6jrb5fe+UsTeBIxm+8vurqA1Wv7hyFrXRQbiww+45hFEFEEZYXvFK8y
u2wcbRfXFNfhb0cX+3UX93wxnD4p7GZKxg5u/v3vF4OVXJWkjsKuQKt1HxGEh5RlmQpx0BDQvtNJ
eofAdnNcEOHDklc5zHN80WNOJ5DXVFl61XjNvByk5WGSUVoiL/fMt7ro6GZDNlxLoVT3l+bn9V7E
ReNb7UhsV8GVwJTODyBWEQ1lJzWhRmgjKoyIJtu/oAL54Raxvot8u2ZKsSWJjii5IhVt85cT33NL
8Gr5+RD9eC0dsgDMdfCq/37bZtyhfHvM1bbzkF/ARoJqAmM+0pvCgWOE1xapJOmViCEL3SNkjAjt
nqcGN0k4uX78vpClGvajW1r+3rGhum6svMvGvzUSpnM5u0yWG5iu9LhGRqGvLzOMMj+DFjpteZOw
Uq+HcHoUPcZcKDYEjF3ZjTb0q6mRF/BVZHrbojTMjzppW5S+YoWPNcBxd/Cq7DhSZIOj5F86xzNY
wTxM2ncvwPaauEfupXnYv61AlrlcmBGQUtx4SX/HLLKFZZWODZZYiyKWyiNQ61DNZDDug4X0tC3m
t/PBtUIZXNQTGqBNovLwivCa6fuQKsRikBzVNSeh73mXEzXmA9W/bzyOyVufXADLyEctd9dj4Cj2
Sx8lLngSRKq7XqFPOPYAU/EToDETmdgjXlBMwTDs/KkKk78sZNsckl49oMCc0ljEDIGBD8TZA8IJ
BL+vKSgxtwBO2dJYJ/ip4ScPUV5UuDQ2cVfKrVJuvleLFJ/ScHZu+hG/rt3c+EAZncS76i+XFTjn
ZQFais+Oz+LxPCbn7tlDQZCuptA1uUZ9UxKCjN7oUkHqzHeRarr6ey6rHi1JnNUT+eXjJbyuJt/n
yolxuQzvIcvAsbZh3V8Gbam3qDkIM+p78vcm9YEm4nNUe84lFDmVbbxqslMmYcT+DH2vb6KxBt2v
NeJTSWS6jcwPa8OxvurDajw6os/3YROKD81c/6zruN46QfkExZtgjN7YB4plyfdWTIa4J8iBiiEo
LAKpm+2Oj23gqENfLv/ApCY2s62/aoGtwk5WjFqV1Q/xvsJx4kIy99rJoK+uETRzJZYQh7obMR9g
uaQ/4ddBwps7rpelGoT7QWhytS2IkO+ipRwOywq3TwbTdLVo/X4VkXdMGCBerK1uH+nWH4e1tZHk
SGHMGNd3ri7hJoSxMdgDUz628I2/WV1JSHKCGxMuxTZWu7H/lVp+NTgE5gXAlRdLI5ILr5b1lcZL
FdZnAFKusUq2t2hSZ8LiEul96vxEb4sAI8Sc8L0BetMlFKDkaI+iOlRZ0O86cmG3wajU+7aRT1Hc
FXeyJSTMznrGq8hft33VH62sJl/OCj5DT7a+9jCCU9ZqTvywyMdVXHnKV95VhCn7Lw1z6mc1ksKl
DdliKEjs0OW9FY5634Vx9dim49dMRtBEp/qXA1Y07KNOE3qInBe7yAUn6wekkvl3gbPLutXrOHvg
a3H+zzAOwc+O0ID7CFHIp17HIcHlSJ6Q3CoiHcfUunVzPzu2A2fgR+kSCuajB7hIyabceKK+Ft6A
etmGOLYNeA57+OIO8GOAeJDpfkCWSpI9qHFUl+jZ40unQW93VHnT32JqEG4gc/XuZo3moz+r5tIZ
Qh/v2rY+SmQOH2GgH5N6da7zJFZ7xOHuVVKkVrhRqICO05zWl+OMCH1dWhNG5s3NEzztH3OR9AQD
enVPMIfXf5fKqLQm5a6HMJP1I1KQfDfKkjGlorMpIBw36beoTpbjlEKUzUbIh+HQjp/APOWWbRHi
PGco9p0QDRWJSZB678Nogm9p2064wXsLew0fsUvOm4Qb/QHCf9BfpoMm4CV3XdgZ2ecEPvNjOPbx
3kJB/53CWlwoV3ZfkWCV96TqMS4UMZP6JZ933PSOUVxGzDoFltM/Tst6CfwCuaeb7lBa58DWiISe
vGxGsdIn1HLU5hgHFHZ8WXUT+YVkDb5LesSkDFGLrUyzd6VnTZsodaOL2vPFNbpXPKI0GdadIoWb
s9OTzZC1QJoi9ZXK/P4wh0O+rSq3vMI55R6K2ZdxcueDFmF/GS1h6m0DuuQ9x331pUEW9YBoKN6i
W7EfQmVkosNMSii80R3OKQS8VkF0Mai0/6DJ4Rp2FcyyC7qqe/4p+5iLOr8o4JzPmxrA+TLJnORD
GQT6+2z5+edxKbFcrocKnh4BxYT32OuFXeDkZeu05xCHN/tPuymgQwd5Xn8Zi2WGnCPLDTdpuYgx
4MCfEOKoi/NZXz4Vq34gcqy6IwJs+R6thLh3y/i9cr1fUYfgYtM6Vnrt9KJ8rPquuCUzcv4HUYeg
93Xy5sZyk+gY51Z6MeDgcyFXHKSJD1chobsaIVzMPvdUDetPUoenz641Nu8rm0R6LJXCqwy57zZd
zU3Q3McfFWEil0FVpdtCcFzZBbVd7TGXHSEUxoQau727HBOYpXuSEpwLxEKZ3qwz6sE9Wpn6o0TP
fld4uIaC2+obpxn8C0y5iysZt3gcxvNDDXx+5Q2tPjIQCg6MLovbXjPcaFUPS5z4z49x3cY3perl
5RLmy0eYEON9Vw7F3TDyaYo/nexnZB5FNaOkgVe7D+KyPCZw6LZ0YOpTVtTjLdm3s3f0k6b3DnE5
+CReYiZ3F+KZsyFEE2+2ykuSXyJrx3nTEqKeF1V26w8cJJQ/RnuLHorfI6x7y19Msed3VVhjiU4w
0z3HeURCM5mtgw9QzkznY1uPNVJA4mkatCWfXZyAD27M+7wpsGmFTxGj+xsEVnubYvFsDlbzQwLN
7x2xhul7W8n+Mm/iooHfXfrE8CEQv4RMJUjAWd0bw8a4aTp2vTROJdLxMJTHEhLnvveygNwkbf3o
g/lXFjXyMoabeUXvTAqyP/MLcXIhgam26ndRneUXRBEiKOvahmCJETEqHgsfWm2jiawn96c1ONFN
mGI1xllrmu+ySR6WrN3kqIKfBoycj94s/A9t40kIRu10ueJv/TWISDcMg5bbMq72L69FKR/gL3sf
u0l/pAnVKELb9baFvHybecmyKZNsuPRbZEobk9q8rctWXzvZutxxOu8u5rFzdzXErg0VwIGrMSdP
s24/zWsUXVlOYrUbFSzNTRu7gqTEsgggwBbXmFriHMI6OfZ4/F+5mHZdVHom8TcuG4L0pPzVgmQ+
WgxBD66pLcj3kMt1OvzgoVkEEZpL/6i0tA/kdjSPvNnl9dr1SEj6vkjwjAcccWEnEJy+uvsFYvbH
0VvELf6AwRftVMFFgoEDzI4YQGiJCQdBk8dJrLPn8IOIm/5jlwjns6UIJd8ETm4CAevgnuCSEJMW
sgn3BETBBuJt/iZn97EKswFqSXzUwRg9xoXuv05zmTzOUrr/MGksfiURgkPsmIsD82U85oaY/L94
IEm0aMNZbrH61Je+P7abrE1/jv6aXhaF13OFAgZSFrW7pk+Ld6N5ZtKFu4mXAntVkbXZRQ7UukEb
h3n/IhiCYObIycKlu9Bu6BxzvdpbZ9Y2LtyY1D9ghY6zYYVB7U8i4OQ148Oak3tteT9aka2PsTOP
7n5U8fJRza31kLY0+DtrRXu6YfAOeVIhpMZ0vnicHa/71DUZ7gBDFf4ErxLhDgidCuCmw0SomVju
vaYdOGpXOCqjHA7vrIw0CrjzqU5MXmi5Y3hZZIcJ8tBNNRfNe0hnwt5FYvk5NR62L7paennwsi74
IhPYARthk6++of0LnzAmDwQhGlEe71is08bxQOgOkVVpfcVQMA/JdKvrgw1znh2T6Rpvu2IOHVG0
cbshT7cASKVhXfgXvW666GHOsKVxWKGIOC66ZGY7h0/Ukontl8s9q6NIbqJsIesx70j32SmxzN5B
Zj4FJyHe7GIaxujJTqfqp3TG9mLmsPdP0vk0q5OqRrQoa3KPfxXhscQfkxaXrwtmvhiAxNs08Bsm
l3X9Lg2mpt5iRvGzFoaLQDQZLQ++HF/YedObNrDFhQAohFunM3c+TsKNlx0WXOwbELSA1C38Y4Cn
2/QGOLGztn2ONWAx0t/s2HmaL0gsA723gzp+8vtwmA6CyOp2W+MQryC02AFrHymFJI96Ln+Oygmf
yg4FpVY9P3gizRsZUd5Y32K2rXJLi4kYOA+D5EOh3fibWBETI023qmMfE0K2LYnIflIZyu/jNJTB
FxQzxUCyujOOOAQuUb9jFr/2JhEp+Ib/VL+ryg90hP5XHxl8y1ZOgiYxuUNBGE+K5GuxvNrb1BoN
/AGuUvNe02zTk4SOX22ElYqa8WDI+mgzmd6UzWzdzg1CFyjIFr8uKlPqqojr8MnuHO0d1yLy7Gtr
QtdM8EYR5V9rZ0rRBJW1dSWENZHvMy/TesTJvZF7TtnVRAhn35fXGEmSi9spFabbCT3RR2ICMXfA
wm2WlFGL9SrrgBk7yWseVpPCs/BWrokv3zj0Ldm1I6rgoxeAbyBG54nuw3bykKh0Ic1xjaUQPvnN
GNGVizJ4cFs7u12UKvd+lPO0oJDk2PYV3rLxJHo8a9LhF8wsLL2Lp9DZo1b13zervkqYUN13IpZX
rcytbzK1KwyU3JUblpf5YG1V61vYnqr0OCOvesSXjK0BK6MERagbfcJXAwFY43fVHvF0f00ImPNN
U7xvG0b//0RgkS6vkdVcyNQdKXlp7w6bvKo4c069VO0RSsNE5hqR4tYGT4/FO3Dpjn9A4oUPqTVg
Q7ZrU68a/kaleK37ADHCDJpDRQDqARkbrslrzKMr0nmY8a3bBPCHrO2acvrJkn6kdEbtEWcUjYfe
ii8xW2zuf5tzuNnbURnloz9LovcCfN5MyvJquXs79JIKA6fVG0lflSkbWjZOXyapS39rFQRDCHxi
A1YHQ1Ic5XSDkTNUWRw1RVdeqbJ0rSOlJVo4qU0l8sWUydcG35QuNv1C4W0Z2Q1/C3f7A0MzTnvM
bgMYWOhMicU7uwl1hlELZ+gNVoTJD4y3ybiecYn/taggeeBSFBzs1n5I0omGnw2dmENMbMctgbP2
u9Jf8ju7xEBy42Su/nf0fZ4QADmDdND00IbOd35xogvV2HZ0fUPV5U8JkeLhphdrlLMCiTi8UWQs
Hkv039l/U3dmu3UjWZd+lUbfM8F5ALr7guSZNUuWLN8QsmWTDM6M4Pj0/dHOwp92VTm70EADfZNA
Ztri0SEZEXvvtb6FQUc4zcErO6hPCOuozX7fMP556LW1F3XThBSwAarpem9jhb82yNLWNMnaGiuK
rKWNu7G/VMEw71LXUnsiApy/eTh/1pP8uBywTLqG28TH0n+5LXYdyAnoR0VolP2mtLl9JuQS9rty
g7ff/2L/8kq4JJBLI1SgLP35F6vSRhMNOgr6JgHR6kugn7sKXq8KRvv0/VL/0fDoXyfpkgf4X2G7
/z/Nl0xuzL8fL4VfORAP1V+nS9tf+DNu9w9kqj6KIfRueAC4Lz8mS+YfJN2iAybzEIUP51fagn9O
lhzjDywb3KjNFrH1ablZf06W7OAPijf0a2hAGBPrCOf+kTL85ziEgGK+ZvKJ/8V45OfOI0L6zTnj
EMBj+vSGGUH+/FCAyqAVVgEnYQPRdwk1eNUML0NpX5KxV3tUo4e/fC//4oLb1/CXHuyfV3SZZ21j
Nmwpv1wxb9KG/rENXqEzOcQRqZuhYNPEk0yGRzMY7tn+WoK2rRcSYL/oVv8g8vYzbieJaNba94Pz
NXOcK1gxkdvJj421lDs5UnTa0v+bZYnb88uHxZmCyITxEV4DbuKv85phSRMXpbEZ9um0QtIoAde7
lPkZrxCHSseo966diaPylfnU28V6XxAR0Wf9dBDr+mFpanJfUiiCo5XkkT32MrQg4CO7M0m8sbJX
J68p3ixmORLm1Cd/AEFiQ5R0wQBwAjHPq3+bIujd4azey2lmi1VAncYhHT/URLzGVPJL3CT5Eb2p
GHdJunyeTXUzj7YXahXGYLCBfWwZID7NnmJYavOD2beQonurO6wBGw0MnvRqaoUXMzqEzuE1nyr2
Zw6CJSM9mRklpR6BAJkjjPtOjdp9mqTuPjDrHFh8ax2HdYs7WT24noO+w85z4xmuvydMNBvjWizW
16TQiq+yscV+SDmZKHOdicLSdrqvdZHv5Y/ECZf7rKpfMmUHJ8/3Pq52++hI8uZT9iB8SMW5sHNx
EINeHPAMrFc6OYYnMSXPBmwbstuDmaEiX5AepH1Ma187DH3e7vWGZmc6audg7D6w/OkP69hO0O/G
emdoo3ZdTKX5meamOCSLdeD+BceuaQbEqB2Qo7F2rvPKPsFcep9yrbqD1ZxfObU+GHGNO/aQ54IJ
WJUVB9FCfYFhXsSq052TEyTMPrUgsS9E/HlhXq7ZY4c3dNckEtphJnZKaFuOEGwnSJYhb6D9AacN
h8wiOCEeegOsX8VGswWk1QEMHDJUdiCv75w1h3Gn1npzH5LinPXNjaO1KbVsszmeqdpHSF9xVg4t
GupxRviTfBNulr5jBnmTGzZoxNgqohzC57F1q+YemYuICWqeI83lCRW+0cQo1a0Iy4XAx52le7RR
X2pvzd9MX3uestK6BXNRXAFekAez1awLOZVv3tqUHwGN6o/FsrWvEDtwMKc/FeNJtq/7AbCH6QUr
dALB7lN7LaOGpL0J9KT91M0J1L6t/iCCvoolvb8TxQy8MEz8O7vPwcu37m0mDOtJ5Z7gy3GA5VGi
R23XiJskUe2+KAPnM6HO5Y5WuhPpw9zv7Tm7ayDo7zynZrmB2X9k7Us/dPr8QDyD4AVNy32vlmPZ
JHi/kfe0bj/FPeSYOOnbcpem2bGnFb/z4bo+lLZZ3OA33LLciKzR9GB9ZZo8vQ5rYt+Xi9Hvpj6r
IN+MWXIwoS+GXnAvazlc0Kdt3a1luuYMaA/4sf24xD5wUAOGvtDShs/lTBogjQe4x/1OV+QXJ+Zy
nU/eB+Jy3mH82FdBPXkH2fjDzin0VYamUOp+xJgRkaezt3rfPtCgpw8+eYw6sAzIncztPC6GuXsf
Zy2A52QzjE8kQ3mVHxdAh9TRLRMLLB4unvGkebbr4W01q/YG84d99Hr3RVim+IAsW97js0huGmmk
1yxBYONGaeyK1McNj/T/tlZg9QlrN+/8dfY/LVotDjnP6n3bte0VuWflnSkKJgJNRgnuOsvOBFgB
76s2oq0bKaZKHkhhV9+SrDM2L3N669gt5ubcG6IJL8HHrs0+EWLOdzmoB1TrxiGD0HupMPiEg6bf
ghB7Iu/+ZWvTgUut3GhK2vS6KLvsWNi9CWxAjMYDatX57MBfOTm+wLnCAvnVmGvvgsEiOaKWHkAN
tUZPLdZWMJZGkRqnLbeRXtSQXzyVUXx7Rl8eLa/lvSbUHT2+7KwjVJXlwEiULlmXFDncraVrb1va
2Byi547GTtcOr57qjXxfJoNNqy3LhiICU8e4bWlmvtl+U3QP1XFVprXTaXmIKy81DspLYhAf5bup
FjPOO7+54CVqjqQAFFUYoNX87Bhps7e0nMllEGSMBkraXpWy+nPq9MQsl+6GMkmda1Bx7X3Sl8Ut
8drLMZ1t7ZQi/AVQOZhfiOnasCJwyp4kDIUoH7LRiIFnTzeYsrIzNMz6PhWDseOxPnGeFkVUSIyt
utMve0YhazxkM50EqHvNjhQ4J66CVcNs4ASIdpJu+8bK8yCmeMvsCquMmYsVNP5+zExxXbRB8o14
zPGOcdwU7EkPC1feGgZZGpmVpiBn0WRyip6fSJEWjEQZXOEq/TZpMnhuekmrmD3+TY1eczEHe0J5
oq3DBWZT0d60g9se8MxXsQfIr4zXaqxuIaHan7VF6mGC7eRIdfpIYZ2cycobLimKRqCSAtpYMHzN
qrS8kXPV7FwEa3tZTufeg9MhrELdSaT1e+lULz0SgBBATwtIJ2iy45LXerShxeN69sU1LMYUD9pI
/FW+kK3hlIF+31Ax7gqqeDrUvg+5COAz91CbX50mDWGMr9FQBvug6m4zueY3Ba7q01gkVz470DUn
AzyPs7Nlc4xsktAEChAA5cREtmr3msqnIvZHUqmSoHhQlT1HvBDJFXxq68Xi3EFGc13fOn5HnNjg
HGnO9Vkk1LRkO6Xp2bGZPP+qKy3jVNCH+zZ4Myg7doyLRmPzaNhtf8Qf9S2XvnXKoR5dOqMMngny
bSeWbG1GdCeHpevPumjH+SHX+xInV6qrMz1E/7goAIURzp8SyqC09+sK8XCV7nxtd2A7TPebWfa0
bjNogfuymu8I5aWTiaPFi0liuIbkCk+HeLZYuuO413BZhXYxsKu1js2W5Do3U+90cTlo7Uf6r8kR
/HxzlPaUXLI56a/ScRYv9G7WvWyRQBRsfxdmGaoIO4rBvd/14lzPWvvZLnOC4sj1/aoRjliFE2XW
jvH2dA3fyT1YTga1z53uGfADDqjTx0ka9Wk0/SlC0WUeArBqEUhMHFeTo8dWYaqjz/KzG1LVxdj/
xKUxNOvWn3yCepVlX6FSlmd01uqwOt5dnhhBtLXYhO0XXx27S/bMbPSjl9VHpj00VwcC1FNVBlHd
L7yAxtLEgzUt0QQy/TiK3Lgx5vKlGJ38KrOTh7XuvaepcmTE8kKLfjTf62ZqztJWoetU1nM7juo+
HdcjqXANRNv+vU8Bh6BbITuXgVihFxzfM3HvaaMNa3gc7oEwSTa21fdv2EnF8ziweUorbVgdu+6i
PBEKfUqv6kC4XxNLtteSEJbnPE+DF18lCSeFJUCDO/lz3IravcvMerpDlL6BhTciw4p2HXrRREoq
I5T24gSC1ksuPnp9wuHRnGBXAaOE61r2N8ziORBqpWDtbu4So3qyJeRN06j1cO5ITbUG5wy1N99i
964ZbaFsACmsPK28sqzloyCgNaQ8L0/CGMZ90zMQCvRx77TeIysdHCMvD3YOwzmwr9ig+2GNqfLe
i8F9w8b1BLz9Hgapd10W/pfWtd6Q3WRPTUBgJGG5hM9WTwy9NJzh2UdaHsolnga7dQCtByQb6l+t
5DRJgPPnScp0XzAWPokcqbBjtEhHS2c45gkysmrB2t0Is4i8bm5v12p97JvaJ05SibBkDAZV2OD7
su+4k2VIGOR1i1T8YWuARFjR9Vt7AB5kN8m7RhJZ2Mp5jUaOm4vfc9mFLpqjp7Q+2cBCweA1TgHK
A0yW7RPZLNlV4SbawXEJsCQg1IE6fNKlhELtlBUgdAQU64CYwYKww2HUN+/0LfNM2Jm9n9RYRhCB
jqnh0WtvJ58wn8ohK7p9x1xIovCi6C1adNl0gVmPmM9ocq0zeQz6DRYdSEPVau281PsEBVge5z6f
b+0qP4uJSKJU+OtlQxpXeKf77GrBlIJHlIJL9k5UwBxOF8+4LxvWyMZF+2Fr9lXbb8l4WMtDoiTS
UIhSneXsgZbUirJ5AcnBkCxfr4p59t8D1byQOvRZ79YJahoFTmgxcUVWr4+f02I7+3pW+WiqlCiN
0jd5UGenPxJX6IMahT4eNWBv46XEFkeP1hrC2kmH49AFx2DQjhtuEz4yWg7US2JqefQoMTHhfEsL
3dlh02Y5zgHTR6ty2BNHbcEor7928tuEafY0Vr6PYjSfX6dpDG7nzAy+aMW6xqpvNmliCXIWRHBo
YB3fg/mqDrljP8gKuKfdWjAyg891rz+WKkvPNrDSMF8pI9XiPW4Bhkeiv42Pc40mBMzCzVy5H/BA
NCHxZJ+qsltu9G2l84KyDMnimg+Y4Ycd8gG/Yq5KNRty1G+ugso4+USWR+it6hh65rsc1uqxSM0C
8JGjH+y0uGVo6MbsLCtAaKc4TdVAZGPOJwPCfeYzvbrLc7mky54Qs1uKdfOh9+bD5BIIhWx/eYBh
Xu3BW8pXXPNUyX7qHoakII8Euk5oi63UnB1+tYAueA/8KeLzjXt92r4mnxe2bXsRmzlqqqjkFyDY
UZzbqqj2PEA7NxPFIZg5Auvz1WSWYi+pwyMveWDsBbOlJlYaPgFNZtP9AMv4aKeKmw7Y/CpfqVzR
ManQZ11cR81+hAqrPXPmHq5Gy13I7K2SLx5o302fN5zxacUruJOXvhjOhHQQHE6CWeQFDexR6vNY
A3x6Fq5ozci2Wv2DzMf2QCKLdr3S30AkY8i91zcEk1HLfl2tpf2yWr3Y96JbftgK/p91B3/qIR6+
Njdv1Vf5P37SpP+vn/+Vjtifny5+U28//cuuVrla7oevm6hcDqX6R/Ns+5P/p//zv339/lOelvbr
//zvX5rh30jUNyPDv+8hntRbufy1g2hsf/5HC9Hwafrh9NF1NILQqzZcwI8movuH+92a5dGx1/ES
b5Ljf8jTvT9QuiFMh3ECT++7pv0f8nTnDwbAqNcwUmIgwUH1f9NENNBxujYNSz4ftszv3K2/aEop
wYEN4ashnkxNF+Hpb24woYmjZjmiQpJR5hjZf2gfprtDB5E2DoNq13btX9qIAjBKAAJ3AYJqdbf1
bOVGqKrRnUPsFT1pbMZQqb8ZDfyTMYWvGPg6+ll6tXyx7i86TdxVqP/xxIauh1U8S6tRjxLdML/2
dTnE5rA6Z8COm7Rw1Bgql0OtafvFFGmoIOPfl1Ml2igYWaOFydpdzygCF6tzPnW4wafYYfiW0Uhj
B0bXadXk3o6KSberjY9eZ2R7hrnGWZGZglbEFX3148X8t83g7eP/lzwW9SMPBBNSG5wBnQZu58/N
YCTJraEQ+oRk3GQXkK/qhE2mi5EIznf9ZE/XlodmiSlC9/SXJ/1fdIV/HrpsV/7ueKFLTpd1e5p+
vnJX9Aal/0LbSpjqCvy6e0qhVtLpZSAY0goT4m/u5T8ZwWmc84JtyCHeKZjQ27jkLw9tX6MZQFxC
V7kqk5vVHikgcBOeGUSzZ0I796+qovNu0Qy2ZyJyNkfdLFFxI9nXKKGaifojs8zhbz7Yz2Oa7atA
O76RrL5b1E3vl6+C3EbiDGZUMwjZ5jvoIPMd6RhEQfW6QKH8++99u6M/33HMEZulAz00fW7/lzse
sNk09HCG8EcuUgbohFhOwth+DIT+7ZP16y9lmPhmcNEAMNNxbfu/TGAXFPy07Dzcujol4U5ftLzc
9U02DhHFEqmBv/+1fn2QuZzJc2RSK7JcwpX6+d7Wi0EfyXYg4xpA4MN8zl1EwpAYxcGnEwOrXxLC
GZptamZ7uSJxjX//AYzvku2/frPf7fvMbRhwfAcU/bJU5JOZk+mIqqdZVTe8ZJIB8w6dJ8f5ptfS
W09Ke9xpMm2JVstk8ZoQyE30WNoh7Ro8hp8xmSGo8pWdrzewy5okTNARtDvyJF3gwD7M4yihIkSO
hgiPfGvF+gHdesqp41eTzgXyJQ/zTbY0UZLVHo5+vUEC3aatBhR6UPR6f7h0nZE4rngcPFLIsMI2
za2pKo6UFAc90k5tlp82x2l+qYciN2/W1HHbGEPashx7jtzqrpzgwHJoBNX8AcUZHs625UkI4XeR
E6ggUGSxXyPvCImarCu0oUQIEUGc8E/EGU2xK2A8Xzqk8/dpsPBfOzpFYKEnyxsoQYg+Oky6o8+R
omksIpOM7pkvUpFAZSluJeta+gZptiUkSxj+GQQ74ay28oYr6JXBN93KoEXzHedyPyXB0p0H5SbJ
Sx0kJTSWLMueV5JdKFoX5Z5oG/IRHGSg1s7k6F1e5X2bMoH2xry8Ur42r8fMWfA6O6Wtr0eKN9zp
M3McdVqaEVemHBya6LxOgmbZ6ucV+T4+P8diXFDvzLWjC20HzUyKOtp3uArMiOVeZxU8IALhu0xo
E67HRKYEPm7YKjNEC8X8Q239yoj8qyA/Iy3Q5n1uqYXsu3qe9SPGWmAfuCcrSlTkwUgvgqXtdjA7
+QlDbnMROqESqrScOtDaKQqzo78a378Ej1/aQ6/F0EVr+LCrKwcRTQg55Z2ag/ZVrkL5O7Odk9eZ
Fvk+x2rxYsJTi02h29V50abuJlGKMQW0cI7Hiea/IYq7lqIGC+0yC7oxgPNu9adYtLPpCC45T2Js
uLGjDUAYFb3tz943NLrm/ZIW8J4gXdhOTNDsWp7poJLT9/uX9ZcZqMnxBfevjd/WR4iMaPHn1QIF
fdFyMDcx3OTmTOfb9+75HVmnyFihrDO67Eb4A1/g76/76+KLoxZVCvMP3E0cJ349TZhTp5eJP6ES
Ig4pActo8iA0pHTc/f46v26u2xSZuAb+yRyT0dkvq6HfEjbFfEGFte2LC8oVXD5aWYsPFXzkVyyE
NHR/f8VtOf9p8SNuY9teAyZChm7+ekXSt+xRoeAPbUvznjNc1V+hGfck5orAqTY9FE2pctV1/5KQ
r/VR8Rp++/1H+KcdB2KFjs1O32bbpuFvY+i/bO/TJqWqCn8NV2a1AOKSqY3T2foaLD0v9e+v9U8P
ENdy+I5BnyGsAOXz87WyIa2RXntrOCP4/Ow4Sd6FNoEia0iuWBt6vT+/g6dmbvufXxfjOkYz9MqQ
DH+5LkkpplZXLs5oOmN3zQIIhbLfu4d+qJAoOct7xcAz+ZvHlhfyl9sLGARtAmoqmCB8wd/tTH/5
btmLmAejWOZIospbna7OebExuqGdLut2Z9qN+557xfzNyRvj3dG+d3OEL98kUDW10/yleydPsydE
O9GdS4GZYolb2HD3XjVaH9raq66C2aLBi7xRPAciEG8VHnTajInvkwzU4PdB0rq4LYE5tJTNdBzf
ytzPlljkAeMcXoYmNqdgecOBJrtIE1onrlg0iSDv3ObzpBKN6bdhzidyl2r/bmbmmIVL3qf5xybA
+aSizO5QB6Hd8iqL7OSA/WNgvyZYD+85KkOCRZKTIu4HV7apWB1k4q/teWpW26PvjDvhWJsYecLM
JgsCbgc5H6Ftd6x4ILj57/WMlD/WLI7715UhVv/OHhd+AmDxvL7RSUp6KBj2TCpcJ7xD58FNBN4n
HynwoRpwydxqpqz4mXXWmOxnwXqXSmtdYp7S9pWwU65UFuN4jYip8vc5wmB60OBybuUogsc5I4GL
9Kl+DUstXd8xKgkjlHmg3zK1UPwiA33TDEBkFgckQhChV9odae+m9Uhi0LeytJwaSwteushcCP6M
JC4p/Uo65EoRUEiEHmDoAQxaW9O+dXGsvhBNWHv7pRqC4wxT4aNs8+nZ8dnwY19znfaskcBxqfsU
8/+SCT/f1YEvUYtvj7aizj0OM0SuKMd9KKJF2CSt+aTe9jBKVy8OSI4iOm9bqp3E47fTp0Qrrvwq
Y12Ha1nL1zabtlv1PfcXVzPHpB9/HtKzn1703GGwkSvGp1fQU4uPs0MDhYTjuT0q8jrduGBA+KrJ
3n1CYlUMoWbj+PxkyamgYNKaKkQ4jeBAcfok0iRw9tMSTGpfBhuICffMkFyTrZwwa66UJBd96Cvi
mybiYmnjw+LBpUC4FT0ah4dZSZ9FYyORAVKuVdoe3IpcRgLt2NGQp7eZTr/L3uwO32+u6HNrjRhc
N8GlwQp3+P16A33iF0EMNne8rTi0TORMIDx+3SuxdxUMXhTCWlIs1g90ZkV9ArPT8uUnIkA0MkqB
GSJZ2vYGDXZDqtFExFFItGTdXQRa8/5sJYxv9tbYs8Um0uMkB5MhX092MvW7lkLinUa4kcQCl1bJ
KS8Lmr0ovUV/JWlRt45t0HftWeekQr4T08t653XjHBdFkViXtqgw94jWbF9SYtnetVFYXbQSSxLT
HQ26MPHk+HEkcnDcT5ytQZoH2dTfiUVvH/GLFAxMsT24Z4OorCp0ZJlgnVwD+yPGqDU9aL67LTP4
twfBsZPyY0eKA79DzSyFE2/hslDAbtnigejzcVidC2CJsbH2uXfJxhH6WrzlnRGf1Pf2dFJJNVcP
MgD7TgTwyLttDMO9IOLv1kxTVMVsc/orEVL3wCr6Hj1+Ol23uaz3gN9HN3StyftIO1DaodNIm5HG
5DXVviyxnTxKJhYWkn6Uplc6q60Z+q6YxcHIjOJ1Mmr3BcxssmOhcu3Iaav21W/9/lYn4OXzIPGU
h45T+En8Y/tqJvwIkYF1pPqMGruadnYHGyFEyZThh9PYhyPw+KZx1EnIQzVlZUE8aFXrwAvRMYGw
boPOSlhBIAl5zt6qS6tl/p8qYiJstVtZcizy2IqgG+7yZRnHR+wFXDMh9+pVd5oM0dcCO8aSEOlg
5HrrWeSquSmk1Oyz31T5k2c3DNRFKqd6t8hEfIHT1flk43VOTpBEyel8pjBDgbMygmuB7yNHP6yj
iT6HmKnVSm57sO/Tu0/Bb1hnTAKCfrGdrnp7JhusavbKlkMVDV0u5F2lNyy2ELnkXaGxXUWj3ZEL
rnLyixHkeDnVFJdeCMToExynZCfApr4rpGEVdx27T4HuiACaOjKJnuGAD7yRp8WpdHk/d5SKlJDo
yAaAV7Ctpzu9G7ajW2tm5ZXDY89T6BbbnyYWQA4wYP78jxzq8xFBADKLONMDfnKyzixZcU/inLSi
siVWeQ2NKXHGlfFSDfTGKRLP/YTJJF3+jDxvPTfTXnqGz+5hRdHMo52v7euYj5yitG5ijV0YuxGg
yBIoIpzs/n1NYi81LPuufF2c2a7jxM2bmDelcfAfeJhSEdYFdVSPNn9fG3qlH2C+GMWHEU49VoZ2
XnBnDw2zQvQVfXE3uXZbofhpEIf3Vc668WNpFEGQ5zghhXzKGQ3npw5C/4LBlqP+F9YwNG0oM3r9
gNDZfWdIk38reyN4UGbTOq8Z4P9QDI1BCW4Y56Iw+j07of/MLVfmlkQ7fU2zQB0rwhro2yXIDMre
ZHyGzam4IGDsDoNbeFfjUmNH0HVjuiMgRXvQgymjtNTMNMo0w2l2I1Ol+dEfdAN237TqHzaMVOhR
mQqUAel0ctfUfKPCBVBhTDaATp+IdGyL+8kppo/OsNIQ4vUsIl7n8hnFtnNSTYGCAOUiQKKumi6B
aY2HpG44x5S43yrOGslwXVMxnRbim4kzta2PhdZZiM3Nfnkr20n7xGnWxwXsOWdv1sq9WqkXw2Fg
8BNT4N07eu+9OT4ii04G0x57hioPc096Ix1NpwabbGT+3ZqPDvEPwVjlcT4pr4j0cbGu0sFyiK6Z
1YdFX8cDCiMVkSqpP6Ue5wGAi2k0OLivazurbrEMbEHTeKFy/NbXLmfe9BxohUNXDr4iyvo6P2lt
8FmMkumWzZmxRlDpkmoN4JnU+XSd7gN/Nhii+uvOmcp7o1/pAaRKx2ijpBqjmQjIt0mtPPZa61W4
DeaRrOkV2GkourHbtXASD6NRO8epdgUfOyEec8AnjfGvR6Yd2m76MQBAyElxxXKkET/Yxpk5FEjY
5vYJRq/xFpDS8Skg3cuNcPgGJKwv7RVP5XLbS5RsTen4Hz2/Ns72WtRvGVpAzGzZQr+nEoXaLa0W
olhL49RziiOIZFQFPbnuYsfz5j/JdtBgFQvwUGGy2tpOTkGzS1iLrrO0KHnv0jWN9XmUlOjKOJKO
431qyeHaNU2Z3xdMA1iCOBXuXRJMbgcjeNOdrtz5qWZbkB+bsjgw92vcz04RKAM8AH+NmMI01XFq
MwDgqWVy1LqAICY1IBRbtYzIgXT+FnS5GQdNU3QEyWj5i+NjJS84LBO0hAQmjclqRlVTJJ2Z7zDp
uSPHZNJIME6XdDC4jf4LPBN1AxN9GnAjZbq/r/VCv0+hA2JE08kfDk2OdHGKYeWmWjOoArDAvQPh
PVYoSbO6JSpPHhJz8j4zky+OhB/qZ58gUUjmqbXrpVK49DNByhrmMpZcMVMS5Ew8O92FWKEC5x4w
uKxD3D6AOKRWdNeohHOYTCMWfZzDjFv7onvsAFEeqdgRV2J/Mk56Pptxa5APCCE9Hb/gE1kOlhQG
QjXDKuNhJUooqhEiEgdaDtkxbYT9UQ7uuCtQsKGQGrVAhlWX68/eFBy6gMFjXnXqSKBiddIrfUaq
q3G2aWTi0Cic7GtDdN45pYP6SMvkJWehI3FuNEBWjfJYwFu4yVFhR6qmIRVIvKFMT824B2v9BHvB
3LF814Rg1W20dvN0gP9n3TOEz4+2OzRH1ZmCt7Ep9wnWmjNRV2QhstRevE7rD8THB2yk5XhS/cAY
Py/c+5Fz3H0N0x8dFjI/5TjfZn0uTy1hvKhz/TGhrU246E5UHq3NAG3vtSgG/Uyjab3JTMbrsRaI
XN/RQqi+dD56gZ0gNPpE0GR9s87BfkAzdmDAWReceQfJq22pwntQWs/unboiOWCVVQzuhfYZNET2
Ue8R5SE2a8sTlCckfd5oBPHc4kTEK1hGK/qNi/QqPZrbKfu6FAgZ4aGq6eBNc39eMg6sPma/yAIL
QhPOme5ZegYkflnuHKDdLJypsn44rsZYHkbEZWBxZN7H4OFEiNEc3nFZEBCFnuGDsixtjKg1lqPA
bnxRKZbFypys14BDdPMVsYWrRybqkuEyuqu6LVh2n1vAAva+rVyiFnEPtYRD0c559MfOv7Z66BP2
UI4PTAgRFq6aNx30BHNM5s9pE0o0TgAe7LVBC6bL+WmiyTjyQvvZN7fSeaRFtZifUoDNEVVNytoN
ci7qSE6c9oOGaDAaJz04tHXqQxOc2S3Gjn2oo/z+3E5mK/YB/qos6l1zvnUnjch0ZKB5jz3bKSeS
GNPGu8jVuS/VuvGNi6DpD/3Ye+fMsKon3FoosspKnofCms91VeKzbXyxKz3xpe2U0cWrMsYrpwk0
LeJS3b02L9NZOHVCHW2VCEeJjUV1lFIXpajwVlsm7JMji3qjdUYTIqsTW8QZBrXd2DVJeptx+zGD
thCMFkEnC+scyYyW3VX5wRw8cxNGGug5kUqTn/6Qu6os9tMEkTnOpYcKglDu6ymptZNipb4aMhRz
w5g/J26WX1jVjYtPuvrNuPE8elbNQ+BjphwHJ7m2WcVvyZnydqafa/vETPMPztQhC+jWbIdgNrse
GZnGUlj2F5/4rhcoDPJq7svxXksQJNSN/0FYZXfSF6u4ctD4fejnTu5hnWCO0lN50Oy6OSamiUqH
NaiNi3rowBTqbhu2vjldF8ok5B7/T7NriAFknsnTPHhose0Oeso4uwf07dTweUNyMx2ABNUyEqh+
ly3dGNOXQV2XExl3ACSCqKceLWZ2WaLtt+n12a9dVUS8MtqRYwka1H6Dy0C/ablojou5DQgoiiws
vs/YCuwoqanpRMpbOzjKZBNfqZ8nAppD9AnFgdzMLSrYdfcVdel12dXeM0Dc9ZsIiCELla6vt5Xe
31KcyCDq+LS7ADAwZ5DNvgAbo4hmpQ3BJQGKTaqzavSL75PCqmND4W61edTn/fqgSImOVc2p8VBO
WnFHsPlI8ho6E/6oalnAUidI0d1YRnYeyEWZsUrM645MSNRHSZm/d/SldtVgt/slY3KynyotU4Bs
kL5GGPK3B5IS5jJ5EzV8S9nCoKb2TjDBQLe55QhOi1ceCLD92UV2+bhMy3oupXQLoEhbrms+2AvD
M1JHw5TDaw7UA9vlTjR6Ec+mlb4QK9C9OiXcqxobyYOxhUY5mFhO8Djzc91iQQt7WVZPAzpEejL1
bC8RA5vgm8NS9AS1/iuxbey6Y2q5JCbK0drEb+hyJeXpC9BpQqRM0VpfaP15saXY4DgGIG0h+XGm
9sH7eslWszjJPkd4SdJKFWL6TnddBwFLywUnx1QqwGYExEdFblSxqRJS8fAFoFEZ5AubW3WSU2/d
DOusjr1Ghy0UAWfAU2mV+VPlLsUNTfIuHFu18p37F4+bcU5EX+w7a5mNHY0bIEYuKzvbg16IdzR8
cj/+b/bOrDdyq93OfyXIdWhwHi5yEQ41V2mWWn1D9CTO88xfn4eyHUvVOl22D3CQADHw2YD9tbZI
bm7u/b5rPYsMPOXb1Ckk8GS4xG1UXl/Rhoy7UivLdUwo8FasLSjERHQtlbAkIeMgyoLhBiIL2/U0
RMO17XpJu5uNYUnJBZP01PY8aqdg9ToMiUiZivNZxLGCLdQ+mSjxr+a0tUSXzlmylquwIqO1BYIS
y+zMPXi6+udUCrDsUwVY2m9z2dDmneI23RhyMksrSI/G16E0h+qQaMNsOOY0jwrkmDD/krK9/yLi
83mgY4ysbCwEC6niwG7UFstQqI+DmsNG6pMkU/ckiAwrwl3Dp1Av2fLw5aTHVLPPfGFL1jA9jVAm
DDcSInIwSMx2FQ4AV2ATpGfqHUDTW20I9kak+E9VZtzz1QYaIw5N8X3oDBzaZW5VpNUnU/MlgYC3
G15LjP5rxURLew57mVjm3/ga9OF2EAQD36nUly5rZI3zpYupiYRKHDoVh/jNHFZ4wlskpDvBnCsv
lMThPmphcApBzZGz9bUAsXdpprs4lTLQavyLLy1MJRYwwZcgY/q9wPF1HEol3XbQTJ96Xc60VThL
FGyE1uCwiZBxBJhCPxaIc6tQIh0jk7/j2o84+YZoT6BlSSRdqinflborONyGVk554/e6olwjvGTV
S+DrVLkmfOVPs9fXenYYUpKWzyCS/D2qSH/gxBCTHw2naCFnlRpfJoz9FeLRtDRUNvRTk+Jjy9QH
uNX4zV6LxbyKCrPX6uGuB0pG6fn3fx+/ljK05TgObV3ZmmawCwIQRTYyWjndRgt7ObWToeYjbet+
1oklkd4dQJwUdg8cWapNkN3hnnEzZArQ4qL80KEVp1DyDdkup4FKBrYGYV4ZWZFgDx+zoLnWX4vh
k0Vqbq5q3KtSsfgRg+nzdykm1WKP0kQsHhQ5b0iiC1QlfahfW/F1S8Q5magdHx8hprac0v6rSDBr
NAsycZYb1NMyn6LdH9UBSiLcJM7cVBe6rKb9GlILRrAJkLrwrEwZ4o04CPREda0jNnH0q/IZjBI/
4Pfu4u/lAoVWf7Yn5pkG6NCIPAO9DLg4XXkFIhUDLevmlWM/aXNFFWWoLW5UhzCFnvNrzxVTFz90
BJRM4V1C9WNTu4EXXNUViOsUOzGrcunPxYMIUXK8YZWkZdygQyH3D3m9vib3nSvNppGoHgd6Tpec
JNae7NB3SffEfr9pH3Md/fmD1FC+Xw0FsTZ8xwK/XSAPRuXUZslPgxcE6bYeMDSdgJbyW+Gu7mhb
G6QcO3nWTg5f8iY/xXXDktLzO4x7cwwLiFvkTCKC0BVfdQaBpCkv0gsucUxVfn1Z7gZUqmUdrKMO
+UTdqNkB8FFr1/WoPkZkCnM4NeNNBiMnwQqGdhrRt27/D1FGYDCiubCB7Gh4ZUSiofnGxU15pQ7I
L7dm0WjPv65H/9yHQkkqEjyE5EyXkMG977vlVIEtgEUVUZ88CJtFLRFuihbvwtfXgf7LFIvvtIn/
d4gR6ZW8udmL2PEPEeOipvyf//3uS/7fjl8IhSzeKhJf/9AfikTcy3RV8cnjQ1bI1OTm/65IlGT8
zqgB+QvYgKVYtGb/VCQqv9EqRf+D4Ah6O//8y9as/EY3DSc0jFEaxpA+/4ki8Wf5Dfwr2Lv0Lgk2
W9zS76dGy/FA1gemo2GgKuOlitiDQ1vSgHLiXmqsNR8aD85AfyUAopKqaEuXDreonNynsex1+XCH
N7e3Nc7rB3SxjwrxxLaSTR39S1ZpQOUBrkil3upQzziW+anbVH2xCpPYdAzB/5HKnBflXolpyLBh
HkXjxShp0CK12phW/mTQ53P70YQD1Ul3VLI2gkGxtxJk7MIZ/x+NbhVF2bz63BUBGbqtzulY9e8z
klL+a+f3/7OK3F++A/8LWk8dfXn7AiwvzR/z3/hNovUuoz5VEFdTj/xz/lu/aQhqF1YyojeLjifq
iD/nv/WbyJQkU4uyi6VBjP5r/uu/KaAnkD+ig0P8x3/6U4n8h37yV7Z+1JOM/1aDwUuJqHIBicOg
5iU9FyXEQUTy+LzsyYso20uRudYt8xtWo3GfTkhJ2zHZ0ATvHRofupNKeXhvaVMH+qvEDTyY81cl
mkIwz5HpKkKzbIKawUF7LrkB7CKXbardVvoT2PQcX8xA8dAyQhenUXcIDcmys3rMnxAz4yOIssTj
9As6FhoCZJVoh08M048wXxWRdNMkvHHoG1o37lp1C0klv6ECTpSBlVgrQe8OKXVDdluEC8schipV
CXdJg2VsigfzRyLkIi4CzeWrZrgTdbotQE8Le0Hez3fkZ4uPBS6u+ywoh2OTjNI2p3S+NkNz2mAx
nTd9NqvrGGXQGjta8IQLEjmdlEHq1DkAfxXEof0x0FKdJ+FZm+V+L6WUpUejVwq+hgvvV56Hx7HL
H6Y0aTCetTirqilaVbGfLwdUMFKqH+2TKHuBrMKF5xFrhi6o1/gsm73AfvAqMad6bcQmKc+Y3QPE
dPRNUkRUo/Vdn7vxYLQ4NmFMYi/UyKbLK806QuH191GuzespkAq6znV/nwNfwgVmLmaIPsfzxW9c
sFnpcKqR75yfKqYvhSwzfAiVsH5J5kl7pLWInrUIo57FJ8mmdR4IWAuSFiJq3nq0I4JVnjYdoZmT
5OFit/Y61GC3KgRq5yQUfErRYT6bSgv9T4fZOpDrgARFEtgmxyXwhkCNaSFVAnIV4KgKPKRZ/Bxn
nXGYBsI4Oc4WHiE6OLTp0q4bAElbjDN0PWKZ1Zb3ya3w7AQLkGtGydaaa87/DT2oWfxGIUwBaJyq
zhiL2mHUMULFuqBsZQ2gJIVWqoiT7lF22FlZH+FuFIk66/HwViVaykAoatfnxLVjuxFEjhZG1d4Y
k3UPKoAdDaoVysxVsiFoYEOgqu4VQmcczSAyaKSq5kkYlBcx9xN3ghkDrq7ubykJDg9seSL2ZoQ0
ToIQ7QvafydVA9gw4RG7IvAmPVIbHkANSL2bVJWPLE84BT50a78K1xnyyJ1ZaVf91ORbFCz5QSJM
xG7N4LmdS/jIA3ww8qZ9od7gvaOuiuxw4/fqNZDex9HgdD2KTbJVkyE5yYPWLibAK4EToat2CtTB
bDCfOUZ4ULvip0mW2URpAIRzrXpuF31OPLB9B9IUP4aykay6pIEzpStRsSPOjtquHhy7CFJQFGCM
ooY6eGhTEbKrivKSyuLe0hpUMEJwSCfmSUvcF2eT6WgYAStFIsxOGFomgETBWk+Jonv9EI5u7AvD
XSVz0La7Kf8BdI+SaRN8zWJku24940fSKuWgzaQ/Vv74BHI28qgUa7foBccd1YgAvE1/Miji3kVV
Gm1Do3kxG0ovKhU1e05o/ehWdBd3GZveOul1CL2ttmmVIDrJ/SzezZVUebOg/MgQ9rhiFQm4qPvs
2IXNp8pM6A70vUHlHAQ2sdo3+dy9kK+yVEnS4WEeoy3xYOKhK6j2uToURa4J6iHWPZinaSvR0gEl
HF9HgHwdU/A/W7yDxY/K7Ix9QvzMvW6k8cPA6XHPW9M8IFPXKVnPwxXmt8btUaNRhMyDxx5v3DpE
7lljSVAhV+OOv+/7UWMiaeMeiFtCArfVbA0t6zb6XM4HKxi+J0QeH/rRyrZzKeSK08qC7gZBFr1I
ZdZembNK5mY+tp4qzOMdYFnCM+KS3QcfHQ8rfoYuQk/rK2tmfso6OlKJfUlk0mDPkyokl7vM1Nsy
oT/smtgojsj/8yexi7qXsW2brS9nyin2uxAPPlaonVan6bGv6pT8IhjKHlBSaudlI0nfukGptrXu
63wb4tpL6hLxImQzKka1fAisIDiGdZUeM7VmRZ1zpPnz/Fz3VbBBvv+k0NfYpFNteJDcaBBQI0Qv
BfqjheXBOVwhMXqQAvJDlZdWX9TCSjuuwqqh3GMoioNHWbmu6/BEST3bFEJJcrIWm6IdNkO/CejG
HaJKgOssNptssKj34oBrnxJgNgd9GD6zVWBBCAHkcoyjIkzcHso1eJ7bkAjN0/AKwjDhW3+D04K7
vgrGXVzq4ydtGidwtbRWb7FsVJs0C5VPmtrPNmfArLcRctNm04dgg5G8A8yG8jZQSqF0NLWeQGjp
WLzrIOtkt8pGUfXqARo4lkvQ1lVbf580mR7cIO2KsS3x0HOQBy2LtSWMs9BTxR4GlQokUWzN3A0D
Xjw1BsbR6EoNSGZJY+En7bXeD0+DyqKHWWeGzTGpq04TDHfUdBZXak92OoTZE+xfeqhjrVBfZBV3
CVsQt63V1T0EapbYDIbzdVvRjgkoPe8EIQ0ISO4D/RTFQfIULAXsvJRoDbTmDz5tAsSd6VGd8a+h
34imL/IYUcQq+Ga2imbi0ONhzyCJ+b3CcR+QkmmnGddPZk7lpUGPY4d2RifV36xpFGy1MnAO5fQz
3UHnizCVzRW0NLrc/XCU+G12Zdt9rvWZHrha7yMjSzd6GqQ0WvWYb1c9r2WW/n1NqKHdBtVLrQma
F2pKe9S7iLLXEJds6oWDAuiFdUHZ8NHrXALswi9zMyGd48DiFTL9LFXRv3VyZ7E9MH/EfnCLbx/X
vSXk+7SUAreBHfuENr5bj6WG0zR+rrtm8mp5qJ0ssW6bPgJEHjMnR13CA1sGkmtKs3I7EDDiCmEN
tNtcQXpk8zL7Ft8QzW8/wdKEKKgKxU6bJ25AW2H474fsOAoGPZFCbnd9Scmo1rVqm4idto3TFNG5
9blrJEB6CItUmmYg4rJqjesiYZPTlMuGrYEzY6u0VK+6bsblEF1raiPeWyPAOVKoyisST6Bfxkn4
o6c6eI8W9DtEUPUYaXV3V/sxzEoAf3SnAOM6kkBlFiM+te949ANXo5Ll0HCA3C4ZuhfJkbatp744
UG3nkRejtBsNnBjoAfXWK2vRdyW5Kz+ptMEob+h0BSi+rOpoJoo9sza6kesOjpBiY5H9e4yNvHuK
oUDuLFRiGJmT8hhGs+/UQT+haFDrU0afAASs0SJEUVutPnQTr41hLGuZ0ugnjHmUwAvzuiQ6CgqH
dsc5IAbwPIluPGEM8GkF58H4aGQSDCDs71e5XyfPcqn7q66epufWAA3SBmazYreluCwt+2nWdWzx
KkTikhCkDaiHNQaKko5d0Up2gkTspU2N9GZMxC+m3Ev3jdJ/M6xgl0Icg7sai19aDRxtQ7sSaUh4
MmbI1tqXiSOAjbR7dJuM7knQ69nWsKYjyqKKImmguzm5u45kLn04DVxAx1LWaeGDJQcKntiCJo9f
im6QNcEmzugnZ9LKh5PkseEZKH6zE0JNkkXKFyucKYWH1CuVYlSvKmhW9F2nAXIEYBwnECPsGbVp
fRsUa97HUtCuzcHCF1+hI4A2EiQrQ+UIjYZoUxrjE2QjTs+DOsIJegLHuaHY98VStFWCbIGaqfwY
iPNjVMgLp8MmyPJK76ttoKarwKxWdRNuS1k8UKo/GWFv8wbpLLKwZKmL2mVnhQdyLUQXGw+HDURB
14Y+7SVKqLAj8yDY5omWrsTSmHjReTeemGWkSMiRUa+x+sgA2eXY6FiMFRmbjx7cU+8uEXE2IctS
Ei4tgniKF3OyBz6lhaKs6Z7Ia7rvVK6pSeMld7RNQKfDlYKa7ZcF1cX8VqPKesvGXkRu6BtXFDqr
tZLH4EP0SH4woCkkQ4ZIccBkQd8CbFnJPq8vxRHWG77mORTbO/CTiheWlXRN/GwYOGhD2o0yp3OK
GAUvva1Tq75BI+MDnqYmtypZWDdow007U6S7xC+/QXmQklOOuA8iRVAoz0NmVC89hAobNefg0CwW
XLK96xfy0hLbCojh8o2IL5qvdFdzwTdaSerIm5DB7C1UtMeMPwehYCLvxpgFfkRAzba38R2MXm3O
3/tyaujKpPJ1rRuPPY1DFhp/E4fAlsMuV54NILWoDMruqpOxXxHDm2IeHyQUZvRloGhZn0gLQEue
tsNnilY/wrxS202uD9qhagblSx0UxT7o1ORHmYMksul/7gyOYHY4CBvLxySFObESdpoedgfwb/lm
ENX8oAs/6h6OFM+CGBc8UDtsfT/wWJdXmsUOt+Ksso6VEWqVNMNOC0BlbOpsELehICMka4buJKUA
l3saKix6TYODKRpZsVVR6NeLenYUgkHzYI9NBGrG43pp9kjYvKrGwDBj1pndpVP6A1tCcte1fnnb
52NzI5EphERr/twuLixih4GnxwVihcbI6V2KfYlqNYvQmjZdAEAOhQX5BQbHRcUaUNybiZMWmexY
1SA/S3knXy1E2WeiaqstDNrsKA9ztaYjIp8yMKge63uCVX5ib0o+GxucNqnotocgph3ML5XOey0V
qKPQ5WpDaK7Lii62auaYCSxqzisfBsc6F6FiTIBfulE1v5dan3l9KIgcz6dEvhKL3Pqa1oIEco/e
UF/W2tHH9rkSJ+C9S1aoE7KCI3oXxiejH1H9UIy/bkhRXtF0xYerl5q+r2vFOpmJYrhLX3HHThdq
NpoDGhQVkUocNvqvJC1p9TriLOeQuSs6Nb1tcVfTxD5MciDdSm0AfanE6Oj5FtxbIWPfVERCYdJN
xAMQKG1zVLBX4rAqpuAa5SOlRlXqrxN95PpacHif+JANZL634VGTUJoFCpQTXmUQX8Bh1okSaDRS
S/HJ9P25XiFZGDdqlpqf+6TloCQSG1W5vRgJt3JiATYyhO8iRR9cE5P/PatVjGQ5wAsq65IXEbNB
laH3rZMVaNqhpnjjtrFh8lj4kEqNdk0/JaMxnwOPwtIV2DkWdD46hSE90Q9TrmM4S2Bb6SdKJ4xU
HYydhYOjI3pykGRQLRVMPtk0R4pDMIjXNO603l0MXaZcCK4yxSaCK3I1Rn+I92INw7AY6OUFhm5s
TBx+txCko5uyDOhRGtkplmDr5iDYXqKyngbKAYF55GB/jT9tWodJDi2lFlcdfA1QDrO8mbBXOMAO
gk9DQnBgPGhP5KlVCA7z8VqW2cniOWafpC/tG7DwG1Pt2n2V+NKnZSlc8dVOiGfJp4cBVRUIGUu4
DciBXE8cRdiKYCjU1Vrcqmox3esAFO1kzMgcVATetAzom1jLQC2HquQMWU/0v02xx0iAjRGmGABA
rXTTNnsIjXmFGwyJUYqY00+mdmcODZupKhDckUr8DxXslB1rZrsqALMjOZjAi1Uq0wPDx/QdSeB0
ZNv/tcA+ajdmubbmnlC4NgnjfTrO+QnN1ZSzL0sm3kOYhihrxY0+ykzhQVmTmrWaMUZsDQOtEM4D
zhditauGKbshHLQ7VkKsrqRqnI4Kqcee0Ka8YzHJi0uu+u3o5/oRrlF3BRN93GSYQB9RYZG6UuLk
7ygljN0JLpaJZI+ULDfmP12P7RitwiiCVi6Ht3h1lauJZ9vRaBbQFwdkTgGneYxINr3REEUdetXw
nwoBVqkmJZ8koRaxpzaSO49jsamRvQOzHVZSX5eIjtv5wdK6TyBxTa8cFuRgQfLOozkokLULKHZo
0vSWTuxsAGuvqxFZ3ZjIxxgIjR0Ehbhi+9N7BBgJa1MllWXWWW8MtMJrvokZAPNhT/aVcmqqhZuZ
zJ+NotPum2IYv5JbLzpqOn5GrarDw9fJoRwJzunttujKBbeD/q5c4iUrwimdrM5Ivuhzg9StIc1d
NgwtHw02IvmiOJy6fpslgk4NBb8d+/bP8mKNZMHWc5UVZ4SBX1jJFynn0aEpandKRqgoKQG0+TvO
wKVNyg6Pvcr8H3kgmYepV7YV5TZ3hscYVDFHGaswSC5b9JKLctJaNJQcKJq1CEP9it6rwkC1sUYm
j65iIF3kRNeP6y4oJLddXQJJHfWtOPQzxVElMJx5av0rZhtBQFED+3oe/QiZTZ6xxTShwWHSiDao
wkSk04NJ3bVuNtRUQMCYUc9jCUzJQCNKsC+IGbQXV3LSYT0R1FQ+cV6RruuB+MH4VWFKTv3sqEYT
P5VikAIVXcSonJfGlwFJJWi7GeO1jmhVS4gJhi9rjTuq8KhaQ35eZFva3EsH0yyr60Sd/K+wfbh1
hd6JV1MqVN+ntphfCLUudhbFwwS20KKXVXq55CkGn2UTZKPASr6SRyndyX0fFc5gaeGNgDbcm4GY
7oeOw/iwiHLnRZ7bLkLdwNLYTStpeWstEt56EfNmqOoojI3PMI9C3kTiE0HQLOLfzh/nlzSJs6Pl
+6CnsKXgppQRnTQ0G5yODDN3Lsbam6YkuyWCEFUbYoSZolnVRC7VPtQcgbUZSVNBpJi0W30RItOP
s9AJjPmxWhTKnMCmq7GoD2h4jFsf5M9qJArjOTSTSnc0Tkf7TugKaPW6Vwvh/JkiXHnftBYV25hK
c2qM7aPYMKkwXYj1EWCYsSfllkPecEOIx6dcJafZFKf6lFaxskZz1V2Nr1rrKDGsh1rvyk3xKsXO
KMMJRdfcKMLyYVjk2v6rcrt/VXHXJiLAZp7M05wv2pmwFQ6hIqlfyTpCD63gn+E9rqS9n9e9Zy7q
cH/RiUMjAMT7Kh4PSh0h+WiwRCTwbZ9YTL52RVVti9G0kNDHpTcMAgQhEgqO/hTzjvhBzLswaPPw
JU9b4aZukuwk1HX3HVcOdk/E+a1NeK90nYVZCW1NiwM3xH3Bi4tNHcmaAOWUTYb2TcJP9XmafQXm
fpdyvB5E8VuTo9DpspxacxpDtZ1iQHhsnziLzHqgNZ6oQk3UCWTphf6TDEytc8q+4WAdB0fyj2qO
lFK+H2vOLJVG1TNYjkitaf34/13Dv8XxkWnb/cccn92PuvkxvesaLn/g97ahIP1GrZNiAX1x2oMi
Fuk/+4aC/JsMLMKyLEkGz2/RO3/bOOSPgATBuLr8mTdJs6r52wLwptFOP16kDyn9k8ah/B6dQbMc
HzxNTbrzOJrpUZ5xKzDYZkauEgmYbnlhnXmjnbCCOBhBXc7tOPU8tvu2soaI73DifA4kZ1zV2/lK
XWWrYCWs3ty6Pxqb7+Jb37cxf/59uCdvfdxK2vnsMPl9Wlda0ad0aUq4/pY6HbtQG+TQzlAuGZzf
I8p/GlNfTJBv/M1JOcXUHRhTs9mqrqSN6X4DC+iVa23768u7cLfPcw9ynVghIeT72ArHVl0TtGDF
d/m4sVCfz86vxzoj3vx+WRAAwJ2iXIb+JL+/rNSopUBKuazym7wzVtrXwDNQANuDGzjqPnIN99cD
Lo/mLwrAMp5lioSsANwj3oAT1/vxEt1AfQeDxFbXwaZZJ+thpa7qdXzJlbr83r8a58zqn42t0dQD
44jTVQrqVYHRlzl6tU1T2jzHqXwyMreVEGRcCFP9eW6+v8CzGyoWGIeGkYGn+C6LH+Vu9+sbKLEW
/PLKWEbeTsQKSG5n9AwgQIh9UR0ycxApOikSP4T/NhucNTVxZN7/fKq8v7Llyt+8ASkkVTb6DEwC
z1pm3PSKsxZ718k21rI7bdjvXrjWSzdzuRdvhuySWUCXzpCNN7qSy3Hzuv6qu527zJnhqdlXmwsj
vsc2/Dw/z+RjUaX7Wkwmqt3tzJvx0LvLghd5gjNdd5/QbnqYXDycpBeu9MPXwiJR2VB0FB/nmQKJ
MkFuNhg23iqrbo2DayWs1U1z6fI+uqHSosFCGyKhgTp7hriC8cRTJbLbb5Q8HP8l0WwI7+t037mZ
uWmd7A4j3YV7emnQs6eoCeRL5SB6WDpp2RBMRhEZMKinnYTPVODqk7zxPeNwYdT3KwDKEB6mYfJV
JD1GJzDjbFSLzmjZtUpvDztppXrF2jzQV+XrkLiCe+n5Se8/Dz+PdjZv6POUHUHB0KfX9Tbx7tvN
sHpWnMsr2/KD/lrYfh7oTMTW8x1mV03DJhSvi0rglHRNxFYdXYi5eP/Mfh+GeUjusKhYJv98/+bF
SZUkOOBJb885CksPyXhhgA/v2NsRzqZiFKjkLifMBmHjH5WVsqHe9JmAQida/bOPzs8XczYVeqBZ
fdUxVL8KNsrmb390PpoEby/pbBLMpJk1ccw46hoXvBd59dfhE2aQDbT47xem9/IAzufB27HO5oEw
Zmg/sF3a6o1/Y77kbuyGLQZc17S7rbyhD2dceI8vTYmzXSAqfjUNErW3Ox0+tmTjdbowgvTROws/
Yrkuk/7dstl9u94j1gk5r3EDpW+kJ3LYZ+H9pt2Up/lh2F+aFR+NZoqiJsvL/xTyc96PluQWKXHB
skJQDLY19nT9hrYluSEuPcqLW5/3n5bXWfhuuLP7JyqErIeIeuw8dGufTjROLDAkjhw8X5gb778m
f45kggRVOTGg+Xt/YZ1gzelA3eH1sxk96my18pWv2HXp0WH3Zo924jp7UlfLwhs8XRj9g7dgiS7S
YAfCIBI5e7x7iMHANxRJAHfUnleygxt4l+4NPpvCNlxfGOuDObnAA9FcKuxdtdfN0psNQjrJqk8m
XW/Pd4MzUvR0Kwdxux3RGnabbX0MXOnS3X2PO/nj7r4Z8+wtx2tUWvq4rMBbehOrcaN5zaFYgRy4
sCn4YIJqZGTij9NRSuiidDZBTV1qimXHzDmndwkbcOa9dsq2wg6EwM669MH8+V6+H+1sfkIAHU0C
CpmfcJkfQ4fO4rPu9l7+UmwhH3kKSZQXXvifP2bLkBasSf6iL3i2MEMOCDPSpoizlJ04g8gSbqwA
srj362ny8ZX9NczZExsUIQ3xa/Z2RiByE34zpE+/HuB1nr1fjbkQSUGxspzRWbrez3l4R+GIxpI5
Ud3XMAOIJ1LG72acbmThByrDDI6JQMV9SIGAPSYDue7t8zBFF+7nhxcqE+CF+VexkLu//zXmLpcD
rYN4nyj3Vvtl0C8dPj4cQFEgaLItkK3zs+k015nYqlOPJMtpO4f4Kd5uY3INGBR29B1cnjtsLp08
lon3081FAL2URlBCn38VSoSVJWVilrN4N077gWh2EhBSxekF5CGbC4/y40v8P6O90o7eLCkBobZG
y3vAV0Hzd/U2X8VXBqYiDySGQ1aSk60unlZ/XjKZPn9d4VLJefvda3PRj8WGMdW1siK+e584xads
u1QX9ObCHFneqV/cTWX5Br+9vmgOO7p0y1Q9Tv5jL6Fz+3LhHv68OeF6VEOjRszihbDz/RiWMYYQ
BS2W5SsSe/11ty4cIgceAG6dRPfyDfxwHXkz3vJM31yTyfYuLFLuXxt6UJaJVeJgmgm2ad3/J6/s
bMXq/aLDm8oLEFJq2nZrPaYhbut3s+PbyJtuiIV+uDDkpYs7W72KTjekOX+dkINXkNnhJjvBae2m
dvM9NhVP3NCxGJ4uvXYfThSKj1RssOaQSfj+pqKNJB9aZqJE8KUJgC2/4YX+9bV9NAR2CZ1oP0qM
P+3A+Pmq3qosm4ryLZvuE0IUfOPCmnVpjLPPGnkIciYSKG6XkksSMdvWTQFZ5NcXIi034/ytensl
ZzcrFPq8FgqBL9l2PGj7ggKJciCvRnnyXRRNK4Q0ymrYsLPcCa5/afSft5b4SuA90jQluRGFzftH
1SEOqqWC+7gccMYEsboLvgmP04qYBmd26PkPhxrGrC3vNe3S6B+tXrzr0rIJMwltPVu96Aq3iqpw
h9V1dtutAUzthHXr1E5wsU7y4Zbo7Vhnq1cmxuADLN4/bNjltlyBIfTm29qrtpqDfcO78Fg/+hiA
0gR7LuN/1M93YLnZNiG8rd4G8IAXenYbh3KJgy0iRwPC/czc4OK+79KgZzOWLJBhQtdKg1Snj9sq
dlRf2jcvt+mn6frmus6m65xIpOKNXBeNI0f0lkp+dOyoOZFptxIu7Sw/+oC/uYvyWdEXGhUo5Ig2
d3joV8tOtj3M9A+Wslr3TBgPnnJHpptpx8fsQjn2gzIDrwY6d44J7KApZbx/NQJdSv1yYhVTeSVD
R3t9Hw0K9+3DpcL9EsXwwV39a6yzlXoqtXak948Qe+LoE23SO3MLDmZFCz2mPRJdY5924MzwZC/W
OM4q+cuxZDlxYaWElQ+3XT57MwL61lnfJ0tTpHd7WqBOetdvGuoBcuaAe9sZ23/xcrwd8WzVQZQR
Slnx2hKRd0tDqAzt5QQtfxsOS5lt2ERPvx7yo1XW1DCWahqfC+3c3JuVY1Uh1Keqv1uOtP0G/Nda
3ly8so/WUwoQGs1+SqUY8N5PGl8dazEyGadfKStKKyv8oU6/J/4G8o3XbUViWWzt+99YyT9696Ex
qzSkZZkc3rO1FK7ikGkYTe3s0eqc/hq9jYPNw4Hns4LIQl7axZkjf7R+vx3zbOZUfbkoVJerHVfK
fJgT3xlaHawTMrSnCQB9IW4XDENlvoSQqYdhT7RNkawEZacpsL+kEs4n2qP41uief/3AP/yuvv3d
zuaYNMxqHNX8bo1H+u34qXeXjkeyB2XkwjJZg8tHN3NSnPEBlph9YfSPXui3oy9P682+Mi1MtSoQ
IXMWiL7oO3m00yskozwPEChOdP37whXBIbcvftM/2va9Hfts4crgqKgIxpcr99e52xwFh+yPk2rP
Dl2Io+8AMLz9VyWHt6OeLWGimkhWNTDqsoostzrw9G3pgb/x0uO/KN+wZr2Z7ct7+Ob+tmjZOjNZ
Wp1Iy11tBVVMsVsoyF+XL3oAOoP7Wsburx/rB0+VoyRNbcla1upzH/hUEESsdDKV52YH+AQXNhlm
JEs1ez34Kmqffz3aB2/0u9GW3+bNNYppFFF8ZrTU2MbtXdbc//rnf7Am0k7lyA+TysRHfDZPkngu
jCmi3KbSeViK28p6WRP/Yevo9fvybpyzmSENUJqTlOtg5zXf9S6DufMGy1ZqBwdYdH/jWHfp0s6m
RzNjgSuXAq26brfSJqJZvDTgLl3acofONkPvruzsCS2241rzlyfUeG16P5Bhl1z/+iF9tG99N8Zy
qW9mQT2EyEAtSrLLe9VuyzviHRzdNu32VB8v1RM+nHJ/TQnj7POFwrQJsfBBdJufo3AbVOWlhfHC
LTPOPlOpDJu8WUaID5OT3JYrlolr6Ewr/F72tK2dbi9duoUfvrZvrursMxUoUi1bIo+pdYEGu6qn
7paWsBXY8n3vyJ+IYl53m+RJ3F+6nx/trQxgZHgB8MNDFTn7CuGWt3rMrctEVF8IofQCL2LXWmG3
YWv1Nz48y7WcT8m3Ay5P+M10SSZT7+Xl/oZbdad6M7uqyo1P6Ij/TvNy+fV/NdrZEoKUZq7SnjuL
3WWrHIgEdiIHhOWnZb96+Xxz8XaeLSWBHOCUxHxkTzvlU3ufsrmynBooGZ2XxL3ceVmIDL+8wLOF
BFgZDeildVW7k2dkYLntiHpe444e74bwUjuko27/xSu/lCtp6VPAZ6P8/hmm4BI61PLLpClOy0kc
Gbnt04AunXx98cP94TP8a7RzYc0c9FaipFyidVd8oS67LtgwkJDVuMK6P+Km+xftMwIpZZyTkqZT
6Pup5t30XR00+lLymA/FTbhKGAwk6HbZ+SuX7uYHm1S8tQrQIsrawDXOHqHRVUteOXcTKCx1Z06P
N9gPPcWL7v7dlb0Z6+yDYP5v5s5kOW4ky6JfhDLHDGx6AQRiDjI4iIM2MFKiMMMxT1/fB6y2rpSU
prTe9aasKkspkBGAw/29+86RuWYm62+2XuszAHJX+HjJdwgTtv8krfu7EyqjLpZlrc6tlVDz832S
aVmsA9Ph9XNO7s39cEKq6zkv3Q6rmv/ne5JWxN88CX+92C+P3iKrSVM+bxOruH5O7dihJ1w/bbWg
W+xdZPe3jUugT5UXyeBHVFbfSk3wyNjmD5uQdtHc9O50nyU0TftnJp7A8pJvDXdjJ+7S0viitfoB
xt8+WhjAdqq3JYwPimm9R85NCh7ZNnFWwZ8NTSZ8xVdLPFpheVEYLTZI743MihTdfY8ISdv2H9ou
HBnjd7/3RrnrReqbkM7mqVx/YvC+MBoJkinxaS7eqrbzs1r9JIPM0WPV4Xx9nw3Tz1Phm52+6bsk
WPVGBpTRGjxWqVHZJ2beMx4UM43Z4LvuDI+ztSfVF4ttDRphL84PuR19cTuLwUKS8JT/C9Lm+R6N
st6eh27yUmZd854gYgv2Uh6aEX2ccylSjZnaM6r4nQYkbYmanZDZjWkTeTkK64FJ/4LxkSGwOxh7
xpt0vyygf4fX2D7pKbi+dJcUl04+Oe5rb78nBiUnvdxEDKBq4zWvntKkZ8DruTeemE/lOFb4eppv
nYQO9rKFxxUwz5QXcm+EJhiJN9RjHoQuD4HulL/YwFsZD42Lr2LJDxBoN0n9UlOkLGChxwcTjovK
UH1s3YeRtUvUau/Ye5PpgL4MhMUgZnEdpjNa0Yy5hHgIN12yd8tjN9zKOdxl4zYz+l3klEGoPZQS
Ozeh83DawOu13XOI3jopxkNYmvcVo7lcfUxtEJLOHpKg1ZGeN2+d4dl2D5+jhdatuuAaNNks2e2p
jIo7p78DhRh1IMlMTmLtReWes267qguKxuQ0CvY1PMiIIalht0yPRRrv+047xzFD/t0POAWHLA5a
6zKaTKKVDnzgoO2+Dsv7LM76BFy73mUmRfb0UoYP1Tj5gv6WZQcmpFsdZwd42v4LTgNfGYNaP8y6
3DDnmNgoVPUdU9Mt5BlV/lichzl5q8cbR0bQPg8xhNmO/1V9qSvTL9oPzNLzsBPTcRKXYb6DxezZ
yUNF84eZIVdj+vs6KhGA3B/zfJdF96Wzl/lN5BzG4abmRuyqN1eerPxNWN8qeRTJD8U56OVeLaJt
Pt4LNaZT1wUO9uOsuBrOD8lshq4GppYytXST9sfIPtvWywQkmm9FLS9ufNtNTiDbvercNX3n2ehr
7C8gwr1EnPL+MAEObDPQcTdOe+iWc5kds+SlIWCJN57Bxh9NnO51TsrLO3j1PsuZmGNMkPEtNTmH
8M/NkzveqO072ghvWFk4iMRSfOTY7SSw6yZF4jbVft9ip583eRnkw48h3+fRa+GGTN2GW7nSsuLj
tKhBET27zoNtH2302vme6ZVtWD6q01ttuWh9Gr9EY926j2LlGTQ7aTP0E8TDF+all7rxoHYjC32J
O4rV9Gzn/sVaiDNqRJiDhcH6xIIrs1ySfsWh2Hi1n52M0DMun0HuRw0TRouGG4MOE9nNY+vC+0JH
YTjzrdpnF1taZ7XqbuNMyYJEwvUXdnKPHrrpVQB1ZngIh+Hqmg3wyX3WjvdS4Ogt4zsbnbvdzMgN
oEXTUs0brLQ507LikPDRyEXbzQtv9jjbdPI+zZMztjSAK/DMzmFxsw7lp8aPAji4rczeNDyYzikp
DhacCce9RiGjI5BlU/OxQB047JRU9wz8VDnBX+xvfq7BeLLjAEq3oR0yVo6SsQzlmxUeZbxd3GPv
rlgBf6yfSiZCWdXVIt3oDTtv5vpNJ/OUiQa4JrcomnMniBBm9DdFfy7z2wX+TGpQ782OsbxXlGPZ
IxyqGUsarI01wcjZr1AdE4NhVOxg3MC4rh+0JDtY2lVtg8Q+AjT2Rtld9FIGUXcBdniUYCot8b0Y
rlNxbIYR+zucNViO5vLS0PhXDdZEvtlSw7tuqpuxkr4m24c0ZximudYx3qp0X6tfJkBA5n1Xfhmi
j865DoJhXt5LaoYWMWMpe5uxMOmvaMPhmHhhlt8Zxa4x9zK8mXtrX8nXeT6OZXs2mOdioJhJY+ai
QgbOs+O4vLBoswInnjBvooIGs5ZuS+cBPNy2LLdRTZCXTMAUDzujyS8JnIFWCVsv0YYfzNRWvsGk
tK+4pb5DKb5RbDso25EF+V4pzMDo9aPQmcbMbA8mzSWPOybib3npbsa+e8V24ztR8SqHp5zPqYFM
PSKDrr+X0TEkVNLdi/Q9iU7j8OR25zBVvGTEkeaHymsef4tMprMtN4iobofau9qXzI0/A4QIOvUE
TAkG1Kvq8ApdMvDo5QGHwC7ihcLM5W7UHIA356kafKV8KZQfKn9ebRWWHAuaQerVFfVVg31/NftV
JO6Q0Xc+tq77uE+ZJzDczZ+3QX97HqBOTuPRXgXFv1aA2HC5ZTlzX4z+GGBk0Z+VYD2Or6l3SptX
JiDv/+GSv+9fmeZDo7teUnd+K9PkHF6rRKXj0m3GoL9X99VppppRff3nXd7fFBt+vtYvm7xc5+un
G7J2d4jRPaAkCO8Hv3nS/Qzk/Fbp93/+5daTzM/nR4v4DttzTdiQGt1fTjpARHucFBQNc04CybHZ
r4MR6fF/6jT/J+LmJfnWyFb+6H6WeX9i8b7JCt1lFHf/dVt9lA9d8/HRXd6qX//k/0PwJqrtPwwP
7T6a4q2c/zo9tP4L/8McNP+1JnQ/xcAcjv6D3DT/tQYAaa5TuSCER1f4fyeHTP4dOC8WdyLgTY2a
yn+Qg/a/iC8hhNTBp3Cw08z/y+TQz6eNteCFwRIPAT8W0yXmJ4/wL2WMxQ4LsBUgPcI5jOyIkfBy
ZAdkhCLdJMZkNhfa2dM3dSrbw18+oeu/b76/zgj9XCz6vDKgxTVJSpeIBN0vxSJ7hB+ILDrxYYBB
UrdjId6Z6w1tXkbV3G/c0XK7Qw8746PFmye9P19eXUts/3kk1uvrKMjNNZVoW674NUWEDKpqmSKk
sMHktPCWNOedh2NJ7mQ7uV+6Wc0/DG0uoe/A8/aTrlLlrmuFsfvzD7I+6r/8HGubl/keC8Aajyn/
/1++gWqsxmVQQE1lRWgMj044OxuMTimjReRRUbNJNN5/vuTPtcHPX90mCLfqU03Orfovp+dByLyu
ZyWl+rCYJ6Fn8Yuh9+OxjyeGUv98rd9vMFJTRI0IPpANM3+dZ2COeuo4F2Z+R+IVi0A7mdkh78Cp
orpVpl3DsGkFx6YV73++8N/9kgZHdhXMJ8EV/ZdDO28ue9YqNeONFjbWjTWlYXrU0SXhropIGf75
an/za/Ic8/yoNgGP3wbw1jkGBxYefdyJ7fOQTlkQDSrgmSgF36C6B7oA5j90zlkefr1zXMb+1ncW
n6vxaxF5WkRv4V1jJhjH8rsJjw+8EuvFP1zm9wfVIINNqM9xeE7IgP58gw7QjnogOrnPHLV5aov2
ewprgUIyp3x9UOkyEjr00pz2wz8sEb9/hVjOdZtSEr5USli/1LCRk9FFr6bcH02WB/xyMSPgZb98
X8oYdt6fv8Ff3snrU8EXx2VMc1V/o7b4+feE5JaVtabRRk6N9MkeCotSgir6naomPeNNlWWwmc9j
Dsppr7NrH7uuQ0WCgiuoZcncPnPf5Eb//GP9/hnYgrCAgJnDruQT5fzX5SFz0IkTZ5N+H6NJOAEF
mf2yc7PxkiSx+w9r0d9djIIoaAXeCOC51zvuL2vRMgu4a1HOmlih5ASdniAfwhLotcZYvf75F/v9
7l1fbnjsHVYGA3jpz9eyWO0gNvTM2ye9u2PgkLu3ABhS/UNF7ffbFwkO5Tk0SHyrwvzld+qg28uk
jCRT2uVwwV+d75ZxNEFC1b30LOQg3wSzGo//xtf/+Xf8fW0nc8UlHVIt1JjNX9agrmyjbmLsyI+B
B7/XfcIBR1usJPItLdWyCygpXj1/vubffK746w0NayvDVb89NLXqRFaJeBEPCDUZBX/VEyuvs/nz
VX5b7yxhsKXhrbXOZ/Bff/72ejtdUk5wJudOVbk6RhpewtoxKDT0oQ/vp3pQeXj/DbyGQx19yOvv
W4Zf2hI8oixAjIxZBOm09aq/bJslOS9FR57oO7kbA4HTIwfEIi6wrI0X0GH5Mke7IXPyMSglgSZv
zq3oe1IW5Z7s7uIeUmFndGD7VF3+4Tb75cTCz8YXbZEHIXpNxu+3/YwuEa/Ng4KYxQTx5WgiHaAT
m1HsqRq0Mbu0EUfhiryGReSCQF7KQ5sOEY/xkn0ktgvT2ZzMWsKg6ZN/eq5/ewggITDaQml0XePo
dvz8dcG7YWRZLxa/U9G1cd4uvi4udHiOn+jlFgSv4pLkCjcm+0S2gWhPJy2YFw0nABvEZ9Mey73W
2wPC2GhgDtkORwaomt5e0YbNhAh6WeXImalZUL7SfgBg4o5GiqPJsKYN4ZXsu2y4mQBXZ8OynSen
G7djWWiVXykGG0ADLFjriYg624iwity4ykh1GyJ33U6yzkfgZQ5/TptJ5QSayPJjNLt9so3WZ6sR
Kf6VKp74IaAw3U+NmlyFHpZbrUiy2BPjlDNVkAOwGkeAlc6EHRI8qs7fmCgDHm6mLnsvnnTnpEUG
sYahGth9dUvhZK+oKqebROiwVf/8GPHp/Xzs5L3N/KPDeIxF00RdLb0/fzXpBE7KbWJCYEZixW+K
hgvGU6cZPKEmEopGC5A7GDOgnBZA19C2O/0aorz2wlUYBluz0c/Ujcwbq4zggESWG1+XdtnmWUyl
FPXD2m3IPERYhs+7BvrfJ2xK54GIKSdDEATDke+0saC0+UmnGrvk66INCpX+hZpGOyawk6sR6eJU
ibexBcA91SmOtgwshhNm8HqNoeSQ7syO53Ajkv2paFa2s7qk0Ljru3WpAqwtQ2MfhnZ1rRfNGc4Q
hMDsO9JiCLMTyG86J2ZNjvpQP/Kc2psYQ/tE4BjMmZ8n2SiCEBPpHaoL84I1kRKVIihQfFLFQlfB
Sqms5LE4nqctYXRwZCrilGcAwYcKIMryxqGKnFYLBH5Tx1Pe7kBaGwYwknFEIkrV5ZHn3EXRCEGt
rdYyTTend+onYK37hK2ptQWA0V0cegQrli018/YuFHN1X6/QNk2Liw88s5Bo3U+qG9DxFi7WCnsL
++i2d6ta3zW5A3hHrIC4plIbySOgmC8hsLfZl59suWTFzOFp0lGQ21N/BatY36nYaSiyGcm5rEPz
qHT61mpcipX6pJ/48MVNOWM1qgyF1oTTo4tFY9o1QfTJx2Mi7CMO569KurLzun50XxruqPtYgcAo
gcMDWkqopOWjqr+i31T348rmK/PwySxHaH1Cbb1hQfMMXDxIE8cBivUJ+JMr688FQya8yLC1y1xY
6akoTJoHrjo24GsjqwPYpVPKxST9Y5pt6fhSYbO6Gz75gyRAv9mx9YB5hOnIRhvn3fAJMAQWC8wQ
39BTNWZltAsjTdtWaSXutJSEXypMqmxRpXtRsnxrVlhiD0/FB6eKxyTT+3s7p+WQYybehW6xZBvO
OHJnSGwPFjdit2E1aYkI9HyCqcJcU6soHRJppysC0OBgG5OksR9VNFuxFnbRkcMErYlG6PGmKJN2
p7mVmQZLN+fP7QTeG9ckRMliZUu2YMJyHC2yvxYrfzJHxoRN01guUW9NR46/Fg938jro8IJk2jyE
es6AKJjLuqd/KpanJjWfUk6PHp+qiUayPMxTOAUj71dQTq5K1wZKtaUU2TavV77mMrjmdy2Fbogz
qFMpduvldFvJlrjpskI7p0xPoPWOS5DkUw1UG+zQYETGXVzH1hfg+hLPM0zQAThoaZoqGNHooaq7
+q6f6+R7vJJFS5mf0659dBMz2liFxi1qvlXT8pbZzeoBLLPha9Sk7Y748ruV9PWXUqjPDXwymniV
vkNbTcU8HbvATYeQnpEjKOpK18k90LuqV7uzuJuztSklGD/wS12PLVBSeRrIwcou8ZiA3krcjq7h
GtsypjXfKN07VNHHcKaqirZ+fIZ+Bx9pVgq6mOP31MbzaEeZvR3t0fFklCdb00qmXVtN5s6uVSr9
NggKqXxblPir2U79PrSa5axB4PV7y5pRJqtOsGRgtachOYqyeGGB+5rNjfWY2dq5GVhPxhoHNiX/
Ki59p0+Qn/VLUAg3D9KmSI/9ME1+Xi6u3OBbNm4E1BYvHQRFD8StG0S6xSGpw+rR1uEYxV2NeyrW
M7h68ClrrfsIG8Ap5G9ZeByrvIUlWG+EGbNU2tO41eBxenbfg8ZUQLhX1PyCOjemgysqCZi/dO6l
dFajg1D7izWp6g3WynbfziGo1942gjkR18FZnE0XxhAjXNcBHRljBuToSxeAd/JGKq3OL5GhVKIn
uXIax57WxISh+ps2q9ZzyMzu1nBr15dQBqFJLuOuaBVxlH2RnXEbVOcmc88oFYYXFQEpTTzDOE5t
oR1KvO00kLJ2syCzzlqreCznQuWBlT2tAelumcIy4HvnZF7l8uzk2ryvZvo2w1LW8y6rYv11yjvn
JeNlutVCYKZb4abF1a6o56TINc48RvSWk7h8Gkqsg1k30iGBX5YG7FSGYRerXY/EgqP4phMArHhp
Gq3fj+g1ZiXLPIhuRXjIcAAKP5VKdxFzIt+XWkNf6UqxcXQi3lpbTBfXamc6lbPtPlMUdV6aMo7P
qh0ut0uWHtSuQXdHcYoHW1XvRjua8T9k+U3SCO2oahPXi6xoQ+JC+253WnWTW2bdbejGLlsxz7bf
OrmCogaN2mudGaU/9ka07x1loponX2aeEz93q3c8Xh3V+0U+O5MW7WAHl5fcpfEMeVP45TzT0KE2
M/ijNW7mIW7fc7G0qPUAG3p64z7GdQc/iwjNuTH6OML0JdOHSY7a3WhOA2sA+l3ZoQyZutG96ajn
975ZDs62skdcwqylR2ugWQ1q/lTpYWH6EFjEhQJc9iQHhdy0XhkQYxse6Rjm68zy02LpXAbr2QUk
ubcKMHmY20vjW1/QyMoHXXmmergYvjMXBjYUxzEPmk0cGKa6/aQY077q7emSzIZxqFBlYfCkLezp
PQbBuS/qjVYvE7s717kPk1r1W/LsBrd2rDMoCQrs0JfRSZ+b4VSEziv6s8xTZ5SodlMwGZqzPWBr
r6DoJiDr1ZhBUVjOzYNizk3tZ6qYzso8h0Gp9L1f99PXUkVWwrLOzD8oPV6r7I1Bh8Mn4/CixCna
Tm41cdfLLgmxjzZNurG5u8XGiitFbqtF7Z5loRtv6F3ILyTtNHSw3CqCEUqahvSysGAsN1XXK9o9
hIOSJxIKLd2FeuluSmWMnhIFFwd21YhebjGBCMcgEHL+VJPOUI7hxMbYjzBefme7az4B5lD2EonA
yVH7BTyHkoRMNS9RYW+MefWkxFWC6lkvzFo5SD3Pg87UMgfifKqbgCK1KajK8Ohypjka+hDjVBDh
2thclvqxwDR8WWK7Py4pkFSnFHyOKl2fQyOsIFJoIkYu8gVvtPv0qSn1O4FQYvHYrcmCsRtaew5p
C1/XaSXa+XJn6SPm23G2PspZGW7NbPmxKK2JMxwDW+gVijtYHmeJ9DbrEqDY0kRugxMKbl8Y7WaV
lji5BVpqFsy/STFTYN9TjYCasIWGCvO2qGvwdy79XyiEjx2gzC1a7qvC9t5HeMF4YWUlAS+Kdme6
NgF9Bk2gdgKhJbz3lCUxUvPFjbaVMrt8mHV46rRZcpxyH0vd2bu5Vh41mLvekrtPcWkW31dp4s52
O4y5fIgeWhVGvJcc/yscb0+bHKZI9CHZqk47AtaKztkYS6YeLP3ECbyUG83MjGc3baqTboY/Ikt7
XpwO30k0YnJt89rYymh5AK04EzeY7W2MoHYTZ2q3A8iggLe22ZmWswVBct0iNuGmTCFvBjNjvuyA
LQSgut54xqCO1252SvynM61aKH8VpMw53LJBYA+iciL1uUuKmxE6+nBUQzrubum2lqeXyRwsk0L0
QNG+UttT0A/08d2Q9fpN5ZjXuRU1n7PgxQGYYb6ko1gucdw6j3MfIbxj4K26zcJc82BFEAzStSaU
XqGN1Op5Z0BzrzE+FOS3bqrFZbDcnSxa51ATt2XHC0fvkYTXMspOZjWXF0nPwc8IO4SbKk/0hzi2
VBivmruVugPnObKW4T6MpxhNbJKqxi4RAwqAMeIOJJxFr9ppBvti9noKBjCyaaJE/XwMqVscQrQc
h8ksgSBE6siuSVXmPFiKLh2uji7RB1rpfOoKI7lN3Fk/hVKDGbU4by0oQ2Y9zAjDQWqG+IBds/QS
BMCmZ2HbOKqKMezsymmuuIARo6/pGW0FSE4Ku7KS5aco1XCH5r47Whb2Vi/DdX6WTRbfVqnMDs6Y
vjm5OsJoVbqvWZRiJ1aMHz3ZLhCb0to3Kab2UKmcI3BjsqdG2r5rfZqeVSsRaGsB59+YvfmlmEp2
MVbEetYlOieppRhxzbZsS4fd5DbF4mGezO+NGk9yk6l4ruiwkzvBMev1o+gDGfa9BYIZ7bM/aXHa
n+QMi8SbYevCd53mytJZDfuBjS9jjeBX28lQ7DspkrJ0vd5ICnM/A6G2fIXT9k6ZRrP3oy513xYx
zBCwqiV2h2PrYH08qnHSyMMQdsSOFsGZ9Kh2amJ84KAZhjNV7ib0rGIpm68pf+f4oqMA1W/UDOfM
u6uxep/F0lnJYSz6NgoEZYqntug+qxy0mYMe0jtoZc2phK8MmKz82ciqjlOpUIEAhzq05sm25C18
5ih5EIVBCq+IrGtdL0u0tz/LE00Ns+bgWMqMkboo230vksq5y2G0D0fDHWx9G3ZtBoG/K3hHWLka
+2Vm8Q+mYdLTjjge/YpNU9tKeoy1aW4wOvfsqX0sDMZ0HJs5L2702piu+YytZav3Qt/Hw4A9vTHj
0PZ7zkucw5tiFu8FoaY1YYf2HP9Ma8ANtgxETWZhmJTeTBFt6mhUJtTCsq/3bFCLwZ9iS5DfirrC
9ah1A0a1h8rNVgtN63CcYevbKBoumyRIw+IJXCYnSQexqM0cYDZFflSG4YNMOTO76jcFqWgh29sm
q7ZD07IMddV45ahZ4+8KzbuFM+Kmkrp1K1nF8nF5jIf+w+nEEmRsSF7bHOcDzFiiN3nlLcNMlcsa
Ii3GU5OyKQD9u5kT87E0QqJCxDtCh07ZXAQyJuGmRa261QYap96gL2zNm+9RuB7up+80F8RNDBDN
G7BJR0NU3wp0YQ8YxNC0qYbzZLWTc7FErz1UYiB8lUPHPiJbK+8Nl4NU0DZ6qWQkbVw33xmik9bd
mOeOvUndofKiqbHmXWsMjMSU1TzxIFiYCc69Lcr3yBhR2WZpMhhHKPiFTlpoLdJuWWvSEXF9Moe+
YWaNsynjLp/QButsAYzB6PvA0HJ3x9FgNhDjpNjHCHyY6L2aKikDHV6MfSoTZXUNE8osttwWeC30
YZjEyWZrb96G/WBbew1quo1+iMZEWC5mdlGHSFinsRK6PLhjlSx7ddBI+IRTx89t2zXNZnpc1G7p
AUXjVtadlq373il67CDh6+dsEjzw1qDwnzPUZweelnS7jV6hOvaWMmRPCtJ/y8LTxtvYNNBYgMOM
OOI1mdTPhbrM+kOmj416cjuzzfciyRcQGIWZVbX378VgwOpafB0sq06uRqtD6s1qik4bMTK4zWBo
FbUL4ZpCKOzpV/wxfzOpn7CJ85PaYZDq9Ka+jQxGvD2MW/PRlEX8zTGy9pabdem2DbJ1JdBpb4xP
Pa++QG8mrJKuEiMgUioW+ryvwmsmqmZP95mRMtR0ddfiFgmrlqdjpOYZdbp1s0Ql0svE+uHaHH/M
iYQh4H50tvp860RRd0oM68TeO+el567qtn7tF40hp2iz2xWaXIJ4iaXfKo3hq7Wr7ZTSGPFSKwQR
15L9PFF1Q3XR69/JqCpbKu3hS1hqreqZlRG/FG0Sj9t2pN8X5IJ96r6NJiqsQ9PN57Kp4qC0Eu4F
s9XrEzYmAopxbrk3xTRPey1xONr1bgp5yCzDIJTZnHIUntnGFm3ZPq5Fn22Pn/GF86TLbY7++Rsy
+DnoG/MchVn2PkXqfKewqbiDnjsycuRkDerOJTosQjz0Wkmn0BTJlqYOR5I6t3Gf523IodGF2Rf1
2jFhLaiPkwIgHOfvRx4p6SZzQ0JsjUZilJqtwW8yL5BTZfPV5Ut7iCnufM2SctyI3G0RznPcym0T
W42QCp/pnFRRUM5j+Lg0wtgvrY64XQ2nq60Y49W188Jvhuq5+Wzxm0N0nZoPMNXaO2dVm+oe57sN
ZZj5S0Y1+CnOdHmXqfaLTnR7M6qFE8BHCO+kYTWI40Q7PKJWuCpqRY6noblua2V1cZrGhuvdObeZ
24+hN2d8ZwK54SZqU7c/zA1xXMfK3Pexz7tdNYzyzNBYe6OHgtg3FdtNoZqEojFfezjPn1QR6ie7
6t+bDJsfwYSDnYTTGRkThEehdzduZ5Noi2RFLayp3uwkY+Ok1trMSlrC36C+jluVuqce4F4Mkw3z
Csa7tE1EPaMke0dSrlYDSMzcctlozW+1nTFWj0tOO3Zsw64udcYXnNUmCzF/zUWHWnILm3nErRNr
6pHegeYi5lsyNpe22LZKOXw3zLrF7ha3V6Xpj5gZCAqr1mjvO5cUApFSXQNElZqry14u+mtcL1Sh
ZqcOdEl6sDUisQdl/hw3Mky8ZjSGYtO3SeEXKclhtVeOFQ2TNyGW+Gsc4mUCBitA9q/pTdeI3avQ
piGY66F/Rl1HX5gSkzfGWEWUTDst2Lp3K6TIc2I2qv5YmQLeYWUYnEdj96Fven0DbRIvwgR4OlBK
2+crQRbJ6fUQl234kAJYOEVjuWwXQ9QXRCTNuw1w+ibNho/csGrSu+wGhY7Mvm2eqEJIz5bI7DZ6
gcKrLOR0qK2ZdG3mmlhGK4KSizB3Rj0mCge00LibNHt8JSHDpxtixbww2GXel9HIHqSp2LYupXOT
m1TSMowpg7nsIyRR21b0mAMEIdFUVx5nq+zumtpQNoWWyC3PCI0XV6Rb7H76c6ua0OJFSGg9Mvm1
PGQAgMsTykoYCPIDCEV3X6V9uO9T26WQiAfbETgMC+uQlfHySp9+CfSohpCQWs0dkt12E9dytDzu
9+yh10dkEKYW3ZhZAnhD1+IvsrC0W21ynzILCj6h2CLd9aaabISkO0KjP/aRlxYbfOnansKVvgvj
rL8uVZ+z58hDnovY/dDHsP1eZOVHnpaj39R9/4aNwr6ppVG3lK/Itthtz3XqMqBcTzador7vjOiE
QnJGx9lut2y3GW9Vza1RK3ssDMMBu9Di2VhnNG2sKUIkkAjk/NpqaRrQovpSFNk3E0k4Cw51ypmK
CdK1szRdzqXDQhIh1KgGidrC4qVqRbdVinWzgwuF8HNZ+ZPaMhAgU7v1lilmC77SxkV+P6wKA6dI
LOyDCbNWJJ83OoEeHHOC+9acBcq8QpnjU9vUydYdhuhEca3ji2DddEeXl3SRADNA27qIUTLL4LbB
MMKYzseWJq0glNobjzbp1YJONEUuctudMWJHStQvnZrh70rSY+HOX6uWALHDZ/OhSN5ZiT4mhm/p
85fFqUB6VMlIGAGROmU1tObxUVkK9zkswoLALjO2/BtqykI6FG26cUKOCP3I244CTamccqVQN3IY
lceprbqjRrHgFPEK95q4z/ZuBoqeDl9729YOGFk7b3yK3fHJyRjeiImA3DiY3AIO1ueZmeWd6vCj
TCUSvdLBWrK4A+XAukCFJhQaodSygjIvzK3kTbk1Fi0NKEXbm6pp+kukWtpWiqL1ykTF1dPa7qkr
G96UZmTei9Cez8tM3dwM5fhWpE32olgUm2blKOdeaJshlfLcYKQSXfM16c3i2qMQxe1K6hkMhbqH
iNJ+CR1DPTW1cM4yquvvUz6IEzWg6KSqKLJDnaQztSBxS+9YCQMnr5UdY3iUHfH6UVpPCyqrlIdc
Z91XyoXY86RnwZyX7lbTFGj5RmZ2194qlRsnSQDWN5b6WHFIvIZkWYJcLXjhR8vE7Pacy3uhVW+O
3pbnNueVuW3xve3tSqJ/M+bU7/6bvTPZkd3I0vSrNHLP28aZXOSi3elTuHvM84aIiBvXONM40/j0
/bmUQqlVyEYlUItCoQQJEBC6IR9I4zn/OOv+M+zhKYjC96jy8zi5S+vozSxhZ93F872cEoDepaQa
YD2WWXhljLAFl7HyZVT1uIkbM49i4c87ihrMKxo5jFVyAbgI/hlW2WSj4M6LrrvyZmpnwGV1cFWD
BjG6mPW75qShAIXMyQe6MQq5zlRJZIbfdRqyzKj3emZdLVPMGhoifF/6ut/ArnC30XnXgnozhtK0
F4RtNFLF0a2SwRTk+RvOlZQ2+Xn20PhPjrTELzqMw33fMreNtNGJJ+V63d3kOMZTlQ7Wua389mrp
l5esCejyY9m6szO3vSpjD0F+qctkpWRpHzy/GdqocC1aTaZRhpFN9Aag9azPqnCLjcuKKFZjJ6z6
UHgVpzxrjpmchWxH2hx7SR+B1wPW1q6qvrRdJcMmtJb4CcA3/2Xncbj2J4NnQRCkpMn1gsumC8eM
Sz6tRUifUJo9Wkq7Dug/oaFRWjcuc7LZHfuuy3ccaMx1hbvAYrNBToiJfHPbAZRMq3pBIuLV8zrX
Q31L6VsSPJYTp5+n4dzRtNvBTaMuhaLOYrbmszP7iDp05smroKriNbu5Z++tasKSqko8VWic3SJy
5tGtV8moTL02nUF+C+CVVW75EM0qya8suzI/bVC5qz4kfjhyL1RGTKaGCg12ToqlzvVkxC/Wsnxe
AgPXrquZElzOsSlNT3nuz9f2LCixU8akVol32Zed+qcTTIdeqBjyKjvX/vCWcpG7lAql1BjVCYEz
qRtsmpm2sShWqizX8MbVjQvnS9+WbDn1mMj3Jt3emAlSqL3Bzpo16V71zpR0oaw8HuK8J8/wIVED
ZzV6/pdiGN+2TbUDvsY0M1R4CrIRA1GRizXbQ05JSeitBOWJKxz04TbRbXmwWCzWNHV/hb6k2gSZ
xq5sgJczw5SHsI4lvh6aJPeDZTXcQDSykDNMY2czy1s+b5hQFAXHfM5mVC1TPW4XJL5bUMSEpDW+
JCPpVbT0YWocQ7GUj2PNfgpROAUmP6zOi2MutwGFW8W60dJYrjhXfdCOJEgwR4yNlw1rZ+aRXXLx
BZs57bNDJynZufxMbDoO6ZVwykasiyEhRscK5H70QCIjV2DXo84m2U6ULg7ranLuqYPKtygYB0Zc
Bxp5dt9H2wUYIBmHq89yfSoHu/51qdJpb9qqYHC4BMtUnaFe7cF1cYnUjv9KNyhqBzw/eP5IID9O
YuZ1oPuKKdhlp5aDGCNjFLd82hzOXU1/1lDVyyG9NGv9/2UjfwmEuYhGLvouQU4/PKD/7zKTQDZ7
Z2zrfwj1lqDV83oqPbLuPA45YBlGBM6sy2ba+/GB2tL+A9+fD1ncd7TM9SGb8n6KY+i2Zq6QznAa
zrdhLgOmsWyuckwwJHCAgvaJQZ+yLoMoH+py+l2Z9C85Bh7rkr//agJAFfZvdoH/mKlg911ff5Tf
3V9/1X9BPwG6xz995dFH//G/vn9rMbm8gb//7fTRj+nHn/0Ev/2B3w0FVvCDog+aGVAT4VPxEHtN
313/979Z4geiP9J2iXpD8mgJLOgVZWvJ3//mBj9EgPyRBDrfReh/sSd0XCWXH7k/+B2Bi6ng0viA
Q+FfMRSg6f6r2AzxIQyHa1+SVlF8XwwPf1aRijxDPI+1J5oT+lK3czfeiEmd/Elt2na9UJZ8XXWB
Qayyr9bGokDcwzFZJUn2VGg/D1bYBkG7XEMhW1rM2Xk3tCdeG7gEjHu+++lTAnca24AOUrTzGbXe
/UfKoghEnaYOBHj5VRWLHXmLs8LEBS9UO9YVGjYrirkftjznKHhvjXd/1nROoZeDfgAvDqpdXg9P
XVtdLdQl0qF0qHul90muJIeAaFa+NzOVe09G48+bNOdMcWX7mTG6czalHyJtatjckgZqwyJ6cqy2
0JMPy6wt+pmmNOpEsfdbb28Y8T4RlNZSYkjyV0pCEjXaJ+H4SMzYt55jp7oAPvJIWdLGt+YoBhI/
FU0hcPONPdRKz0ekRtreS8c6jwH9RO30GAy1gNmhYDazvRhzLjz5aIuOJk4oXBDsKEdRdRVjtV0Z
bfO2DMUNbaK/Zjtd7vJgTNQuqXJ267o6aifctN2LN+cRhUpRwKDU2TyPE8zYCKGrBuYkTkizBeqv
KTujCk+eDQC6VhtbbxofEiOny/yNHutrXf+kfhjXoXukY31dFV+CQFCqU+PbsRtW2p0PbRmsK/yp
vFjXm65md/xqpNzSh84FA+km81/5VOwDyq7dHOWLQobBlxAjhBKec1ul2RYQK0IkRuBnW67rsVwt
Ycwy8Gn1oGS5c4OIkXNdGjR5qdfYxoOIwurG9fMVCaknZp7+0LvLA11bMReDk56b3tzOeb6dx+NC
mxo935thpCaPSr8IkvhUxGbMYu9tZ6/MeDkdBFty0E2NxDhbx70TZY2dUvImXlBmbRMjO1UD19I0
5dsuDdeg1+ukfCNoLAq1yTO5hgRBpOnsq/4qj/ONwpVs0W3mqUeEaKgFyAHMssdOu3pvOPnXLDNv
1VxqmzOxX5JjavqPkKVM0wByIGSVbO98it1C/2lsyMXK6S4bPxZ7WduLCzjo0zps2U0EzF+toQDX
uZ+p/dg3kdRe5M6e3DeljGl+/EwC1a1MUeX70gmwjnhFevYKx1xppo114MhHIfOHuvZufCWOsXlj
uAtW7ibqGhnV+ctE6Rz19jCN1mpwQThNnDWe91UYXIqwViOPLMDpbWfjFK/OJVqEsnj2stfGROng
jfsQV07HjiS44wez/sy5WN2q33YhhYb+ax1sgXfOvORsxUXB/COAHIo5fvBKEmjGxEdpgyBkRx8Z
btRmD0N50XLssuCSWKD2Redt6zo/zpWxhloj7aS+aBtchXw1wz5el5JxwXszAHPX4di1O+V4Dxl0
WIER9sax+uTWYtWA72WUBJ8uzy4yM127XLK+4ZLQUODizyQ2U+CrcQq6E2ET8wmR54ueaKGtzPFe
5426owDwV1kMzmYIx2FjoTLYVW24qsMyue7mFNEl1s6lVz8nL/gAg9sOQ4FcoEMcKK+XIn2UQLSU
b0S57c1rELTW7iOrnw8T8QBYW/V1G863CMKIMYjntdUx3QVutFTGKU3kdgovBXY9pzFNNZLuYNvk
WEGcROhDUNEBWrpvpW88qKLdB516du0lIdtAPejQ2CX2YRrc9ThQP+u8Vzq+EUF8nC21a7IgauqH
OMTMbHrlDibqlupUAA0M3SJ+wIW6q5o3Mdx2YR4gtWB1EzP4J4IWdJ1Z5FyKTov+1uk/8yKl6t6G
ktW0IZbqF459kQ8kQIdU+BmdeqEi1t51mAz2lhi4Xq38u1qwmpdithER2zE1gbOPBkYqf1WkMv0a
lfPmae86oTCRRrYPRq+faVy+GflFR4fEaBy2Tp+uw5C9svcjUyNuGTQkfL8RVbAF6oOoWjYxchuX
1vOqJGFfuHtTkQvfZFscwwfYyDU0Gt5yK3wG40E37d6MJCetO/OQhC+WWYb4sturyvsy0rv6Ut0t
HQU8d7So8elCgkAoLI5Qz3HIJhJCxviFlPmll9fT0n8AHG/Y96JUz/dhE6AhZnZjx4qjvEeIZo37
wuz3KAZWZYaZJx3PttV89R0hgRwZEF60u3MLoLZCIfEkBEQ//H+XY5lfPjNN1yYWi1sqwunGNA6G
z5LpnqgiWQnD3pKxju4eaL+Pn8KqvTViufWLC9bTRBUiXziKE0jaRtDlDN22p0w10q1eu7UZzUwH
PO92JALcDHVxNmn9U6LcyYwPzxOPrvhKwvZU2kgScmTq7KMoFjw1rMu4OxlVvl6CcOun6UFX8EgS
EYklT0PYHlxH39jA3ODmxXqp32E6oqQNN4ZZvElkejy9eYO3heG5UeeUkiXZiryhOGctR5Zdkti7
ZOix2lVjwSpPwfMQJKxY6BB89wbBGeGCDW/CTkEx4osJiyECRsdQtOPy0JwMfq89P9qKLZLLbZUP
3uPcjC+hfZH7wpJG2uf4XVybKNKFNPqetIp16o04jRgU7otefcVJeN14F1lVcfZHWUZ2bO8Viqwq
UCRe6leKiauVrLlxw/ltoJKzp7HaL+37xS2ZZm5VSUVl5m/tUH92M88gxKbZvlQfTTZuTVVGy0gf
YVcew9l+6a0MUWei6gi4cqc87wq0mOQZdxOmNiEtlR6QmOX7IRZcuIGkiABZ0Se1oz5P0GBal3YO
9ZIi5zCy+UvUwfCMb8v+ErpBSe72QHIh3dpLV6dRbeenLO9I15kp5oam3ukLsp83X2ltPPdFdZ5J
gw5pgLdsl8uVkc0r9c4YxFU2IBcicqIOSaSg5l0i8VIUgI7DQ9o4D40jtm3r7Ko+u6VwY936VHrP
5rkEuWsC8004JJ7oWFDJ2Zzgbh9jS21x7KWrIgzeNc+tIVuIo5g4sc21GFwRGdnyZCgfrZl1bYR6
UyY/rXr+wr+5Y+6+dSubOnT7vsg8E3EMCRdmF55zmo4iexyu54vOX+fuqTdcBObd5CJP6txtmD24
LTnsrp3kW3CJpwQZCxhI+bVY3xJVCc3ctRCHMMz2WUGGk5dEeEnWJsNyA7cfZsbN5OojGOnbssyr
QHbhSuRjhPHyuVQvrmOc6hLfC6eq1hyPUbY0B2NG1EHndI+GP7yPy+I8F2dB4XXTdteTeRPMzlUg
i60BsVdO51HNewF3so5tr4zScCFJrvbVwVnIohnd9iT0eFpG6oFUlnC4Bp86bm7GjhmjMcgOAJd2
I5/4SFRwG0pWLxada8Ug7PGECT0U/iMZx2525U3Bm2vZt3Ro3yl/5ybJsfd2unp2naes/CmGxomC
XD2jLaCBuB6zDeiF2syBR8BJ8kWwzcalc7lL0Me05hJuEqN4DQyTr7kGj+vM67ni0PJQaPrN0ryH
eHMY1Jzn2aJHve7Dg1bWmVP+xq1not0Gr9nBPIMjz3Nao6dQcLlZ6nCIG3OAOKs3nVVcJnzO2eCj
PgIvoINHAuKQK2GYiJIyf11SIbvpvfBlYBZfmU0zbWXHKAwKy/a+QS93mpfkFDoWd/2QnAr/8qxi
WMCB4U/Ns1Em0JeGBID3GTXHXwqx9S1mVEdeEpROWRzeccd+oQsJ9xLByRz6t81MBKQxVSvLWyIt
rfEwJJmLItY8T3K5m4ulfk3B0M+lIwp09fOTR3zKSZnWpgqhA4vPvJyfhuS2ZLzMZ2CVQ5uEV1WV
3UKDAY6JK2sqTlYzbJT3HFBpmjp3NsLQ3JmjDu2JD2LrIp8lFpyj3im+tW13v0JZt7+Wvk6vysU1
q53shvZr8aBFdJqS1l84QfvY0P79ZmLLM3G1+v67qFrrOk0o9y6qrMo285j512Y9+kDUIfS7TrV7
xFCo3mflmhYbA5/NahALfZBjYVJRTYU5jzBnO9k+hwqyKvoGw0HAN4oSqMsqfa5Ef+iVu4ICDOoN
wurmQFu8+cgjmY7mmqZsWLkLh+gE99zeADDOfEUtyxWu0r1VJNNVLBLnEZ/x9CK6uo+AS9NX3efe
wQnqi/FPwlitYNzoS4ZsnR9cy/DOuVgwKDpiGVbWBLdX1DZsF4P0JusAegOv5gW3bfWhhFE/T6Oy
do5PZfAKd3e56YMebVjbNAEammVwPgbUQjck2w3bsFesiVNfwFcIfZurkALQwZzes9/MBhSENyfZ
xl7k9H3MUtDetPwLhJ6HPcephy1zVvI49uW146LghLOfopGYjG0e104Uop2+Z4med3Uz/nJn+LE8
UMs2Vymj85iE5atVgKtDuxjBvTelBPr0RY7u2RSFfxeXPKrjJJvWcjIx9TkDJcdG6V3VlT/fWvTt
rZwwxcsi3XJjB02zNmZJfl5YfMdGMB6NeaTTJJkUmo75IgJOnPsuDts7B4HwWXj+R6qwdOghJhuX
Ve+g+5KF2Fxg9r22d448GLJr4llLYpHCLH6QJf6c9SwsZOFTPj4nSTw8Ty3oN2haQ3iOKYIbbun8
odN6OTdeI95cOUwbUwjeWhcuPm19EAOsymSsRO7o0Q5sNuoXwqSBxCTFRYXQyr9VeGAMnsFQqWhH
QOlNiK8eB4cptcXZhbrntmgz56Bre7lfWFqv0x7YYpU4kkWpjSfr4FCqsTUkD6zV0jX891lYbJEU
47ipK5M5xOsd9QYJhAif4capoqnFXYm2KS5+FQbumLWF8EAerW7A2iNwamRP7EkD1harJowmHlCV
R2jJkGuMFatPCf2fEgMHmrqfKpnPdwxhixllnvKvR3+xcD9q2RKpNNjlFQ3b1mOTNaFDrG4WNmAl
VXxv0wXfria6tc8oWPtHJ7MGbogxXA5Vk2v/CNxLZ8CUuleuyELJvtZ1XwiaZnOrnYpUa8BoppHK
BsS8Mv1gGhgkp9/8Ol7NYet55hX+5vh+GBvSvLSXIMTtgvgqDx1zO9qKwLfZINT4OolNHj+1OZp4
xsKa0Qyljy33Zjj41euQKUQ3jpJWyTorwFKr2SVqOat0cJy63psgh4PYXOsA/0yqw97ZpnFX0Huv
0hpNWgjziuMER2LpXHKjioJWbzwCPXvNPCtTrJeR4xUttuFX1zLEi7NNC987wauKIIKbtjey9cct
b8HhOyc47WiPZELs2UDtbtuPlso3QzNCNNSlYa2rkRuVXca66AkyA/uiPRnJraSV3Fhj1qzPHtqm
PeI/k8XLmXCc2qWFKqy4cMySaZGDSYfPjjkK1CLmeIrViFbJkOFPPGXFtukzTCA9gWb2EDCHCV3r
J7gVLFjBPdoWj3t40bSt0NKd71Q7uJ897eWYlcAmP0Pp9O9t4T4WaTFyJKDzNBf8lxqFwHWYJcQL
xVZ7TFz0TtWyfLRZgqi8GadGryBmLPhpmsSrKi2OU9/mJ9RxfLS9tn7ycA+a9ZgO9RNyXAgfKOT6
3a5HL+Z/YZmf0lUF52mnTzJkNQjIjVipoKzZPVPYK01Wg7FG5O/kqzaPxRXxK4D2qtAGE5KVtA9u
ke5EviQPyzTGNy4fGMASgJtf5yMjfmCN91LPPLo9ClifSUuwz0OXu9EUBAsOpTipbv2lGF5zhSHF
nmZwD9uZd8s4mdg6guBy6ellB/nlnCsxlK/crq2xc6dRrGJiSE7FUHerTA0hREohdl5ppq9Gnlpv
PrIZtBJWd7TiBfm4Wzn4z8hNTFbZrPwHx2chbpwyy6NcLt2L1SN/tOLfFOQW9kJrwEO0y+1l3KqO
PvaVlXrztPZMq8CmacBMZWjLf9rwe9cKRs8Fm5q1t8ab6J8b3j6oYGu/Fehb0RWUwWNuj8yDVWOv
wsJxtrb0prvW85JDaXi/PD4ZVHcDBXQr1xzgxYJkOTR5WU4Yn+UvSyQ4mvKqrQ94Rxl0qC3ZDPH4
nQ8WqIomA+EaL0H7XgWSBxaBV16ylnzzUO7l0u2drOcwbRCFbgQz4jqdC+bbaqj1gYiLILueWs5h
v/bvzCl9bGwq7fE1WP3WqxyyQ8WSHsTQ6RdsKOpVkUa4T7V0tkbrFvedTMrXODbHT0JLrH1vCKpi
HKu975vZuQ08ZTwYYThcdSbE/lCnyy7m7ZyaMOfo89rEXhUgp7981XmvtufOOxpX5b4nyJJZLsG0
NSPEjRAgt6+FHX/Phe1e5wh83ieZFGxHzbAfy4wALiX0c9Uiz11QKN3ldS9QjMv3pECHvoIxMPei
CZONkBWBeZPJYtf26JDnxKpvuryIqXFDOAk1NCc3fsPKgYSLy04Xem/mhXoKrYJ7QhCnOWYDFQNF
/pKZgNUSXhLBM+W0ZW+EDohSFb+5Bia1vJc9lG7DM2vE25d25nEJnGq/WOHPzG7Tc+CJ4lF3itzb
oKxKIG0wkCaPSfjClGTdOK33hcsQxlSG2ZtKmaTW2mb03oR6cqabICwHtQth23+xPqT5iiWAowNJ
WLLHlUUS7Bx3w4dU5fCoeY5sLYkQgE0G5rGaxB2LMUpjM22b5X8YrN+ZqEetYKK+MEn0rb7/lmld
/ZmQgvX537+FepHd8O/4q/9T4eZv/x8Ci//+H3lYP+hPBjsLBRkjLnQTjvjf+SvzB0j3haL6rc2e
tJN/468c64fnBr4JA0IJM/0p/Lp/8Ff8iPgQcflFpCtTTvovBWKFFuzUn/KYLIHlzrQoW+foIB3r
r358C/S2d1og9RjpyGfKknHrzDWuMY8RncidctW1RX2Iez94Gv2i3zPYGU9xo06NLch3LIwNQRBr
bL+HrNTjje8gknNIYHieW5xqPG6IW1yaYEtqHuDTPH6Von1fkB5EpEfc4eTCy2GXxWYeQqAvC3tG
4S3DWnS0PuKKaN+JNnhv5uCN4Ci0s7V9xBT8JDzqq6peJ7u4aY9mUOKkmasn5ZnDNWTEdxwWq6Ze
SpyvDhrWqXxp9Dhuukb7CM7qfmeDL27M0vQ3mYEJuzfn/ssxxD0vpTyPOe7Cemo36IMQLcHOr1ql
rRu5BOm2NKEmqg48IA/ThhPHo0HIqD24mP7Yt6ax1ZJUWgxDy7afWgmrYf/Ej0jv1hQQn0nMLYja
+JgV6t6W6mecGy/OGFt80qn7y5hNFqw0eYzz1tkj4N8DBRV7A0v3WpVquVrGoPo98ug/m5X+Z3zz
f4y6/i/JSpPj8s/v6tMwf5efNaHhfz4ITIc/9Put7f24NByhS0A1gTQBwPKPW9v9gbIX0SB/WSQ6
eYKf/EFNix8m2evc2ARo0dp6yXr849YOf0BJ87vQOJAgZgbBv0JN27+1D/3p3hamw2sgiYdjwocO
F3+JeKL+KZH2IAke7foeM+isNz1it1VYF+1Xoy6UoprKfQK+fadDgBe3MchJpNIsSghQBRtfyk0X
t+kqbQNr55ET8MzD8tPtln63mBMoHwvEKpTw0aX3ofz4mdCTN8aiNelNPnXC6S/b8h4FGDUy66LC
8ogdyGptte6rU8/oS1cnK7UR/HQckKHOUc1hhqcj2gSTtxcAQFtWYRyrEPVuk8SfDW6BN0YGTpwl
SemGTy8JncC3Cw/Ac2+Ct+Fd5yEoBYaVi8ek6uuc99mpleam3YLeiiipS+dGxCLE8z7Np7Cd6JVJ
EFF2fcVppJ+CKn6nvQpWEn9GAnYgEVwaARmgY7PLXJ1f0WkMtI3yf10O5jvRQXe4t+YdgyDJDnNx
FfZkA5RdvZnN+BgkYBextINtVZefbjrRvdWH3bpqZUMAJpDu1HFaiMUmZhR0lgDSsQO8l2jVSsxB
CBo+ph4J9TilJKL8pkadS3ns+gANaSsByFrrsxbZXEZY5t29Y5VsFtnSrQpRWytJYHIlCpp0kdOd
C90z/Vukl2c2Lm7TaKnIKJZDGRinyyxDuELbXE+1NqM+IF0i1XqKsH/dJyQkYtXAEKAqr2Ryts7E
fWS80NZctWkCN4utfe2q9tm+uIzihoCUuAFiTcPmyc40ZbMSQBZo+dkb6kdBHMIaU8cSFcn4rFTf
b3NTn92JCJFJzcM1mEizapGqr/mkcfol2sQ4rPdYczFjkiy0SszxpZ9qbLhW89CZWF91N557EtsA
BYjjFS1aWba8rarsrXt5BVlQfMQo10jKOuEvhyU1SzyRTXK9jDHMV2x9CozoLJoZn57Ci+yIN8R3
C9TxRUWVQEa49rHo0Q1IqZm2Q/OTMZAQgmq5MWSFeNfb5jW+S2s2aMV0X5Caxts+9uatdlHds8h2
a3LvEa5ZFYIGe2gfJyX2gZ34QB3OTzm5BSng04vXOQ6me0FRdYcooAiybhO2w1try0fCf+IHplE6
xySbM7FluwD1W6TRflhdgLYrqFYGLt1D3fgURfEuzS14brVhTwG8UXNHPDyZEUHavnU+IzDL24Xe
9uN9NmjJED1eiXGY4cftg8gCTLvaJqW9ynYj19cLYtzP3hN5ZIJsR/XlS5CJPW09o9HbdAzesTB/
BWPzhBPdgj8j4SAoRLXueE2rMlzCnTnUHllhvM5iLK5VODMAOHzQdecfcwJ7D2z8y2lOpLrqLkHJ
FfsPCTR1uLKJJCYVn8EgoegLfWlBlhHucdPLX9qgLbapk5uR300Ptpu9pelElwCOfPZWyojstoji
ROWr0dQ4R7sedLGrfWShwaWZsknGyDOxOQRGf+22mF2IdCPPkaU1qJS9d1NSmBpFsDQVdzafWu7c
I3F3H/2qQjUmpyIalovcnW3AikxTH6nOIh3Fai+yGyx/RbKsrLyrEFekd8Kyj8g6OVWM1FxXH860
zPeNLA6AZdbaKPwWvg2oJlyQwkxWfx1K/Qkelu+MfvEQbMbxz0SmNkcG/xD4DmmCAZQqPKx7cb9K
h+VpqPzPMS5PxZhzi0IWIk9tsFHGzUsxhTkbQ7Kv8pCkg0Z8kkRh74BlGoQ1WbyN0X4ULa0CCAz1
MYPYj6ZpDLl9eD1mP8s9uOV33uL7EAWbX2CP59maf9baoIkgxac/dfWBSCJ/Q4hW8Lsy8D97cvlv
p6e7VE7/88Fl9V18tEP356nl8gd+H1ps64fvC9YKbNz/GDL+0NPZP8APSb504BeYXy7Rl38MLR4/
Mv8I7rVDgcjtH0OLa/6w8NiHpPD5lAQyb/wrQ4slzL9sJKw8aOmYjEI2HNv8TQj4Zz1dAyGYpPx/
QH685qszUw6vtCcoxIvd0t+PpqPPwKm4TlyG9g0xg945RlANl9eIExlplCAUpYqYOrq7YGROj+1w
PBjjNHJAxXi1VVPEx0Wn3WtlZLgXmqX17sTSJhQLpETKlKp17i4eQBS75FYwR1Ro+WKy6VESxHtH
J8EZB4q6zTHyfXclfso19tT2xhvD7GPOmvSEOdm/TWotPtq+zU5YBl9NrOVbO/XxzMYZEZCTbdxm
syZIDM09pPaAZ3iWZAXNoyWZVlR/Ggaf6HmOnwbfXcuRB3jPg7dOtP5pyf42KJA8kMBUrfMkJ9ap
VdVqcmvr5Hft/RDrG2FmB0I5srWAVj3G+OLw1tTQJpMbbpS7NEdtNRWxE3mmjqiZ89sga/0HLNLm
Op7cDIGWWMbkVucLji/tAOCfTDtMn31D4czXMzuMnB1GjLHLEL8jQx6finbxJswrZLEklTd1D4K8
ryIKGp29xJ1z8ZdYMtuBl8d6U8lORxbu2S+4lmRPPEZ1lFJBipnBcp9BSwIFp637oHC9PUi8bseh
NYqTtJa7ZujYVP3aSphNPXsnvZFvTzmJu61sI36tcmn9JHs3+2mIQe/xDegjXgyCl7iIiJqhp6TY
Z3nCalViokaT6RfT9dy5ZkaayHI1SZrLdoSz1ybCBcw8kds4ybAGUkQgbvdu9ZJW9vxkAfWdEn80
dyBJHWn7bvPRlrgMd1WX8n0VCXK9CAqJNXuutcVgjc8DpKkjTMNnHd3ZyUKUDuYm1JVNMhyxkI4c
97527S12xXRTtQ7pbrIObog6ls0htly7YpeM83OWIdKq3QnDqlB0OTi9Kr7V0trfNrJQdHNJuGxk
McAOYmYizn/ybBmJti+OYnTi2/iinpJJ6Jx9kdPvDk6xrtM2PqWxMX4nc49YlYyFBDU4QUyvZRl6
6wHLusXw1T8Yba2eFs+DU1IzBE3d24JAqqbuLg0fHQlfpJDE+6qzl6vayRNGOdw0bUScEykeIrbI
lMA+3cmLjt9NLj5T1/iyvLrZkeJPYUTFWALiHqtky40lvp1W1R+k1Bwr1OpHKGxGCDnT1uKU+XPW
yWJPdoV3sY0PBJUZo8S8ZzvXaOdhnIij+DULm4IvZGoRNOSICCQ1N5x9l2iFuqHgB/iVoNR00Fvf
nvMbZ/aWJyd1/ZspxLYWDAn6pDxz0nU/5ZpuGx7yEx7wDwLW5BPANKZTGYYRPKFEgWjFt5XI9PWg
fLL+0jz3Hpkp0FqGE+G5RmK0t1aYtoeyUcNtM8RMDInp0wPhdZukrRwe2EFRbhdMCGxP8PxWjFA1
9VyxK0mR2foOOCbMWkfKgEDBiGsgvmQ35UDAjkVAXGEZfTQ4yryH2MLCPCwHw4qnJ8zcklSjuDha
PpFbxjAeVFkxeNohCRKcbheFpD6njnFRegYMjN61RcglXgXz2ks8G4imBza6RKqU003h/1/uzmM5
ciTLor/SHzAog3ZgG4HQ1JrcwJgkE8ohHNrx9XPQ3TXWPYs2m0WPjc2qhFVmFiMA9yfuPTe/a2yj
RugYFxvaTpIyA/RrIfzX59wfIAdkyYeE17BlEJQ/+HpeLkuWVZEUAhqZwgW0oRz3sG9nTFxLeVdb
JaIAT7sv7pTG+3FdxFSJrc+SIhkEs8r54zz86D8Talpymxn2YjzJmvtk6DF/dl3Dd+OV7pUWLtyc
3BphsnQLNDHlOb/sGuLxTH2zmZQRHPk4QnZhpSJvxFI1m0w5OaQAwatvd0OVuidvMPp7iwE9i93s
za5UAHawcs5G6EyUQhnYjrAuf8c56+6NpxIw88mYW4+xPY0YC1WqPhYTKydhGIv17OC1P2nO5ipq
Sx5uXnYNlx0GAxi3OS9v8oYWwlt6/h+WuqDQhF1wqEMYqk6O+a4e2Z4PiTLrHaOq5HcWwBehUTcw
eLhJ5dwNuJjfctgxbzIsyHRiJl/urQJ9z6F0F+cR6BWzgKHD6rjRbLaBvtNfrdlPKGQzYyC4s5pZ
n7lhcFhKYX17GO6Zm0kMurVE1FIA8/9qgBOQ1CNsimu73phLIb8m6T7OAqePNueAIBubgrdiaYV2
m4QQI6+GJwNBzXtu1cmH0wS4mdjlcvyOrv80FbhcttzGtLX8+urVk4bxaw6sT3OCeLvxPRA4FJfe
ToqSiBxnGu29m9HngOOA4DVPLHSTqfdQYtSBFbElDwl5gmROu97YkWiJJRmmuTmJoeswixqjRebJ
FP/UU5HdOGUiUbmZ2XWaCL212YdOW8lG+tQAUTsu1CTrUmU5yGC0QE3Wh2xi7YO8OXnQqcVTP+XW
vuVs2MKN/PRK6e5txIcHXn3ecq+3XyvSj1BD9FnzUZRTcQK0GEBMa4cVbcQqpRz9/RjrNqCEKTEk
u55mLSY4UslIKmao61YbviY1vfoJ651zZcQZ/Z2q/Fe59O2Fi8avomaMYSTF9WgfpcoCHiU/q68B
zunrYFGEpYVxznBkCt+nGm262bXzwcfTvRVBNrFiL6bkxhVIz7awAEA6A2p8Z0fHscA8hIGoSgq8
WQ3z9Cuh5uF34rRDdQ7CPPw9hUZxGK3ceUXjGpN3k7r3YD4znFND0uxRONHxkXFrrFy+jT9U76Uu
iGZCNuHuhFNX91q6UGXwMUJfmUZfkshgtvvAqbh1mLWmI+lHGh2eHQ9++ti4/XRfxIzNt2xC93qa
rB0HDT1+iqSxKJEiIquyww+bAdOpV0vBcYUGOmp7y/maRqdNeFs4Traj0ds91FJF4z5Cvyk2ovfF
exkOAXiQKrHKU+jrZWesimumeNlmCEgLxvi9l+izq4oXHcF0f5aDVFvXxxRrrvvIaeZDH64tJOPF
Ej8uq4YcghP6PXuVmGer2Fxpes0Q4tixNcvboAzwiyY17vBJoyelVMYa6B1KPgEHXXtVDg+LUd/j
Eb/v0LIanY00sQo26DIxKiCWL7xZH2WYPNkTIn3P+Wjz9pHZ/sbvWOSCxSnw+41I81s8pmi78ivR
wuFEvF+sKv7ATn9VY3KitX3tV7EnUMY9Gk5jM5VueV8OmvQcb4ov+L8fm9VMkGX2VZ2P4q6NGXfN
AcArCytCMZGNGhTbdh64LjQFs9V8mEV39Hxm5sv0M3UGmiQKUuFVXy5miCVeHlsTpkctvzSuLC4t
UpGC/sk33jNcFlnXPxLosLeMJlfX3WrHiPlqmR/+1aWB8AAIhOmAY4aptuGvXMZF1Al1VjJQEW8u
35VePSCSEAOAjjX23dUoUo9ethM5QOqkKiY4Pkt4H/SFzXq4fWCzD1fNvAbSG154M+M9Vk/0RXlY
+UdUTrcICrxrxseUdjaY7muxml2scPS2PrqLAB9Mjx9GFZT4eFaxNXvGUwEqU3vjwPM5xi9ViK8R
DcRM4G/tHo3KOAP1KC8Gjy2arS0svTN81Wd0WQ/jaDr3HqbeW8iKdjQMcKo51aZ9WQbmLsAUtGSY
IVXdJvQ1sOF++f7E5TvOyGlxwPLJ6GU1HnVVivh4zgkQbCvZb63Vp2TPTvUdMkj1VEXNMQtYxBJD
Y7CK0VAq+wg2OPpfs5FHbnKa984tbhHPTxH8zp1asYGpp97yBHhMKfD8BPq1pymDKAb2QewJXLlT
FffPyjE6yAkNY8nciUcT18L84JjLJkuYohJsh8/0JLxmiMjArBjZ6fmnXYrlYKqA0CskAojL7Wmf
W07+aAFbJdgshbvt1h3zZhz1O0ehEKeIarZozYa9CCzxCicL5GPg6btEJ2Knc/ehtybrwMTt1tY8
dip8aBLKohDkDEt3PBjOdD1bTmR5WGI9ASAHBhLgGP3TEGFUDLzRKDg25hDfIjzYZQ5urpLzAP1Q
espdoCFZaaCWKY3rIqm/Q9+9TctUbUNUkAzb9xUr7LyX754LJJ3xmzmBEBdzNCX9dRWGv0n7pQkx
fxW6IhdqalDmdLe5N1+3DgwPOLMKvXKb2Mes5fieQ2Pfd4PE6sMIJtPvblm+Z3H4mFbBFyo4kA2T
QFaRHwJh/HSID1lMI5S1IXaQNzjcFkZyWIaZq3k0b01mzQo+8NbKYQLIcN6HCZpqcKm7RTEHtZx0
uO4U09nKau8Lrc5a9LcMi2B11PiTRPgwBlgKOgX6VcAwddLx0dTTtWoLHgFLERIm+he+weYyta4/
rHNiZDRNfkOr9TQWzlUjXGsHUxk7f2jjYpt9mNmwlqnwJHaaboqfVaf7l4Ww0BtEIh3CVBqEGwMk
PWUYmpGkrw9lYl5ljULjLuQLiqdmX8UaGUWn7gF1E78VIuepg+nTAmCK9VbWm2rhjuqgvz7adVm9
OL3fntmrkIjqWPkRaKATJZzhH36L51955LOpxK4jbPrzdTHKaZtPQu3g1N8kWTpfnKJDu6/Gh2Ba
bq3iq2ntjLDFMIs0iZue0bNqSENnfChHRohj3lkvQim0IHPABrbuR3LNYwb21iChga5ekdIc0XqR
ARB7sTwoFyk1JtbPAArgEbQNytG4+vZ77MdtLmD6EZxGl95GdseUmEszmhv3S/aoZi0NctKIy7Ng
Fkuv4iw7XxlM5tl43hlCR8zdyZ91rC/Ce6CwZ/GlKDIUlVml34aY3UvdlcZOqL5+m4UuUPkWCDtV
3L8Lo4oMz6sjZ17G8yLj27jKKIWX3saJI0DpRIkLcCtHbOaPDoJa+5iXSbFxwnRvtTPT6by9SRFZ
bEuOxzKonnDhEFHZPqZxgFo6OAVz8jOG9XcTpE8YqJ5dZufATg4BKIeiD6PCxhORMxcivqWqoGkH
OcsojxzDHWaIZYcGECFsUT35MFs5hUL7MVfof3KXTQ/u4E/kJ3i28n61KMXV40y9Ttk0uVFri98W
gKsDUNtiq5LBogiAOZ1q/CspU6DItaqPv/ax1gDNHNcZzD8jOy2l921C5c0YpxqXXiR3vaeYCyCW
Fb7/EhfLfZ4H84ahNLOVXp0dTuPnNhh/rz3ufSslDXIxGN3eZJPzZdmGe212JFvGs/0IGOM3rfNV
a6UPKYrpbgwIuO5Ao7hDm7GXqiq8PVa7kaXhHU2T9Nm1BudRqyE7z1K/x5ab/jYmFhVerKlw3Hq5
IZ5l5tMwqTHGJdmFQj2mgb9CPUzjvl68OArnxkQ81BoXIzR/C5r+TRl4fBc22yN3olYZsnDAfbOO
tYSNfatoxuLWCOmFwTLN2Ep0TOCtNzz7eoIW1bq06aTVOOe5DpYz0B8k0gUUPmZwwyVOBnFO8Xpu
6mY4190r4JizWubuGqJSj1Z8ghwTN1eQuVCvSmc5hNNwo6fuCECB6lPiYjKy5wI4pTe70w0AhI8Q
4CbswWd/7NMnJ6Zx52yLwCah+a5OlS9rvBf+vkPdtkFpk21cSRKxo/Mak1wIi9YBYEvvUA1YbJyb
LMCdWxYarw1cagsKXoSYtNvmYvYvvjdaZ6Ung6YFFI1pOPE+7eu9X+jrqdNfHSp1JFYv8I+QuJHt
sjXK8goWyV1Yi0MFlsxvqCNDM5hSzEEjm1HDh8aBhhn+7EHaeE2pvbfssC2Wi/U5q0aFRTLw8NUN
4UPoF+mrNsHQxfbe6TosNAkyJS+BmddkDcAmvRg4DudfdbrgZTTniXWe7X1IRXE9KOcjGYq3ofW/
XSf8MSx8KX6AKcPreNtDAx+N6j9ROHHd9+wGcz7vGaY1y5vlwbMQ97vIU7D04I+0vd9Bq8azUw/l
dsA5i/aE/xS8+CvoohvgjiR1yuPg+fu0Xa499DF7P+xa/MAFSnsBfHd6FOmIWSokwsH2uVu42hDF
oozdj2U/RDC+UMXnQMux665zYptZCunPtKzhLh+qR5BXEqy/90QYMCbU9tFufPOcZMX6rnvPeZHc
t974VoD732FhuvGgPUtbsm3CaQbwXxTVobeAaLTBclM2HBeYJ7kYl1LlOxspIbm85YSf2cYz5qIm
UXBki5L6wvXrTdAVMyur4ZvchHgTjDb0czQuOW3oFgJPQ3Qns5hfmK34gv+6LqufaZjsB9dNV0V2
zVM8AJveJZ46Jfb8wcAfz8tKi5FVehpAS/0KvGTeSznll6ZV/VEWud4EKkRtMzL9sdKF2YJPvTmb
r6YfNlHNdHxtU4azGz+LJh23QQmYJaAnZpLdGdfzFCDhl+IlX1yePM6/Gea+CwCbZgq3Mhp2HKB4
JebC2BJ5QfuUQ6uIl/6ubCsimTVz2VTlwzlbOjTOHktfY7Vs8wj0WyPDruJ4RXk1D+ZHzG8Jo7V4
ETPn7ux+62J+knmbMEucXpxaHYEcB9vOMa0N669sLzuPCeyijPIGenQSgXF9CjNkVfzudoaZMaAa
BvMbKWk/zU3d/AZswZNXGXa5TgSr6Yi76RyuQKPeowS3xAP8crysjSCqT/RUx1WDA6oRW8yiEvAg
i0ZypcAAtcZzQD3UWslnPRnkfxcngyb3NvXRrPelZxMc77UnkVqfc0I+ywRRCANtU19hs+vzg7PE
7beYbB2VrgG+Gf8cmuruHDuWdxky3VxBJRQ75VhXYm2fqGutCmqosGPzoWhmwbUuJ6B/ACa3vY2R
VoaGd2hLE66ROXb3XazEEXEGIaOIh7fSsn+jaCbQtvVrDmhqjcDKwfv3WKFAhtUMpjz3nCIjtzdY
Xor94FPypmPYfiVOVTwuS9Ze8XHN+xGO9bABryYY6+ry1iH1+8FVBbJMpl9bG1EtFkt2twwf1pmm
hoFD7gqBcmDeSMfJbE7LGOGwfzUwUE7OdlkZEj24i7NmXLS87ZHImZxgaevuGYzrEYWJ6LAatf60
D2PGo92qCZ0frZ7U1+4V5/6hZAwPXZedM7MzOIdHu2ufdDwyyoY6KQC+AFT9Nk0Y9aRkrJ4VmfHI
5hWwMX1yZmZKo3IZDNZRg+h1yclR9/WudvNblv6KxVF6qhzrpVqyXxmwxGpwUTQ8rDEFdiHIFyho
q+cNaDIGPPNFy/jJxV1b5azrk+mc2x66gOJAuNo2TOTrqPH2JjCOlEfsXVLO27lt9kaFfRTLRp45
u7FyH2uiD2STnxKLBGgDCYcx31vtdPbD/C0P4zdhhDuWwhEcwqh23cPijDsEt3s1wKIVwQ4K+aaQ
6oScI91mScVpwyKdMYPQ4qZKvZ1PxQhBlTFjx7swoeDHGzL7uBrzoCcH67Vv5cW1SNaY18nqbynm
Yz2iIgaRa5hZVJllGfWcu3NdHBXGcFpXjKbdARrsMQzig5G4dziZzj6W83xd/RjBq8SVZMNURM6y
RjufDYoDYx42ZhhEMc22Zzo7tOnIQ5r8K2YW0folDHWAdkv+jBmUXBVyPUx3vpeu4k3uzYJFUjgi
6Jde8GTj6seWodr2rcIRpWMw+2XisFT03dm9LhiBPXcxOSgHD8sA2yw3EXtfWKA36zBNtwSDp/YB
ugQlTZY/Ac7k4JvVTWpCmoK2k+NroM+4uIbac/MeHPD1Kib8YUngYQ/TV1yFR+nnzLgKOK5FCYws
wBG1bR1UVmcBH8FHmaJowCw7TA8M9pOnlAqMHkV1Kn1ar/MIj1x6Yo+QvtjJOioCX5XSKUhWXrve
Gb073rDbjuEF5ZnxBEKE3qKUn/U6FKycrL8gvshJRZr9/NshOSpyJxTsDo4DuTTmlZnBEiqWL0vp
d0nKUdaN4jAHSN2z0onCJv/dxfGPZ3FULcN0w3WMuqMgnB4/FBWG0f1kQdbvrJjb182WF9kFDz1O
nAurseEyl018K1uh7pyqJ6iaMxFkGWAM/m2a3ki3vNIovbYBOoWNtDFa92mNydhyLpURXlRRUFpk
OvKm8oT34MykNtJwUVFLyW5jBDazeni7haw+XHe5TKXgKOjsDTfTNUfNtw711xhAkM8z4zh2QDw1
NtLey+KdNZlqm1oovSfbMrGR+MfCgG4h8hMk/zWWfbxluhJHsQdZXYtRXeaUJDjJPYR9WVPF0bh3
M3ot2+fwVgz72GwQ/kg8CF2dIeOdGKxz3yQnaB3EwYayOw3z9AR4EHfx4N7wgBpHQ6NjB1/M+cVx
w3wdJRu7h+3QGfcJVSs9zXTJzWrm2xYYKyFs/qBOc6LRZvNSQ8MvKQqRor02lnHwx5bvp0Y2l1TD
seLZ2ddDfCibapf6Q7iXsxtukAbUZxye8NKIfJwV43tpJoyRQu88eqhhcSqZB7OcgTzADyb63WHF
Zzm3coQ20Pn+W6vTx3U/A9YWmscMN5NEin0BP4plQ33l1uqUNt13DNuGNZPL6oTxNOPt/n1aCvRl
cfsVuqxEPSBPFbMfnWa/+zR/l6hr2It85IaNtMes8quhMaH4W4nNuAAMSok6KBEYFasFGkk7A0C2
IaSg/uGfWCMvgZJRWLiMdrPqtochIWWIQEsDJ5+rY9JRl5GeAGeLTXzsmo+ibvcrfoJd4i26gsPg
JfZeeDgqet1YG4TMENWV3JhcZztUyRddDJGrxKNtiUO9sBOx2ZizlkseSTF597E8MxZ4cILgk53z
7zgwr3Njvu078eqkK6dmKg8yd29Mwz1iDPkizd2LUi1NOH5lzbU/4RB04l2T5S+Olz5ou3yAI8hc
BRlORkN5WNAPYKQOXyt3eaU2SG9LGMZIhh8sPXm71PNQQ3jWJ1EzBmxcmOiJ91RSlwxkjtAQWxmR
F4rzsCvsF9O39N065ftxWbCy9I0N/yE3KvuwaD++7nCB7zlAWvOUscd6mMC23Xe+Sl6MJezfQShO
d8Ewt2xhK5eiya+zAwdWskots/i8TCXX5+Rkltpm5GtkbG0yzUntLpOVEmGvhma9NfP04LWEHPrU
I01z38HmQGtnj4V916vRZAdXsP84hE2j1AEjnNH9Cl3si5GcJjyqCcdMlDO3lYcsrJzpaCKBYROt
CPpI+uHa92SzXbowzdngZ/0WWHn+GSdGeO6Dzt55GkN/3I2s5moHGtENoMqqicgEEnuWSt6DdFZ7
fV9VJCYFvGFXc+YplmaJmeDYyih7CQsouAyXoeIEMwMW+jxf7TaHiI4QcZYHgHHdsHVGtvX7gVVD
HHETGERWJFlXvpZFrw6Vq8fuEMftmx8Ti7O1ALueR8yQ3X5oeI9SfrJDgIrvwFpknt/YNXpMvm0G
qptQ018NmiADXu68ZSVklMY5DQFt7Phg9ePoeEys6UZQBiPlmDdpGw7HRJLaNMl5hjND/+3RfVCG
T7eI2+1wp5isPxkL0vfOnOTT4iesbtypPzJewjstagAearZvw8aNl02cp+meOLA1DoVB3nXI/jwa
pRgfq9mejhDRE8ZDfVEcjdZS3X4JOv2AUSjA1KlUe54ao2mvOzjH3MwLnlXkHbCESIJpuTFLS91k
ZTDHm6Qwnf4e92F8LgNL/8JzkcyRbdKnmYuL7jOQYHH80XBPQCEceJCzudwN6JRPVRCO+zBLSx4Q
3FCbxsOuvG0bNdzNKnBvjW6CjAMuUutj607GZwNBYtiObPFoiPyZlppBH8SLApDL3ktIhkfkGNaH
qnSsaVslJJtEhnKXb8aLdNCxHEeGhEPyibUNrNJSNIG990qK3Q0KreQcWkRobcARJXej7uprfiqu
jsICvrxvRg9B8DIsfVS1QQ8kqdK/+F5MjGxGX953vPXIb+0AHU4OfemzabvW2zfkr94qUwJ0Zr14
DSvgB21vdoLRNEIEB5vpakZDW4j4eY3gKe5eg8wfSsiabfjIR1VeetKRb62pljRxY2110agam4mS
q+3rDOTBp8JzBC1pwVnnE1NdbWfOBQ/B5tD+6jDDEGES2Ftb+B6k59m92E1qgMMRwyPd6Ko0Zwl0
JIguvvoP0xwyI7RRcIjOZrNaYyL9gHcRYsRBHPe/JiL8P+hswBT0r/SBrD6yz798Vt9/ObIr+Ulq
Lrx/ci+tv/7v9qXwD98m0SoIXEF+OtG+f3ocLA+Tg4md2uLfgpBcfRF/lwu63h8A+8I1I5YMVttf
nQl/ehzsP8hr8x3B7xeapvM/w+/5YqXr/YPHgZvUs/BL4MdElIgqcFUT/kOGMyEzgYf2Kye4sB4f
+9ps36wpqY6DFbdU30NpRMoviJ0aars8zmbZXerZ8b/iQYhkO4R2+5ZMpv+FEr99U4ZEQ7GYMPWd
dlV1ZOwHT8rz1bI144ZLAGIxFQvKuPRzBeg2kWBg2h9MimEE01PIH4G6h4pIli3UMRrCnmOAXJm2
6eqbgK06Y8p2PmpTxvD9WZtGBFk2z7TshrpUJBQohuhoc9GpsFeXTN602R7XTLNfuq+mA90tw1kD
7BxG7WNRmavkoJp8YggKixC+uEQS0Uj33HFvaKQZAdKPkRx4WAwI6a8xgecsfxYuMd8f86NqgQ2U
/KzNZsYkthcyLW5Z56Bnou9A3Z4l9WkicOxSVzktVOqN1S3XgunsifDwfru9we+HobomKz0WSI9B
R9zWPoIbOrBZ/HApfjTKOSbLdLaLRItduMQwmszBfyY9yr0vuiZmR1XgqioHgF55T05fTmt2lN0c
HKbUDNgFTgjMum7V7vWlrr+QyqVXQ+dNK5ssYV/bp1CYyo7YKgjBcLNv4KJgRQ5NO9kKX8qDTGZ9
F3eljyWhMkM85DitUXJxSDLUVB3e9QC2emXrUW5EWTOhtsLEOask7ogqVmuzlScRMB+wFLW1Ypbz
A7kM7ZN0G5fGOUjvuddFuvUGEdyDHoAaZKZpcCFRgdU/gYxbBGx7f4DPvqlilTzGYyMfWRzoLAoz
CZ0VPilDYTTqjLfrg26xXc+WaE9W7Vh3zaTNWydHmB6O2fiacbVdi2DmjtDMVPiI8k/Habtrsk0S
Ak2kcYfBZtnorINXlRbkvcwzXQSSiOrY5x1oE6hi2zrOu2ebrTDzsByj6ShG9iWJJkApsRxKQWJd
qrsWBde7yNz0aqyETdwYrxWx7OUVBc2uAJR9JUy/3AfoUgIx6BN0HW87DE3PEMfs+HmRYyaEgVvu
9NP3CEVTuXiP4wIGqWrn6idwEototHQ5iH5gPDEFQC5SRwFcd8YHg/uG0TRsJhb+xSbMfWfnDWhl
IhJYUpbglJM1Fmu82TVtGl1f+FJZk31tAKCMRGYjRrPDJH4Bvq5ueCLCD1E3xl0aEoW8QZyxH60s
/8Ev5cIbQ8GyB8GBZnbmBSGusmDFrmSKMoDB4JbRye+mno2PWZasNnSurMjJ0m+0lCyWpNmgGJ0s
UDxDzItBJiVhlbb3ujQSYFNfHVn0ZwfXyjECWBYNcp1e6XEgmaccKsDnBGufkHkSzrf46ohUsLiY
yO7wZbgtcOs4w0i8aB5JzPvZoXZ0E/W4tdfbdmZkgwbVsQj6oHFjTtoRp1EwvouqYdQHpUbnNENM
3dVZOd7HRucfG2MUe4M9+Cbpu6slVy0QuaQitjKlgqOAhG3l8AYZFvF9oMhvsPM8WakNrVMo5D8y
bS9jkfXerhc26LNABReVynVJnBoR1qQ3UBdvdhrqfWkUw5tPGtADp3B7zdYJiljcuFFXl9ZPWFjN
Ka8gxGSQBJ4ps/Ul8JbmizUf46gmK6Ebpu6m1Mv44MLUY4lohYyTekxOcB8YOPgrSTs1S/+BBaR4
6N2SJe0gq3NIcEq/DeqqvloGPf0qTKaYTcvXRM6FgP/DNSB3bppZb0ATCNFKZu/TrofuJlu892Ei
C2BiyH1fTYW/59EsmfTCXnfBDTIBGDHAmgb9FwxF4PEfCF+CM5Fm4o7dSxuh31sHTd76dXRvMmve
W6J4AGB2/RU2jfUAwLwqfAB/k9b9qc5m+67hqjuNlp29tjQ/Udmm9i4XKXIjJeiKpGNuh2V+0obb
762FUjMGfbntsOuwmxzKfWNAfA+H0D/Ngdlfd8UA5tLETOOXwU+PVpMhXmmFb8isrjT82m1aiw/d
hxN/lxcmsWf8WYpdFA8CmWAxndKmY11+cI2m4wdX9maSBBIEZtWwRhgDopeTtb6Nu4OVDggQRvSi
MBSXLBoQ7KHnm3yiyChuA5mY+3gcpwOT+fSm6ZgEJ5bH3EmvUZc4u+7o8s8omyWhB1AymhQbvVKg
PhQwfqb68pe1oBOpGjajM6sWLrn52HkAGhERXLWNNUdOYZ+DWNSnLOmAnXjocUmrkXvXKb0HaJrp
PUFu3pZ61L8xhwlhEkxsJ+I0Ubuiyo1DmBWfWeydJrB5R/wIP2EV9rfp7C2HeVbyKGPXI85USMh8
BVL1k/R69zwbTkOQi6lv8toqum3YJdOlW/DyIeJG8ZW4AzlZaPHXmcCP1fbNfkq1fc8veyB40LpO
UXBvyyYxDnAMcpLLfKR5JONAFyGqj+n4kCZG1EzulYsQc9f50riti2o+Efkl7hF246eDx/KqjI6r
uFjm/NY0LZwBfZUcJ8+r9q1DMCqrpvECrOs5JX7zyBkSAMakKZRWZVB/IKP3gO0C7V/IjdyEvCh7
zq/m21C+uLNNRLObxh5SECyzSfBP6nf9rjDmK9cuu9e80ziRKjO4yWKdPKLpLI/EormvJribt3AO
6ue+G+kJ7FTpGxdz35SH+s7D1bB3TfSijmESy83+Hb+4DMhNTp3BLJnITIwqO37swcVpmcRjcBLa
OQ7Vwk6irswZ+R7gKKBG+W3CBGDjCbZvlY8aV3aMYzaKAfW7j8wFz4SYSDgeGowL66w4NVJxDhDt
oRSgkWV9gHNMl+6pQjXLtCcsXv0Bw8PULEeITssrUKxkzxCFPGC8DcUqI8ElyLHwMNmDd7BxcMzM
jZbwZJsFvKg5pRZLeFF5/B9Zfz1YhQG7Hafod1EXqLQJ+vnSdvuZkRjGc99mHPa+YC6aDeQEkzF3
XRWGgsWO/y3SuWQ57BsYBSqJFIn0rg4jOv+DSElTYqNl8JK6zDo74gqPC/6DmvJmZc7lkCU2Fpmh
B+nMqiYVfNLNOqApnsuFGG7SDkqQ0ut/W6AI+yaEy20jNfTdzvAqgWS/xfGfWZN3pX1j/sHFSrBP
ko7EF/OEnsYuJGsjUd9j4JrNCrrC6jLkuOejJfXFMw04a+wiD8FBDb2sGQYRtkicpxiv0c8VOxgC
zrZNCCgR5WWRvV9fmXXdfpaKfpcUb9E8lz5aq15yx7KYqpIzKH6urZr9Kyh4c0Y60xcIZrM6wMQY
ivGDpJhiS1PvXsJkpZS6ugWlYyrIh7YTI+7Qvg1VmzDDDN5d5RKHlKufdHEjhAsoEhM2O3rgHm40
5UpTXnUwSq9RPp1NY9mqvtvblL9VG99D/juB0so260QnB1dTJuN3kipKX9sNCFSy1THMBHQAbb17
qdlGzlCfFgf/QipxQMwBUsgwmV9wl8M+FEl/ouu23xxCFa8GWdf7jCWEXoOkDjroyLGaVMhKw8/t
62FNlepogC5QG9cV0Wi+Uy5M94D/2XU0AxIGhKaQcIgGfGvCtrWighEnJ6wWq3TcSyHQtJlIMAaL
Es6soPYfwUcyCc70YFm7Lhh64vDKOCEYcMTc/G9pxP8fcgj+Zbt+lf18pf1P1fU/2T8xSSz3v9p0
unTHXhthz+QBQPxDM/43yghMAShnVujC0HdpdxxQ+H+26YI2nWwjyCS4enxL0Dz/2aaLP8wVnB8A
PjLBF9Dc/0k/uftb+939t3/+SzWUd8hP+m5l7P9zlw663wKTAPaA8O61S4d08o9d+mBOxDu0yufa
KNto8HV3WXqXqwtM0xT33Iooc25Sr4Wu7qp5h0qMpX+lkfHSJz6JAqAzcdjD9VJTnxXMI+0++QVm
8y0oKXxsTB7b0vduEbPAfOcczPviagRhaWRF+1r4U7hpZWCf4FEhdMwbbNvg5qZd43ihjW02Jsgq
KevfKdPgiCVbF83EX21xQSzPRglkjj5RoLjE9AvVwYeqHlR7tOYumEVU+QEJTFFupneGwYIuMKl/
CmsaN46TZwdmw+k+tKoVVZILluCDG/1b3pv/dy7YlbfxL1ywg0w+23+OlVh/xd/mWqRK+CYm1xA7
EyOkcH0k/x4rYf/hCIuhFlVhANPDYuT05wvj/sHAyceh6tl/vkt/vjDYYF1elRCEjsNsy/f/k70z
244USbPuE5ELMMOAW5/d5e6aQkPohhUKScyDMcPT9yazVndk1L+y/r7v26oM+QTGN5yzz//qhvn7
/cJfWmZjrnR8hHsSaevf75ecwXBh93DFCyXeiLl4SGPWbB7l7S/fyL9u1F9vTKRU3P5/G6BJwSfy
BJM8ILNCKYzCv96aGrZ+1Q3DsBZA1Nba7eMDjPD4CjmUxYkYpoPsMfBFDoHY62bCThuJId3KwG8e
o0ncdtbYrVkWsnOzSIyE8B/ExcWnJbzMVlY8p2acfiKko8np0gwhXyLlqSYYaBXNdfPUlg4LyuDG
bI1o37Tw0Q0iP9Z20Aff+h7Jg27JWDYGt4+wUSAqIny8p72y5CuTk3bNjEwhHZEsV7x5upGe7m6s
dHjQQ5CjRymhenmdQWZk0OMl8ccx2Ae9+xV6CRDQuEpOBJ55qFJbEhl9FG3EgLOK2k4FIIrArB4c
JvdbI4NmFnpVsBmnpn8Rdps86byBayYLlpSz9af7MW0/ateYPqLEY6bUeJlCasMqG61bOO+msmww
j6RMAAnfRDWeCxAdnukdbatO7/TQuf46I97r3HYW+6Ixme8pdnHRyeKT72XeYqHRFzkJpOoCnImu
mBWGBlYcu49o5xeNqE1mzXVWSUU9NDnxSTRRgi6o8PZZnfVbNVHOw7tzt1Bf10Uw4+1rTwaLGugw
KdzSNhCbeh5JPUs/A5CxC8FkDbT+yycpgICsd5+a5Ua2kTqEcZzcihEFu6ES6qu8RkE8SNZgQZqc
k4aMNeXYrOoHEzLSp2dmFhPDyj5SrCyBV3HNNCMH0hJkXD/o1bZlFo3rieYWdWfz7M3wwPuxvifK
AnVcZsbnwW5O2nZeJTFi68Ixzr4fH0dwo8rX39Jc+5t8Us5RBC0PAJdlsAGY2K+LGwr43Sxj9s0E
kxYR3EJbx9Z+so0bIlbXTQWGA7sUYvfa2VRm8Mw6WZ7tMUa315aMQ0kGIDqXfNbSu9epPEeZJ1dl
Xj3XEsEFW9f71E1fcoegK1svKAsmiwOSv3XhZk/ATfe94FNSi2a8sv+zAZqNb7l9ta2jIsjldhjy
eq1z+TGkP/0cp24vq1evlYSxGdP0Y2TosfhrR58UmfxYiYJI6cx4FkP7kgXsridruf4tV56Ff0pB
PCZhxOfCz7Gi1d7UXUUB7DVfQx5YZMaNP92ExoPUFQiWpFfFYXsl0IS9b+Qehlb41yEibD1n6jtD
LNmIfL5S8+J6Cat9gyGqsMLXcUqeuGq+5UWGpavDuGaUOD/z8DsvQHqeWVwCF8FXkMYHFTOBrwpU
mnH0hVJPriwPEEzqYVxT4IrRX+KVSYX3irloZ/nTJyHPiAb85WJwSH525hZ1Kz3tkM1PRTo+24WJ
KBSVmqsHZ9+E4SMY0F1X9LeY8p/KetF1JA39TYot1e5XRDPv8Usd6BpJHpmaJ7CK94nlfLl1nxy5
tB3Ecf1d75+8JgF95IJZx6Kme/ltyiwGqJ6PiSW6gejtrhOHgmIq4vuxSvYROqwKSws6zAc46W8q
sPZxPO6Y1MwrWY9X7VqvZVvfJjr9NqOExYxv7Ux7wlxmvvsQG1ejLV7VZAr4Z/PGHs2dX+egLclj
3dnTPTGVd5lPiIWwEWr0t2M3vwT2DBVzsEy4MoccxbGft3uvhlXYMIc8qLG+IWKXELFTKLjQi2lv
hua9GfgMHBQjHyYY3nQmEasiD849cp7eM18E5rGsH4V7CLxxM87d11COROxlzbaZs0en6fNzkHr2
2bNPU/rczMnXYI83UdhCrHf1hkmZdyut9lteGh95nSJFHG1ulnLbTWo7Z/69MlhRovnZ2mF/2yZo
MRj/biBhrSuUhvjot9pSciugU6wspwq2DfdXQqbBZqqHNd3HD9cDZ6Bb5pxdsQyYVtIxr/QyO4Fq
uaQAXSH8v+sKvYj3cgNKTHgOh/iNTOx9bgTnKJrOPMuYFM4cGIzw4KWP2CEnK9nBiixWblrBPrEb
j1GSi+XkyyR31YzSfZzkd4ZPrG8wZPTQ6VH0GLW4h6r5jgL4cQoAP0ZL1mTEH226Q4qYFnuVvww9
aAvjrY7xXSAcffAmdWGgwNSoYAUBCPrGdm4d7ZxigFDdlD4iXowv1cgWNZhO0kFR1jOqYiW8Kxc5
mG0S0TvhCPJzWR9EV10nbstN6knFZDxByDUZH64ZMvTJ3aeaHcK2H8KPrLYXfLbHgZvX4UuFrxg2
2MQ8v3uNyE3flmP2pp2mW0Vh1+0lLxuObDpc572rmxJJRZvvU2fBrmp1T6FublHnkB+TpXt7jAgr
D8XeM4CCdrl1klA0D0mp9oBhvnWquaBteCOI57EavKdcQuLz4/4nvcwPOQDoydxLbEY/sRb/jFJg
WGVK1EzhP/Wx+W1wJeuYPEMiFnnZVnnNT7/Kntqh+x442G/HQKYUCUuqlQ5/kF/56icxgUdz0a6q
aspoF6aTTUOxp/UoMAZnu1GyBxm9mesysD/KAEN/WHn1bpCoLodeoJ+OY7RbHtMjhsKHUJbbVpMM
Ah2xQyJUIC/qf1qjPBuO/2yAHN3iTLE2SNsWIRtgiiJ37hscyCjBrXVqMGMA6Zft2mEhgyUyWPdV
6zyi+oL35ZbXoAk+WB0eR7eS5zzJ+z0THDbnZvMa9uJRpOnTSKRHa+nxpgjCJ+lUn0Wk76Q/f0Hx
T7kkFQNaf372rb45WQiRTsizceThw0IfiGBLpp+GG9+TyfnWMu6ox/YdWaTHNcUUrge8gJkzYAXT
2Hdjaoc7PsFbZpnhrlUzV55PwAkCAa6ZikeFyp/gpBhMU3pc1jROEIkQgEJw+oot1aBk8nY2D56D
6yEXLiy4Jw120Nokor0PuvybFw7XtEFoG5REJURCLd7ZEBASWxZ/4BmOI02vtYcZbiab/Q4XdnCk
UCt/tChuIbYK/ZAgvEAFN82vuHS4E1MmkZHZZ1h7YxRvAQhc/LgcBWltbotOF8e80e21UcnenHDH
4LCy9PfYGSy2QcmARDVQe62ceB8MBfMYnSOOZUPKU/TqCMXIlRRPskIcFjyG1375TobZVw8+MRDI
FFvHCtGG1no/Oi7J0xml7Gybeo2LLtspu3JPZT2i9EY3fk+x0XIFgukH49ts4yliJVb4zxqQPwa1
eFfZ/S3MCVTe0cBEVW2M0RxulW5YRAdGt+3z0Dp0ZAVzpLbzDZM6e4ujen7tbXdj+2o8DRl/h/Qh
lTAcDt071TreaSDYGBVQkd/1YW7vTGWcOlrce+kjBB+mga8xEosFn0hiUSovXnlYiNfZGJERU8Wn
XHtnyp58T8YWYhF90dRqa792FzHQAlCuWA4yUkNzbnDrmUaT7cnQIBe6WHJoO7T/rEkHTDP2l+lS
lQcCSR0DMrmPbdhchrahPSRuy5lveoyn5y9VwuJppEXE59iO47eO+FnALMZ1HPJwEwjvxmXNAK80
dy5g6WNGxOA+fCMA5u/m164HfBNYrr/KZHKfmu0zoulgU2FJdJxxOOs52M3Qu0ioVqepATaudX4b
BmGAKJPaMPPUT7/UG6OczzPLp59W68v7Sc/1DcvVU046zYnI8m5PecyGT2h3n3shpbTO3e81iV3r
KsOFIGf9akyDhzVF119pYH3BXgCb3Hrw/iGkXBKHJVzf1HfUJPV9VeMm69Eyn6AEEF4+z8G1IFKG
TX1vJOTM40WxojY8jul4ERGAL1uQksL+IVwjoO/21pSPTEEw8oymZ+ImX4DwWPmSAJ8IDiDlXRzA
iFs5k40DQIjH4DSju900jH5zVj/kDe67ySZfT4rRb+7IhzH2MXTSP+u3goQ1Xw5v4WzkTF5L61vZ
hN22lVNy74WLscoF/T1D5zayhykzwok7nURc7m2BjzYecNz46AuYv1TRc5p5ngdAZ/ZnyAlGTVgf
Q/WNRAOkt77d6ldLG+qISaw+8sWzgijxhsq1Yy35f4LSW24GIGrHTufq1Sn6gMKbu3vPCHiKH6Jq
YOKvIVJfBwDf7Q3uRdKQaDEbpExikO5a27l3DgaSDXeiFE55spK+o94BiLkdRiO4y9KCekPIHKE9
mvIfUTvorQSWOFyyoCG7Lhgs916ybAGFLZnDjq54JrvD+AHnKgxWovSrhxRGIovRNjx46I1dvIdT
990iKoe0rZSkCyIlTPJZhjD/mUYjxzr61YQcJlQtiFDAhVMSoEFGJa84NAJyZtlPRbXLor605V5w
E1/BMnXHkYn2XU30DuD60TLnvQ2NHMAdA/6vNkhx5VRkv78k3HzhzkiQVSClg3m1tWtiyI8lvn4s
atqrP1M7T1kCihoYJMqi4Ck06+m+b1LfuDZkFuQH8IlhfCHrLne3g+Hazn6Sg++vdDCbhy415RPn
72jxw6bCxjBj+3eD64JRtDJVGxByo8JCRCaMfhfEtLk/02aQoGYwIeWIuhVbcMObbSR1oh/eO/aI
97oejG1b56JAnlaqM3BESCgy0CWTuM4gVSYvsbjlk29dTTVnAL2G+Gy04Jh3GQudcBvzPgnytfO5
2FUWAQw21SMcC9u+y5N2eDK6ghQuE94G/TrRJ4DSb6aepEP0F4huSZXMHx0/7k6hLau1iLKu3uJm
/T4JKzgmTv/ojSV5MGOHqG+rWTJcpkFMm6Cs/PdRjuVZW1MY7csqmjkMCy+9KVwoU6u5ww+l4YUg
6Mcm+Fp1Zerv/EydaxAXK6Gzms5o0R5VGVmBESRkMxaYrqKBgT0zh6DGxOxIdY+ydDY2hCeguOCb
01+tqTJO8pRkkE1bBXgReHaVzcbvSqPbIeNWoBGJpHkqatf6mXGn01WqFyrqhfQDEx993tBuwlBj
i6F43QoMR+dkruSLHKPR2PLl1dWWVULD412aXwQ6d2cfU9EhrhNsqh6dx5wI1NZu/jwHLnnXrMZw
lMRPflDeoGTAfBOEfXVs8jTd8oUAv6CTUqAaAlxvvalhEAjmBlhd+rMuSAPMfPPYGJ17zizYlzwA
o47S3/mZ1IH9HvTCvGR1Fx0Ssy1eYz8mWKGszGtCcABTD95+GjYPddIbLGwYoXApMlVEutGWU3l0
sznFsOrkm7yS5h6UU3cNUUeDSmjnu3le+kXtBj9bmRqPEV8ijE8yqdFkBZTw7KBAnAWMNZwGShMT
NshIssUYR19IkEDrwjHjN4APgaR4rM8yJJO8DjL5xvx42gpzqvcBgUZHIjaWHslsbvBEPEbcaeDY
0hzwGQAy9l66YR0NwzE4CaYkZCgkt56E1+CDpCGtyVMyvfjEbxwavThpLFQ5C83C1jvZuESNyaZ9
djOFsL5IMEBWHb9TQDHEFtCeXpg+1A9zbG4HEhsuslP1oRJ2hS4hgAsSJz3N81TTrJRFn9/FIy7D
RuoeBusYxzezKEu4Pb7boFx38xNQS3XwMfFdfNbiPErmPibuz7aqDQ6rgoJyPobOABotc7pPN+vh
8g5DuM1q7d/JBMtSRZ4JkVNO6Zw6XTv3dtX4u4aGbjOILH6Pk9J/nKoRA7rRx09sPopn1VVYROzQ
uo08pMM8sR3azrg/afYahF70SPaZQUwNnnGPr9kvIv/iT7I5zH5S3mtrsRg6VXqpsGnvQ0TqG0nv
fmbQYL8NPi0VEQX1e28BNzXzmITJPmKdXFkZm/YYcAP2hDYvdqlLkrxVluClVAltiZK5uUM7MX8P
2xqCjDdRimTAb8rQlduxlNMOe6MT7ofZG9eenZc5S174OgXq/s+wwWxYdWwf+tpSX6n2YO1S+YLE
qLtNgFh+y+ybW561rf4sp1udYhasJwuLnNNB9U2N7ZSjXcZNskiQnK6+dnbtrVQ7YOfWqbULDcs+
OWHLJCfJXWNjBiUNC47mBGtnm3y6vfcjwEoziVSTShduMDDDAg27ZNONyOgJyjCPotVHmddgfcvh
PFipdbFLIY4J8cdEIg/iRxL03S0ZOwJHOQ51hITRh0qB0Pn6NY1z1tdB3HybDWQmi5gJMnEQ2muW
pEcV2PqRpsTVC2HGfml9zmqvHvWNwoK4o4lDZVXVCoLpbM0722vZzohihOAcVVifMMdQRKY7AI7z
IdJ22q6hLMcnY3ZT8gcNPEG9i11x5fjpSOVv1ix0rXqTFACMa/QZgMjKH2JCSzfYGYlA0LS3HoLI
o0gKsY9qG1avqpfACGY+RNz0Qrkc4sb4Ytqov1bSzE0HX5bnnfkPlhwjNfqge7MstNb/tyj6M0b8
P4Q3gDGQyvtHZupN2ZR9+Ssy9b//0b8WRtYfGDoEQHdlsZFRJn/uXwsj8w9k0PwvbGzsPxGo/7Mw
En/YOKY8F6k7u6Y//9H/LIyWv2e6LrH28s+97G8b1X/asKLE/m2PY3mu4tVRavMXpScWofQvQui2
rzyZS4lPtLfV2+yJALNpRL0gKTNI80Hot0HmelHETt7b0MIWUyMjs4QJwEYYugBAwmZnlc1JeWuF
zFuEtEK4dSp1H01Qnaca/MfabLXFWGQWU42iY9Tf5lYFB98YZqDI2P4EAiQj+abgoHig4vaVMMdj
D+/q1i57/7YYs+QZ20hw6Dqre2wpAS4hdr5vf5W3SV2QBmwlN2GVFbdNWastoTIhDKx+2Jk4gq4A
0aAbZaLbgYJ/rV31guz62xh01gEhcXtUnK9nAdXjUNMRxuu0R85RBJb+hmvV+4AzSJLRQsZG7QJq
kFOtClJrRUjXh2W1b1M5XFGTi1VbcUSzoOIVZf8jq7zu0QHKhpOMoNGEs51gvEa9RNgud7FtvflR
AynNB2qZ0AU92moxu6RZSndbsA3qQ6/ejwIqDSx5Qgg56Z5n5GrrKOYYtg2Bqq7ktPYJ56FJjWZI
hHD5SNDpN0Yaik9EagxKkjx/NEnYqOjp6+w+9Ox044wxL9Jo8NYxKxjPT+u93+Ud+aEdgC30kMSN
sdb2Rx7ANfTtVc5ZVdTWowEHnjk6/sviPlPxvWX3z/5EwTUlAqBcwNmWj+1LY82fqiF3vNfkkbMU
MlxCOREWmFhaGX9qPT1YTZoc/KoR74zF9Tbvc5B/AM0OusKVF9NKXyZHDznmVGo0VQ1QtYvh6Fvl
tAsMUDF50XyUQGWPWovu6Jp1dA1mIm2E7X4P0ip66WaCGOGBo33xiV21Ulb6lXvpyAB5t3sd7WiM
mdtanbh2Fgx3h75irlKgp7XxGIjY2DZOMMuVEC4DsIjMWzxEn6Kbb5u5+EjG5m3mAtih8zPRek0N
z7Ey3E+uEu9NIlk8YJ0/WBBE79MWWlvjW9W2bQyGhsL6YcmqOhXQ0Taysm9ZhFiHmIXXoXdb8eB7
LdueXn/2KaPbtMhOAQi6T9WNL/aySJirUpNYRy3A7P5byTNhnTbl54KD1M50kdDsdylV2jMmjPxo
C8HAoi9CNm5WsenDGTxlljg/qqI4QQlFiAWVeDsMbfMz5NHyphX/rTbFx2A50d7oVXdlxXSjYY8+
25WRfzjFTARRQxp8TnOmKkesgmx6GrBM71h9PdZdcakQn9CY4NUPMvd7i4lnBckShF9kg7P1aQcM
+C9tUkbHwXPTa9ppzpbcwCJVTKjAk7QIz1T3+bruewqZriU4nMIRnahB6JhnV/VLZUbBypCmcUMz
Nu/Trns0yDeax/G+tpdMUuPJsd0rE855V7summ572XfEVbjXNVThmgcsw3+4kYJQiYgfovG8YDu0
xTFWpb12wMu+9CE4t4oRFmDP6E367ZvNaXHjDs1wpKtLtoExNu9OYdNM1iwKoyT4QGI3rmcu+CM2
zJmfKZg3UVGpw2BOP6LMvNAMPLV8sUt+1ww7DuWnyXJWy4zQKryS69gsN9DuIfsT/BjxK9aRdA5Z
5H83JtYd5jCVuKYtQM6aGmZDMqZH+AHTQhs2zxW3XAHpCllZMtpfUCE+cI5wFCczvAnPSO0NjDt1
cJ0EyzQBwRcjXL5Z08Cp7JbWPkfKtzeHIbuZg5ZeN3SMfWPm7s5PWHVhc27ZOzD9cgcds0rrNbLH
pNrVwzRuwM6Z59zML6PvvOq+HLb1lH6yiTvhrYkwXcMSdigbN1Ej/LPLuf0SDrb+NkEZXxFUyIyn
Vv4e4W11tZPBBJ8fRhs6M7WtFZh7Ho0clE4zU6yPFi4EH8yYsOr2gWm+w3tAvZl4wK3hckZng5XT
TTJ13rVvDZ5dFvVUyEZNAEM5BSElbFCIaD+EZcNku6HSG6J5ehJ47jZpZzYQAMr+IBwj3VqR+opR
btPgIst0snrcMSlaUCFZ+gUHR4G+q78cCIMH1I73IvReAh9Nb9A4hMzWJKOiVHS22iGeu1yc2SlD
/EPrwS8CcJxvCAv0NvBM7IduKedwKry59ExcoA5jWKLhbeMp93I0mn7iHrBroLCuG3MTx2ZwbFVj
vEZ4bdfunKJiZ592o/v0xZsZTgH2njQCo2lMMdKlqPNa5l47iXhwpymf12Tqjvu89yeOTwOkWjHl
OdBfNmI1E9ELgULQIJjPkLhrTFwoIfsJer/oXbk0p4lMO5gifXlX9iGyqDEiFU57uCOrwUXpAYqm
D1y6lLCH0mO0xG9qfbXUQlUQs8YxBK1LeYG8Udn8ZTbRyI7HOAF2TB6cPr3EjgN7K0AM9n/F7f9P
cYt85xfRz79lk10/2+izzjD7/S0Q4M9/9Vdl6/5h2xSoVKcOUWBQU/h7f1W24g+hmIERcGSie/L8
Rdf3LymUI/5wlv+HfyhZZeC/+2/toGP+weiOZCN0iJaHgk7+b6RQ9uLg+8XhZ5pIFxUVNMpBkz+3
1N2/FrZg4JtxSmsfCJ82CNVzbESCrcn6fEC2x4ishfOUMsDY4uWAlQQhJt8aLgMWZ4CfhFy92xK6
iyFABf73OQEprMcRMJ/TGtBi5yLiDgsrHxaL6OqjX5k9zyx32v3yrf8/pFbL2/ztYzh8GY7v4n5k
DPZbGJOJ0F0Lj9baS2axqwCCADMJJeYVkh03TZbrB+K3IxAu2PHNmQnAP7++WF7g396AZ+LGROhl
m+YiBPulQZikLtHokMjTBBlUOOr+SwsHA7aLXqaZLGGiFYd/cKpSzzi4XTptMBs8ZipsjkU1bfsZ
FIvw5wPvsrllJKRvbX9s9gNjmX3lNfVRSNqkLeZT7BRFZTwhbjPWsVT+96RrZnmRtcUke3LZ7jpD
G5z++qpz1Jz//FEtxK6/f1SEeIDqXUcKaS8y2V8/ahG6Zu+mELS6OGXizoz62oymg7F8rnzgYeU8
XgdQxQqgkedBHq7GxVwhA7HOPD968fsh++GSE41KfBR+A/aPWBdylJzOMdgyJFxx/+Etm8t7+vvP
gy3Wtxarrc19+GeY1y8/zyAkqd0tEfVth4LIstDWpxWrCT4g64+0v8nLITi1/vhoj4xT3XwwV8RQ
Ou8TxfZtz+YHqj3xUhsLTdYebE5WXePU725Iwhme8PN4P5kWTe0WnhehWYzr9JOc4YtkiT+cJgbI
O6FoBryp3CVBIff8jOQt563aFNT1+zFO9Xs6tvjGfYGm1hbTVyl840Gzlz+5IP0IlKnsa2VQFMsS
YJXb84BC29bckDXk3npAGrdlNxSPrtP7bNwhGabe/FyylX1h6lo801eoTWcJYmXDTN/g3WFr1+np
rsHmMC0O36IhVIB92JyoazVVzaVkbXdLdQhvjUnvi6jt4OxYlGu+nz5gZWyuQMCGdFO6ebVL6wxb
B49EeLQGncbo5NRV/DGqc2CkrmsgbJHtMWzm+DqCV+0zf8eWlqUJuEii07/blY5s6hE898lIOveC
CWu3lHnmvRWzOV2NRa9wCDnhJh+95ALVC58tCoZ14Jfc26rEQqBrZBdeWr14k+HverSRd9pt0i2W
2JNONfTwMf+XtJ7oPfIo7/66jv4m9Pz9+AHYJOhVpCcZ+1J7/Xb8VCqMx9Jhld54PaQdNZL+5pT4
cPZ2VdVf3WibB0bLxsZI4ul2MNP6Min3pTWWWqZO+3pajezfrI2FHJTeKURa5pfxoV/ufttlAjn5
rvWf5KmLzvXXm4J3rYSSaHBxfkvmK7/dyF4v4NEg/cwrw9wkFW2HT0AShzrmpJEryM3j/tMKcJMx
LRPwvmjc/CwOvv/z7fn7gbK8D1TrWMlxhCFl/+3sHAXMcXgu0bon4wJ+HL9v4up4E2Gq2NkI278R
sNBu//lF/+0Ys0weFq4rpWlJy7Xt31TApqVC2+gGgyWWDfI8wrD8Kt06/NmlQoCuJMtv2DvJXDyl
aUmIhunkSK7Grgu+93qS8JJ8+V13TXM2WPauaFSBq+pxmQkgTPrnN0us+O+/lcXTjccbqk58c+af
Tv1fDrB6IMgrNmAFxn5frJ3OveXNvyOdFGJRzwcsx72NVWvcYVXslHsappueJJiS8FAPEk1D/hVw
mR+VlOWdE2f1FV2Hu1UAcveGk1kblnv1O+QPrJZlfOr7FjOuU7yICWSPtDT5BUUTPCpl50elc3NP
ptlTbdBybWYvmPZ93YlN5Lf+Yx1EPoFl8OMba4CCGrVud2XoD6cD1QQ5G40h9wDYiB5jGmNItHjj
5E20Bn330tjw0wJCVe4clDHIGQL4TWGALXs25+gtZtuMGZlVdlIm9bbBdrxLwxQYQOiVzs4YtHps
ptI8GESX7UlICVdOrHCOmjRggL0ktqDBIQhtoS7NiaVex9KYlzDThF3ZlA7nwjDkYhhtTvVg13cO
VJT71ij6DxmS8MZxll5NFh3AqWQ/n/KoA9WUVChCwhIqlTtqcWF/dE+awLCvbFGBlMEIxoTGuaL8
iu+MRNinMCgCHKe+OI4JsKqxRLk6lotwlqXTqVH1fKrJqNnnwg9v84pd8EqZIb0a4SMmaw/XKQ/K
FfK90cratvjJEFdAZNs6CZ3FrhPQcglTG2BWCbGepNEcxsabtl6cxsGmwGUFghlmdksiomfOcLfC
uLtO8aCYcgXjOWm9o6fidpcHzqttBuJGQEFTYWKs7BpLR9OjxZuoFHVuzytzKJprZjjQp+amRcE2
++85T5t9obQH+DIr22wzhhV44r7jd3ZK79J69ROcQThHZevdkiPlE9tTZBe3LxCTWxWiU9e8Mxvj
LWri8YFZV7kykmZhxfW9vYELpcjOTGoueXufWHOFqiJ4Zf9NOMugvNtM0cQN1EKE6U4Wsx3fPpYk
+d2YIcpCMXvINyLmg146MbrMGDRlVfXQ0vTdjGyJ1lWiXhBXZxBf5HBXq2q6632DvQXxEsRUUM5m
pbcHMzOsq6713E3vkbld9SjzIDZ6BVcYQY7ELQ2bsBnbN37D4REX6xuRvPHJb3Eh933snB0k4Cce
c+6r/lNYTDTPjrifAFyekWBfyz4nAzshwITRRV8vyC1Kisw+oa5sdnk0BmuVBPAvdPRZytYuli1S
vBtRm/BmLDCrZF/FJARfOpPqdFfbJXMkbpj7wZrT96IML8Spjlvs7+VPajHAw72/XEGoV05IMUCf
Yhtaz17dPRcaZHMVyhMyBmzyrImB8DpcyHOMwgzVWtRu8s4hFYEf4FoYkfxhcei/GGzmDiVnD/bE
ubqtGrt8pVSNtiy5pnMjQlbADWkXyV4lQM4Q8EHdBftLbpKjXQLF2sRCm8B0L3g1WkX6Y5LEn7Vb
C7bsUV5c4sZYdsFyOGahbe+5xvS7MZIUqolg8GqbJRjpL2vmQWpvwci4cUMUKnEWM5y0a+fGdVBh
eu78ImL1VXLH7wA77Xk0+rvQtMkDSZI7OwOam/ujvwkyS+0735U/+lgdSj+z1yZpkweqmdR9dv1I
ExLEnJMCbY6HZ9fuNBBwlGwbR2aW3hGx0N4O5AT+nNKy27LXiFZVQ6LQai56BEGh7le10wRbv0J8
7CdIQJdS4BpFigEcAEDjOjCgfIRKhAxDEbC0J83doL5eBMaoG1YCC8CqJwGFcfU0vk9dCDWgwrtr
xHjjURZ48AvhyX3ECuF6Q0DFi1eExJTVSr4z/ugeo87g4J/kFoWj98Pv5XBJFMgQbmjrmvqVvx1c
n1+md1xDbRrSjNSpHzFIhqmLfjjE14tDVI51sHeHLAUopmT5fdITz4hJDYDdOMdAQEjb4A5Y7v2q
YuprZ/F4IDg2v42zFL1s5ViBj3VA2NM2Rik2PpHMRHdnFnnLMrvDk9wK0/oYurm0bqG5x7j3l1dK
0PRcQtAKLOeX2wAtYoiwbmITyGIkwrzvToN9X8dKlR/MxMgD5R1f+zJAjkJCD1muoTLnM4X6RNyk
9rdNw1DJnB0ewEkCYqIquvFuKCZouHpBryXjbF1dr2IoVZusXh0O3y5XOBYG5m53KC3I/ZpYbzjb
qgrhjDY108zd0Md6IEGbGuWmjLuM67XN+XZN6BNDXMT7cVlc8hz3n3nxTD+YaZQk75gSQnEnlba7
taQYSamCrYpczhrlAX5/r+pQWuTtR1+B31R5Y12rJK4Pf75VoijlsULBiUNjsL5V4CIOTpFZ1xyc
3IFNPIqe/2LuvHYjV68w+0LDAXO4mQumCipJrdzdN0RH5pz59LPYx/aRqLJq7AEGA8PAgY+7d5H8
4977W5/IH7MkNmMubzjlwC5QDgG7DF4KRYvB5fr08UT6EUjHfN9QyefMLZflU7ks1FjlkM47GrKG
6VOn8baEztCH+0nIpRus2ITM5jipfqOyy9CQptnAblbQAskHkcIwGGnmhpOx/kVikTV7Wjesk6a1
obsoSvalCix+B1gMWm7Fpvpi9U1Hdbo0q3u5ok/ekbKwM2kjShiwJc5SPSJvhdaqha/RVmvnoywY
+sg/V3nA5yyp05h8pKzhRtRnAs0QczQ2+4YG4duScyKuaRgiRmyceGQB50Hqa2iC9WyFJa9uSjG5
qhq5/amWhvU8LzOqHVLMEky9GdRFFkiIKSwYmHTLT1PlV6U6fEpIifxeTCG5Vq3S9DU5NGAXoZPo
qYDRiHCsGqppTg9d4VNhLYJXILRzR0MdSy/VuwyamhB5oPNmn67IO7FZ1G+ZJsnX2twcRii2aAra
4s6qSd2GNAHcAB2isN8OazZyMoJHhabdyVMT7UcZYdRjj9ymjkqWzXtrrScaSlLd9ZmsXi+W2Lll
RgtZ1inQ4jIp9ug+W29qLeQHypilbxqB8V1qaxScSjWW+7rNqiupw4aFzoLsZ2tw6sD9LY1EKzkp
s8lJhb6KvSQZxe+C7Px1HnQiprsRTmbRstoB6x3O9H5RV/2XpaO+1imVFNljKbGDoHnRgKTWYKaX
teu8AYBEVkVl4BlV2zhFuWR7vYtocFR6he6Xmm3a6ErpkAAiL1g0JTr6SinoOU7oUrDHCAtP3BbF
vWom1AozlEMNpdW1R1G6T+j81al9TdEeo/nwmgxuDs55mJ/pQ3zhjPlgROEdEJGY/viKptVZlHZZ
392rigHqXZl9kj/N97BUSqczgD9EjPjbauIgNWu5cCdQn0CbHjc7WPB30ShajhVxlyRDP+OSEdAP
P7DRd7I23QKP769KAHK3bb7A5QBu/FWJCnrqOqt0cDVRbhPUs54Kt8+D9U3bxNyEGFOlwY0+9e0d
Pe3J0yAoL1UpqnulNcsbpei/CQi0nhutiunxjyrLjhPa87GyjvdW0D6HZa1/WftN6BIOm59NrMZ0
/5st46BrIOboWM/S16LuZKHyweGr7JlddwfMSaQoUJqkCCUFaCeQAL6+8jMutCdLxmgU5iyNpo33
P+IyLMfEVKmIt+YNl5fQK0c1w7PFfKLF046hM4kpPKFi4sZGBeN7q3f3Zq/9kFPppcByCKBKdd8E
/UNKgRwZCrjC+JsciU9/bmL/z3B25BR+kIZoqMN0/+vfae3/P2TerRfSf68Gdn8V+bcmfd3gsf6B
vzLgoOwkshPofSFQGbKk/wtyZ/5Pkfu3bLEukUCx5LXt4p8ZcIM0t7z+j6i6LKx0X2XAVZLj5NFp
/ZBJtVg46f4HvR3bzKBEXl41uVvzQ1Ta4DdJEKtmVaOSCTF/WrCwbWOVnF094me6/DV0/pMs0dtQ
a5PJqzt8SJk3rDRCJeauOKjeclX4pRNfZy5WH85CmtBubowdvPij4AYX0rZrh8qrZA9vGacFemGA
F+h0p+rK2+AdTd4IFQzssoJPWDstyrVJsnP8+eqzn8uEbeoJ78Jscjl4aqp9yDuH1uwqfuGWu6Sz
oxcaBXalK9KjvPs44Obz/RWPei/DRLEUcUUrvn6nZUrrjYQ5k1NUj6Xsd/MtItOPQ2wzRf+IQfev
aUh0IEmbGEag12kCb92Rd6iPTHL6p/qIa6qn3AjPCZqlo+RQpoxs65C+XIi9yfv8iU3ZyOAapkma
aGxi0+u72rABpUXatsNOwxsh9DuLg+/hFeihC9E2ecx30dZB9GqEJs1Ujn3Pk9be4NIB6Mxe9ynz
Ba44dnqt/qTB40hfig/hgXRO+P1C+HNjVIK0sc5FjXrG5mE7Q4b4ajJ4VOlx9FQH8ycPzkPmdlc4
nEZufeh20b7Zmd6FwOdGLSlQxVB0iU+sbUYt/hxNm3UdQgBHdBa3taWXwe5syPJedW0cLkRbp9p2
Kr6OtnnMVFhA1+Y9zGdn9CYXheb3YS84jVcfar/6VV59HO/cR30dbvNRU+ji9bSGE4/xXtpzZN3p
Pkrj/cdhzk6T13E2KykuqJhVB7xEDno3shM5yr7c6U7scfjbd57oyvvl67xXLr3Oc1PkddzNsqoG
//x4SUUdfuKOXLkjAniDxJ4pP1u0BbQm5qDYPaD4u/DQl0bO+vJfzZilkDtac3no5DAc+qfA7ez4
EWsEG8stv7zwiuVzE+TVo27rDOiWEwRARKsUSPzlvqmuxfwoQb4zZJrEP5F01KWT2H+1xq9L4Orl
L7O8X5abKjxJDZKGwRbBumXkLDEV41A2uvPa6dWc9H82DPz73e7Sb10/26s3U2eWksYNvxUdDcOg
3AVU375brU1PuhPYjVM+zPsOhWN76ZusH/yD+aWv3+xVZFBa1PsqBnztLb56va5kkdNfg5bFkWxn
OLrNdfAWCZqbXFpAz45F6vyIhlea79oV+zq0WgsSiFEeujiFe+Nq2LOI3OE+4USe9OnC0Ds7r/+O
ZW2KTnk31zK5Vd1RxMLBpqGMwZGn1+1wRFpi9z8LPGGzwk3XCzk5JvUau7I1Y1hBts3oZxROCZfO
Cz/q7AswJY3l24R8ZG2OGRUCcwPZCEv4rju0d+vBhlloS8/NTrvwAtZl8t1nfhVqs2hPrdxP6bpo
R1wWsqu1qzO8tLasf8cmhiVJkirqHJ9Mtqa333OeuiSeMpxj1kHcOuNTfNfZtQvn3+5vhUNwc2kE
rVSodxHXQwaHXplaj7J5gcBf41ooKij0ilR7CDWSXYYk7afeSQsV9xZHVQHPmazq0M7mBS0Vck5Z
ytIHvwfh4mjjZDyXNJ3YndBUV3FSPYX9/E0u+ozueF11sK/mGmXomHfoVeXhH/N9zoDY4pidr8BV
Yd/VcRK5WdO1DwW1+xsT9DBct4lLFr6Cza4gpeXR1JzezhpSJleLgPVmcoQE0ZLAAjhYIkU3fTs/
9bUKuL8t5Be6X2CQVBWw5pDEQMQNsdQOw5zHHgq/nCMwq5HX0XdLmptOvUbvAp/sIvfeKlEdXUV2
agwYmrUdtg3DFCd7TU4ttwr6Yz7Elq2Q7uVSK/THKZ8T0y57RT/kQsuJrYMmwz24h/xR6TF0Z6if
LH15vxxrw6ou9aL8OQ++HjSKuBZVVV2jWIcoStpMTOCcySQKieQYt7NX+fkuCejbdmFmebRAeP0+
61zxrhovzb3tgrCNuxmssBA7GccZyTHbOHwmfZz5RjavjTBF7QczOlhJMKeXDPsgNwDNsi+1Ehwg
HcKu1usd7JgUjmqHbk3P5K+WCLZO04XwmJQB2l6tMS9MYOnc7FKo+sqYydGKaG5+cB2LOFOMi4Zl
p5v/NneGn/iItinNafayKw/ZPvYvHlPe7w6GKGqApxVTFCVpuzu0dU3rSUXQ6Qe+uD4qTNfylqPB
RYxeX1fyxH3giTvh8ubw/nHfRt5M7RKeZiyjJXOWB/E4uZqv7AE+OPMPYze7nRP7lxaTtU1ss5ig
VmANUZT14vJHpPF6O+ISLep10Kw3l+GUe9Mep2Q7sJHBuqHbXxp/6+9/Pe5l60207YZkYqEA6J3n
qz3gw6UN62pvcazF8KGxsUN3Lt1pz71Qlc65v7Zbw9qMn1IzSow9eLwOakDeeFOY/uc3A57pVYj1
Db86Sxgy4l70eYwWn8qDv55i3MlBh7BfXyG+Zh/vn9spvL5CDZctJCYyshdp80SR0gqGNNeaM/hs
n7uOs7rqN7vowq35zxK0/VRgB6EFioqM5GZzBQninEqjSBx5Z+4qn4Hh14eEQ9nFy865IUhyhcur
RXsc/Y9vX6CcyFpZhETSv0IY3cMpcX7UpY3rnns5yfHn/bx7rlfRNu+PGiRJ5JJo0u3okSjcq18g
u9niqdldyjycue+AkIO6yI0V/09OPG+fLFhyFU76BBaUs0HhJj59DdRNBmfYD5wRqPw69FBgLXIM
GufjYXJm4L8Jvf77V6OSQ1/XNeKC0Wf5TLoYMtyFuXxmHKo0UlLcWCcXY/JtAIBoVTuteLfsFByl
vXoYfcnDNPjCOHx/R0Dr9SrM5mpaa7QmTPToO7oCDlwxdz0WcpIAKGOKjx+/sne7MlOLWJzJTZNu
H3V7sKJeWmpBQKzkEO8pYK/ZqcS3nMkpD9F+Psjfi+v/ZgHmDEB/EzsOVh7b9FQqBVPUablGYmFy
SSw4+TVJdFf0Yc36ly766wV7M/gJpnBU1UTU9O+WwynopjqMNSc2E8bEi5LhSSt4UQRB4PHjt3lm
AL4JtVkWAThhNRdEmpMg9y0xosnVC3fdc3sXHEiyPbqs0vy0RSdi/SHPVHTJJErumi2V9tip/jae
RN/0MXO/MBLfrYgcntZR8Qfnyrf604D1akoJSk3qNDJEBCTWVRcZn0Kk+94itV/Fztx36GZtUQhw
s2iwvMWAuLkw494dhtbTG65spMcxfjFoJH475dCgY5EG1enPzSk+Yt9cOrmz6l5Pi8MhdpftAAN+
/BnfTYpt0M0ELIOsK7QwlZylPVaHdYCGHiLHxOOojMMKeYzKsQ4Xp8V2+PwJu54+VHZXjRXg7bNa
c67LdPoAbnoW9sEv9Uim71i8yI/6Q8pkzG8vnfrOB4TFK+p443DuextQazGBkAx64MTVfD0x9cRe
DYUvvM3tcvbXY/0dZTMratpVoz7hsYT95Gt+vs+P5Q4SyL51SXl8Dp3omFxfSk9vl+pt0M27nEt8
AZaYoNmpOyh7naW6PVxeqtfh93px2YZZ3/Cr+QHvBD16zxvsw9Sdp+s2vtLHyL3wBi89zGYSYCHa
1UXKwySHNWnzmXMry2aBRNWxbhLRRph6yH9A17xekoslknenh7+e0Vj5smvtabvkAPDTFCFm1RSP
9U27w3fAlo6cvxy6GK8/ftLzD/qvUMbmWGRMad2HBg8q74Id3rk7qEhkty8dv86PyL/DbMZ9AT20
kFuk7jjMyY9tr6Muo5PkXgKCuxfEIbqwy54fJX/H28yAkC7VSFMZJdh6Q4SzodNAD3r4+N29O3mt
30kTWaxXirBFNentWKxjhM5NxMtTdz3qX/Jb3sJllsQejaBO4gmu6UjfGm5UxqUBus6m7TR4dbff
6mV6eqgGkFvMNsGPDuad7HCB9E23EU4UuP1iJ/gfP+x2U//zrPCQ2Rwoz3CPe/usTdlpKG34gnKo
o7fbZ9OV2Q8wpwDtJT8/jnXu663s5X/G2szxaNABi0TEquUSfwWcZKGJy5dWybNRSI9CK6f8iwTq
7ROhb1GRkJKmEI/dAVGxauPC4Sy7zqPV10nX0sR35T9NNfx5ja+Cbja6SgkAwFGZdJRbcxfuyUo7
kWueypNFvTX3x/2lu+m5AwVbmy5xlODaQxH77WMiQqbTqSSiuguO7S7d5ScwOXbsXiyArJNqOybh
I6wp57XrdzsmxzIVYBnjWpOd1p102QM2c/Cwdf6PbvkXom2zWxWMQquc1ue6m9y1vNN9x0T6ULrd
02ibzscj8tz69erRtvdhHDZK2vxwbpbzhAIH6UrrcS6DHXCrjwP9mUcfvMQ/x9FX+5vU10mYpcDk
1kKr4ZOWpFjgTQ4Tz85vyUpemGvrXPoo3mZeR41OO6ypi475VTNgmmSVd+GJzr47mR4q/iMiNdys
xRN4RmWWONGSTMNNxZZOkHmu8l3sGLv1PBk6yFPV/X9z1NJRVJhw3BUFudXbca9CR5ujjObgIEeJ
Ko3P8EsfLzzauSXkdYzNbJ4B2ymhxBgcPtc33Qnolo/py276HX/CXNTBysy9tPKfDckUI4/GKZ3L
5NvHSpBbIW5kZ1tkSDy6cIjhQeZCdWGhOhsGNS/NDIYo0/f5NszcaHS+VabopPmvRX02+udwvJQo
PjswqE5R2TABdhibR8lapTdnOCd0Fxp7PI98Cet02t1uOy24cB54P8qBtsC/AvZGpebdWzPQQvRG
VcxODajATwHO3S4TbZYXxsO5MBpJZOpNMjfF7eUNFrXZBlGywCsEZv6PCYyMw3IgQIwuSW7ncrLp
/aeiAclAibsGXZNAbz9VD06Iccg1KWieivLGSl05vjTQ338qFEoKPp4mrVOkITfHxBppzWRl2swm
kt9gobXDx3HAq4sMguLNVxDKnjDn9C9tXuceTcW6gRIG9gU83NtHC1k1Ohh6vE99r1kY5171xoWR
8e5+v8J5WNkU/itKJEg2r6/tKgvrTr6ZeIQVh134Lfd7Oz+ocMZt4T/PTv8Vz5RJ1qlYqm5Tnlk2
pIoZ6TOpmNGLvqzZ8B+T03yDaEhq+tLGde4Nasbf0TYrVD6FpZGZmPBBznV6Q3o0zZ+FNV3KWlwK
s5nKJdnivENv5oB2C2+KUA6+hdC67nStLfEr1w2cVanw64NZ3Wiz0t0VhnBMAGbdNlEwXMXAavZm
KBwiWkcvjN0zc9IwdIMzHt8W3e36019tqEhc6P8tzMWZNROaa0R+uaYs+PHMX5/v7S7KrKDOxtGY
xQU9ydsgtTSmNcrfwcEB49AET0r7EC9k6OvuOFnChbX53GS0NDRqVPVWnecmWJ5Jgg5Of3SE5roX
flr996I4YcX58SOdud3g3auxjKEwYRPdvjg40PTkW/PgNJ+Tx+k030g2Js0euM3pCFspY0EraEvK
vwffLkR+f7RbI5PQRtwia39cW15/slodJFlbZPzI7cG91XyAejtlZx1xhrMvJdzOjNy1h5NjK0NE
fleaKsaIjrpWgvmEurf/tdIuE+/j5znzvQgB4IAstrr2eb4dHGYo4y3Q8CJb/Spsvhb5zpzAPV/K
of3Jq24G4Zs4a8Xx1UgfLZwUs2WAF4+S9DRVsXTsMnO4FbMi+IWCtCxxSqsCoE81NiDR1FdXRhzP
nm7N2X2EWR53oDpxJqQdRzjxDYSZSTpBUMfzVS0fDSCbdiSplg3Jvafbx6r3sxbkND3AOkhkmCQW
jrB2340IhEYT0csK/fKQBn1Wu46zrNwcygTQuKQWwtUg5O2XDnM3B9Q1CmzwlQexMPrrsYjFHZaD
pY3jVRmjSipv07SqnLJKv7VY1GB0CMymCGd5NdsA1tKr13IQDU48mdJ9r2aTx9V0ue9BX9JeosTu
KGjdiratgMKHP1JNuh47KNVKUitwV0pa28GoULuLEYEWjfypGEpk3boouHmmaJ8wi6l8eemG72Wl
/257ELOZkQ9XlC2YCJjxCcBu2ik6paMS3qiLIF41qoz/szzNCE2TfPqs6FV/VeNzjXgcjb+dL7m0
OGU3WInbjeVyx0wA6iT2GM2rErqy1noy8+zHCF5+nIcOaSTEpqRX2x0E4NkxoEuBGhPpobNWb8Cp
xwQx7BFpLXC3RDvr2vxEYoyuphxh5n0jdDKthKFYHOF6qbjSxxqCvURDuNmO9c8ERvdJhd7pQ6tJ
qIMoDaTFvHjUIc7RfJ+Eh6oWVfRvuip8RTuJlhfCJD1btLgHFh5Nc0Oyv86qQyisINp+FfY0ceHy
rZsjXrf3FTw0rKuL20IQARlbLXLuoJ8fEQtU+2WozMdOFnDmK0T4OC0QIWxyMHtorOZKQ4PkZuSQ
9rI2C04wC8F9rViNV3bU2GBeBHShaZA4CxnmMW6+QeMPlrLc1lL3W4xnBrAS1TeaEEBIM3H6KzDp
c5MsGh7qeR4fwkkGYdQblod2sbxVS3RWroLTPYmHMYCwVOS4cd+mU71XotwhX+XJ3d3gV7qG7q4W
Fzm0215KflNiuR6yECKRmv1cZkGgwwUCTyThNoomtnnJpeSmKvvS7zpNGvZJh1uvusDU/XjJObt4
Q+PROWLobEfbk2iZG3I5K6Qrl9u174zS6lV7LTjYmKkPKJvtwotvA2feaZX9ceRz6+nrwJvbnlR0
apThIQleXkD/zD6/OissftAtFzb2M5UKpMn0tnENYmtHG/V2vQumAIS5hoLqryTt3NOmC+C7d+JT
eVhzYNIXS3H/08fDYEcBrbKK9ckZbdbyubHYmgoogD0iY6cSPkvVJzrbLiWn3r/F1ceHrgjueRwo
tmd6E7wkQxC4fozUOEgMLKbxF25ePn6YM2df2D304FNwIsi7sy+2LxJAnoHlJM5NR8mmibbyknOa
1V6P6PvbUN6H6YT/e98hWUQWCCwlapZ/UJ3+bZPmujO93bne/I5tLie2aiiTMb+jo8YGFVp5aecE
/9YBNuKTTo/Vx8/9/rRGOLpudJPjmv6u36fHspY33OF+KgOxlY+GcT3AWu81jIZK//8u1mY+mCji
AiOusVxGN6ZmL2m0l4LPk/45zy7Mh/fHjPWpADKqsr5mTjcXGTEq0jkJALybifkJvOyuxglgzhd0
4sKFSf7+TL2G4jSzpgaYeJtZoGT6AuKxh4WpXy3TD3N6/vilnRv+r//+zUkGhI1RmlM1OwmOZLUe
IZAW3LjuLh1xLz3H5pWVkShjaMtzSPDH6ZE7/Kn/XU2qvzDd/jROYDxxKep6Pn832v9+e/LmMr3E
hWLARWXWYXT9ba0ph57g1D9oeBs82a12l3JG50fGvz7XtnvU6vsQOAIB5/Iq7ytnHK9yYiP//Piz
nSlcvRkX21QfTsnToCwEanpH86W95YWnzqtukBJdfKjzixcbgASV0qBvc33Nr467pK7iZZlKBmHb
CrdjGNzJanE3TUjBsRC8i0NA7HGBtFvtdeWk6Et+wIhmBpGgDF8vPPj6ybafFGgMqSwambi6bH5L
uMQDtAvyS+uNJdyvNbvRF3by/lIh7UylfC1XWBi6kragq3Mz9bA/Aoub8tRuf/wrFBYntHdjxOhE
e/w/XPlCifDMPktIk+smt2gm+/YsMalSa0ANXpwBjKkvIv7pb9Ijgnu34rZEdj++2KN4ZgGgXUU3
6T1ek5DGZmuPK70bxbjHmi2jZVw8cSS2xeTLx1/tUpDN0txxXYjVROUYrn5WjCPydpvrx8cxzqww
tMKIJhBodlJrm+2ZBqCUIXprp2n2GMBj2C08fBzhzN7JYQS7EN4VE2F7TeeynJF9wbFTSsbHjAM0
VAlUyZirB8v1WOIQcGmwn3tvCjklKFMkb7nWvp14FsZdM0aes1MgCb6u6IqhYdYVQhs/JcTxtGvk
LuYozsfPeS6qSVVQXTunUEiu//7VdC+aONX7dk3hqkdYoV4S5l7bX9it3wch82CCSFplEyqJ4rdB
ZCmC+SNNg1OPjU8D/FWKcTlMWVxlPn6aM6sXkfB/RS7P8H7XZlOknZRF2npA7+219ZGj6w0tIWt/
W7PT7y+Vb99vAbSl0uJMVye1wHeCkNAIuLjpCfrz0Yh/d2omYE+GHdFeqSUTm03MBT9+wPcDfw2I
/EKi2QU95GadSsIeCFNNkqrPh/6hLIvgKZMb1fs4yl/5mc3Kuwr1gJ2h7F2hh2+/WFmNqh7hRenA
WZsKG7iHJICWjbRvBRgVLl/f2kGirLAaQJQNhhk9xig089PQNeLydNVOi2I3htx4VW09g6UKaeEP
4NaSFnJUof48jJICyR8UkLLk1zhWCZ/yPj3hOEjWG67RYRZr4aHrwhrzGCG8jpd6eeynAdsx6gwZ
4CcqeHGxDCX5EEsGiDFNt3R+fJ0Fs3KFRr1f0iDdGUH2lKph52KJQkUEf5PVgEf8jp0BgNu4FgPy
AWN11RRW/4htbHXFhoNtryK9YOrw0ILVuYl1tbntphRCrpb04hNsZ3kl0vTfuf4Kgt+NxdJ6Wjcp
t7h05dfdHKZUKaxRvamMGXiQVFTcmwvxeohZDIckEjDcEIkq9Nlwb0zDdK1xAyqOGCbg0lRbsm9W
Fcj5vgQVhJ1TBCHJzlcDJVlYKHZEy+cUd6IDKd/S0eIqxiRFnprnHjcFKbJEvzai8rqT4sYNBJEv
hyBRN725WZEwZVV+snrVcnQjvuYUQOebWj0JafSowki4xxiteF6439iQj6/JZkVOqNSPK8TfVtrw
RxHEPxIt9GU815wsQX43wUA/LhIFmlWL8VVVC0wuWvWbFatXdRfjJ1c0ASZbuorV3UKr7iDsrECb
3WbkZpRVnBJTHfKCPve/W7V6HurhvhYBRyaFDlVg/AY6sjvOuCnZITR2JA3FYzs0kS9j9AS3scuc
sG0St5iTye0V7VrG/OTFmoDuQLQvDz12fHaddLGNMuDbPDSnPitwM9VwCE77+ElPpd+yhu/MAhgS
+xd4Q0YTf4UZRE6sxVpzGPXkEE2MdwFgpAvxTHrkGm6uVLjqwBsSd71Uv+RhItuWGD10ATQQsdIs
pxvTL4BZv3dVPmBOZSl23bV32PZGThdqBt8iaWyZHdmuurSl02Wiqmr0VHG16iXSwDGppVX44RCP
v4ekwJRdhrJBRtDovmJldIWKZ8Eljiy6bWnNo6hY9wBXUj/vlG8wlK9AUUO/wjXYeIiHyfxaqSnQ
Urk3CSUlv6Qhu9OHSsKq2NR9WQgfAeQrdjSlcbIbU30AfDd1UudmMNOzla4jgHDQAI7bkRZoV4IU
i+lRFBt9vEd7UyUebvVNeODGtNR+lNcIMETt+6KWVyi571ONagkekd/DOWyPSaBmP/DJmThqLk1D
6puE+ddK0KZ9jH2sK7YicmwJ2f6UVCUTfvqVZ2qzi5XYCuxlAcYXyYN5q0VpsW+wttwPMqnQ1Z1r
Bw9p3vXwr4pgwq1I7+zZGlALjp1+3WQ4ZdEKAOS/WYYrWHGj26vhwyLgqiMWRbbDrKA/zUrxiIsb
ediqCHyxmKiwYMtWabCUJHiubjnDl5nF/Geu1i99XqQuRHBEhylCf00RA2jXYuWS8hBtbU40QNfy
6GeNIIPJzVR7tdTYL/Kq55F6TEuF9ik1sTesYzMkj1k8jE1sHsqaxLA0cg7ByBDncBl6YjeNL32n
XKn6moakz81rgfU4RR1dBYE5f1alSnJjCww8tK+nFnqrX0kyuvZEwrsySWo3FEvI48BSDmMHTdBS
g5QnKUd/mkLoIEujHRa5sGjWrgIaedL8kx7hY6umtXjkggBoJ54kH1T5ZzHWvo9k/FpPmgx2CBDX
xxQOvS8YrIFNxxHNwDzazuUh/oxvp3wTTlg742LzwMzGK1wNTWei1wBnRTV5iIbO2ItqH3jGon9r
5e5lXAbsaUcLBt0sRadlmCJ7scpfuaLI8KHU5euSYSiZZEl0tXCGYv/tenxyW1W9TjOR7tYqbV56
zBdFDNkka59hDsXZAxI+kzvoPE0P2Ei0Iv1SYCwFfm/E7qAzIa9iEodtdZSkmhv2je6bSr1Ai45H
vxZp5O0FaG6BmCLzAX95ysu5+CWa3fxptjJs1rAX69BoOWkUvIRqD/o1A10aYF/oqeVsXslFeFvU
zexiu6SD4ptxkM2oEzRiZ3gCRoFwmFgMSpL9foUPhtOp3Z0ulakXxd06zOCoGq3SPLccrtwKg0/X
iLNTkSBasE0V8B1PljhBBm7OmDAUaGatc6S4yFk2RhWY+liYN4CvJk8YpwZ/Rllz9boV7VmC895U
VXIADsuGOC7JPTNP/pLLRqSiNrXMm6rTaqCG/RM9FQ9KlHQrVF29sypIaPz/awdjMOu6KoeG/q9h
BPs0sOu2lpx5Y51OkjtLYnuXWmPvGWNZ3iVJ8TlTFgWTLwBQCBHH+jbrhxrZgG7uSiyrTgrSrkfs
TitviLBg6DW0/IuZYTUHQMGTDaGPfUhVwu1STOW3YNIFydVEASFeIRU1NcSATdGOlEGcd6E+TT/F
pQxxPA4V6JBSo2DQl88TdB3SPdSojSkcf4dxmO8kDBhuqRr+ShS2OHAUdzgA30Z6CLK20mLYU9rz
anxvT0C4OfTBscmlHmZbq+d3lS6QHRYqRJQ21ZSxdBiEgo+r9PgzhdXo5nSk+gLX6pt2DNIDDb+R
P5ZauoPey4ZT4XAeZ1ia24NZ1jdDoeX7Dsawa4Xmz4kDpyNrweqZUHE6CSOGoGR0Pv9UwaWWMfSb
av05zPXFFeJc8wJxEPbRMF8L49CdxhkIoF2KTHunXiQxt8NExUxcUuvcQImqYV2ohhoFaKZTTX9u
KmWPeFuIQMISjebPXp+jT70Ydt5sLfn3dsIcK1gdiU3YQEchN+cjdVW9dXPkp17LodiwcaGM7ag2
2d+XMPKaTCmzfZPMSnjAqcz8NEjqcm3Uivqktv2ws6Cw4ZK3ZhJ5ZKoNGL49s76LWKcWsz0LyUtW
6KLbzjjueIYpFMeMDDCWUXOMJk2G0qcXifKt79TEmYuJftyusR66tja/SeqsPckNu6GaFlVmt0Lc
+Jo4dNcwSWEyt9NnuMzCp0rFHXlUh8+pGKhQqTrtZlCV5nvNSYM/NOY/MI5RSxt3rpt4weeBgt3D
NBo3MjYrp5oi3PfarDXNtXJteKHMouzZQ6GmxMpd2+VkS1Oz9Qcl0H5KQxx+auog+DxO0Y9wzk/5
RKkt74vcFuTS+hrDNh1TGWwbf/lVKH/BRRU53vPUh89lOeJw2X4LImhik2WFx0qQ+kMbYUdp52ZV
3yzsEG6YBfFjNWWdnVpWx0JmZNAZwdMZNG96ZhomVyac5YOoFeEepnF6Y6RWc8q1WD4I6tIeZknD
k0PP0iOmpJ9oUiiOQVb/pEKXRbupkWUPJnvSOHmiVzvsb9h+ma7wC9TmjlvidAIlIRwRLle+UZbB
F9KeuI0lZmRLeR/+NroCUF/dljf1YAAcbPT4a2dwUsqkpPB6PcJQcjT6W1a//BRSyp8pBfVc92Qz
52DMTGhGrMdq5Bi2NQnIu9Np/j1NIuY4I64/dSViN1xbw1WCem6H/07qVtH8e1zyzMHfnUucJkoa
di0xLskYzjmqtjA3RENqdo1mzQFU3FYGF25ms+gnuYlupQibyEPqrHp4r+ZHtsST3s2l14jx9Kkx
euE4cwvaCw1uffY0Lv/F1ZB+FIrtFDbIH5O0eHtloxcsNdlAFkpEu665V/oLeZ2zCSuZNBwsbMhN
+jY9rY6C2IsxNF42e58jK4UatHc4jSKGEzmV2GOLo+bFVoI1ObC9imLMY4EV+KtnYvNcUYNlNSba
Tl6HR7oNH0ozOHBK/9z31JqxIR46GUF58fTxHfhcWAwTSJTxSknUbdIxeRqxZfVUk/H4OyWcLHf0
+xxHRQj2aTHLvlStBp/sD0fBUi5VAs4GR2mCmG1t+rU2WZmsXvRWHHUOTzXexzq2KtythS8Ctpo3
ctfMp1pfWlswgPsyP398/OTn8s0yjcb/ir5mPV7lhMq86GFsJNzn/eqwykdXtfbaeVk4l7RC7zND
OA0APrK4icGH3/ZdFrWVzlz+sC3GKpqVfddkAV7rl/q13udpVkMDiosyfYTyO8GjPE1S02nkJKvm
81ydqrR0AWhCh7yQqv+TF9kOVoXfh3aBvCG60bevLqNnljw21Htu3rsaqfv3dAdh2ymPmMO6UIrp
pMbrc7QTB1CBMzz9b9LOaztuI2vbV4S1kMMp0IGZIilKsk6wFGzknHH13wP6H7u7iL8x0owP5sDL
3F2FCrv2fsN4v00MfxM0En8Fj0kkwZAk4xkgVInCJLA6azBGT9dr9Z4aBOUXJEGbR7IyjkMfZDKy
XUW96Ajrao9xQIOf7QE1V/Vz5DjTbZRXw2PRzNz5maR15S6xnNx4HNrR/pRrVfBxLpruWES5/knz
e8MNChspFGQGj4GU9JoL9udTpmjsz0HNnzujukXbUfs45VZyg6gutkq6v/jQVg37uq2xCpAMtXlo
5bT9ouQF8Oy55agPorbd51RiE/Qca+tThcjnrYS1OJ32qOyv8qZPrnVrkL5VRhffY0YWXSf6aIHN
WUQjEN7lOWBGD1OuWNc+OfbXPs/0n5e3y9pePZ1s4dzVyjBGn2NkshdNlCO6YW8qVluIqpXSJn1V
XvCUaYGpQe4+X1qantb1FC+oTQtWt3WooDiAUbGDXb9X9slhSzZrZWtSZmQVqxz3iPsJdXygnaEU
SUDYI9nS3MaEwJGMiZuH2kZNcyuQUGu0rCym8ATBIfc1y8XmxSDJ1l9StKI3Ir2vntoanHj+R7lq
4ayfT2HIBW5xr8leL8/I0caHIRx2l1fD6mD+DWEKXcg0obrHWYRkHJzj4CeKHVgUb7FJl/0r7G/G
oekaKhe0psWGYAnsOh94bUAFlg9B0n5PkFYey68Iz38ME3ljSGsX/1k44QMFVNVHdQS1LuV/FBJv
yvhHjlKzrqce4IUqeWjnkPLD65whz/9g9Z8k3K1+Z1r/HbGw+GfUpnFoZ1qd5kue3yuwpVQW/+Ug
K7fE2TjFwzu3eBsixI2OK7o2g0Kz07kvkMp3q8n5/BuxsOVYmIjIo4gtkVTP+hxjS2rS7Z02/FmX
/tU8P6W6dH05zuqShwYAy5rOCCfH+ZJnf5NDV8SpWtT2muy5U6ONZtxKqwxi9b8hhHQhp5abRAEs
Ht8OQ4wkppuGEko0T5SPQi9EL4cqlfR8eVyr++wkqHjF2Vr8RiOkLkbH34r2vVOChtY31v7qTrOA
6kLzWvq0QhgViajApG6GNXGOdEHBzea7if/URoj+f7w8pPVP9W8s4SLBMXxUdUmWYfXbD6Oj3FUz
L5vLMVanjd7+UnYEhWwLxxNt/KJIBkoniLjv1So9KtKweHkf/7cwQvIcDWWNCjVh6pz+zGAdbP4/
G/LD5TCrG/ZkNOr54u5nqmDIWMAfw1THpbu5R1vdNePyZXHJ3Yi1+nlOggmnYIahbZwlPRIC6bLW
jAR2UNgF2bdx6NSDg3q821gSrobR3B8nf6g/2MnoBUzCZNGqeFIM5CB16SBPKMtoWLJZqHJ1EXVk
uq6+5OLVku4WVW+p1aIv1dzfm6E97iiUNNfVKH1VK+oUTpfXe4CSBYVoraB1MFKWnfX+0EO7vLbm
sLrVutq5qRWt/yOeyuDZGWrcYMfPqBNRrOs/VHL05Jj+bawpt6pkPDmJP3pYNyhurwf7HOsr1zGH
wrWNvlpsWT+poVY91plqvIIerotdX1BkNcwZKKCq4D+pF2PMby4lXL719m4OpOLl8tSvpT6wgf9d
tcunOXmQDJFNn2G5gFSUdSGMH/xrpFhKFDWzgyO5W5nP+rJCRXdp/2uAy8/D6SX28nAfZC/on20U
gUr50aGUlEsbl9pqHNq5pAu8MHEvO4+DnPVcmcuGV9t2KQl4bX+XdAe9/Hx5/tbiGLzYyReMhbUi
xLFQJJ0VrWPTgw22SbVBIl5Xw5bh1NoGOQ2z/IyTr4SqvgJUGkMhrJIP6V19nR/Cg3+H1e++uDag
/m5xEVfXBS51y/Nx0fRwhIiFqac4k/bKm7BrELjdEYPSY/i8MMLCmy2Q0NrZSV8APWsD2DjQk/Px
RTbu3ZI9kQbhZxR0hdtiqTZWGziQrSjCWrfNxu9tbYmi3lX+n7F8PQc/L6+HrRDCegi6XFOjZOZd
ahyKInPr7jmYf0MuA9KOyRsYfpup8mo5n65mmuxZMy2A90c6dV74AXvDIy1R/fAZtqpX7KTrpR+y
vzy294vwjSq0cOoWDxfxAS7bU5e3s9F7oYwOov3Rj75dDvD+uYcQNa9qeG0AWZApOB9WAX64iqQG
yEfu4Nwc1w6w9KmVf8pxb3zgmRp8kOUUf0aspq1qsTK+HH9lgKDUwJyAzbCNdyrKYKtSSfYpDZXt
Fyl4DNMNztX7w2JBwf3794U9Zc6+nCdpMHh1AzhaKfPqCoQBsMYhT47SHGwh299vYvBb8KDYVADq
F8X38wnNIhlLn4UQ5bygCr2PD9Y+ul4qigkSYr9ab9JVW3YWCSUNCTYwSUKwGXZFLNPC9cDlHWLt
UdE+Y/m2sQbFJSIEEWmd0BcybBrD0Ztuxjtk3m6143Qnb8prvZs54pCVwv9WmDU44MJgsrTG6r0P
es98WmZu2V3Nrrn775QBxExYCCZKmkwhINRWhtOTaLcBvlBTr7iDCUFj+pRtgdK2RiYCFWE6jPMc
LiMzpFu11D7qeLLlg3UXpyiOlNjwWc7dGKu3eGt9zmUOL7p4G1mHeEr+PWDAoCxOJNpF/8Sk0LrM
yrLeUzo3sxpc49Ld1pUibmYxhpDy49FXNxngV48Cs7tsMnWLAyBu57cIcPAU+H4y6FbhuJIDfA7l
hYol4WTVR1dlEH50aPfNW7n46lBOAi3//uT2L8uW0l9JMhPxgLYqy9Pl75dPvtUVCLNAowMBAUWs
yMeWT5LbE0HqKy8oX6cAMEh4A4vpJU5+tVS0zBv8Ho5C2wB7LOaAUBpR5C2Xazh8LQIuKn9DkmJl
eS0UFOCrhkU1TxPmq+VrWXGDdX08HYIS4tJiLDb+4mXBKCCwoznGJYx5oyiwoSm+oePYhzfj9FUp
eRoVWzzvlfXFL4UrhMce30TU+tLzrjIGE3YQwCxTPgJYAnZvU13fmxE0dsz89ikaG8nm1nkH2WZs
qDUoCgKh9IXQdDpfcLlP6lL6QHIK4FdwLuvEG+tnnz4pTegpVHdticRa8Iec3Wv13gSyhm1rFxe7
y6tyZd2f/QzhvsyHqGC5gi8YwUAEsNKws78cQVn26Gm5j5GyRPAoA6WLmqe4Fkc9GyKlnlrPesFd
/mFRcbP2GZxED1/XfbDb1A99H5DrBKAA3xXPBLJdYWr7QkeoGk8oO30T5+NkWtQUI087gjeBurwp
t/l+N5BKYdWKWzpUVxpB5xHTHMeISpX4mPkHSQK+i+SMM298qvdrdQHqAqDlmNJsxnUeJGjnPI39
gtosuB4c2vaz+pgM6d7Qmo1IKxfYeSjhYIeCH3XRnEOiu5NeFuaCv1MehkOyCJhscjbWJo+OAILi
AHVJXISdUOllovagqb1OBleGYsXQe3F4fXkVvj99YUGjjeIAvEd1RoTc5yhpgzBLWefmaxQiL84H
2w1Y10GDgb8abLwm328rwkFWp1ZvcNiKC8KJshgsAIU3Hlk6cpcQkp1qI9Vdm7eTGIZQDKsRGDYa
LSKVL/B2zjG8CnHWMzZV85cy1Pn+ZSwEYtnJMj4zwvfJGnq5ju90PIwRTLcOi4RTs1uglKiZBTtz
f/lLrZwXxONqWWoXNgrAQv0imfvUAhpGzbd2J3L4w5IbohXxOC1yKeoORZGtkKtDPAm5/PuT279W
QNVVHQlbfO3jdv0zPiCT68mH8ViCCv6d44KHJfpw6D1CnhFXxyRrExdPqXhAq13bntHltacJCan2
cHkuV44MhRwboyqw8LB+hXMpzrmnW8fpvWlUlNdUa5LbzgwC8tIBkFs0jdPG83Lt5DiJCJXhfCad
Rp1kYNWoUCNkgkLvLkQKDqWqeV8cwoq+8eUBrlyjCAX9M0Jk38/jUd/C8G6J1+6GvbJL9pbsVq/2
h2rnHNM9Cu0VS3QrwV+mTdgRZ0GF5RJUIdAii2Nq6Zku0q/GcSFobBWIVg4RbhOQDEhEAOMQk18L
6xYVjjtaCDSbeYlbxUaxZvVrgVqANUa1ECUkYWs70GsjsyKCfpzeHq+t5epIUlOBBS0BnPPy11ob
EDcYdCQs0sAZCOHAo2SGRdNvqT5f20r1ZEZbp8fKOb84Uf0TQshnlNZJ6L6Og9camCznZXYPSHCv
B+NT1uiHIRq637gr4dAoICgh1pOjLtnIydlRjOZUTvA3WPGwNpHu86/z23SxFDtIO33jzF+dQbgK
S7UBCxPxEZFnvjxXkCKwfn7Q9RA73Y2jcO3E4KjH847Li6tSGE3T6KPtGxz2UnyAsH+sM3Dhf6p+
tBFn+dTiFkI7GZ41tgPUdIVkBrK1lNYVr6ES1Bcewi1qENOHPHu+vOK0Zf+LcSyKCxo1BpzpxcuE
0wgLNoMuRg+WL9O/WFZ6o3TjEYUXT+7CD4pKzlbgXXIHJGxs7pp5F6mhJ33vlL94XHmav9TR0YDU
9o71MFvxywj5XpUfZlQoE/2uUe4y5TXmnlL1jPbaRttmbZosmX+gd64UfBZXzKwFBOnFUenF5lOb
vkzVb3yKkxhivSf0dbnHUJnkdeLZk0Xfnc4+TEX9ePlTrA1luc6hqS6uDyIbNhnzKUzaDD0Zcv++
voGk4RXzj8tBVpav+sZmg6cHR9QRroOy1cYoLH1UdYze2UthLR/8WMMdt66AMWuIfFyOtzIoVcER
QUH7hBKguF10NLsyvyPj79CqatvquS1RvUmdX08nz8Isx8LJGeOXDq40WYeYTZq42C+XW+fK2k1A
8q0BUcDGz9LEcvekJHMGh2JCGqQjH34ejm+6p6W3tCO2BZvfgTIWTazTeMvEnowIkgPd9Zl4f5va
KW51LD93f0R4QyFHjcn71dhtrPOVqwEYAQ9Qel8rNE6OmyZKcIf2tBFKwsc4/zqGPO3HhwS9nl9f
FiehNCELSqBj+Uml4UIIThdUsCG5lVLsMGo8XA70JoIhnG+ng3o7/07mEcR/XdcqdRiJt41s1A/z
oO6CqDzq4Hm7tthT+XRbfM+Npt0Y5EoWROiFF8t1RA4mfMIonAN96gg92v3OjH/6w+dyOo6Qy9rb
Kn8sgH5uDHbl9juLKFzuau0kjqQ1y0vEPy4EnZdlkQ6H2q3d+R6xo21N5dWQtOdw5AFZhSj8+TpN
wM8XU5114ITqzM119ZMcp983xrVySeHtSkVfB6pGf064dCUHZuOIfBZUuC74I0UN+ypr5vDTXA5w
8kYyN6+eCxtaQjdft3BZPw+KPnwy2nILmvWGgn63nhz6T9zKKxJBVQTGP4+BRY+dy2FQ77DlBqln
7ozM7V10sepd+gCJdbcNpl3L5Xmn/BtbPZ/raGj5wnJFTfE6+itL3fo6uaowLKl20qf6r2EX/ZEc
tnCJxvJHxQGjpwOolosJsIXwRKrLqLakGEoyzJdaogRmlLsisDCkNMo7arQ3aaQObtHqxoeg89Wn
ojGMj6qqYxJoh/0DNMbE83l1f1JGkPs5YAK9g18Rtu2z3wChHXM7QRc7KHJcvzLUvGIpOYCNfh7q
FqKBFY235mRUD1XdvNaarrq6Vsn7Qk2e58hRvVixSonK4KgEHjQGmRBSjat2imZuEFQoY5Vq+SOX
rRx5M4D7lRTRORzgrxxbxxpepGHIvg1ZNjxVoa68hMNcf4pGqsL6VFt3lhlVN1VbR1tlxbVHPEkd
muA8Lpz3TXt9nK2ggW+MV9C0d7DOkrz5oTtgMoYyaOcGny9vobWzHUVQSpWQ1WilC2cRWhT00kPS
fh6ge0d6HM2Pef9NxtDR6TfwYmsnAlrWFPA1tDYo3p6vUkeZA79WGVnp3EA7NfI/Lw/lrd71bkWe
BBCKb2Wm9YGaNIgvv9pKcNSCDnrtR8NKn3x7X1RUDKAu6+AhJgiUMwToUH5M6SD4/V+S8cN0kr3J
HOCeKNWvSnift3/G0Y2iNcdZ/nL5p65lW6dTIeydzB8QnCs1ep8avBvE9KLjnN602pYm8NpN828c
TSwq0JRuqfZSpddRR//7vb2YxG4BZ1YXrbkk2rwTOP1k4dPqVjnOPMVbBFucR/+Ix+9V/BjdG0cw
SN+3ge7LhxQ/NJAW8DMc+u8LuvSbtDatkGa0S57b2SFTXmxu0+KHXv2Rb2mOLDvgUjBhVWUWQKHM
Z4fUlu5B5/OY0dtp2vJYeMe+WBI7C08cbEzoa8BROt8eupnCeFFK0BntXWEMrpnR3QQCVj/a9UtW
3yfh60hF2S+2koO1gxxgy2LLDuKbX38e2MmWuu8U8TS+N7CNxW0kek1v4R87N5hLHqSNlHxt7duY
r3FJwnF5l/2MC48gSvh4k+lcDXVyn3YkeS2JQjTtLm+zlROHdgaz+rdojNik0iar15CzgBbcGV9m
1dBvSQGG68tBVl8AJxehKLdmd2omORL6qvrsf0WH8efQtLE7huE3UEpfkibe+3V8pbfW9wSLSncg
KYnScKtxuZoEMKV0bVhF/COcKa0VZH6R8jMWU6riwaQjN15hrhIhDJ9eTTv7VrrWfm6Mfe1jLjIh
Ku84RKVFblgWTblkz3TB4jvtY35nAnzgXvRC2JRMOmwN8D68v1/lXy/nQOn5N+67TRm3vl5BYizq
B9n+lML4uzyy9YE5yAFjBodJvJBZlr42hlputZ5UPPrBD8XYpdIxDzairK8dE6YFYiu2+q7Kooxz
q/hqC2zp2j4uJg/2HX4g2EbKbrDbPKbX0mWMt/6JtpwEJ2+eDAnNPFuiyTBJFneV/Da7XiSnfgdw
s/SFF8lFY8Eci4AblGfDxam296zpIRuuCqQ4Auvp8jdaPTJPgogFGNkK1VIvCLLUzJUdkjEZ6FDn
2B6xYdtIlNaugdNYwvFswFfuMW1pPYQ0xuBDFtruEG+turWLlBOLfWQj9MPDRljX1VgP4BIQ320P
DlLN6SG5D44GF+kiRtZdbW2jlVWOyj1ekTjLLbgy4cyo6iQKDXMRfeuMfQMH3i++RhEU4nBroa8s
PW0pXpNiLkUEkcU0gL6yarWCNXoc75xbOAlYKg675sN2T3nt1DdNOhoUYWFYvNmtn6xy3yh7o6s5
G1DnaesRjvAWdm1t2kw8imDaOZRg390ruj1Mtlp0Xjiqx8QEtAYsOTClQw5d+NfXOAxGmL2LNjmJ
unAQBU1UI93BaKzxZQr/REmI93p81JBwU+b8roSW706ptVNaxAsqc/xwOf4bZ1BIf87iL7N9MpuF
MWVo+YQUf2IUXkJHG49K2mCVGkU3Yyulrj6Ww+iOvmbelo2UPjiFRcdFinVXUvrsR+r7H9UqsJ77
smjvSIKQHBua/NiFsvIxCmvbQwzPRjtUB6g0BAnPD9SDpY5KekoH5rofknBndJLjlU34ZzVr0n5Q
lS9zEraPVdEHh7bAZbI3lq0vyfF3Be2GG1469V5tZZxQ9IFXQKn7hzyXGrdCsvnQtGP3lyEFBvwU
rbjFtk67nWzleHnmlJXkexFWg+xjOzgTi18u8hE00EfGsVhTKm70dXyJf2Jff7TxmoU14H/Br+Xe
x3fwaduMb2UTmAtpEJKtjeGsiGJD6A9+2FwDy7IOicSNjFTjxvhWtvRZCOGsQi2ytFqkeFDKll30
R3b0EX6O0/wq+UxqZR0m1qeBqk1jV9eoZP96WfwsvHB2BXofKeixD55RGtexrN7Gdr5T027jM66c
+6dhdKGO1cPy75OJME6DSkk8aq+J1N7H8bgxnLXCLkgfSqzQ+AFuiU3LvkDAEYEYdBkSzR0dVAYW
XODPybkHKgEtLXn2qYqYHbI+YdSbRwPneNjqr4ty0caXXc4UYc+f/RRhzyd6HemoCC+IfvTsMYNy
9srz0t5cbLRTr/9jI97qYiUiHsmUKalEnJ8xcymlcfN36trvyg/aYbHxQCJ5ZxfuUjILDluu1mtf
leP0Te4aJwuxBNtNOdUin5K2AcwPDVfHBpexcXSuJXfLdfdPkOUaOTk6Ace3Rin5LelJv6PB6XaV
K+111zrm+yzfFExYSx7oDGKep9FWJeuyzuPFZdMEmcYd2x+Cq75+dD6HO4kqr37IDjrkaNRMNz7c
kjCKC+U0onAEDHOl5rGVLYhn+a/xesYiufc0RNAAcW+jB1auXTTC8XgHpw4k411ObqqjVpp8NEXZ
tdgbDE9IM+2UaLz+nWGdBBLWP5omCShkVHedl6W7Xxzl64W6oO4wH9xtaRSsbvzTYQmrf4i1uhkk
ijSV4S66C4WHcN+36Y/hgGcqrydrt3mpr322k/GJCzMsfFTMB7oswRepfqiy30jMz76UsBJLcx4p
pFIzmc3qYZii27ANqJkWOzKVJ4C+7jyqnkkBeFITT9bKjfjrCwXlEMrSJgVH4WpIMs0u06mj0ph1
u6TPbuwBgbzOPELx2Dor104SKrVAhUjXKV8vt+TJJlfnIu6cgRrD8gaREEdx8L8dPX+Hxy8WVeUT
uNDE/mWuGokSqDyTjW7CduGQOQ/byYmjZ4tccxB9tnhcdZb2lOeQ9IqtzbByzZ8lgMLylMpyyIBk
8SS9Ca6sqyVz147DnX77XzQyVs4TYi0CFvQUcJERPlyl+FoY1jU+h7cmUgcNNVj3rbP5psV8HXy/
vNFXvh0PBPiwS+ENmJAwiVnS2H1VLY/8Di1KY6dZ4F6TLUbUyu1G0x58K0Ik1ImcZdAnKyQsiq6y
TcDYMR3Fxv8rrzcumrVhnAYQngiKPA9WLQPC0yt1dufA2Xd+/WiM1V+Xp2trIMKxmE9BMPsRj1Ol
1+81M7134N5dDrGyc8/mSlhsep/rXZsAdEIri/YvbsDhiMJc8NK/Xg60NRbhCJSCwS9nleR86L4b
5q6uNmD+K38fXDMsHdkANAum+vyjGykyQpYE5thpu6vCsq99rd9dHsJafkG2ZILDB9UEWlaIUdgg
0IEzD97EsgWGz46hgITCn3n1tzTIVs9v+YPCdX8WUNgvpdGZQxIAOJaayp3972b4g+e3m3d3lbal
DrL8LSEWpxs8XLhueOSKZ7gf6Kk14O0CQGTXhddpgR/OeEyhXhbSa70lK7BWPV3QDUBKHaDOHKjn
36uN4qTVNNY2lOpwbxyiG8dTH9WPf9fHps+0yHdb0/n2gcQxwkujdQsPePEGOw86JjmKoqZJys8T
8oOU2N2XspSCeDePsTbsUkepm92sFf61EVv50Wrs4s5ULQMXJNVZtES7soIDUQ3ztT9GyrwPEGb2
mloLby2nMMlflBIApO9PJu28zLfdwumTV7yj/8iUMv1DLtRo18i92nj5pCMl4sgpCkmVE+1Haf4R
F/b30TS660DNpS+Bg2WlMeeG20qSfOwVCb8F1a/2wOvHYyYrhWfbGP2oTdS6w2CrXtb6w5XtSO3t
NPPfZmmh3xT4YXkDOs2IN7Ty96KV8UeRYW7IZaBcjfZM9y3WrlqEFbFR4ZpzO9X5jh1c5JqjhpW9
3NSvRllMsjsXbXfnNIr5Pbf8b01soS/a0sGIwrbfqq6vnEv0LalxG5hQLWJo518qMeh7xROQjcH4
otW1a0iDm47XjvXp1/f0wqYhw11wnlwY54FSQ62QRSKjVo/OD0y+bhL8ry0UkD0Z+8QtXOnqsE6i
CafgqIyyXfRE84GJ1xXt8aMsLX3tb5eHtfzqdwv9JI6wuzK5zBrEgnluybM3Ol5CS1b9nQe0DRuS
0imo0nf2lgOG6Nogcc+G7Y1ceov9SPJkflA7t6p3VUgyhnz34bem8G+oMZVZWwSWqlmbOP1bLp2E
R8fqtKOizZ/QkC68OCvrrTN/JRsz4VXT+QRxQf1LmMlJwycZPgalx6oPbo3U/hamio3m4Vh7gSKB
7+lS+Q706L3Uz/lVOBmPINj9jR6etpxM4gc9/RnCTdCVySBlGeUlp8YeekYV9XvZWYfMKXeqtK97
E2npn00WHPTowejLXduruzF5oksbyg0Kdv6HykcMvNgVrafa4wffeDTrG79TAOlF6EfKrlpQzRle
0UJ39RllqOFKSW/GqPHS7tFMe3fKE6jYe9+Jr6dm4/Jeu1nPZlk4mJNJbysLLwgPguFjOUq37eQ8
WjEAm1xxzSpDnf3PnN+i11+HARFvJfn46xvmZH5FvZaCXnowVtTWFP/Y48GWp9+NaGMt6e+/IeAd
2s2KBt4ThMz5UTPNlhYVM6AwnN/K+VMUbmTXK2vk7O8LaWlmDnlvKPz9BXzwt+mkftgu9691gc7i
LOM8ya/npPdnp+JsznUw1yid6HtsENPpsVJvu2xv+Ldm+NxXWyWklQTlLKxwUo+Z7TsWECfE4cO7
qpFctTIfRq15suz42GGxa0fVryf6ZyGF4zqPp8HwKboi3XoXpccmOaj+8fLCW59NSyaNWLqrUG7P
Z7OJssHpRp7uyEB/LFFcSQGvFR/zm2DTvHfl9lmqnf+EEg6RIo+DwPYpQ8hj7kalvzcn/2PuTzus
ZH59P52FEja0EcdmX/eMKsQVIcl3GVdqPf2qkBiP8tMoYq0YyXUfR8KJJZEhHIPgawMobTxE+o9G
zjZGtLa7KOzbC1abzpCYOwZoHoazzdW9UGmSmwhLV5PdZVxfXg9rhwQVPvinS5HhXeITRkqHbiOe
jaWFeYHdtahld+PucpC17Ns6jSIsbNU28DdBYvj/FZzzF+Uu/rkcGfU+Lh+kY3ZIj/MWrHlraMJK
h/+UI9mu0yfES04rbgb7dWNYS29AuCXPhiUs8HIqU6tQY2j+bx2ggDr6cFi+0m8Qns4CCctbRb85
1st+pttuHX3DPJhbwOy1K/E0hIhyQdi8nPoesaK8AaWZlVdy/62Sb5XuNYuCo5rnRyPx9P4F6X1j
66G08aXezqyTE37SJ50Dnh5or+yQlXWR5t2oO6wkqGejE+7CLo8LH/ZBi/h5jksrkl/o3fMw62ND
36LOL3/rwqp4K+OfjMbHSVRqxqWghqqVtquOebkHntqg55nvpWun29jCq2PDeXbJjBcKibA4pCjW
0whTA3x8ymONcnnWqQ9amm4kTW/qk+/GRTUCxUGe0u+eLro6zKyLALmp9OD8SH/mf0ifk5vwkHiQ
h+ExGt74Kn+UOHj36pdphw3Prru6vOPW7mR8wchmqLVBzBOKsZPlN10wc1qlMxfktRI8K+VNqae3
CNi7PDg3Vs3qZXkaT1g2QddJ2YQQLbXR6Mpw0L1KvKpwJRiUk3HcUg1ZPtT7Cf53dEJCVWdBn1h1
DnznZlGc7a+GA3zD49Ykvm3ld3F4SYELBs3+DvskDxZWboXG6j/EqDf51xFv0PJB31SyWd3XEOYX
9JOFELSwMqlhYx8s0fK0ksa5KrNQ/tAGWbKBO15LM6CA/SeKiBJSar2NtIr1L09eZj6gZ3OtliAW
bHV/efWtn5EnkYTlp4KyjChf4rTeevZx0TQK7oM79VE+LDJom923lbfgAhRH1YiyMhUD4QLDcxtf
m5TvtNgkFs/ZvqdpimPMc7qpgba69E5CCTeZnskj5hDclanyudUy12hfhmTeW8PXahyPi7pGIT9f
ns2tkMLiGIoxUDON7qnj/FCVEteETDKOqZVPn9S6+qKCS7nhhdm4TaxuqfmuLUwaEChS0NeBQLwc
qSdHtJw5LUxzbGbtKQZDMua3wHA2IIzisYyNIWWef2XlhJwny9rQgZYCS5K6SGl1bjhjp+3/uDyL
W1GENTJkTZta4aL5lr60VQ1h9E/ccjbOwa0gwuqgw6FbbUSQUYVw43uhXXq4slweiXi2i/MlrAfS
z6pBVVP2hrzw5BS++sdQ3vXS1xrvg8UA6HK4jTGJIhEhfht5krVMnBbfaKODd1rNvlY3KiniKhdG
ZQhHRhhE6Wg5cEjbofLi/k+/wTtKUq58CwHp6IdSmTvNifeXxyaeiGJQ4doqcVPIQZqz9KoHNdB3
7fA6QFMqpeh/nEThxpoDCxKQxOgaOXcTDNaaqqT4s4UuXBbx6YUljmfZzqfbdUzsPshYf7IUvZgS
5js28Pk7IGZe42y9+7cWxvLvT4KlyMwaQUqwwY7Rwa5xB+3dGD/Cy99oK4xwPBhFPluRnyoQmN0R
tAgH4WT9dTnG1joQDoc+6CSlevs8U+ZWfgWUivaK9qhJx98IBE7Spk9FuekNKncyZzGndmAuEl5T
8OSAu0umz5pauZGysbBXJ+3fOO+8oDEMI0NazojqR6Zqnj9+Ntrf0STnxv3PYERmfGgHspTDTfGS
ZPB8rKSi6U/T2V2esa2RiFu0aIq8mgkyj8au1S23IcuUWn1jla3unJOxCBs0zINCG2QWcxGM+8LH
JRLcZqHvfP8xNSbvfxuTsE39tpmqOmRM+vBtajJoWJ/mxt4Y0drELbotNrAPimWaMHH11MxOS/3c
k5vUy0LaSU7pFn2zEWbt3D4NI0xc6c/GmPboFKXTIZqOU6Nh8HlrN3eD8Xkc26MzfPz1yQMViAAA
WeR7cR/DGvW8sjhKDTC3WuDclEXodm218Tpdmz5U3RxY+QjH09Y6P93MUKryPIxlL+tf4+YWK8Jk
K01eC4FAEebDBrTdd5wRqbWQyp4kKgmRcYQ444WWeTeo6cZqe5eNL7cCD4tFABk5HU1Urgzgc0ZR
02OsHMr7zAx29dDQo4SAWrKPMnV6aFTlA3CTa6tKv0qZee90m/CgZbkJVxOGDeg8G6DfEQgQ5pP+
i6InbDEvvOv2iyCY9Wzcd6icZqAaq6vLa2QlRToLJqx9x2ykvI3RYVTidGek7d4Ed5BW3FSJ19Uf
1ajeXw647FhxdEA28Quh48aTX0j85t6asdDEYTdXIcciQLopJ7wSAT2KBV5FQ4/22rKYTm4ONY9a
J7dVuoaKiRLYSzY7Gzv5HWySP3sWQrhprVTWY/y1KJ7R2zniE3ccb6EmX5mP6TND2mROrxwdEEkW
uQgAXO8170xsI4s0w/to6YtoV0tN8L/qi6wsvdM4YgaLvV+p1ClOVn+zY1IeF55DJUY9tMcgdKWf
l9fCyrYmHA1yKi8yskjC4vOdUlEKmXAmvlzV4KO0c0DmY+trrY7KohnvYE7znjHl1L2tyhg2esaL
fVR26SF8HJ+Ka9qIt9vYzNXVdxJMGFMZ6a3MBYwZmPpRjwooi1sijytb1oA4989whHukTibEW6Ua
U1L5Kxa6yMFjhQnAoxm+jPrL1G50kFYHZGMgbqCk+p6WFWDxi1UdHymNviXqHc60v7EI4K4CpuPE
fSc5D7sjzLsGCzG9e+3qZp+r0i2KdBtP59UtC8wFN3QbgKctoqsSdaIN1lTL0tZvtF20xw7zej6y
9g4JIndbeNm1qwSIFUkFpQAQSWKlJej12cIjFaX+Hap6XnOMnswdFYkj7MY/t6rd66PDV54vjy7m
O+hTFrVx1FiMrvH36XXRuNZVupP2NIOD+4mLYxvE8P8Jib8UAoI0e8QBVuWMAWNA27TeTTDpwP9c
OQ/B/d8nUyO7xdZNtbaNLSjh/wko3ByxA1LHquj9ZTl6ULMUyj8DHycx5FTl+iZQ+/xTQ8263ENQ
q38M3WAHtIJU5Tsl3uBq8mfzGFQyxq5VMfUHu0mdAa7PPD3HUV9oWGb6NELQxBg8SMjmbdxY5kcl
cr5SpwhfUHmYnxpVrjwt04yj7qNubg6pg5zlbO9VqYrug3goIVg59X2g1qmrGNNw4Hr/hsP698kC
DICx+74IcFK3J3WfmFK/13saioo1JzvfHILbEqOQJ54JmuLqqdm98IhTbwwrKKmQ9KWbFLZz4PXQ
fQjnAS35VIrUm9gew5+USrtnzAXtg5bNEnbW1K7VZCyei8AsX8sqkHahFkwHBQPzmzCbwitJS/R7
q5P9O7nq1F2ejbiaN7XyKUJp46qSuvIpxD19P/f4n+sgXHu3KofX2KwwEM/axamnMYtEP3bNMNw1
Yd67MmwvfSMjWzl8LHbtoqyNtIUsqgRMeuiEWkF71LfyTwjHHCMLD9RfPoC4FhZlPowaYFIK52nW
xTmmWB2IpjHdASnbRYWDwXu1cc6tnwhLiRDhlaVVLjydkcafRimj8hQXLr4X1xnyx9FRVVyeUTv5
dou6u3a5LnNm2diToAgspEGZNTVxGRNulB4XVz3zOJT7yzO38nXePst/QghpUN3F2NIWNPgGhzPV
/hFbw9PlCO+YDkumdToKYdKcVGrSVolmGgtdcVv/VNxFM7reS1AcMvBZ8T73tmZu5YWLyQBKectT
AyE7IebkFPP/kXZlW5biSPKLOId9eWW5e+xLRuYLJ7diEwIkQEhfP0ZOd88NghN01dRLPUTVFZJc
Lpe7uVkb5Iju3OCWQ+lGQ4dYH9wzpIigY71hfR8K2fMMr0dbuDXBPAPddrhfjbsMtMlBOEd4ddSH
fR6ZPxucK/SQ0GiThWxrlovkqDVZmd62Eiv7Zv7lPsgkj7qo3oPvGAqiJzQbAlRRhhh6bz5ubOqa
afoGFOhn2KJnL0/cVGDZ8dSCPuGTe8ojsB/Gf5q33iCG+b/dW09blY+1oOl6yNmUrx4Fviot9MtY
GJI4lyJtv1Um3xGXXIauiEkH2SKhb1xYW7NcHMDJ9fogbXXALSbrqXK0myb/5ufFBq/ofMYW7ymY
z/+t5eIMupkdoGkVGEkOVBlYLcIUZGTc+maOPzd2be3+vR5pcSx4K9TEMyyhfdMHoX1qd/UNOTvQ
UtshptlvNjmtjgfCdATtUKMDyf77LaNQtB7AFgx/yWL+ncM6q7355N45f2X/Ba34qnueaeL/Pdz8
OVcW4qUatJzyfwFK0tPMw92JUOzoo3kIYmjDbyznfK182DhoVQGyiyQNEg7vx7MIdLoNLGmU0bJ6
8ZumeTICQb93U6DtoR6kHYVhTaDqtMfYrNyvaab6E1ZJJBQcVkmJq2Trbb7iEhB/zwye0BL+WMW1
OAjBYLJTBAy105FdKRPR3bnqB++2xCZWzuO7oRbnsVZN2qGTBoejyIbbKrWhMN5M7BW1cXqRPgUR
L6QVf5aDyzdCCvPjrTU3+oMcE9I88zQXG43rWabYbBGRZvoORXCeNMVtl/Mm9lLU1MyxZMeustqw
VuWvKR2qN9PIjdu+El+Fh9aisXFQr7fdNiRC88KMZSAB02xzn43erzTXwcRsawboyQb2bez8+9Yd
/S3Y2MpOwXn+x3iWD/VKuUaBewOJqgnaKhp7sHPjNA3tFxPJMT6wdMNaV7br3XiLswgGIkZEiVet
HkQk3+l1FqaUzO3zkZJ7k2wEFlvTW2wRMHGBjxUFPpNO0wmxcT1Pqg+1rqsTTYDKHAGaE/z9RCaY
W2bcGlSbkJ1aTLIDRiRwRkCiCDfCFhwCI/qph2AjpFl12FejLOYmK2ca8I7DUjogwQUdDUpoWoPG
bH8ztJh/6oOLuRpqGdkSZD08PEQRPMkkO3d7LerrsDqy2/KUght2w0hWLzxwbCF1ik5iUFy/92gt
bTvIPPeQX2dgfy6i3hzRebNV1F1dv6tRFteq7LjTUxOTsoZwqF6rrI2VOvTM33/uoLdms7hYLWKA
dsrH9e0T+76UfWxRfjIbtRElfPRGCP+upjMfhatrJ5isaRoaTKfuf1D+aG8xDq+lDq9/fz7ZV78/
NNBjzAQ2Jfde8vauyF9K/zRliWwi7tqRVsjd5+u26irQnoS4HczDEM56P2CZFWar9RiQZN+nEZQj
9M5AQrn1b8cJGuGb6d4PpBlzAA0WOVC3oIMdIfviIgVHQGGUAiuYlof6FhXj8kietRB0+LsgQkUK
ZJZwWyFv0EX/36hfr75RQOoC0RwUj/CMXByzbBZykALy5POrTvtS7tJ4hH/cVcc5uyQPJtqXtroe
11YZTbzoAwMaf6ZCf7/KhdBpo49AzplDlQRpEcrqMPhOHED3kpHI2lK3/YDw+rPKVwMu3ZbNxNjO
muKu/+aUQayMW87fWh2smBSkh7dBZh0n0LZ+bkwf4HJ/hoVsz9xfB9GS5Vus0VpkbwcMC0w0XkeA
PpY/wIwaEvixf6JjPmtvgIMKpR9wWy4sqWCulBqq6OiUAe9zd9drYChhW8K6a0uJJD4ILUG9Bj7Z
pb2YeYvqQosQpzzOvBXp0dhr+zJE2/5xY/VWLoB3Iy08MiSwBrclGAncsjsEBlEZ42V50ncUcg1b
paQVxwwcJTjHIQQEPOdy9SrwaPoiBZ1tX7RJxtyLNGH5U5eyGOoKG3f1SoRwPdiyUicg5aXsqsVW
obu8vKtwgbJ6P9ivFXE3AsYVD42hIIqFswZlj6XshUL/RA+kyIyUvlXVgzcdNnZp9g+La/rdAIuj
1RrIPxGnmRdOBwYQUJFdH5ReXDsyDz3ni2M33Y5rubXDS8/8FuR+7DqmjAejcQ6OnWobH7Ry8830
yw4a3FF9/EAEJDpzsBjeJlFWpTeGTNEMJy8+Gp8/n/fKus7ZKUgs4l8uMsjvXRgb6dQ3PMNFbv7F
88O42YFprFgkGBbQuTY3YCLztnCS9WBXUk9HFH7uiu9zJdW9Z8MOT4uLe2mOTSwOrgrF2f4H0Tlk
5/6kNlDZQln8/cwmbuR9wG1gR9Ht3gT7TPGYuvdyeHXVVtPz2hztP3Rs6B3HO3LhswaOwnxe4s3G
qkuPenR6r6ZDNmxc6mt7hYsN+RpAwtE9sohS+sDuW0mglRrUZpKD7BhkuFtkvGt+0Zu1cyA9b6NW
t1QtyOoStSZlAopjMvHKVWqQKJeZhZda4NTWHthO8zUQVvGDGS7f+9IwH51KNzZQ6atzvfqM+e9X
EZPpQSfcoAqsNPn3FgGDuVFQW6uczHppaOAGnBNwk8WWVQM4dxqbTP9qXVEHoz4a3W6IZTyT8Q/B
uRQbZ23NSmZROGTQQRIIXP/7OWWZbXPuIcfturFEB9DQ7SpQaOdVtWEoa74D2jbgggEKFrNcDBSk
fQb2dBAM2EbHQzxS9zltv3TaFn50dUJ4aaDzGcN9IPZB7GlCrBr5gwagxFhVDNxxAq/Smoh47OwN
k1idFdAYENOA+MwHdhjmORmDrBkIg9Mbvdw7+o3aCrBWLjTcmSBjgqua5YjnS+LK6tqhboqBoiWx
7n6kLgdHUQfljlddf+TV321dQVD1bqylhYOerx0gxh7hUtPyu9qKTfP4uXNfNfLr+Sy8u+FwZdbN
vGQ7a4hmmgnrtvvpPQwXE8lC9Ptv5Qtny1rcovB+YCUHMyU0l5flFVZrmRxslAeJOyaa1uyttH7p
K6uMZN49ZQ2/E5L9CJytcdcsEfJKiOdg9CiTLyxeBrmhDHuOsdC712o37jTuuLoFHcHGGV4zwquB
lvIIDVgTK0EhSCwbJw2HVnC0PXvpfTnxYitG3RprcYN1mlOTPkdt1fRBLVfb7d7J0x+Cj8nnZvIH
XrnctetJLWKfoDOzlDpYveJ1uhvySD7i1RjPBHIaerVjiZafiL6SW5W4OxAT/+1e/PkoeMijzcLI
qGL/6Vq/OnamciU1mYtCuX4PrXPgS8cIjJEpuDOnLVHJtYvlupi5OBKFKAbLKtBRKoyvefpiuM4/
sZCraulsqleTyfuCAgmAiAp9Foze9PSgpn8AMkbKGhA0BMK+84F4T2aGxycDGtxpAN3WKLPvJ7kR
268YH9gM5zYVQEK8D3EA+MonnTJwxjiGBBdra+4QCZcAtT9+bnyr4yBTYXsIl1GUXQQ1pGyKwG9d
FJc75qN24qjQrURiSX3DytcGghwT8Hy4l8AduDhNBqhGWyIQUJt5EdvQGMj1LGq3dn/FEaF9Tbfh
iVAwxyXyfvddygdCGpBZDGxnSyAk1N3YndkW1mRlMrjZIcCGTm8gdj7UlSeNtI2fYXd6/3epufve
apHn84yHz3dn5bS8G2dhzF1Vu730YAUGuMpA1E/Fxq6sVXwC0EcaUK7Fpnxg/xiGifug6MQ7h5f0
oSJ1ui9retO2Sj+meuYdywY6dsCLVuec1qcM5DtxBpXsQ8OH2gw/n+7ahfnuaxaXctUTkk0W5LRY
PMWzth25S7/2hymaxRWpC06/jQFXNxIJuplLCJxmywIUolMInnTYSF67VR6ptOm/Wj372Qo3veez
jEk/9uxUmwOBgODU/szt9jdpiB/Rij3KSdx5E+3Oo0r9v8udA68MfR5glvF0Q0FuyTPR0cFX/egD
2lOOKsYzt8bt2vcR7UwW+imSTp+vxZqtXY+3CL4MIcrMbAEzKYaX0auTytM2Rlg5nGi6m8n+8A/c
57wZV665L4k95OCziUyRHdN+CC0UoBwTcLetyHhtW0HwB4VVtKHBTS+cjTcUdVPnsGoKnpUuiPAY
BZ/1RopgdTrQTZlJZdAjvEzLge9Jml0OJgtl/3YJnpw01Mc9tmxj2VaCOjR0QiARMT7IBMyFT2sr
Q5MZRRwyUxbwfbVHTjUxD1vN8KuuIADrKpAyNm63ZaaAs0oZ0H2beVAtoBHKnXOLfm4bvPo0kQe2
5apXxkMN0gTPM+QQ4YJ88705dI1DU+iRGJHdRjPTSb6zblkSPMj4nwhrzccJoyE5PUuy4Wn9fjRS
BBS9tIC1gxx7ACWNLLYQ0WtGZ8AUUGxCPgcv+Pcj9DqYOVoGX1IYp3o6cFA4j2yLUGDNGAzfhz+A
UwC3+cIYmjHo+gxyTtE09iQkDVTUBSBV5xw9T2GhU2uvtbSOPGHwx4lOW4WnreHnlPzVEa6YpTVt
44CPSJ61XD0aioQ+gdbpbVpA62F668dxw/xX7ASa9ZDnMJB/hJdeYtmlbzEVGIAkkou/1xOAEqZ9
EZHXGf1tlJvy4GtTvB5ucecSMWnUB8NlRP1DLb7p5An0lEkOHiG0zieW/a11nz73vH82bfEAeDfD
xaaCtL1RPQNZNk+meHryT/8m0EUH+ZMFSerIegV+9U573hh4PmKfDbzYTo2nlaWZSGmNO/uvdjcd
fo4neouW78N/wVI6n7APg+F0wJkh3vygu96UCvlbCdMdCquNR4u2B+GZpQzTDpUIqKOqJ/SkIljv
6Dgce0uTPw190N6CkvU/e3vKVJi6TO031mDNjUMJ7z+ftdjvWbwX2d5ZJzQxdt4B6nMa2LZQZPFR
k5igH+aIRD/TF2vLAa5duBD6A/wLaGy8mRceiYohUGCExBUIPcPOjTRvqx97NZ4CYn2ux7loM1m6
JAuCiVbuwZa74H5ULLR4Gzr6X8J4ZPyt026znCedX4DTZwi9PA2BMP0npxfPJBvyVpAT+iDEwKAq
Z3UO/C4QU/GsklTtp0fQMyazSFK+sZlrLvg6hlnc+1qtFR3N0V/oF8zOQi3PLxNjWRmOveFszezj
/iFuRNIeT2fUXP0lVEJXcupEgwxSH//hKY90P/Fuu7g7qpsRXZqxf7tFj7pSCnw/5nygr/xvQ5kx
eDnwZ3OAbEaIxU/Z3tubcbXbYnP7eC7eD7UwTxPyfYU0kF00dJeEVHb2ZQBLb2wapbWnNoegy+cn
cWs9579fza3uLdSwZxBo3j2w4ZVtKU59NA5MCE/QP90PMwXU+993uqm1h1k/tEcEMH7t+aUcv34+
BWN2mO99HNKxQM7MOqU+uizmy+VqDoKqcmQlzjSzomZWlASyM9a1UPsy05P34ZjUz/zZeiVJ+W2T
gGTe/A+DIw7FKx7ZYDyk3g8+VkMqJrD+oL1DJvSr8aV6sWN9ZyWTG2WbJJhryzkrauPtCAk7dxlj
2/2U+l2P5Rzt8c4i2lEf9C7My62S6qrNXw+0sHm8Spoa5KazBs54cSMSp4A9h8Vxvv8rI/p8B1c3
8GpWC6s38JoDQN2XUTqACzNHNsTLoO5W9xfXV3Ft9djXdksFdWspF5ZflOgjGTleErYXdVYW97oZ
D1v9o2vH63oZF+ZflK7fVb0mo9KTYW8dO/vX50u3ggGB8aMFFu870GwCk/He/pwcNS23qIAvzhKA
Mv6U2qmK8YJN7HpmEY1FuMUjuhIdvh90YR2ZIUrQ+wAcwco7Op64YYBlNpbZryI92YUI+/KLZYeV
aSSBtVXEWj1wKN0iNnXA8rYUsW5txDOF4mBNvHhv3q7Z15EdGhKss2UCHbIN01xzyOhh9mcYiO3i
Nfh+eXVi+Z0qUK6gY3XX1yCur5EXcNGzUppvG1u5pGBDlR+VK6hEIitszVSD78dqssCmqUKaVuYg
0TV3mXbfILLH0yNMtTssd6hNt2O72xh2bUHnRiocwLkRfSmrOhVa1fRzOVzifQEMcITOmz506S8s
8zELIBPfOodMWS9+gUo5z21g7NSWD187KJ5rwo/jbY+02MIFiDYVtuVCjMAJRaLiKjHLfe9BocMP
ZzVZJOAzssG1tD6kjyQUCvWgGlssN2BVA9MYNJ4qIAbRBuizLb+2ajxY0n+PsIj026ooA9Wgh8Qb
pxMVwReGIhBX4EbmMtnYxXmBlvcQ4qL/jLW4hwSVhVkjrIbDdt60cNhrt4AMizgNdajS8C9bLetr
7vP/xgP31ntjrdkwKMvFeMHM8ZmLh8opd1U3Pn8+r9VhwHKOhAVk39C3/X6YtG9kp08zmI7EHmkj
mpK4rP52BIuDBxwd0vEAYEHR+P0grfALyKbiDi/0rzXETMw8dLwtv7VqbleDLC1cH4oqsMYp8u58
mVhN2B87QP0hsfPAi5CqxD5s05auxkbXU5u/6io2qpuhINYcnqAaivxSdirTOIiyxO7xL9TIz/nJ
fiR755l0YbZl/6tRhAdFMbyCULhBTeX96O7UdNLI8rkXtT1Oz8VJgoqchGg5gjgT3+oKm018cQQQ
ZqKe5qLZGhqVC19dUh9CmwEc2QRNoX83q+ubTHArJmkYcNUoyhuzot5iGPAGtn0xocCceVC71ouj
zLSHwGq3roOVqOjdOLN3udq6VqF7kgwYBxz4KjIlmjypQV7A1n3slYcmosB49QntduBhyi+5Weg7
rcqLg010CkSX44bVkNkHnvveo8L37vNMTnnIzGqrhDBv43Lhsb1IyaAWDSe+8D3VVEpFJkSlSiur
y0y7GEtt+F0Y2pOqbT/JBRm3bq354H8y5h9Mz9XqdH2QOxLMZ3+wLHMXsAtZwyNyZAe2B9v1515o
5U0PDD5iACTDUBYAfOb9Xgx1nmo5Oo+Rs8kOM9KW9GH7FxBkUR3TLgQgfAuAunJ3zL0iQFhB5hhI
k4Xjm0juyxrcf1HV5I8DAaw4gLJZ+6uvthrU1+zZsgMXfQe4/xGEvJ+bDdHGwC8wt9KKAhAnk6Oz
qxETA7Q/Rtw/eqcm1u7/fjUP3hyIIGRIYDTQAXs/atlyCaD7bN2g2bJa8Coae7/ayhesrCL6ijwc
0hk/9gEQV4gWD1yWz0CuG/Rlx56eOApdx03yuYGsuB4QQ85w6ABBFLqG38/GsCUyqZWHoPQ4u/X+
gJbn5L/gD1+bD3ZqZosxoMm2tEO/l9akmR5Eh9CDpUz5gDTmkZdZGEwZCUvwjuQ1/tDVh6Z0QpIi
H8KHW9F2kRQQyfa800DU3z2KtoWnB/ZxxlNCEMtZbOWcHh8dKGlEvFX5W9OkRqQANrpYjLpHoFK6
EBi+szchy8A6a4yKvhVJ2Q3Nw+eb8Cf5c+0T5g/xUK6Z4dqIIpdgMwJn6Iy8xIck9Xd2HPZNwi7e
blaxFDsjSsN+X0UgV2V/Wlu3JSo+tNQuPmAJDkbiVORNASSyE5pQoLIuCFbiYm/s+bFHvmiWZNuq
pi4tYh7SByP+jGYFHn+ZEdBqh+eEYs6Bi4cJ6Gx71u6rxrj04BT7fH1Xp4dbD8W3mdsJzQ/vrXwM
BCmGQBuQCBMJMi3txUQRSdyoYqclPDZ3JWQVNjloPkQRmOIsGTWD06AI/QEuYdLe70twKWBbrR35
Ot/sdRA66KloUYvYOMkfXP1ytEXQHox6Z4OLCdwzDwgl/NMfNYAbCITbb+4ORbO4+ZsYvz8DIjOG
16wJxo4lfMLitprg4HnUls6+ofRgV+RUkPLw+e6tGAoeB6jnWDgiJpL77zdPDCmuGoVVzEw7dOq3
hr0p76yNG8N8iDj/TOdqnPk7ri5mO3OlyAx0T0Jujp2I1pc3A0KSsLSbJi4JKWJobYMjMON/wTVA
M2lUkJV1+vvOCpqwVY4HmJIzHjw3z16dyqE7UnTo/pgme8NfLAOsP1+KtgsEqLiGEDG+/9KxGDNq
Z7OqB1SubweCWkdjTeiG0Fl7dvCRiVZlYKtlmv32+V4s3wJ/RgbUHTkFoHDRsPR+5EANHvLz9UwS
3ibcJCezT4//vyHmyV9tQ+0aFaMV7lV3jJ3Rjgqx1Zr5IfW0nMXCHZTESblluAxPznTv9QlHxIlS
TvOSx21i7phxZ0MH/PNprR5PG6+1AB3TDkgSFpvWaSCX8zuLRekNi/19sCuf+tC5sU5OxG6ge7Xl
84xgxUwACvmP11vCH4dmMLkM3A7Xm7hvPF7dNj0lZ1XMjbudZ8Z5UFtPmmeSg25UQxnphTSPTckA
GVFVWkQ5U2AUHRWJC+4eFRvkTcva7nVGAIaFhgSu1TTk61BReFBmIMWqQQ5cAORy5mxEo8BYMyyr
wYywcVR1owJc+qiPdD16YXuovAwBEidTzotDzyv9CxfDPZ2y4Us3FBAjzOz+q+vKb+Vk0oiNWnmG
bhS9z4WDTmOqwaHhnY/GMW7cah3A4TK3rJNZteOZMfOtGC0JhS2aW6Fb6OQlGIwsVLLxbmkhv0uF
j3DBQfxLuIMZTrrsD1iINilVC5rRyQEbgGVoehOOXjsiFe+r+mVyUfWqUkuE6CUzBzQgmvi/hD8E
oc9rf0dKsw09q7Rjc0RIVQ5oAtcz4wwdn0dgrR+LjD7l5vDYDqCELdrHHDxyx44V2bNeUvsHgZKm
EyNPnsYGeGwSD3ixt8AS3k6YRpYwfM+eVV4V+hqxLj1pim9DNqfcamn6J2Gq/I7jvmmSDAv95qBF
/Nzb9XBHeOckLpTBd8jHZifFfDNsbQcModw/17WdR4zRQ5qVz5PS670yLB5pFql47NTBt2FMzZuS
NyNoLoj1I01dtfOhp7rjHEFq7OvUTjy8Mw4CMje33UC6b+BQB1+Uk5kvqTl8Y578ObjuZTLtFHpl
ZjvGeZtWHcTJjBQqVYoBPVSjtTfVzGfT4/R7lgdTaDvTz9aFzi3L6J2E7T3BNEA3aeNRdpbCqJKJ
Dc2LRK947NYzpVdZG9ktFM/Vd68X2t42ZHFyOHWeiyonMYrm5hCjD6Kd40kG+khIpzeX0czkjTV1
+a2u1wyBjsr8M1yfGxK98s9AQ+NZIeht46YMOs2GBp1kRvk9qIPouUR2ca8z00zUNAb7PjdAjWFz
/fdkW1+dFHCLLuPPziTASpBKYzdB6b0NmWMRO7aU9VaztiahsGsa26W6mI3fPedpA/sj3pCkIMBJ
rFZkX/oZCtnRwj0xyG+hcSst6Y0+an6CTiizCKGj5I4hsfMqaVtuo4XULtlvv9GsCw+gtxcwL4X1
FdlO9gbBLMyeRIQaeRl2JfSfvWmsz4bOGLT/yuBu7Ju+PGRB394oRqykL1VtwfDr5oeh3PY7cSuc
YNzJjxNvyA1ILhkeKinN0TQH33oWvPIfGjWUD36DLv9GL0kke1yleKv637tWT++lXbT3GVTdQeWf
pRqq+HafZISh9bRA00rYU2GcBRmKxOOKRkZOshted/ycVXRKDFn9aA1oZxceWN0G4pu3JKNBTKAU
TaFFMAO5QNFoPtFRWc8A+FYH0EzXD02WgaeBB+Ob04p0zwQvf4DJ9Ekgyglhef0JlFP4OA+0ep5D
6SPxjHoK+9Tn90PvWEcvc8t7LprqWHDDTvLJEW9KuGMZKtukMQP3AXbSnQ7+NFwAfX/IePCrsnug
2AyFarYv0UAMRnkS9qq+2NB72U9o0jn7hW6GjiOlDKGVOj3m3BsTLyVgWkBcdwd3VCSWaLI9ku/Y
YyeF9hfc2DkvBueSuR7VQqTDX5Cp65LAz6fbQATyUAQD2MidKadazEbWkqiw8keXVAMoygGodWtP
v/FdCcUKgAcfG9BPQmO+nU5EsO4wo7GiFJw/8EZAPQDT3rR4ZCuFOpc/9WYZUtCERaxlCD/qHI9h
jRrRGOQPqSeznRhG48GtrWInGt8/Oq3Pd5oB+nWpu93DQNx23xVtfQnGCZeJo8/6ZVV+VqIVcZP5
OKRa0eycMS9fJm0Ywsllbti5wCRUPdQF/JJMsZOa3AtLbXrm6NuMNT9toRAx/IZAhXejFXoFzXqv
SPReI8fRJmKXocngYqNu8Fw2dRWOpkSb8wSuyNB1ute+BO0rCBQuVOjPWIwqLDLr3mHj70rK5i/0
3nk7JnGAPNWmTxri0VOKwhZoMRqxQ2bLv4PMdHqeXFUfxrL6CSdlH5zWGnaFZtCXzPP8W5Ck5buy
7IIRyNgx+B0MbXkWrOdoVWyaM1GG+2LwzIvBNOYgv6+hfJ9S1BAMLZ9uJJGOFbY+Nb4SyGdHuau+
C97v6wyYjAqFz9B3ijQRgSVPgkNbjXpWvxdi1J9pV/5K+zSLNa/tT6zDLaWG4VfdD+Sg1Uqeqiow
GTLikzjjik5jr7AkbqeuYWGlqDp0vjWzIVjuua6ogGawYU/oorYq/6D7md8iPHbbH1OtNecuA8Nx
yrQ3t9QeO7uaQhjl915LL8FU/6gHwzoIhCLx6ObFnXA5QiDTVUCk1daJFiTT9ljvFNe18PnPBtp/
TexSW7YIO+mb3xcnreXKfTBHozNDvRFDvRuBfuMQSNAEtASMlN+Nje0cepjjF4NbcJkT6CxZkYLl
e2R+8d3XkMnG9cQfg6rmYdYbw02ht1916gUXwFOso0QD5lHXbLuK4BlwZFk21r+6STzTOvNfZEpH
YIw5zR+RHv9JmSaOJVIsOGRVa16yaTBPTV7mCBakpUfeML41Zu494iqD1JwqaUKNogAqg/n6K4TQ
cYH1VdqEWFx3Z4/NY+6b6Uk0RnYweMFD6trirqSgtpNo7Veos+G0pi3a1+HzwnymLy+Y+dTaXXNS
k8dwvJEwfcpMQUORIjJKZS52de0YBajBW3kkSloPaGo10VfRdN/duurxxgJ72M1EZfqrqfJsb2Rg
2FINBXW5l01pZHINTG80HfrQ843hvtOlE5aS8ifPJvdguWuOtqW1BQ5Od2/gxgxlPk4JV459q3ea
kSZZxeWF5S4UXMZa0x6adqQnLSBJCknVGIEAiPiDwmEXkMZUce4XQ6KzwfhKR1E+Vzr9paVNccj5
HAfpfemcPDoYz0jXnwth92cr9ZCnr3QwEIkKXk/nt7ps/diuc3UOiISA1+Rj8/Bzf6VKRzZUDNJ/
LBjKM6LNVBxkQYnIEjBqtMbZE7mtJVyM3/IfNkvB6ScNdfRlRhz4wJwH4Qgmkq8DFJXDairyncbZ
I7M5uesmrFw1AmYac5uD1aHMOG6ogiDACAeHWg267qgdBalthnYnuidGS+u+aszgXrd7+wVUkcaT
7Un/SaECA6wENtO0GvoEANqd1AHGCzNe9T14BUSZH6uyY4euQOLMtAc1O6LuPvDUT+GWw0/EPxWK
21bewXkG4hWnsLzTiFO86oZmn6pa1CG2RxxUV3hRWpnfRo0GB5ehfgz8UHdpslH+DkwC+mEKtTKZ
QE+S2BAxNdVJ2s4Yw+XLgwQhZOQ4Q5mH+G+dW1+YeDBPPUJHZPXEMxFi+Gor7eBJXBdVC4cX5l2a
7WFaeaIPtRbz0lZI0rSOFYvC1c9mqfFzozmzcENh+IlCHB7beW3+Bk/jVEeIN6ewYT3gRi0aOahr
TKdcQPI3RpCicHx0cvRcr3mo/E7bj+6sI4Bsq7xlHr/v+FDeZYFX7yAfnsY+KfvYaZCLCpmr1bse
/vSY167Vx5rdytDlpgwtrrqbbDI9ABH98Q0pgflSzPgTzc1vJYDkOGwmg0CnlPhYPYDCtlfIo0Fq
LSocaAoi5nvWyCTeLFPVYc+6DHfq+OjAD5x1RGzHrgBZlciEgcWxHOOuqofiqAeCPftOZiS0AFk9
bNF9A6i4+JWBCXg3TbW4r2tPhVPQ05sxLfCCg9XFIxIIERL1/kX0dh7XxDMPTopHGW067aXIdL7r
TG7sgn7EBa+BVDjr5SGHdHA4lO3OrkfzmKV2EyufBqHFfOMeKLYcf537fkojdx9YO1OWOMxAB0jd
xOB2yr9XXPNBNzEAO4KrRDSJcswaXAo1UnB6gZ0KxwmcoIGGovkAxghQc901CCniTtk3Vet2O4dB
Xdad9MGPKeYaNsiW4y2aW/xGDRoysyXqq/hZ1e0LUF7e2JUgZlTxKr81aUdiq2P07Lqdtmscfs6V
/NFoXvDc61kOXRPm7gPpYt065YHnU7mn2hleXLfs9i5ptQiyJG0U5AjztNJUYW52Fti2upI8eczn
Cu6h63LE9qkDIWsL+dG8rWLRpHbiYPcOpe+zLm6IyvclB/9T1ckefPyV8TCKasDZCcSplrq68ftO
axNUBOWxzBGHaoFDj7k1kaShLtvLvrvQurF2De5QLFlBnqzRgbJdVpYnYLfaQ91S/zJZJSIVmz9U
hciPvPWGg/TN5lfjwT58PFwOynVHshNeoDdRO/rd11QG4mGiwr6bcP8negVh6dTqi4hXjhc3oizD
oMrr13J+5g7aFMRiEKdUsYdauG+AdUtIxEIxLqRFMN3VLkV+uOXaDlq57ok4QTGGU9tMeJmK9NjW
qfusO3Z31rJRxJWG4nvX6bhmgZ9KWGPXiWnnLQLn9MbUhg6341CGTopSoa+079BCK7Hz7rOZAcmV
1xYPi157Jdx0EtTyzTfD5C2AuMLLnZvgf0g7jyW5laRLPxHMoMUWQMrSLLIoNjBKaK3x9POBPfPf
LCQs8d+eRXPRbV2eEfDw8HA/fo7V8SCWrGTgea8pFUmhGmcfIzXqdlWQ/wGT5fEWKbtTr8XRrqxr
xD+KWHEjRlFsRqQ1R6kSIM55ASCfKWpXq0a4eAoI/DS1Cnj5D71btC1F5CF8k2ouUp5p8ikrIv/o
92Xq+G0wHrpazX5KdWD1s1/EH9No+GVRDzwnDQCZydMNtzY8CgeEzOG70I7D57Au1UdFqjI3Drzs
QR+F32nSGT/7LKLK0QzJwxiOn7VSH90i0f17s9fuBV191OXgzKtXOPB59Lu+rxELFpIzA6n6ro0r
0Ra5x9C/6/5IMeBCFd097Y7rI5LtsiOVfKlIKg4d4i6Bk6T1nSwHD2Y17AhWkdOY08cpk+LHpKwG
t5qk+yqsks8Ms/ijE7S5fg85Ljwc4/RizLAb3Ro8IEZ5aKi7MpM+jqb1SxNrq0Ez2fd2RZ8hehoH
/UNQFNVOGnTzkNSJnAIq1iHtrVueEbGf3ptBGzodlfxTItNDVIswPSS9YlASLKe9x1PeUcXpMROL
jwMMQ2R2mbazEll70ipowUYi8UsUxc9GVSamTdsbXbK4kt66WvqUKMZXOebtm4YyExADqgWM7UWE
a8N45W6QH1Sl0MiT4ZjREutuiGT1vtC0D3XTKfuiBUYowwVqZ2YlukjJx05lZE8IhfLskg1Ckx6/
iPxElybidDD7TDi24vB7zE3PliPvI7Ur4SWCJOUD0KjsWOaJcbJKKT0XkWX8GhFK2Mf9wO+J0h9F
oWhv8hh/7zROm1/XlRsYI15dtgYvpLJkPMoSdxWuQUyWP3gdJSU03a1n3dS+RIlu/i4V41nsLHIp
ZR+Y02uixcFDNHlMcE5iUccfvEGCbSlsIGKHd8bTONVF4huv4LRTW6qnqDzphhl7r8weQ4oTxzBX
q82r1Fe54U5+kdynBOJP/VR5JyMw0QOKEpRHzNTSHvVm0j4kHRd9BBPmQxG2b7lH2nbo5dav9mbZ
FwAADcuxsuGxqoPUUZLit1zGBfxM3GlC8ifp0y8WKZCtVUBTR00beKSqoWtZ+RcCu2a3nv9VnqCA
5pn3oe1CmUpIkv7waRw4hjXEdlHJA9dwDmtQwXtOSOtnn6mm52DoxOHQDV70W2tjbbQHw4gfvDQt
ntRqMh29DEail/UDIYHCLkP1d1iPME1PVfMwJFVldxOQBAZVhR0NYe8hpGDv1PX0TYuhM5xTuf1U
4r261774QvlxsoQ3Fe0Pmxnxp4yXkhOoobLHR+Hb0qxnIRd/T5EeOV2sHHMV+Bx1NohDAibjDbn7
Fqj6x4A6ptsIU+BOFuzLqQ7cGm5I/aCX4ifNVy1b8ozHvBvH13pIvofyxEDwxPRE4nuWq7V9qNph
ZTGIHOd9fvByq9yp4jjwZhTpxgaKadeeMuwF4tRjYOl38UQdRTTy41QoPFHqQLln7kK1GzSaHGvM
z7QzUURvROvcINkUIIImKT/jqGPGNVAonWaIqJ9GnvR3VpB8zsMxIu56SfwzD83RFZoseJU6ZToP
Oo9GRvR628h94YtZDMkH0Yq/9FKR3nngp5wsVQLJqcc2RA8os/qd3wXaDkoN07FqJFTyPmAu3hIb
RXXEYvQrssvEvy+1ynjkDT22rkeceGTjgQaIXTOjBGTrcZqy6tXsRfWNs239rNRJPMpDDdl5LqRz
B6IYKIEDX7Zq2+taWdnxsPGUM2+Y0hGsKTtMQeH/MSIr+xyWqXSYLJj2CihL/i2hwdy4EGfBGP4D
Ocnf0aCL3kgkN7rQTl3tUDMdwGrLR938l6PkswnJnEWPAXPSsV90eNopkcbWKitnaFFWJLmmBrsz
hdS93Q6Zux2LjjdDfEzWgUmh+b5sJA1ZoBUEdq7tqQqeetPsCdxKf24qQvJtU1eg33lJM9EPEjE6
8KclPNWUilaDHap2xjMv0+aUQDfX2DL57Awz3ntbnZclLnVpb9HBKi0/9WF2b5z4LXz0j/F5Bvoa
mu3ZESRi242e1a38Z3mLblYNzWpFEZ0M80BR3qkfMvpKOw2l6njPg/b2Zq41Yy/2UlmgJ6Xcsnqq
HLXTw/ef3kso6BUkXCji2LcNrXUaLw0tYESaoI96SjfAIfN/KMbw1c94lPx7GyqzqyaSN7AmLPEf
QuRT5wxkHCM6xehyVZGxYWHNzS8tzKu8OLAUYyTdKKmr9M2ndoqP0KHstaF8vb2OtY8CZT3wNFqz
6hUff8IzW6hnyFWtl9+0Lj3KWvh9kqJzUmj726bWPsulqcWCkH1L6L9ZtZPmmZtBd25tcUysHlco
wHiVQmylARh6v2d6zv84TDRKKX5/l3fJXnCUB+mldWfsJc/U2wta2zsdmCesbQA1mGZ+b032oXSz
OuiXFPqLleyTkpCaC65ufLxtaLUBrMNiRTBSIL9Zgnz6ZJSrUgBt1PFMrM/quT8EezAD/k5LD/Mg
s7zZdF5zP3gKYJeFiUwiRLxfnFkEJs1JRkXpYAR24Wl3MDa9xP6WkN5qRx0hY8MCLytiahEWKqHO
h96fSawO/Vue0932z439uXmLvQPEHY4APG9jO+c/ubxB/iLXZhwC8KHFRaUihaUV7UyemPiJY/nt
SzlShZMM4YOY1uTM1bERQyfUkb9Qe2UDg7/SW2cylWEmxA4YxlyOv8OoHAeyB16zyiXDkePeeygD
2jym0XmuoAVfgc93dlpQpLi97jV/xbLJFCgwgitceTIwTRZGXUMARhET2FRU/9RM2n5bA6dbhuT3
vtP3vtaHKTU1Xv9M5yjTcxuLrU17lbxLCdKNvOM6sEBeAawEvKMEPHkpIN2Hve+XCsPFGkn50Qxq
4W4Mg8+3N+/6qzFI/JeqFKy8pFqLS6WQGs9TqY07Weu/1ooGmXn32HrJXg3JXhuVFvOWVsoKCAyC
T2b859XBKLDEi5p5zdRNQaaIgLlTnUgnz9qjdiifx6O2AZ2ZI+P7IwGHMMEF4K3CYOvfn3Jx26hS
qXVyyzvamBoAAzVuCRyh8WgW+LXpiIFMe2vQ4nTXy+Fc1C26b7c3eG21737CwmvSNkuyRISke9Zd
M+4Cd8YtjnvQHEdzA/8rz9HrarkWXxQAMFnxMqAKuhFHkRdQnYnUP2NTvYoRJ7AkPoHimLqvUpBZ
r2kVDlR8U/CUWa5966woutN903yW0fe516RK/liYov+nlmv1lHu9QTt5DEX4c5r60DR6b+wozaWd
K4yt9qmLRv3n7S27+miAgoDFoiCgKQAil5HE7zW4/koFmSTlt9YUNvQMPMdsZTwozf2UHCIKFbct
Xp1sLMKrwrZxk/PP4oIVp6jSai+rwGJ8nBSX9qSkI/W9Ibp87QqzGS5Vk4gEdG851dCkYdcpOmZk
UFaK6528o3WQmelJnK0ceI71S0+gBEFbTiObu7patTKDO9SHM1vh/TmYP8YpchRqmHL1InMp3d6+
qyACp+HsdSRasIRA6vQ+MCrqmGXSvH1Rtm/qc9P/lhnPBVzk068VtuBwKx9rzkzVmYsEsPvSWhNl
bZx2Mdas7335STBeqagCo7q9pqsNnNcEiTM2CBtX0hphbYIDSbCiQnefZrqLaPFdUZVnnk2PVrSF
Or8G5Koi3gGtpshjSb9yeng/Ci1XLOw9DD+9g9seICW26SM1O9FFq4S60sYY08o+6pwwhJdEjcFu
ZZEKSb2p5WYHGK4pT72/n7pfsnzfCL9v7+N1IsQb89LMIj8OZnEpJQasqj/oh/yxtiO38xzxBLbd
Uffi0cqcrZHnq5tzYXLhj5T+QsQ7TYTTrbnf9U31u7fbq5r/wrvjtbAw7+3FvaIEIlsH8xUYHyDT
H9F78LLj/5+JRTbX0hNJfBUTTfApmCyn0u70TbXalZ2CzJUarGHyToIP5/06sjyoJMvHB7TGauy0
MniPj9ZWMNqysrgCNaNOG24rgpH30A+PrXa4vVXXQOX5xrhYxsKVC4HnhadgoPjZ7EVncOmb75gV
eEZgRXiTYHioP8p38GU8/OvhHnVheuHeVRV5hR+RQE2N8T2MzZ98NCcTDaem9ruxzBWve7fMhV+r
1jT2sYFfiy/tLjtFv2Yydv00vExnisFofB2ih62ztBIl3tlceHrbqK2ediCDRX34NERzDzP56uuB
nfpbii3X79zFXi5cvqybxPR89rLbh7odHv8zt1SUDpgqHkxbbrlpb77XLk4x8x3URzuwnT0uM08q
R9zJqpufkl38tJWKbm3kIscQ4rqL1QkfjfLC7uoHuviaETnF1nTqhpMsnw3G4IEcMrHj9Z6LqOLR
qop9PGyR52+ZWUQOI8jUinygpBcKEiN7CL3EVvWNg70ROKxF4BgHJny1FiNNdQySlyr89zGW6QmG
vHhmmeTMC4fzBGbi9VyaY2xmJ9G+peCfCG+3j+3qh9d5m856BjBwLRbRtcwHjJGKEVN+8oznMYht
z9J+jJ1729DaVUvl+B9LizCoJhlTjyJntX/Rv1X3AOr38tfgs/g0fplvWuV5a95lJfF7Z3AR/CJ6
Y/mUg5FrmgBtDXRZRssbbAaIyTR59uzDlqKyHAQbK13fUljkIe4mEVwyhGtRxpCRxkLT1Fb9N+uF
dr/ZbHy3VQ9Hf0aea/5wlC6co2hDPe5aYDYZzZzcdweg/1Kwxdm96uJII8+/Fze0FmEBvPRYDiZW
wA1HJwHEhd0aU7a/7Rpra/n7vpmHQtETWJxWPzbAIs8vjyRnzlWSbJOJuq1K+HU9j/h9aWXh6UY/
9arh5xWq8wIsbMpRf1Yeoap8qk8ppPT/RQL7ztzC3SV9UGYFPK4G1FAF4S72aDB4+7b79f+3eQsv
LxiJnLQUO6b8IoQfU/8u1DaKZ2tecLlz8/e7uInEsuh6GcATKKSvWvhibXE3rf99JGFUiLYgw1z8
/aAJrC5SopJpzkb5mivBJ00cuw+39+lKK2POhSCf/x8r87G9WEWfN3rizatghobv3z5YH+TTz/pn
eo/Iqh29BA+bJeTZpRaJOA80uITheWZe9aphwX/dVzLPphrKHPVNOc6C1T3ucJhVXYevGyu8KrGy
Qia5JSb8Zlbpv2OrFys0g6ngAdfXFHPmccLu2O4Zq/hfsD2sHViI7SB5peJ/TfcM364KdoxX09h+
6AuRtjIwkHSrIDGfkKvdu7CyOLByr8rpKJBQBifxHOvwbcXneVRcV3fzOLywOeK69syl8I5IMnsn
ykw3vHeRcqpFP0/NEqVa82VyeQ0+xQ/ao/KgvUgOxImfjZP28fZHW93KC5OL4+slzPA0ISaL+jim
HwqK0/9W2mR2fGZ25yItQZwayPtV6dbUD3LPfdRE96r8GFcbedD8/19+J1gIYTmkVEdFeHEVoerQ
ymqmkTue5k+kn5iBhsJ2a5B/zYwx8wzqs+IMp+n9MsjnckEIo3kKcGYaFHbhSThsM+WufZCZLBtG
hL+60svVgNvXe5ndEjT9OWtftWH8SPXNvv3ZV28jeunM1lM9h+lh8VEGbar6Sdbm0OAd5NiGfZt/
HIAjzG9LxT5ztvrcawsjvM7rIqeEKe/9/imVb9ZCChgqAS9XWRSZhW9q/+X2ulaN6ChUKDOdMXQL
743wlBbMYkbgUdXx3KkYVEcRy6Pib3VqV9NJxL9xa2OGPiznM/1JFKR+nCqGpXbhm3mQeVI3d/Kp
2MXJfkYKCO7WDv5tiy09/e+qCK867rHYwiiJEqnXJZ6b5/CYvszVcums79PXLbrmtW28NLQIfUKs
DhpYycoZ9cdJPlfjQa23PHDt1r20sQh2YtuD4AEE5jR7uoAafCOzInDH2LatqruZf49C2EYP4Mom
BVgCKyRg8xlGkv69e8SgkBkJ6kQnCMofyLbxOKuCrZbbdRhfWFm8nBmuKyJj0mCpOxg/9ZeZVzt8
CJFJJF78nK+O/4IdAdo2U2P+DWTCzDay8PuiD0JTrHJQjjNReHLUvT+RIdr9Fh3NygZe2vmrNnJx
xRtBL/mhRY1cz6NTlAHbNeqX20d4y8TCyYFRdnXcZpAv9Dosq4X0p/K3mKav/Pv9di1fnYrmt5Ou
1WCV8/iP2k9Q2yi6lwBoU1E7vb2e61MLnQ6UMzR/ibQ68fa90yUy8sEeI1CO543nSYSOlxmf6T4e
mRX5MLVPJeGqATt72+zVK3BhdXGE46QcOi1nwi4c8x9B0GS2GRU6UED9UATD6baxlf18t8TFWS5S
1WsnZjAdQfqVC79E5UM8fbht4roetVjQ7DcXrhcJjaGpMx4Ydoy/fIjWrkjt7jzCQToe081gO2/Q
u2A72+O2F2nZICW5bBcOmmTwymUDK/c/fJPTEVw19yOTWIctbuE58CyNKXNWMefrEEYvAlMQDAxW
jSCjTaBLokRTRZB/BSr0rh1KycHP/2IvL80tIpRpTcbAjCIDMOUpOcm7eGe6ZvXU/5yFK8djL244
48qZ/ht42VF6U+KylCQHzaQM1SSyPOUUq/LJqrYAHms7OMf2/2disSRaYUEVAz5lVECCY8Ds6oOQ
N/GutcI0sseJMbYxrjcqB9dpFE4CSJAEgBrFzL+0cMqwjwa1xGoQ2voLc067bJ8eil2vOLPSQLAz
d7c/3fpO/mNwcQpSJlJzpUevIZWFOzCtdjRsddvWIsflmubDfnHQhDBkgDAQ2UmrdaNuZLQiAclb
Jj24+mEjDVC3FrR4FnfJ1NSCMYqO1Bn6sQrGr7HiQcIr5km7y7tW/aKNXncMoj4QbYT91J/Mu8w8
bwLSWemLNsk1QTWy7uvC8n+0lQI/QSeG+kno8qd6Kg6BkCr3sZ6bju8Br+ksoXc1gVq9ptepW3DL
/ESIa/KdIE+Lu6acAuZSTMP/KLQzF4/iqfX3XgwMW5bC9AVidQ3NelRz/F5vBEjjewptkM/voya6
ixSm0UYdwXFpGv070R+Fp9vff/XjAAKkDzqL0y8fU8GUlqZcMRflCcNTkQtuOpo/YBn4NrX+Ri69
YWpZKy+ttAiSMYWD60lqKMe/Zkg/Q3x+e0Gr55bDYyCgIfPaXkQ+AOK9qOhG60yd0hyhvPileNZH
PQVbKXrMyNPG31IEv4YazKeWVynqzrpGgF94eGnBtwCsSHRinOKvOEi9h98CTS9nG9+7djfq6iwH
+Jdab3n9R2YfN4o0O3h5zPNdG34r1Y3rd87ulrcH8xk8gXkEXzPxo6tk6T0zK5Cf5bsaTH9npg+d
BrGDCm1JGNfQVjDejwbAxsdbXds/hrUFji8V+6krEtaWavsRRGyQ3DX5p9sOsuqGFzYW6VMVwkIT
6dhIRsYF1ZMu/aqa+7zbeBpsmZnTgYuoF6Q1aqgdZkQGvceGvSRYmNnw0MjyhqlVl79Y0eLSMHQ/
i/UAU1m69xj7zfpvcfesM8xdbAE1NjxDW1wXYawl5DaY6vY6JbnhOJyFQ3PYei9ubd7iQKG+VpgT
onLOFH2v84wxVfrlRWWX44/bzrDlcPMPufhKjJYyejVgKFXrc9/1OzUX7yxGM2+b2fpCi6BU+FCN
+i3bVqJGEL/I45dw2sfZAypGGydo9foD4QupqEH+t0Q9dcPkj1Pbj06mQQoyvfXKlrr26re5sLDY
silPBlBQpHRmeNLDsz4cavOHkX24vWNb61jsWOtZjCdG8/HpPuXjc6W5t//+6oe/SLQWf79JB7Q2
5iig6XmwSw3/gYzyU5kaG6nx6pe/sLNIIwMmTeooQGdJ8k2b8cOdJ73qUNEMFjfEv8bMLrLH+fRe
eHMaMRWZ+dxDRRY7upv/tIp9q2652Fo94jJJXRJ7KYzsxlOCGYPW1mGW/jQh/ng2oDK0Dv2pO1QP
hqvvbn+w1cjzz0Yum2rcVLkAqYzo5Hnloi0HE4L3xRtJIvVOTGyYvxo70ZVjoif/Fhr8flf1RSTv
KGirJv8yll0zlBvoO2bvXm+vbj2FuDhVCz8ZoZMJqoRAFJ30P+luOM5oxeAONdXNAaFV178wtfAS
iCCAIM+mGLPLizvmIW3m/TbWc9W7mTftHyPLZK8bobAOBaKEqIxu1ccMNDC3HCjupAe7vE0+lJX8
WQmRrJrir7dtb4SOJcpa8hGogC2Ey6Oy9kkGIVO0VYNZ20LApeSXQBbpiC++ll4oWZALmIirX2n2
Hc5WjQnN28tYc/hLG4vPpAu9OQwSNkbDgeMhFL4IzQ4lUR428J2rDvwi/8UtRe8dDQVw3BSEF3mE
UATNf26pNDb3NZI9zKAOySFFGKZwbi9udQMvTM3f8CJSTelQqurfCx6pFNHTnQghjujfEoTig5fr
mX/EhRG5V/zI19hBaC9EGGyEL62+0UqeP/QyU740sbgMk2YIU9+bL8P+m5zvReuzqKJJW7tjewjG
L7c37bpHsFjQ4tKKo9aE57MdHV88Nc1Dnbc7q2Ewmeul7JhaDpkkg7jpGHQfRePBq5/zrSi8dvlf
rnfh+HWjRa1VodFVm7Xq2VYhD/tOSWFrS+ruMLZKvvWeWzvNlxYXx6CPa2BjcyDxonPVwF2jbryA
NwyoizeHT607hg1EdJpiOFJmhylg4wJZdRLYtEGCyLPwyuLFIegCTEsdFiIP+fYe+Kq+N5XHsf/s
G99EdWsGYnVBwMMR+RJlWJgWO6Yqvdd184K6vaY4+p8Ztzh34lTJHYA3V071aauXuXqc6ZxLJq1Z
wDsLx2zkeBiGsWX03nCr4Ks8PI6RtBEPt2wsXG8UVc3rGEJE/XZXUqlVg10Rv90+Yetb9886FlsX
wqurqznr6NUz3E4qpFi3Dcx/4Cpe/LNR5sLZ5G4qAk+CElE8e+f4HB76vbqX7zbZXuec5MoOJQda
OMi9Xsnv5JaXFKXJQsZz8GwATTN2wVu30xxmct0t1Orqoi6MLYJg7E8QcM6LmoduZs28noEb+bhV
qlwtjvJt/mdRCy+Tpfz/fh1VaX7pZmi6qZIZvK5nThYtDO+VQfotaMpL44uf08jyeTeqmq3DRQX1
I6+7jUts1Vsufs/CI/W06RoxJjQFEKkYCmRtWzLHq+H2wsLCH2Vh4Lkl8BkB9XXhXgmKXa7BIL5Z
d157plxs7bLwIodenHSzv6gP4Zt+LvazAlzO+NYn8xmIj6uACfYD2zhVW9NAq8HxnyUu9RpMidSa
kX/KMVYCbRusX337gbzeFnMIF6NagD0l+n77FK5m25BhEKnm7q2yFOGJlKHXizpEDo42McnHHkVN
xLCc6Bicm2zDTTatLeJ/Sok4GtVqPh/Rc7rLD6XyqD3U9/k+O8j6y8barnzGEilwzq0m6A1EdF3e
Zz15qSVh2M9eeUrf5N5NPsKr46pfvX1+D2kXPELnBB6ALX2xq/C8MDtHpItky4ygQqFjR0ocxC6c
jpYw7sytacarE7cwsshQtaoworjGiICgoyExCLqVbvztbL+LnAsT80+4WEcywBkLB+V8EozXKre/
qWfZsfYKs4S6699DCAznCl2ueQtPtz/d6hZyf6JKR3WXBu9708iAS2ortZ1DVnUWpKayi0xBJErp
j7cNXXskUAXZYuQKDB+gt+UL3lRSE4pd/naDIEH/OOt0z9LZ+bN8DDYy5Ct3/GvKoEnHcVOuwZBx
EsY6sndOEuyGApID00PGC9RysoGvu9q9haHFLdTL6eSHpQmszYMPuz0OxR0UTRtn+coBMQI/HxTq
TLWzhYtPJFqFFEodR7ky/ujya5iMGwau7tKFgcWdUvdVl8ctBmQwj/G5Os7gs21BlKt4P5uZBXKY
v2Tyc4k2UgM57YKcr2Jk3rNR1689lGeRCWmnJX32fcidNjxu7etcGlx8nWqEy9uCHZVue5Q60C8K
X8hL95Cl2tmbaQfc1bq9zUBw/WT6u1CTxyy8MtcyH2MSaYNUqg11FdkJHHk8ROpRcOCvQdNXRqua
0SXi/sZXvLrUFlYXwXCKwk7GU2C+1nYqzU6xexDJEUzvnAxQT20d5znsvYtZszkmr9GENxF4/Js4
XcQs3oFTFg+4fn/uXEhYwD1Jj6GDrtSuOfiu9LzxMecr5Ja9RYxs6HvKnsjyZhXq+frsDL4jWhP7
4gHq6w1rq2dunhSm+sd0qLk4EkkmZsJQ0SGdg1V6zJ4zNz9Eoj0d/F9wA0PJtttSr7xONecdRT6K
uT8uU/59H4pRODW0mMDrTK+zEHS293etAFmknZ4U4BrSV//Hf7PKfywuC2bQ5hVG16KqCOsqaXS6
Sw9yeOgciV0dj+VnmDu3yiNXNbr3i1wWyjrLN0XmzNHx0OLqgZn9R6WP2leZ6ezKKQakceTHQnFC
6xni6S+FnCm2XIyIoyqh6vLUlyF1i4Zmp4RZxURIWrlRm04lJBTjH1nzorehn35bSvMBZtrXuPJm
WtZSnLUTQnjbOjFFC1SX7KG0mjsjiUd3ou/4FcZnE+WlBkLh1JMYaYYoYVd34/RUww78FocJXHqT
3gof4b9E5cEzq2/m5PkQ2ckkrP4wqTDnptIJZvBZGr2HAcemn9lXbt2rUJrf/nBr3jlPxliyrszk
TovANuReYlaQiMMRj3KcAjU3E+BbY2YrRmZcLWObAESlK3BoWrQwXpQeRrxvnvDBkr/eXsTKdfDu
7y8WkaG5EY9m36DlmcjHykp1D9a4MtzJFlmI0AXeZ9CVW++ntTTkndnFbRrFaWZlcjLTtvjHyDor
dw33nb4Xg/t4v/l83FrkMo7EcKX0iUiUdP4jgR65am+XDwYwPYolvHJkVzzGk9v+mLY6MyvXOowp
fEIwxAbDR3MEv4jQqZjGhdgFs85ZeJSO/kE7KKgw/WvYF+MmInBlGYSDyH26KC/o0RAIDUmkE/if
4P/T3cCP7tFduBvBQnSMzm7cc6t+eWFv8dYQoCSOinSGdOhe84V5g+ixkGFAv+2dK7nDu1UtblNJ
CqvORLXASSEiVs+iguynuZE9XsMB2ToOMPxViC1cYx6EUPESuY1ZylE/zNpngpPcpSfRjV3f3fpO
KytioAVkrUpRUGcI4L07+F0kWH5P/m2KDz0c1aZfO1rW7G/v23xql9c00nriDEqh3rfUBkYCwAqH
UG+Ymz9MNMry4tMYFzDVbonorhuCOwc0HiwRywKnH8dtX9c+Ob4Ip+Tw2dAOase4Pny5t1e09pX+
QpXm8XkNkM8iYiSdnmpRA53xeK5O1VN3bEg72tN35DmdLRDCau4IA5jJW5rRVyZW338l+juFMoUy
bLw/252Q25DuSm60R6TwSyMws/O/Ye9bOVHz6AmamRCj4IeLxKODxSpF8a9zJiN9GNqQ4YkRurv/
ZhuhAwKVNI8aLEmB2ilQAjXllTH8HJ3/CC+2PxGydtO9v99qta+FeZ4YIpRq83AnLvJ+H6Fl1/RR
MuYwHx7bh9Tp7HnMALGPw1aQX/NEkiiEhMC8Em0XcTaCcqw0IeKHpVN5RBIDsQDJ7kSZ5pKwgbq5
5kEgfbq0NX/Ki5ie8IiPoOYFlXmPmMaxJT+dofmBGzqQxVFwH7/MmM1wv5Wdrlxkxpzn8xJFsfdq
rMsUyWNyq6eeJKEDAyArd9CStCfTlbPTbU9Ze8hA+sK1BYmUeIVsm9I6DUKxJuGCQrew4PwvSL0/
KG10Khj808KNnHTL3vx9L/Y09auRMRE6XA1JoiPACpSMo2enqXCKIQku2k8mJFK317gaVC4XufBP
jRtMHWuMWspOPcPF7QZu4DkSytmH3B2P+dZreM1LLw0uMpEqHxFM6eGOyzyLAeGn2vo0aqxyC8O8
+oyhmsTUPbfMteibUQ8erNXcMzP5V3hMXCbvox/tzxl0PpcA1S1g9trFdpkNL85fNpgB5ZMKf5me
zfzDiKqbCrv57Q+2ZWRx8BjF8aCvJ+XOBWRj6v5zzyx828UbZpgAxdsWFyh8PeLMeyQy+7VEfuRh
LA/pELdOYiiCftQEcAzGKP/Q88K800xk4UQx1v8I4SQ4pZCpp0nTvqhZF6A7kqfNPisHb6dKE/IY
8shOIHbLiKkoHJGFyWFxF8Hio4LiEsyqAQpypGuK2grPotlLe8NI68INm6TcjR2UDIkUT59iJR2Q
hxCEwR7S8HuflIfSsJ6SJBfsugyb36GoPVLZVmzkPEwnTsvsTy1lwFGbKHBHxUr3ehRnf3o4xc4y
ShGAxBD/Nu1W8Ic3jVfXBwS9TBdV6ryE8ToWz1GdxvAbV+avPKir2BbG4Y7J8+whbqVsXzUFEjsw
yTu1Z026PYVmcoqkDL3yNq+/KFUjf9Tg330JxYo/U5U/orQc7tEZ6veFLyLS10BJ7UzDFH71TPVH
Pon+XWaoaHiYQSa9Vp4H/poWTm2zPYbqZl5W/PaQAKk1pIlab4JVueTRqUbZcJL86hc/gMJ6XStg
gkTpqcqEP5WUx7bUQI7fdeHwlqaWeuCC8JAPyN+MLvsjd03koComHqI5tbbHIvQdrW9mORxfsr1J
yB2lGE3oHYcBZSIhdqvIFJ5GMx72RhhnML4ZSIrUTer2Rt2em7ZijC+KAKFIo3GntUjVh8MUaM4A
o5ZdKfPMTjdqT37gIzw2ivF9jh6MU4meee8pmmB3ufLHKOToqQnS15jU1S0hMK8NEINS2lQd5GKD
/C2ZfFC5E0VrF/yxdGaiSzppnhQ/iEEGBTmQAF/0B1tuJOE8Fp3maOPE9Zv38hdDQanTKGDdUkRI
+wpq6nuvU4vXotL+5HE13ZmpUB9lE3EoD76EnULPH+IOI3KnPvqWI/pR2GGoiGdd7qw7NEp0uzDh
NnKCJlHQ0NCFhDrfZEL5LcW1wvXY1+3nsZ4bSTp3c9jVT7WmPstUiO9jwYztXk8qej5jvue5+5EJ
z/KrOKo/pTg+K2ZM7zqVfoWJOdgCJ3IHhiVz1AIZvV2pmfm+0HSIFlK9PNR5gNwShQzZHYL2u1nK
7dPUIjIHTQtCO3S77KRSNMZVsvaPjMqNnYTDYCMi+alN2tpuovoTWiUqVO9JbB1rHcqNuwLZ08St
JRjyRi9V7z2/iBxTMJMfTBW0b2NvUeWbSuOsBUX2Kw+b/BiPM2F7MU4B/6VSuJUVmK+9H8UfxVz8
NJQxulia3EJPo+mHLNHqVwl2fafoAe2FHnSiqjdYXycD/E2gVuXDYFWqi7xiT+TRZN82KyYN7DRi
sXFVF7ZvyAgkGYieMGjhA5qtQgm+etOLJrts8S/k5fO7Gs1Heuf9eM+1MaIIY5l3geo1R3McNbRR
aqjoxUFOPCcvqupT4RvFriO9O0wwHp4pKPd3RlG3J36X53pdT7MHQcrPZRlrv6Qo+CaY2SP6nnzO
gSsty1GAKoq2d1ozzvZmV303RRWedGsoTm0dBHZX9tKZC3h6QB4n+VaJiOgQIFLQ+1G4D3zJP5MG
VU+NV8cIJP0f0q5rSW4dWX4RI+jNK1278X70wpClN6Anv/4mRnelbjS2IWnfThxFTDWIQqFQlZVp
IyDiR3yTe2yojmmcp6WUSOblk5rvLQL3TBypgSQm5XNT0PSqFg0vrKgMzEQju7mC1+QTpMxtecR/
2YO9m5ccePou+lxUawRK6QHHYwZXu9+ZEEice0g0lEueub3utNsVMxOHQq0SfzaJ4a1lD6cEL0uQ
jBO5rpdqCm2rrO6gYvcNr+H3Mlrv5CraQKJx9camtXdxnzu+Y69gTCbGDzPtpH2vQrET5wvi4/1C
Ki9OVSjcJaO93MaKtN42Fhi2qVJLQPLE2IF4JA+sUTehs9AowZIn9U4ZCv02nTVIBRjZp9hRwMhs
z/ZyR0g8HjJzRAvXyoyvJJ5R9CDjF7uyfuTrEt0Ya/RtVErjG4ZAhsgd1CS7b5D7vly+t3npyMl9
ymQHC1hR4r5BxtyifEu6MgpGaNRIgFurZH2HGsW7vEKB1IhDs/oC6QD8lHY4FJX+/fIPoQnCpXud
SSBIHWl6tYJHTuoGDKfFblY6oicWXcslGzSJOcpktYhkmVI6NPWaAsVPg/FLf+jdGTR87QZXjKgU
w81VkKbQljaexuzci4Ir04Dq5uhl86vTgTFMekEn1tVnUJDOftq8/sMnVEHFIAPkCcpV5p1aZJ2C
Q0cAZDEOg4YjowuaDNw9+m2AZXpPJ8yHLRZ8Rc/JbZ5aw6eqsKXn/2kVLIcAmHNJF6fd6sXrjuRI
rOqHywY+Jn/P3OBoGUylZygcq4BcLRBFyMBpByoNnAB8xmDvvJ635g7M/MjFE+uOSjCDuAU8Kn8/
eYrSFua7VAuE9gqUGxhXJEujmomi4FNme0oskIHSvK5QYfDksA5jaIqLnJ+u6mzVRxaZZ5yRqXYs
JzF9Ek9B9/ATgTY/1DtAJHtX9Oinv//cGsjnbdB/n+NWu6GuJrDpgrtZGv20mt24Sg61aMabe8C0
31aYoGHN/apHBCinZL2J7SCyfHXQMeZ9mKmCHRE8SjlPROzZb2vMnqnIZeyiRUtP7T+P2fM03abt
zlFj/7J/ck/ZkRlmo/JojWU9ApWTXX4ndgCJmct/n1f7wTpscOnbIJ5HCsqEwRhSVREayh/+Xz9Q
Fp90hxC4/wOGQf5ifttizloElax6tdDUHsN5CbVw2JSe4+mP6W4MzNpt3X/qo58sj7nRBuJoDTSw
IXQKgpINCgl9kDYjALpxD0XpSZL9qdNlwabxChZgNUb908QYIIpcTMEiKUzwJiioVQ/7NaS1auhC
3hkb2c+CYSuqNnG/6pExplhRZX3aq1E9YnwXj5YYEuGjpCWCiME1YoFxB7rfFlybcZPFzIoaYjkA
d9Z4EsZ3q/J42RF5McJQZEC9VHRggNw49UNDXs3KwGwwMLi3FfjtkeB2PoTrrH9YyJEd9trKpdpI
HStHtJfK+QWSdnjyl/WKx8Xl9fA+2LEd5oOl6EhCLwtzu9owQVnhLhVN+p3zi2H2HURfqEKDsV4B
Md/pFytWB5KFq0H5Okfkwe7PuhjFBKJ1BfkrxHIklEJhBc5GIaNAQgG8NEpXrCdUpjXKOaqAnrG+
OumtjeIGEdXFOB8PxAF414GLAbkLC7TK9VKKFugxedMoua2JdtIahZf3h3NbOBqWAMw3KATOOrYZ
QLELBstRYXdu8cel3NrIg2fXqAtLlbuKZpR4xWgHI9yQ0lR0y0BMOt2tuaRk4QAQeOonfaOEmp/u
7TtkGrtoR3yiukpQ+osbBeQw3V9eKS8awTR0KHS0SPQzvDleIZCmpJ2zPlw8Laz8eave6a6DvAY6
JqKqO88/UKkDnzuw5pSk63Sh+ihZpd0AezKG7W697X0C+BqeoaH2ACL5F0DarkXodp67HJtkLkmp
WdsY0EPkT/LbrIdmLBr14ToLZjugIgCqHYeN56CWWhx1GAYv1sBJkPb3UjVCEAY80ba/SFJYpM7m
8qZx0gsHzHC/LDJBfagg7KdF/eAtqbkx0uo6A7UVROG1falFwWVbfN/EWUZsp4I6LNishRCXqnRw
EH3T71CJm0DJuisOKTCHzgYNEt96T/Z2iEZr6DwJbFO/Z3JD9IJ+22b2zmqyCshmnIsuWAJQ8hOs
Es8wmnQvrzGqE0LsF++Ve2KSuZ3tVlkmZIsAIu67zw1mpL/OwBY0N4BzeuLsnnceqMIOHngOmrxs
71Wv7QLDgwTOWZBocSuZpOFINAhZOnH15fLX5HkNdBtoMxTsJKDyPT17I/r7nQatUEg0d24NicPx
ScX0YDb89XgY7p5jQ0wmV0V9gQJqvHooQoS5HeRwHmV6vrwa3pczVLBb4c1sWaBlP11NWcTa1BtF
j78coSI7eLmpeqaiCW5qbnw8tsOcNQlIwAIqrnACVAJ0YLEzvz0QjMri7RVKIhwDz+GPrTHXdmSs
1gJVdgq0XFB3yMJC3812aHljoABxohqfRFzbvO8I/jhHBxmfg5yE/vtRpUNqolSF3jp68tFrKz1r
pr/Mfz38g8QN4QP3NS5UHQS+pzYqE2KN9dx13pjmj1Oe+dVgPtkokF52ibNIz5hhHJygut8uTj97
ViwFg1qE5iAoa5wdIcYC49krTteoFehdJc29OUPbZZMoe6X+dnkdZxcKY4XJBgoHjzrJ7lD/W7aV
FmvfygKiq0VBlK1KhhjDMQm68YO9vl+2e+YKsItxCnBLgTjOhqbZ6TapKSbcNB3fL1vV77UyfNIW
czfOg3/ZDGebIIuG0TaAaBQD4f3UTF8345BAEx7lzfLRqDM3StrXyybOozimU49t0N9w5NWquZqg
kulQ4Lrv0d2HGM8XFVTynrbPtvltAfJRge+dw00+LBog2dZMgCTY6Lr0w9RDAfYjTvxQA1ArPBWu
a7toU+wX91H0rvs4MydXI52/NVUFJBEGEkeWkIyMwEqYFGpeQ8P2h7l65U2CUUHLcnMAGNBM8OxX
PfyYGgTGAfyTopIl5ywASA8+eEqzir1kArC2dEAurZBBzbvBHSWUwtpnefyG6dXLe8lzFx2CWzKg
d4DF6UyAsiE/WxQlGhC6qbtt/7q2olYxdyVHFui/HzmLXPaglG6axWtjdad3wGMshb90/W4mvX95
MZwjhgwf+a8C7nnMnjMhyukGFWyuAAgN6CgDoqAAwzhZ4WUjXO8/tsKEKRnUglKswEoXzD5xPKi9
QggxmPdq2JRbbJWYluD8noQ/HttkTjV6GPHyQSI3htGm8pfvmS89WAGKhj4iiCipp87Fev+xNeZ8
LwRuoaIF65no7JeGtJk7KUgk+U2Whqs1EYR90a4xLthFZtoOMwjynMGT5NobnOvetgSuwfVCoNWA
EwYRL3g1T70wTUbTambUeVsMiodqQYqbbLKdG6B7litooDufBV5CvYD9hoA5ANhqQ2AL/n9q0FHX
0Uo0xMjeV0I6ZaZBsd01wQeOSttzLQrJvI8ISiqUsRHzz4dWpAiSzMoKc3TsgM7RLVmAvn36DPnq
MPZkV3qXpF0kWiXnMgXO6rdZ5nCPZG7mzkCrg5bwKYt2r2+jHQhWbhVopYzPqIEgr8cQL54Vgh0V
mWYiJJlmfcpi4HlJvMSboYK0nIzntgv9ne6xTuM6zElbhu1E8u3lveV+a1xESLsQnEHCfrq1VQeq
NivFWKS9DFAAH66AnHZr1RKkqyIzTJyJtHbO1wyY7L5+sqdtVF/rkyCW0YSXdVKo22GMg87fY7ru
dCWIKgO6r9i+ZU/FkPuttlEwFiNCi/JX8svMB2vr0RVgxa3RKpjegl4lACOa6UaNL4THcWMksBHg
o9aB8AYn9eliyiHplAUZljdUzrK3ALu+BWVH4pql0/irRRogK+zioEDUHCoE9lMMndCNQ+riitCC
lyBl4X1aFNKgKgsoqWGwtZgWqufdRNA+W/b9Ttm2hz5Itu0/fVqMPtBIA3rxM0XevIS69KqqSEIA
/I3HdGsgk/UosOeyz3/U/VhXASobMGaUIHWU706/rgblbJQ80axQ+g0xXLD9UCj4elA1F2jSm/RK
/tra6NL9CeMyvW8Y23iL4gkPDRRa12d2tm6b2UDJGLiIZms6kRxGc5xuLi+QE04QrCkxDyWdh/7J
6frS2BzVqoT3JNNjmt5o7Wup7qQiaAklmIy9y9Z4K1IABsQUlQo4M+sdqdTkSP8oyGHUdsbglMEi
C2dIOMcOiCw4Bt6fMqZLmSXh8lb7ojBnbxiSTbkoxI8hbOWTRheEEd63OzLEjsy2TRWneD+hoGt8
aQimxh3lBQissO/tUGnN57VWBLQhvMOO3rqK7wfEjo2y7ul2tQjCKLf2AFPGQaruKeEeZsf9vHub
g9oXZ2C8b4kCHVxfpZ+SfYCodiV1DjiZPC351BUBsV4kU/AVRSaYeJ+ReZ10BxM/Xa+5upEcZAoO
Gy3Bp+Oaga4jpchGQZp9WXQ4yW0xYmJE/RTLjdsWN2MWXPZuk3NeoYoJxAVYllH/Zi5IkmP6zFHs
yQNP3V1jfdfRT5oa42qtRPkHdzE/6Y4RIUyVnrOjmyUbdLmobJQMwGIO+d4oCVoZXAmSJV8XAEP3
7bAFD9JzpUGGRcl2jpQGvZwFUEZ1O6fd2I5IyIt3sAEjAHGCaevgR2aWrsppK4Edfv5QfASR7SR/
ufxtzynOQUGFQEidUFMBXWYCsWnUuQXgJaq2MSCl3W5qHyQlGNN632k7Wz3kTX27yJnAObkHDi9v
DB2aqGFgmO/0S0uJ1dnpgoXRBLMCZqeL98VhCTEEFEpZ0IgG4Hg+hEFyRGI0M7SzOgZmT3NiF6g8
RlJyAGd3R3WuySYBFt/LtVz0VTnXNehcoYaLuxqC5ez5Tvq5X4Z0RWvtEYSXN02Y+KrkVreVHwfx
ZnrLbtZAdcfrKPKMnUgqgefFx8aZk9+WRVSXA3pghfbDTobXSI6/T7EgnRStkHlCKlk+S4Am0+l5
OrRLFYPI7h+kW6h7YjE67bVB3o+u9ehEKmrRQKSqxpTJmixARCdFEThWurwPpYOhiLqrvGa0lKfa
BMaG2FX1dPl8cA/gkX3qV0f2ASQ0GrOeITdQJHdQ4rTdqB6eL9vgH4YjI8xhUIo4U0D12GMgbg2N
j4G4vPdpK6MKpq1Q753rH0fm6P17tCbgFvs+7iY8dfSQWHeNsgc79uUliUwwuYLRaKDoNmAiN9+G
eDfpX5NZsDO8FJLenNCd1kHCarJ4FytGjlVSRZqfsL/Cb2U3vdcBkNuum7l1gbjypZ25ui3q8bvL
6+Nv2ZFx5oypVtJBrxC9kmXZrvN3yX4cLJA3N5pbt/dV4+fZc9EkwfTUSSJ0FK+aeLJw9ugVKN5o
HRau3ltf84fivb2Darl2KJGxqGH6Vb/SXnqM9EAO6I/kRbln4mjt9N+P/AcN9jUpHDT6rMfZN70i
RBVOQjVi8GUfDyTDW7YivhZelexkzUwcSBt9cpQKa6bzy+NjvE9+OGh/Y2afajpY37pEcENxL4yj
RTIHv1UqVOVyDA5JmI5P8nxnS3o4jNGtPYlEDHnl6JPFMeffLtSxUO2Pzmm0yQ/KdnahkHGgKlXt
JiGoAIrqwdzofbQ6JgRUoAipBuRtYC4ar6owv26D6kYcvf/LyjB6izYt+u3sUyvpo6JQO6CjJ8uL
ntU9au3Qq+gmF/NtzrUKTKS4Tcs1inlLdF6QydMp8FP/tJC3KZmKsxm/jJC/xaDCM5gUbrObjzlS
wGlEY5c8Xzk2yHzNeoqBk7BRciyqW9nBCIhdXSFtbKJMUNvknbxjQ0xYxbTegDYP+t3zmnuTcuVI
r5fj2mUDFjvVvo6qMpTxilpU4skKwcRS7V62cA5TpJyneCyADQmgJ4zFnu4OBHtMtUtUDM7v7I3+
Qb9b7zIMFYsBTh/vXvaljzIG6gwoY6IexXiCpOU9+laA81MhZDTSda+5Mh7HKxCp+JJXHfJ95BvX
AzjXQDQFpdwftlve4c0eGCLcCTeAQUMI1DgYEtTOwANQpKmUQcIZXzbmJj5A4iRYH+Ld4FMF2+7g
CNIz3kYem2Pup7xXu1ald8QwPcjgwlQwPiHYSJ7XH5tgriFZLWNLpyvqgvLG3FDENR3nXN4p5oPy
O+iHWNjIEn5H5vIpVRtiNDRWUoTL0gBfLe/02wXcju1GVQJpJ2reiZbJ3DxdahRKNyA5K5e0xtCd
miDPXJ+LGUlhk/81ayU9HUduwlw7RWm2stQicTJzzKNbUElSelTBFx+zNpWseFIqHVrzf3QW5pis
kl41g46wUgHMMKp+Oiv+ZWfhlXSgH0lLqfQ8sveAVml5AW0/YELVzp2alz7+1sQP3XwtR1C6SI3N
ZXM870e7GtJdtINxxrklKRopiwaQTbX4kdRfMVV5+e9z079jA8w2ZW1uZuMKA60/+4pf+JGv74YQ
NapNHIrYg0SrYbbHHuJ8tT+Qz6WFaUrp3iglUY+Ol7AfL4i5wuYhAfptxoLM5U2CNpGWAdEgmtTh
HaVjI8z1RUiH8bwMRqpB8+Wmu1LrR0zxPWnd38tk4RwdmWJ7BIlaQ7mKeoDy+JNVatwqD51v7WOv
+XsqhA9jeJwC5ooyIkuF0Km1KVk2jGl6295aax2/tr1TXSklEDqq08yC0f3/4n6/DTJBcFWiWCsH
wCQhqIZuYHULOuWAQvzAlQiKk+CfvP23OSYEOmYGae0Rp7f+gSJR+//MC1K2/Sn1KOpU8f39tznm
cE0VquekA+7U1kPM/3raJCK3VOndxCYGKBn+2jHmSPV2hal2MEUDSIsXt+886i0IRzovCdVdEqIJ
j4dFsdU8/c4ICnBQlmFxLcSPUSOXfgRz5oZSytOB4mv1zQBN2u26Hd1oi/FyShDZulC40t0apDiF
VwjiFy/9B9WKDFlfC7wWLIRZN8uxSujrNfvgSOq36z4BH6uIrZgbVADnpQopUOL7ULc4figufYpK
HPrwReqiaOPJxeo6gy0I9tx8H92cX2ZYf4GspSI5MDNh7mSXB5K5d7yfr4vMDnDg/wALys1Djo0y
HjRBQqJOIhjNX+gjGJlP5bZbG41qcNX4mLsWRWiVGz2hL41mJOXEZDEHmYy7X08RZShQ5OPO2VWy
S8899JNvOzru5q03YCJEqxzK159k6J5t0KlH4uv9W0g4+jHMNzfjZW4i8CXjADU7PYj3X4lf7+i3
FoOXuDVq+MmvlTPfuir6dRg6Gl9d2ZuvKO+1tkm2ulAomnsijwwxJ1J3ErUHHQoqG9ZOmiZ3je7k
6Mm0glwRgOu5lijAEtxDGpgCmCUZ2qCDTybCKyi3tN51QCT8Jk95vMk6wOG81iTFt96YRI1C7okE
7o2il3W0XpnHF7gXJiMrscA0UV1VrlytTT2l+Xb5wuAEcDR2FQdVW5gy2GxvBDlsbSp0cc5zN9/k
zfby3+fdfzCA9qphAdAObP3pG9IeJOR+jU0fAbj/vmZhvqECn8D5+sj1RBTvnI8GazZgYAqE7rBb
p9ZMNTXjUacQacCXnNyL0k95JQlCMs/JT6wwydHs1M7cytbPh830TBWi812yrR9FNMGc4H9siE2N
qtpcUuJg2ii+6XfpHsKJARiiDqJ4JfhqbNcOJaF4aMAL4cVVoBZ34Fk2gD0UOALnHj9ZC/PMLQ3w
tGvUEaDdCMD3sClu083sNe6yK+4nV/QW5Dv2L0/4uBSOLjSzhHxnWsHcWhugNSE3mPf/N9/+bYP+
hiMbeFGrdp7Bxoy5SipPlG7sq/9QJnYifqQPAC+ThJx8QbqNR+YKvZ2Wvhw7b4id9rslkerWSNvy
pbGQXjZSLF0B6tO5MxQ2v2K0ufMcrUvlYFn68SkvrSs5ysvtWAIIUIOXegblKKiyinwa353KqgoX
/1J5S98Pn2NME2leXFbp25guGUaz9EjFuOhglCGR6qx3ldS8G6S0uwE1DPGHzAYzlKNDllXuciAO
svdFqSJ3HVNQ+Cny8qlr2sZV1BYM5bFjzvVGnReIg/ajfNXm8YthqcutKc/aw9JEgxsTB7QcqzO+
5aXzXsu5FGSTgvH9gjwvmOP3l7GztiA36jxZHXZ5FMv+2Ax9oExZ7qWdYXha0dZPQGUvnwBaxgRW
J6FOK4ELVZ16KPg0i6wdUoTXfaWPtd9Jbe0tmlp9JqtWe4oCzU/FyGp3yvTu0Lba+7oW5TZJpxzk
urai+eUYgchPsvt6p2ljmfl2BxEnr+gsZ0+kQndtu06fR1DabUmTHjLZwAwnWaf4egRtzOK22Vq8
1D0ZIImK6S3174+bAtpjdGzxskZ91WR8szOKLFcazODW6PMr+hxWEVBYcJ42AxTSGb4VQAa7USl9
gb6HK5N8v/bAb6vz6+Vzf3YOwR4J2PYv+nYmImdqOkiVAzF4kOh0jyRvVG8wKtFRPItgsEILlHQG
BzANtsGUxYkymibQAGpbt55iV8STmtLY9ZHcBJcXdB79GVtMIJvQ5SeVhjb8HPa7EtA5qDKgpiUf
/jonB3Mu8MyY+wSPNd4/zHnPk7bvNJtAuE4OHejHrCkFX11eDWd7MCQFJIRjapQLiUluynwYsRbg
AJPUt7FLIMf0L1s4zwDoMpDxg+AVZX7QYpyGrdjpFC3VQCXT6EG0QX89tII0dac3OaT1W9FlxrcH
m7ZFwXegcj+1p67TsqoVRrO7AEJrAejdfOehC7tdtbd2oj36+EAnQRmWgIkD/TB2Ch+RXntHQbkZ
AFewx2nyoGwbJndAwm7wvHCC5dYGxyKeNK1XQfwqiF9EyQFv69BRBf03hEJoq+HUMvjelLKVQYYQ
lRs5BuVnLBq+oGfzbG2/LVhM7jYrdi4NJEEybz0U011a/ZCdYCQIE+V2JpLAFc/ybPolj6wxCe86
9f0iN63sxbZXzpNPIuJF9temCY0sDy87JSdenNhizrDVGpA47ST4n158g0iXDXruKPUckP0L3P/D
3S59RNZBcEUXXWnLnlPhSQTOzS35MeJRuHwiXhzkeAd2/uqBKnwLxWxwwbmRi8qkcIKcF7ZOlswc
iwmDLW1iIprMIGFQK9A2YQDb+Irreswel4H4ICh0SyGpKt01dvkg9MVksoH9BTvYqZcW9aSVLW39
q+gG54HyWnq9WwNZGeShJpwq5O3rR9Ua07PwJfbWy1azdoAN/CnhYXpVOBB30l0pwMRSCHbHZhv7
9y+XfYn3ZTWQ4WLKD8g3IDqZGLpUwMHbLdgNWqnCBGOqPC5pXruQ/7qFZsRW1rU7Ik13imo/ofYx
7wTmzxJrkPEDnQiEogGKBjy0Tr9wMpClb3rA+vRPoy8HnUc28yG/pl5Vvosh3ZywgywUs1H0zQjy
EuaYaoWV5FDTRRJRNPJdGq/6xk6IJKJ64ezkR7JLB+gp+QUT3bS0iTrTILPXppQ6zVXJtSOJEnj+
WmzcFB9G2ACn1krTDjWgbfL9EEyfccFS3VYKkIgKbxj/iBzlvBxF9wtv1P8YZT5g7+hS5lDGdUoD
RCdfozuQEnh0QKQER5qQA+u8jcsYZIKd1irlVIAQ0NO6eV9rsVcWMFOaGMZqsmsk9pCmK5+zvL5J
7LemswVxnfuRAfyFKihFEbIld73os2GwkJulJNtpanaVlqKelcgE/fejS9iJMCzRxymcxTQcEMYt
j5BsEDLici4oZLLoTiMbc8Axwxw0K6rJmH2MBurr4i9VIz/kFbr7FWZXn+rEKa6aJUcIn4B+A908
srWs/JakVvzcy+v7MhF7axexvV8MaKyThOg12Dzj+v5yPDirPTqAytNZCIQiDOiw0ShZ1W5IJ1Q7
y+5BIrfQoXTT4t4aHy6bOc8NEPOAlgXilaKwP4hSjj75kA1Ivmo0GkBqudOd3F/l8jDRwD4mUM4l
XqpKny+b5KlQnWwAU8ks59Qoe/mDuHcGWgSP2ZCiRjqv3mAOR32kUn7l7XCLuuazCIbDi0eWo+PY
gjaBclwzLkZkJHkaxsiqBMgDbV8UTdinueCsnG+eDLp9OssN4RpKIXdqZRpXHJIM0656tTHaaxPt
lNr83MwC+SneeTk2w3xIIzGsKauB9RkGFaTEYT+VweW94n0uzNxRoRikdGc8OYmpts5EH2Tp+FyV
oZ6X7jK//E82WFYh6LMkfa44GB+cssAi1Vszp4G5Dv+jGSZex0Nv9fmE611fVD9LnX22pB7Uvv3L
qzkXEMe3Qn0UE78fhVKDSRTVGS91C/y1XnT9NoG6l3Ii3Kbe65Xd+ipAN2L4FXeTHICeQShk2ggb
p96WZI2eLQQW+1oNovbrgHnFpBPkJ1yXPjLC3D4NHrfqrGDgxSFzmGtyMNfKi1Ra5TYboMVx+SOe
MwsCSkah4xi2B/GOrjGevVgjUeoalysJxjc6fgU66nGL8ZA9RiooBT3F8OBsveeu4ZbAr7vFRlR6
PO9y0R9hg3cECCIMaLFyBSlZ1noYQEVv9uU+UxVfsqe9ZSt3SAlBtmIO950j3bUNOj4ImCrmldVJ
84Dmul1m0WQ07zmsY3jegVeBrl5nB45KCCVESo8G4k9ZqnqjaDtgYUP48r74HgvLI3Q/mYT/xB67
A6mGWTENuDRqj1J8Jr79pG1o/xl8sa+X95sTyE6MMVEZd35SVymgn1oR3S9ZuFYiaiWO+55YYOpX
q4KpCNnAcoh+L89PqvWlU8CrLiKH5BzFEzNMuquOyqo3CsxEwCZ3eh/WJPkq2cbz5e91fmuDMASE
Sibkb/Fe0JjVSNqUyE4KSJYJ+jDLtj8VibwbxvbQpcsNAY1vmokSed4HPDbJrAxpVCQTqqdFZ2ar
xgmHOfLNqX9cB+HzjxYkGN8zUIkBWAC3Dshr2IA2L+DxNlGaW0wb5Ws0B2NMgA6R4an29NJH6fsk
gR5FqR9TOxMgszg7eGKbiXNdmYHBJIHtiuzGEqMq4BKNv13ePo67G8i5sHGKDO5INgOtRhucLxIg
Z2n2Fg3XsyzKcnjRAuqXEEpF5dhBP5BZxQp656yKAMOMrtMHzSeb3IOG3Y/Yy/1/un/QVoVzYKwU
tWo2TjaLDnbvXEVoasM6ubeSUBu/XP5ivFsV8ip4byEdRoWYrc9FqgQeigXDL8nV+hZvKzBPoQN5
ZXyyEJKyfRx2W+HEAedFfmKTbuNRbjzPXQSeFn315KEOkrkIuvSxn75pzU003WrO1ajdaxOE8+qw
REI5SP7lNXPeKTAPRg/KP4cJb+bEgXeoyiLwmEEPrj/MEQq72bRvWzOMsm52u/zv1ejRXwCLKTwG
xXeQLDMGZ2Mdcz2BpJJSGca2Xcngz1oUbS8vi+P8aGbQZgKyCQwYMflRLOWJmtfgjq677yWI8ltD
ANnm3dsmXjSg8oKf4AZnwkdX2/o8JtB1Kd03Sk9NADKyUDqmD/P4sRZBw3gLOjbHnDX05iDa5EAW
hFIoxBTyPIKCGOSss4dR1sbtMUQlRuXSRTAx8mSRzGc0Ig2MaCasfoxn3MYod0SPA+bBpoMwmohW
SP/96CCM0AIwEgkPNhWlqRkkEaCq6kGkA8xW4WZQqfyDOicnDmN9mDbCxYxyo844I0YFoyXBTJ9H
32r2ptpZIR1kUBV3AGcDxoah/0lnbUQ3OH+tv+waTLHcyokRzdR5MI4SdDLgDbLghqG//Hznfltg
3LMlWgxdAayMxF7cf0miOjDtO3V67cYbJzaCVQ4vnzjO1X38KQ3GQetsWCLTxPYt0nwLwuybuO6u
urzaaOYiMMWN00fbxr5+mlwaFWhqLOijjL6V+A0IkIIkpCl7ZbokAvESeRRP1/AuPJR06HwD6LnA
4ce4i2STJTMWTP8Xu/YJbK5hvNEMgPooKh68Le9//0XxuLcczEh+6KieHghgZBaSKiBtkGMC+fGy
OLQJAVpFBxAibwT+wiv8mUfWWOxNVRTpil4rpLPn+QCulq1SaLcJAR2zIc++roPgz5L9RXHeMz3J
vXGpBMvlnYnjH8B4rKascg1mL0xLyomnSCB/FuSzvMOO9x6q70gjMBNNPfgowLSQAGodCyApp5QC
WX9sujic8+DypnF9RIdgoInKj44GM/0VR1bUqQPVTfTBQUa5bhR3hVgyHZ3QguUgmlDiWrOp3CI6
GDKorBiPtKIF5ySGR8qFT8duEuBkQAdgoMvce3+gAMrLVo7ssSyCebrqMUnQL012azju1q29qw7O
NbjCwYxo3nR/y0KAZOHYHOMTdjWlk0XvBGc8SMW1rqauFH27vGM8v0OhDrg2PHPQnGWeORXwPuZE
A5dRXxfNO0lL77IB/iZhZAEcOmACAp/CqUtEaWfGfWKsXv82+kaobLUYWGBkfL55EN8tvBYTdDGh
8kx7veekcEqlmUjbAPTPdkZobSniTNsAOiNkleHkjpSxTUXyiNEvjOSdrqsx9G6qCbo7CsRvXQg5
PcumdCXnVlj0kLBqRdUhXjcE5LcgNKA61pg1YwyOWloaUTzNnnm9oDvqhPG9FEAfHNx3AY7XthK1
mTm+cWKQKRlkS6+kpYrKZLbSJuw4ikqfXAO0LG6CqUE+q+EmIwiaydSDLjO1r7tVvZvQvhK4Hyfu
oV732wbz1dZsjBS0lREj7qnKYrdJ6QDgnYU5dMpn6lSeWfv6jfYksEv/LpOCgNUDZMwwjukJlguC
lM40gbiVCsfnN/UD0Mx+tfq2DzU4alnerpVHXqGYJQjBnLrFiV3mQKcE9CjFCrtpV85bSCE9tKb2
hLvUAQQrie5MZyn30zSJ8KTn61UU0MyA1wMwXBuMuKfHYV57Uo8gZvDksqldp2/cqJp2lVreZlUv
2FQa10+/LcXJ0k6uAVG9M3IxuV7s1Bg0cOmAw3vY5Js2sPbtxtoJ9vD8AYAWNdjpHOCZKWCKeQDM
kly1S407kz47kndg9jYpsmLlRd2KPt/5tuFOxtg/5d6j9Qpm29SFLOiBIQFZSBzYzXMlX0EkPZWe
B+ACh+Lt8srONwvdRZRRFUQTOi/CLKwzR0ju5tBd7qM6u5FGvfTXVa/vZ02y7h17anTRLXB+DGnj
3zApoz0kXFk1gAYidxapqSb8Y/wgb6INpfszQL6H02CGRuHW4R+84M4DDPrHDvwSmY+MO455aYBV
PpMMG2OOoC/tArWxi1DH//AXHQp5oE3SAy2Dxsa8jkVQT0tzP0lt6ivg/A7yrFrcPFowHdmbYAm8
vAGcWxE7YIP6B5AoFTK9zHFRyzwZY6p8PYdLgEmLMJce0CtBIG82He56EXrt/Puf2mP8iwqPGZk2
o84XkS3GEyvH8IFJFayK+g1zMD+ovVFCR8Q9UzyOzNhMiYSa2AwKzul6RopUHWYo2nuNq/rNRtY3
ly1ylgWDuILRWYV8AVsXK/JicqQuh1sp7gIZMPM5Hv7h0x3bYJ0IpBCKkdqwsUDk0NzI1osq1JCl
233+4X6tw2FSvTxbJsjAdLNHetxMxqMhv0egdu4eNCHo77zyqwKDh8YpXnCg6WJTdCI7aJ2UWE6m
SA9yuvpjIgU2qOz1HEJwxApGe9gVZfEKHLHgkcNJYWAbCQzAmh87xsSdcZ7l2UJFigrPfCWfwUaF
nkfqkS7QQ1Dg+FJ42T24nxVEKuAVR632TDm6W9Mq6W0bo0Jm5IG6BIKEnw1yMJb3TNiQ5kRwC5Mv
v2wxJ2xENaKeSgejAYvrZE9W0fndAh5ktfKzOejA9nN5bZwaHAKqCqAIrlxoY7MdcNC1runQgaDB
aIO2dpcAhpBgtIUPnpgZeEo6JvUvgevEKr1ajl5485gDAN5SMoVr+uSK95a37m3UHHKfSpBdXiPv
mwJ5bqBCi/fJWTyx175VoR+NppX1edR3RL7uc89aNXeabmpte9kYL5YAPwUoCGrg9GycrsxJo6lb
x7b1mszepon0gtdlMKTD/WUzPJ9ESoECLbDElDz71MwQ5ZqUzSO6flO/McnXuHlesJZKNoIhawTx
kXvijq0x24U+2aL2yTx5mePay47yUUK+LVjmG/txDnSA/ITjK7wAg2IKUNigCEOrgn6AYw/JATus
tZrKtVPUd+2B1QOob/0gzM+4nxLwOkyaUfpQtslTgluUlDJmTdMf8Yv9sTQwJSlbVBW/Stf/R9p3
LbeRbNn+yol+r5nyZmLOechyAAgC9KL4UiFRZGV5b7/+rmSrW0CyAjXq+9AR6pDZzKw0O/deRn6t
DzEsZNRD+OXyJ1yAMssoSuE1i67BQqtEoW1nVBZoTczbaHZyp0dzGlIRld1/aUlOMupOTuZQF3TF
y6E/ZzSAimCB4q0ODP+nCy+JrC6yBLDQzMoT09DJ0QS9HGEpNTGBQwFSCXkvXi/cAq3MFu5KFrJr
7QhTU0fa9FeJrUH0tr/+P6yWhZQBHEjWQwMHDY0RbrW06WAWBUWOzQigDMkhfYneBGQMAnjfEyCa
v99LgM8EIKgwuEVxRVW44YVym0RBiIAZuWKod4nEDgyBXfXDUSNy9LuV+Vz4ZGcBuS04dNDPrQ2k
erXzJwYrU0nGeoVQgh39xBk2a9oKn08yzOUHahI9IIhMcnNa9VPaqrjG7ca816WruLgxzd++WZFu
AcvGZHUt1EG4EHlb1YHQQnt/rNtn6IcQxvEpTcUTIySWlrVSCvs8h+fhuLMZT2llgrEGGGO9Yady
QXplJcLCsscjAL1PNFkh+PkJs6iB5xSX8JqAVznEbDS0QlBaV47Wy2zraH+WqnN5XXxWPEOGDM9J
QIrwPlFxSJ+fk1AkrsWG1mzlg+YHl+UdvZHtEqqDWB8RqWSSZXYAxjw8jK9rHGNrgI3FIaPh+6EZ
AAQ43wAqZiEzhwTnJxyR7cml9rxJri2bCd3Et2uJJ1sR5ykuhvsr2Keujz4HwwgSjT1B9Rkd3VnY
6LR9p0P6kNOOVGa0lv0tdEpYXxcFb1YM/CzUZYRNaiSpxma43EIkCR4EmT20MPtqkXDWPjD8wnZN
c/2zXRX7rr+i8lBpEQJCgTVBdL2lYCrAB9mr5xklEWlu9508vOph1u/yUsi/4H6pN1iJlAzCrNzH
llig49cX8eyMOVBYWtfW3ijk02PWhO2jXCtrnIulKYLMIDTa2R0KdhN3Goo5hRBGiCom0xscDn+q
XirXjHDPdKrrt9xfS+o+AK/cSjiLyR2IgIdW4GEipvliHacn5u4q2KrT45tI4LkqNopX3upnWVh/
GCioRyYIT+Bwc0+sUWgiKk549+CxsSu+MzX3/j51RPAcf+RImGGsLG+Q166bfC4kYRgvcMbsRmWw
XO7Zo06qVYQgl9otLuwtw4rEkj3elTWZPFYKtCC7vtLR+lwiQ0h8VQ05Jqw++XKcGFLNCoYebFct
JlpVE6HtvLg8pGFC9BSO5/40vV4+0BbO6LOQ3BkdGrVUASIPMEXU+GLSHJtOu78cYuHNg72F/BHo
PIAGgZI/PzMzalKxHGDRyhgBDHbQzyjwN87kHEQiErNYbVazn5pbrGcRuVEV2hA3A5P7qKMYnCMn
14JrXboRxW940SXGWr164bshHLoJcJaENAT/3co0hPUbG6Dq90wSf6OhdUbdZi0LWtr4sgizVNzd
IKfgvDqfyWFoohKUFHT+1boQHbinVoDrAqvNLP3gOtd0gU56ihYAiYOxJFEoonzdj/Cmado3+HV1
ftOH6VGL8yelK/AKLPLHJi7gTV2WR6nWazKLge5DH67ylDI3SK8n0t3QFOq9lujJ1krK5Equuzvs
2Hbf6tlDHGQ1KVQ8htS2/jHqEUTKW/FNK+O3IJbkjQrXcC+EbA+ZtFqxgyCCTUIhTe2tWAJqrkzZ
62TGE1T387ixJSPXdm2DHqcyG4ojtfmXJjJr0msz0HXRoOzNWK83sWlmNxM0He+qMonwZB8wD0qe
Pyp12x/03ALdC6J/qh1DafnOgq+cDG9WuUcTC6hqHzCD16DrEhCGJ9Ht6sl86KhVe4IVfJvDsjpo
fZNdWRpcJ21LEAQbUPDqypLK9CUoWhw+/Vxi9LSvHUEDVwJiUqjORamEvsSQt86UtU1MMgDzHJCn
UCEUO8FGXoa0PxWDsiIU5ZtD2VbCXsuCH3mXTW9ha+mepAFYIUUUiOhxfJRi8UnTkzcrDgGYSdvM
z0oob8MCFu9poe6PgaK9gpAiboWqfpcbQX+JIr0i2jg9WpagQqm4+5pGUmk3nSFtLu/qhZMZLlKM
WATA3mccikU1s+iYjloGyvM8v47xs1LsTRhJohJ6OdRCo/+8IszdAsokTKEW4Chm952yj3ZQOEPi
r3t099tqhXhEwfoEzXDYZOKo4nZYJAhSJ3UfO8zVsmdljZqwlL4hAMMtmBCexK/Ot3BmGaOSDuzu
DmuSjiEI+7Gdju+j8VoET4mxGZDaZaHlBN2uKFY+2kKjFZqPSBx05qSKvJlLX/E+HcveAlo13ga+
4gTbcAs3Tn8d+7hwJII2DJlVNHw0BVS682FibcC0CuorjA1ffisFofPCMKttM4DqgJrPlaerveSo
7RReYbMEXy8vmYUL4APixixKmEkEN059rmYUcrBiprJw4UtfEnMQvd74UpcwCB+imxwPPPtyTPbl
uEsHIuu4thm7BV+XG7I6DZ2cI1+0de1qLmK7rn2rTVycjf8oEHt3o4oIFgA3OC0PAp2yJZQot2pz
TK1DSTddvXbbyIvj+TsMn/ubMo1jzWIJ0McTmFlYWofGY+slOKw9NJb2BWbvVzRu9qBv3OdDjUGN
XnSHb+Qr11A4JzL8U9eRe0ur8zQYG/pJtSvW2kkJGQwg3oJEAVNaDYdJ6a8NanlF/BqTch6mE82E
Zg3CRNOxiW4L6cqcDgbEAS4vvMVdffIe4KuTEB0rkp75nDNwWbKprg2XESD+gZIOjsTTQNzhpVkJ
XuEalsSoj84UbtABtYffd7rnonBncBCwynKNbvhsTfM+pTCCq0KtAIy6gIBPbMkFsFzxdNOCH6iQ
MTXnrVBSiQxTNrtGoK+VLJdy5NNRc9lkZFZtmWhserW7aLjv1jRCFyo/Z7PK7WcriwAi0zGrTZJA
XZU6QlEdkXCuHf4rcfieGARRIhDZESd4Ce+YWnoFhAPD2sCY9G5y6oaU/hqyYSFNOB0b3yMzyrAH
NB4xVRNuglHqj/3ohBrdw9fNi/vMW9kKi1vu5GnM7WzIYzVVJOJbVS4QDcwxLvakkJg3NQo07Hlc
oKY9Xa1aTi8elidxua1eqlWWwYSCpSiSx1jWqGmjFvCTFxR9vzzMxevtJBpbsSfnVzEl+qSLmNWk
rR4iSEgoSePCbHujjcljqVebETnz5ZBLmwC0GuZSBSL+JwvKFuDfKgrwUBzmaQOK/Caka+46ayG4
bwfQQztJEop5Q04JNJ9gDrEyiKUdcDoI7is12jgkZoHVMQQDWs9+NkNc87eV7VjeKAKeDScIywSC
4fzjpLFSlakO8FJRXUGwr50eRdG9/DGWxgHxRRAqoTWpo+J0HqIxIdcUmvgYavu9iW+U8kaPj5dD
LLRL2DCYAxUenDDNZD/DyRprFapCGBAwDIajge7CQfJU2C+iq/AShMi+K2+DIvj34O1y3KVFcBqW
u2LGKUlaWIEjc+tQXeqeZm1NcnVx8mSk92inw3yNNxLuq2kUzBoRskHZdtB6sCHoiPeEXFP/8lhQ
7sYk8TmhcRKL/f7JJKaBNAgptN9tqE8JRBFm8ZlGlJJ6CJKrHKIXMWlKRbmeMrHcjlb9AAN2OK0E
1nAMZ7S/m7DsPaGPK68DbNGLwkl1unxQN2oTWGTOJuiSJf3UA0EeoiwbyV+SMI+I2dWQIKvz8U1M
aeWXIK7chnMA/dhSfabo5V/pYoTkCi9Qh2aS6llFLL1keS16WUXDgyGA3lXlI0Qp0EjwgfuPtro5
iiRB28fNkAKQZp6KH30dyBuxMIZ7y1QMH9aAk0CkRJG8SO3TB0ksg2Mb1QBkSxBe0hMRGIy8mIGi
y+RKyogSZJbbQVjcgciHhJKrFh2MmdEEOy18Vss492cqFTe9XBW3sVF9K0pln4YBfrpBaDB5QTNB
ES6Di5KjQiLurRSS9lEsp5sGmCaS9FX8kOlxYYeJFDlpqqneHInjjRjqBqF63NxYjZrdduGQ7AtY
Z1+bgQqmCpiCkwM1OeTwU5zZ+IrmPqrjXVVCHM6r2iAeiT4UPTHieqfX+Xeljd+jNM8Tpygb6yZI
Ruspas35UOvqU5gXz5o1v82UubL2uW1mKCDXQuLrcmgQMQ1qD/6zUDpCbpUPpFSKaFO0EuABY1IO
P2SwC520R2WAQv0gckqTZnBEVI5BqI8bXcrMjdx207EPTFqTMKyGnmhBpkq2RmtYRVKr9JBRFXeR
SCUvzSqIRrX4x1NtOE5Uvu4oLUpXmIUqhK7DOIUONTPFH6O09VvgB2/DoAtaMuRS3RIhlnehpeB5
01Il2eiNKddHQNGENxjtJF9GKK4pRMrF8GEQs/GqCwHFd82xjB0payuCGuFgR/XwJcnj70bZwQWr
s1RgubBonAKvwYG0uXVvxMnsaIXwI26KBmoT3RTlTpFXpjvp8w3VkBGmKspX1VCArYo1WtzqYhli
W0nfhZweikEyv1jClE4eHXKTJGJTXYvJrOHUT6bao+aUvxZUHpw0gX3tEFK4joziQ1NZKPBCzGiA
CQqpQgllWCG+R8El9orQeKjFmNp6rJSbFA7rpM7KeylNR4jQxXCbQY76MCbGBFSaeGyL4phbgxjZ
ddKUkFUt4PyhNjGqdIXaywTWNeZNq5X0gWq9IIDFyRrEKIGng6sPmunB6QW2UhHNSBdCvWySq8mX
heEqimITNSD5UHUBaj0GqOdaFD9VaDY4Q8h80aMpKp1cjahFhjaddGJRsRvI2JeF+jbMjdldo55l
CE5uhUJoK3k70SNWyauehsNOqofej4Y+c2Bf9tgJEKdSK+O67uPYaQwlJXJhwBM9sO504Jq/DnLZ
pq7agPuN3NtUBmdo4li9its8iTfG2DXBa1qWkAQUknAWnpJQUYBziUIV+ojmNPVXUldnhi0UQpq7
tBPmXTmP0X3QJm10FShKmjqpFCaVR2eq0ENmIO+oAYS0Qfb1Ybt0iKEHTgotKBxjTH/g53ycZ+UR
2++QDMHjKGnXedq8VGN0k8ISHO4a0ssc6prdpuFMOk0Ldb+IqxQiirkJSwykVaND5ViIsPpjdTun
VUdfxh5gL9jrqfQIOUOAW0KUUVyxMGtbA+XQwR8CAwuFndhNMzP4iudL/2QFqb41y8C8nUHoPfaF
Vn8HbAQyfslUgTaZV5pvjnpYuElQSQ8NNOycsshiNx4pilxxOqy96XmYhyai6oOWqW7CLFr71C/N
40ppyhlSqIPoz+atonWeMrxUsHAdjnHwJMo3Xbum1cjftywmdALgssJsFz5pb/e5VA6wgauBiB02
MOrEYRRuzXit28y/6T/CwObUwK0JMR6eFgr9xzwr1Li263kkWKfuFIvbio4bddb2mRXak1a5Vpqv
vKpWwvKNw6qykLa2GF28ZUD1dsNgM+vtKD6RYKMDtpV5UqPbjdVynkhM+ijj00HfUhNCp39Rq9+1
JeQDcJkK0o6q1Vodct1pQQT9uh9+1LpI6lZdycE/dRL5SFxi2ShDkk+dXqFaIdo6vCwfsl2Fgo81
E/izOdmPwos8VXLXmon805CPy2WWuVCiXtkCnTLLT0VSOrLqJmFP5nEl61uMA34tCp86CMN8eS6K
TA2CIHNlF8D6+EVQHoMhu03r6KscDr/7vv4Y1K9gfJGu1K0m7ShEQfPiIc2xPNQtJPUBES/JqKwh
hZd2MkrX7NEBpBH0SM8XYWDgwFInfDnzZfZkwIyUDesCR37jAN0BgwDAwVfVRvgKwscIT4Jyr0It
VNpqHhFUvk23QATcdH54q97kV40j2d12RDmS7hDXvZy7L40VYgSiDuakqeJX52MthmgKQ7YfxPS9
N6B/rOw7o3QuB+HHBsV1QEF/PUW4rSBmSJj7HFXyEVveHrrSQIki1JIRyek83FQltgf6/8EabIb9
8J+eJeipyIAPQDyF/5CwcNHLfGSPLL/cWhFhIqK6UxTg4MlOckQGuLIn+NlkAwVzAf0i9C6B7OAG
WszKoA/zAE3+yikVeUel67BeEyZYDML0gMEcQsmfb26kkZwhZUPhIG6fM/NJSX3kzJc/2GKZGmbk
IoRmQMMAV/98WSTahJe/Bv1dVmoVCIym7hlXkum909u1Ncgf+pg1GLdC8YP5xKqfTpK2KTpcCFCv
LcbSgaieI/6DtzAioEOD1AJ7mi8kZEj4gmYGJlK1vpTJQ6pdCfrN70/ZWQyufFqKaj9bKYBtsp8c
FAcCFXaHLgIDH69DE/nrmE0Z7M6hx4c6lQn1jfPvo86WoCUFMulRyKBVqZJ8xAMxv5E6gxiQPCxC
WCqvKeYvbGM2hej9YEuB0MCdi62S9FbQAm7QCl5h7EsT76IdOAFl7/6DuTyNxB2Go9F2pcTU7+rX
ya63mQtIyFfJlz19Q3/7wmRzqYF3DBA3803k5xInxyg2Dbhv6pQTGLvbIlVINL8h113LCdjPzR1I
Z6G4u7mNhVzs5KmD76xxbGHrk/jqsIMrzEGBkZokbFfmceEAPIvHvuhJXWYU57BSlIZhgRkkJXWS
t+ix/cATQQJeJHSlhb20k0+nktsDSRnSsDLgwqwLh2S8Goe1Aa1NIHcuxUFc1yimgCoE9BDQSrGn
3cnbyhFuIQfh/z7x7Wxl8FlHAbEUCVJx2NKxTEI9tvsar8zO6Ypbimc48CaXvxefUmElouqM4wn/
SSBgcRts6GutAm4VrdXUHZvrXH6CMR3UJVfwV5/KdSzXAGGBFW5BhAf543xZlE0n0CE2Kzt/Hj11
p9oSEe7Ca+Ox2Bu7FPraa3AD/sriA3L7WQsaAxjKBI8WK+q2PRqGBG5iAonGdFq5gj8yltM9xmKB
TSNBOgpkPpAZzgeXB7pQg1Fe28MO2ZvLIOLBvnImz9jJV/ph7TZenEymowteKbSJ8PQ7j4cTUxrN
WcO7b2cCFzVcK1/iY7uJ9j1w9v1I4hf17vIy+XQ7fwzxJCR3+re1Cro1VKBtKxhdwQLjv8z3ZWNQ
lJA6Iqu1kxVOHX/T0C5JsheR0rX8gN/o/E/ATXKhDq2ClBUeok/SswY/+diBSNHd9BofGGhQuVmD
ja8F5E6yOqqVspkRMA1dEJpJusqRWnywnX5I7vCC9HMpo3ZWI1sUd6KbbSrf3Jabxps80avRohdu
Yl9fu+rYXvu0XE3cpwZyOdAtub3YFRGoUsaE5Qq6RrQp71vA6iSX6Q+sgVsX5xAVEcZIRJeJR4tM
s5U3eYbSwdSqDbGG0NGSNWmUD3G2z+P5O8hHE//kyhnEHjtwUPEsfDeOI9RdUSn35mdmoBW50XWw
UTJX2SnvuZvdy/9oY/wa4QfC6iQ42uWpFiQYYfiNTSZEMJxoGxwDwrg2/2g6IUwBQgpKTJ+0ZFEU
17tEmmsblhXX5qTvtHktxCdI2Mc+A0EQtRBQzXAbnR8usdVjzWuIEW8/ZBh3ArTmGTC3OK6hOJbX
P4rIoHpDzPwTo5yWydgLBZ6C7eu0u+5cdAgYERqEJQ/aHq5kA/LorektLZ9lJ1HZoj35ZNWUNFkm
apU97SRPceBrVrvMnpgp1a1OJ58P/Tmdv4bITadaASw5AFn5U7S7sbNrRiDCpc7QPtmqaDf79/jN
gOIIZDtlA7oYfMasxgDTznIq2QFaFuaoEOg0gtjkXL4PFqMANI6kgXHNeNGlPB8DHdYckt20Bqn7
p1B9q9YgdUtnh4FLToGRCagovF68HqPMOCkRW+yibYzHuH69PIjFAODfY5IMbCgePQ1ZbZ12E6ZK
rxPSRGjXrPknL02TAZyoDFAioO78XgrGXBlheyHZfQmXj+AI1T53Xnu6LASBMg6KzozchMcZd5xj
szJtYFzNuQSiWPrcjqMddisVqrUgXDoVQ0NpjGakOAk1r5AIIJmCS5Mme7/9SVBdAC8BgsYLr2Zl
UNAsUyBiLABYaAx47a2MY+Gbg4+C4iE0SoHU5Bnyc1znemaI2PuZG1rv0vR8eQBL8wRQJpQdWK0E
CMnzs6WP8L01dqJJ6CVVpTfjgTcaaw//hUMFL0jA35BPAwvKr9xen4IoZ5U79shS7dyhnn7T45HF
XEyHK+XPeP/9Ov5P+Fbc/Hl8NP/5X/z/a1FOdRTSlvvf/1xHr3XRFO/t/7K/9vcfO/9L/zmWb/l9
W7+9tdffSv5Pnv1F/Ps/4zvf2m9n/+PmbdROt91bPd29NV3afgTBT8r+5P/1N//19vGvPEzl27//
eC26vGX/WhgV+R8/f2v7499/WFjH/336z//8vcO3DH/Nx4+QN28T/zfevjXtv/8Q5P+CmqTGcA4Q
D2BEOaRvw9vP38ICQHUJdmgMkIyF9se/8qJu6b//UK3/Qm0QTFnwO3GJQ4rjj3+h3PTztwCcEAFx
YWUwQIHMP/762c4+0q+P9i8g2G+KKG+bf//BPRPQq4EKK4420OENYIU/qaQKcqzJNFUHol/PHlTv
3XnDiJb0MDjMXWg9PTmv1nwKyMPgBrNB1WtGwKB8lePSqadHNJbT0U3ADzj5ED8Heza48yT2cyzu
1IPAYAzVK2Ugefy1N7/3pZMGd33jV3XlVLlH1fu4cCttpb77wU36db3+DAudK+ZvDvw/zyXtBnko
8glDVO7RTIfKQGlbjngHEsyu840jdNDtYjdfZVByibbKe303eBNeKkxlaWPZKQl/aHb9gqb0ynyw
18+ln4t7SSg9WsB5j58rbPdmCj6O11Rfa2mty7kWhjvewIYoh1ZDGEY4SjbXjOUNT9qQaC5T3Upv
s/t1xDuXkn6adJ31Xk8StqKSOq0J8K11I7Cr2df7lAzJIRp2MEB28n5TxlsjvpJXtSXZrfZ5VlF8
VHS87tElPA/cdXmDzjawDb3H2Ni4Mlz4KPsfHtyO9nVlSZ+f6n8N81c07huiKi4PlY7JFW/nZ+bA
HeT2K6iHbu4Ku8Rbzb6X44H7jQtXhZEb+/2TaZ2KupkU+jE6xUu7jURCt7xittj5DEUcSO+sNQrP
b8e/RvgrIrudTyNOBk2bACOUwIkKHsLZIm23vTyNi0sUlyO64hCjBjf/PIYQTXSGotRAuvEYZVdK
OjtihuLZ2o47zyR+juVXHN5EQu/zTg2oMUAK83s/vMTJ71WVPgfgTjh9GsUkrzEQ2NG9qzi8Ay/Y
6ESC9TN1o+NaS2Tx25yMh+2Fk2+Th0FujRHGEwAWFJXAfbjV+OPyt+FcFn6OCRQg6Jii/ACG03mQ
MdLxdQQsANmfbKsg7T67A5fsBhgkP/QzFFkfYWl2ED2ckj6omokXOT+zmbNk5vTqWBzoyc/ALUJB
bQvAqLDsa5SqEujEpnu1f1sZqLF4P51EYT/FyXRKeqBlIzsp1cYEyB7WNsl9Jz+E4UDS7FG2cHG1
z2Z61U5erDwapl8bO5pMTlXFJEatvrsyrS9yvu0UL05e8gpOwbByHprHttkZ4l02PJpgW+bzTVW4
oTI5cMm1c2ETVxbJ6bc49q3MFhvAtNOSdBT8N28U3yf1QVEdsd9b2b6o9wp0tTqYq8Hzi+6KUN0U
85OQ71XpMAGvbvmBfjtpDbSPd7WU2LR8acGqSiFKmKEULdB9n+wT7RAbex2EMfFKk2qiFA/l4EkC
hbyeLzYD8D7v7fyjiHcmQggFtECuwwQ+CP33qqXO3O/i9l0cHrPhfjRHp25r0mR+EPvJ7AqpRqaZ
2jTcixZAfs7cyCBEPqkgOoVtCUXoLxKKkfM+TDaZCt2w6VkCANIQEzK2/gxipAR5SCVP7Fh9CApf
DMAJA2yy/wGx16h+BmN1imSnap+SKiIKRAZqlPlK6oh1TvT5sdUUF9ZL6DUZE7Bpxxmn/+hEE3Bx
XUZywxYFZFMgmw3yoyU+GBUlo3aVdZDghhlfcE2rx2H2tGw/yrsKOlxWs0/rjFTFEcYGZJBGYNdu
cggiKcltGl533Vufbo3+qsIEKugYt1u1updmW+uuNchJiA1K9PNEIj23rXArggw7+pX+HU6zpEAp
tPwyak6czXYcbbToRQNQfQAKo20Y2BWgLFDwRcHRza9y/NimsNVpNowNLUiKrVZuLd2ayUAEZd8b
4HgC6aPn2xbOGIH+oqlQH4GjmtRSktY3mrGXE0p0+dGgt6FAt+rgzzm0l0FHjYBfNV5l+hWQ+bj/
qogdPvU9pBdzZSuVh6q/1SDnUEGKumkcXYbm7g743NlQb3oYCVN6a9Uv4NsK8aEVvsXlNSBjxCpv
5N5Ljdwuh9xtExgOG1tqKX6XH8TimOg5aWnimLJrtQ+6yT5+2LlifK/r0HH1dIagUN+BOlvZ42tb
nN1EJ1tcTcq4mHMcJPrLXH+IaQZOsKdP0eOkkPS9c3CQEYjoQx9XDKHoR12YuFz+GRYvoZNThktQ
qrydlSnCj2CB0x7qx3mtHyWvReCSkjHPshwAVGR86IvKNmvchO6I4ip7dppfLQB5obQ9w0ALEN3v
0NjyM2f9ZaGyMHwmBvtcAB1gQoLiJHcZxqqW9y271XuYW9VYAfqXEiVQ8VqfdmN/DysqKZ0JVfbj
4AUAQCoyjjb9GtBOUk5OC4ai9TDiAwSKp0es3epXZYkk8iEEcBFpviPOrFz2oI0u8MLumFm2hQUn
itdp9AqXz0jbFeNjZ+wAiA2gcJx+b5H19uGzTl8KEZtEtuvRvfxx2ce7NGbuRtaNspaUHmM2Go2k
tCRJ/JhqBz3FaW5fDsU5pP15MZ/OL3cxJ/CuG0SG4h3sfCu+i+7sTU+MmJjY4XZ0K08+ih7d5DDf
XMtDl+5jWEKiWglChIo31fk2auZ5anU1HElnHeTk0OjwMe3W4BhcqfnnAE+icJt1zlDyHUxEMY6D
K7uVb0EF002JdR0cFbu06W6AIhfQ15cndnlwCA/NW6SjvIdh3VeqVLOwkrWNAopqrDtb75djfODe
Pi2UD3Dmn0G4jCZQ4nEaFQQJ0mw7tm4XWO6gv/T5VxC2iKDtwuA502aSiUd5DGAwcxii3Cs6Lwsf
YENed081elCieQM4ut1JR7O5M8xbuSlhF6PvZxWihOxukyDSNvu9rBI4qO1ljTKXbC+oatcK3kRj
3qW56sCwFGZKCYlnbMfoy5gWdoyro69x00Spje6FLU9fBunx8hxwAg5/fd9fE82tojwsC33sMAdQ
ioCZaeJmb6mJy5zE32t0RUH+HzaC87vGsZ/jcuuqjBqLDhPijiAAwJGdsJMRQjoZscDn0XKIB4mQ
lZPWSoBrC4s7+aWi6WcBmBtSw/bpHYJrUP6A/OAIxIAtv5oWUb3CQ3Hix+V5XroOYGb493rmroMC
8HgjE+lIeuvRpAdTX4FzsOn6tJSBDET1VEY1m6+Yp8MALTmKf3+w7sdxB/IOMYMXWmYrF+fi9DE3
BZC8IfTDc7CkrhGNIUEcmC5l9eMw1USXvl2eq7UY3NIAmcFMAAjEkhRutOZbVvu54f7/heBWgRHO
s5RLCAHPzqTaq/pGb1fe05yA088VDmAhZLk+KIrc1RC31dj3CmIwYS7WUg1+dNeBYyLHIZ0DrtOe
7kDEdlJ71ROOvdW51cCK9WA4aeAxybxSkGCFCXgUAp7AzO5udubxnuYbpYJF+hvFkSSuEYa53uDH
YM8ickcpwPRSqKUsopuDheTNV6ysrkxQ9Py/VExX47E1dJJDTihjCDGLJ+663GXNSBzdHqpaDMS3
XibkoCp/jU8HPBUNXugMcnnUoMe9GGQ4NjRS7uttjRvJ6cGnlXb9txofcc1nb2EPMDOKv+NxOUyj
GQk6kuCERhHep+03wYQ90Zprw0JyeBaEW6FpZzYCqId4WcPloptJgstmLl1d/dHG6CivqYgur8pf
Y+LWiDT1ZTS2CKf6rEqX+Z3XoO+yRo7ncA2fvxW/NjIcWwGbO5aTMROkyacPjAqRoVaS+MEGDjeH
mFD0yUNbvvoHednZrHLH1wzWcxYqGKYUuo24k7Tnsri7fHwt3CYIYUE1FF0Ups11vvqBf6nUUkKI
sX6Yp+P8m8isv6bwVwBu+WnSBHgguF2kRr2avVgY09JGwuKnGyD7/fHr5QEtlarPRsQtRa0EfXSG
0x6JvvWgom2kDchOpE1RbEIxa+0TLW9nAJlVwL/hhcc3AsvOqCOzxHZOt9cM79L5d4Kr3DbbdDds
1ggDC3czINO/gnF3/9BmHayJWMoxHUZjZxY5aQJfQ1a7MomL+/kkENuAJ4eiYoVdNEsskKM8Mylb
zYOOdIIvB2H8bbVX/Nmubtj3W/PQWTyugMhFSw/AKOBSziMHwPmFY4vIVX6Vay8WmjZrXI+FVx1T
J/o7BLckM8uq5oZ9slp/jOhtlnckLvwpejHwq8sTuTYabjEmlRUzqT2sDh26BRuh71BUWmmoLy4K
KMcyHgkA+ry8sVzKoTVBSYQ0KAVAwAvsSDvP/ZZuLo9leamfBOJWXwjSq1CVCNTDImB8SHYliEwv
vdttYcFV2CneKvZKSPYpPqUfJyG5dWgO0FpKYoSsqB34pce0m6scx4fsocSEcsfleIuf6+9waBCf
Lz4Lcn4pBBoYRWUjpl+CYReX75dDyJzM6s8T8SQIt8Ilc0aqx77XpKik6RMHBWaj2kaG3wH4q5Re
KkkYb7uhg9dlkj9XL0qp2Pr4bTafUtkGIdoeIFlfmq6soJQI0rW4TQXNMdOGBMq1hiplHt2NJqZq
0K+LWXRgCOQE40sFJHOF06l7t+LvFSyx5erNgERhi//q7Gte5USKH8XGn5LbQNin1hNcU3QVJc7M
TvSvcqLaWvoVHSQywIA8CmJXrfYVo2Opszf2KiXRFDwb1vsAOmKXveWGTkZ4Ec3NQ6p3oG9fReJ7
MTwmpVfFL3KOIlFkeo1+U0n34SiRvotQncYxrUdEy7YVNGhLQXO1UvBmegiMB0P91qo+Xs5h8agK
96XxQovCFsZNWMDPBnjtUfgqpKBiG9uYvqF4LJj3rYxEa/aVgpIa8gFGj11CHaX5ogh7IbFIJzck
pPgRUIWKHAsU8RKCwYWXiF4CFmn8AHuOWDuqstui7p6Pmxk1xHL4qkXAauOz4N0e6wUJNN+q1fsa
hgxdYNzqJvUE6bUKoVYInNuAbgqM8Mbqe0WvDON+jqlrJSjjq4Jt0tco8P8fe9+1JLlubPsv9x0K
OtC80pZt72ZeGN09M/Te8+vPQs+WdhWKp6jZ5/VGSApFSLuzACYSicyVaxHUXyenHo/BVJohwYgs
lB3SBuS0hjmCLi0TbEN8ivynEFq8sa+VZozh8onMVta90ab2dMM38bO7KNyPYr/JssEeFc2pqZ22
kRMUW3V4zfvSEqWjH+BDl24ArtkOq4ZSrH9sStso73XoytWYvO7xcI9uh/lmii0SHzGXCjF7zw9u
0/KW0LtAuFMhXkCjTVWjEZ89jPgdo2GBvMUkgEGhtk2kgwTFVMYsFKj2HKEo3BXQcXQKePz1I7WQ
w0AwHLpG4A3CPcyDsZOpm+XCiEZTjhHPn4dVuhB2IrkodGaASwPVsqz0mRlID77XeSNw3sAOomSF
o7cW8diNcM0Wl/MVeidB4wq2BmsEk3tqz/sCQ1idW21T4FmL1+t7t3B5nC2Ne74CBSb0mNLDa0RF
Z0GJLZBApOObQFcoVxa+EbSE/n1JgUbuPLIqtUZmMIYhsoo/8wF0y/Pj9YVwRGGXYZVt7EnKQsU0
Hqvfj+T2wEirKxD4+qayaVbuwcXHx8lS2FJPDVEAjtUOS/k9Fc3Enoi3Poeyct2CEufcTtgEQg8N
VvbqB1tz/8QGGVnssuSdv2fzZfTH9S1cu/041yubdCq0AAYxb6vOXp4FprY27bK4eVD31qDYKV5C
SguD9onG3Lt1yy3djEDad4d2VSlr0d1OzHDu5uehLxgDzCSBZE4tnhx/NvX5l7udWODcTYmTaqQd
LCjohYCCtZB+iIZ1/YMsJqonNjhPAzPJTIsRNibftyRhn0z7jESmX92H/hrD47K7nRjj3E3Ke6MP
KIyJt0xeGLp0z5FVOhpovjI7cKuVU7TobCfmOGcb52QoUhHmCh/6MBJiaV+YWu5d38Gl5hnuBZBJ
An3HJoS4nDWX54RAKwlNBwJ6jC405fo+GWMvD6wMfCJ5v2tVq5pmAC7QRSROWb22/iMx9hXo/0Zx
E+S6Jfc/8lx08uFF7lBkq5RdIH+//jsXq1Cnv5NLdCtc5hEpUrgTJs7ExgoVmxgT0o3DpEH/9QNU
u2YPfhXjUafbFdsLd8DpHulc1quUoO0F7xBi87a3+0MFispx3+81cOeV79NhPEJH57g2A7NoFFpj
aJ0CXo5H7Xl0o3EKXiAxQyAYwJhU3ZDIAAr8CDqg66tb8jOKqTposrIcgYdYFVVatJkCO/G4HzAP
2RzmtQHFpZgGECoFFp8COqpxx3RQsr5MpZpdCGy8k83y/Dc0GUsdQgwK/m2HO6HyJLRFNMEO4+Gr
7WbPzinIoW32KqKl5buQArRiU9r7zp+NYv0Od6e2ueNKFb+h0gDbfv5DDp8GaSXULR5UIOgxmQjJ
I+gAcgcAmIJcKmQYQPPLG99Et3T9Lx5fqA+Cy7c145f5QUVzWzLBoLGRNuRb4P6j9+bJr+AZT0pp
rgpNw6+Iyk9d8lI0JWrDHSDSEKQWNVIvo8emdkDXZaVIna+76lIHDWfhP3vAF+PEuO6NLGtw4+9U
D51+JqDlJp7xPlqML9Z/HTbSSrdn6XicmuQuygaQJq1SsGBoyVXKvsA7ZVhJ/RYrcqc2uKPekrHX
a7as6UucCELyH5TV/xxyt5abLT2uMRFjsMkCJkjEl49oEfQCWOhgCzCcIQA/poCHsldkGz0BHgGQ
WflpSjsr1mq7iOiWdA/F8Ji0T4J/zHVqktqVlI0RSythaCFGnObZPCYynsQJ1NXsKt99xYh9tA3h
xGuxfCFjODXDQyIDESwRicLMNB9R9z0pn0TF9it7Ft+u++qC35wZ4ooYbSCCLl+HIWXaAGHvtN2D
Gq1NnC6BFc+scN5ZZ+lMQpYACayl7DEFb2lXPs2HBphnIOlt8uC7aEyNv7otKBFic31Cbm2hnPNC
Xa+G8CYcSk5lK+ko+ugfRF/pJS8akTF0wBhTxAuFqwBkd8LUg3kvNo5gAyvFe7KWeC96BsaHIfcB
RnvMP5zft2HUgvC6gQmhf487W28+IYFlNuGeBisI/YWbXQGpgowGF0bHENDPLRFIsQvljHRCmTel
dEN9ANAK2apFYSW5WzQE4i3gkZhoBI/saIMOhSsJOVMyOTqudvlWG7fNH9KifF19uNjRpgY2Bivi
G+JlncY5kH/Yud0ACht73rRo1/kyWj6JPW3WhiMXIwXUgViFGrwbPEu/hoZMmhTMF7YRmhf1ZnIZ
f/ca2JjjQP1rWYABg5YQFCYXrFu0UZNEGLEsiBl+AshKTe0NNSFo/ZodClyTg2TCKXdgbbabtd7/
4pc7sc1lTEYTdI3cw7aa2nkbWoKMwtzgNHK0klYsHqwTQ5wvdkQulVCFIRod5uY4dfd19PgPIuGJ
CS4zQoOuGhUdJkqIRkXjm5oeCrpyS7P9uCgKndjgDu8EikiQOcEGg8lq9WMn/Py/LYJ7Jml4VoIh
DQYa/WYEz6Ts1quNORYpry2Cy/BSA4rccQcbkie61U13JEAOm7LXvkumsEk9vVnJpzAJtmASryqo
XQgaVMB55UAli41GEBCK9HgnS2AylN2ZfrY0w1vqO2THteDZLx6MUjAVeKEaPvXxw5g+0PGxqm+U
Ttnl6oYAiY9skMafulgD9vuzBrIZhK9o5VRksob2Yyaa3RsPKbRUBNVCr1aX94oMIkshtsIBoGmy
iYzPCizuuuoRY0cFO6sfp+5Z6j00Gkr1bpZftCTb5EG2H/VH0uVmYHxE1U5PmEjLttD2wFnoFNSU
uqWkR7VFgyC9r4ASD0ATK5v1uA2LbzO5rcJN7UMfLrFVDeDbOwFaY5K2H5Jv6YwX75za2XgLDllT
F/Bfi08ls5rxdo5Ve5isWX+YEg1DrC9+YOXQRNPq+7G/G9V7TPxM5V3YP8bqbm62cnGTdgCZomQe
4CUA9RyrCu+h3+1E4hY0UlYAXLExdZtZbOyW2GX0noU/Ql8zDRnUhaC/ofsycmVwV4Rqa4r1Nhxv
puRXk7z6IP+DbDue67ejv0t1dzZ2Zbkh0xF0n56e73vIRnUyRdkAyZqCWj9JnxoFo0/yvhfnm3FC
HDNErOUpp5Cxcal421eSKRY6sAnERHlTTTfJ9Kb5UKB6D6XciXTwhFb70vjR1DfF9DFEhk21ba2m
li94ZC7RsguAtQYRZ61u0iy7r0thG0faUeyBwZ5UL20E1BZuGgka85EG/tCbNoaKY94eExABT3O1
qSawlubUxNz4szR3PyG0cUQb0hKFG1CG3aVzeBsUzTETJYtosgNslgnuAWvO3KgQnwvxViJeId6I
IEicqrum7J4nQk0a/zDoTV5tBhHIIBG3bWCWPXwSgj6oE/rYEiMBEJdYIuBpHVSN81g3s1bbxKAP
CZw6al1BzByqg6Q4B1rvqAj7sIYPT49BpFnG9LPERLZfHsrgG6hcHB25FjEcP7HFBo2D/gkUHThK
j1R7A4jUrkL9HgIzm1i4IYnq5N0BxLNWGmdepdhh9aOtESGn0G4wUjBrhaliAkJt0m0fzg91+qxE
8ePckh2Ygs0Qck5+Km1xM+ziXLGGtLtJ9AjxybeHjjo13mSVLjsYhsakRmsmymyHUDMLu8E1/NAF
sZzVa3CsXIVIFsh1kl0cu3lzKJLcLpXAFUbDyed2G8b4/xeeguaVKLsdfh2k6G0okOz1fnB8EFZr
L22ngqMWow6h2dPWndAm0sCLplWmPEK7vdItOn9TMMiSY+xAHUJnBkK+Bol1ExCzReNEGdGzLB/9
0laKV9F/iVTJnAfJrvvOpfMhKSAYhoGESXjTom2bqRiseKgEd4R08oyHJwl/aSIOJtT2UjFxDFF9
ELV+l4Ed2UdTXkses4riQap6Uf291O5kFshJa8sxVM7nHloqwOen4JAotlI7mCDQMYWydVu6H7OP
vM0ssEcClA3atxrEHRqgLHO+H1Ky7UtxEwYhxi2a3G1JtSF4KYb+x6yAcczfDmWzydXXIFXMoA/t
yseZGhvLKFt7LoebaVTcIG/dROz2Mc7ACHBVGXhCNSTmMMQbeXyZhhK/FA8z/YdaSlsxeknQgFOK
YT+CURny8PacSFbaUoxxk5eqEJ+0cLyTije/EHDW0sc6ET1Fh0tJL6kA+JRPNuP8bcx9s6Tf8/wH
TWtnnh4bspFVN0WRRPU9LbuJ42M0VHZRC8CxM7Le3gySbz4ovHX5XpofMnIf+fvK34mYH2r9zVB4
InC7o/xT1Z/CwFNBLFj76AUqKBBghKMb8D4JH/Ludoq+qf1DRD1Cjkn2GeaSlU0bRPpYv43pphEL
hIoDa/Hq9ZElPGEIpTBwSINtE2NHMYiGJ1M2dgLgREK+pfGHKEA3yQWReVV7YfSsiFsf8XlIC8xb
PHQhcUn4ozE209zaSor5GlVwFfmeZtRVIVilHhtJxyiQmcGWNoBwuPyc1UOc2wDZQTnoudFVW4eo
YqWAGtUyjF9o9o7dfSHZQ/+rKGNTD9xZQ3+yMkfMicQfuGZxyUUQDgtsP71XfYylRM8yuszGexD+
7MOXvLTQ0J6Gey3prUBwJBFD4q3T61sWsFP5R1TfFdJzGnoSWqqxfN9Ft7FhV/JWhuz7KCP9TG6y
/Ech70L5kdS2jvY/aTZ1su/S3TRj+GBwM8jAtK9DvR99D8TSpqDeG/i28oMwCGafPOvBNsMxlLK9
lMQmOAEwU+lWrMpbum1ReVFvi8KvKvphoLlejohG7V0zf8eYTzi/ai34FYQNZhyU4NgbLzXggL47
0X3T23p0l0UBYBY/Ml92RgRVYafmGzoVZpnlOHCbNq9M+GULBnu0UnJG1/ReBrGpjtsWTVDN8JLx
FwhUsdRHiGtakv+qGh3uwrdOOYZpa0q1C87MPsXgcvHhY0wi7je+fJgjKK+Vt1m0jdJbWbJBvjyO
bzOk17pqKynvQnxfDHckfb2eHC61BhSog2OSE/paGOnm38BzMRVNhzQqPvT25BhutAt+RqCkQQRL
zGCVZGfVIPc+yGItlNoGBnswlRGT1Th/CxTPL4W7ThGz9BzBZADGe1VALy6gyKNBc6PPUaBSindh
vrEguP5xfQuXElGKKV9sIKTcYev8TdxAjG80BARP5Ne6/tKnzvW/z/55PrdmlNd42wsot/CgUsUQ
/dCPO+TWRWM2UF3LS+DRIy8dj020Us+TlhL5U2NcVUavdFKAL5+BmlSH+Mgjqhi0J09TsvND1GDo
p0ydKb+VagTB3po7XN/JHRO7qAugXYiCYYZPUSt243hT5ZCB70VTGP4azPr/lBn/T8Xr7H+nzNjW
P9P3/McpYwb7B/5izKD/MkB2qTPtFoi4CEAF/4cxQxT+BYYKMFuBQg8ouy/15b8YMyj9l4LBZGSn
EnCiGD3AH/yLMYOK/5JB4gK9FkXD+JIMFaQ/YMxg78y//ZgC3g5JWkyNg78XNSQkMufnRJP9rirB
FWw1TWRHpVX7gEiBctSwdeWhxEzryc7c/f7D//sg8oW5r/rjSSu/G5KhrQwQnKtC4kJrFCGX/NSj
cHvdjHh+/L/s6ODURUlHomAI5knYRAIdZWqUjC0m3RYPww0YtqzP5FD1JhOBM76tNTLOI9qFQZ6Q
LcwmWSCyXlhKFm2adL6ZB2E7yYmFrvxK7ZJrXV7a4krB5RwUUIHAN1OPSED3zTFFevnYOirki30Y
XvlmXJfk0h4XfkQxkwiEDDB9/Nbbv2kIMyv/yH+p6JGwqfXADtbElVY+4NdvOnEUUJUZNI6D0hLy
n2p4I67F77W/z/l92QaTKPtNanVN4fV9j5nJKl7DFq05BX8J9TnG1MHZbvnJz6T0JLw/R/WNCUhe
d/fzotvlB2KH/GSzKr1tSdTDTuzvlGCXJzu6Brte2i9NYLTRkEMAdR3nc4LRpnI7oEgOlVa8pNy8
+7PK4e9FnFrgvCz1216PoIljZYnoiKVhorazHf2X61vFTRhcmuFSqzAhrTIocQURcDbcq0LxnhT2
4DVeAIk1J9lONmt46jfKXjpkt+QHyhHXfwKXbF3+BM4txq7WW8xslFY7qS4FLQKhP3paPbQFNE6K
8rPKKqtGN63FaKJR4J0zZRA86cfX679jyWtON5zzmmjIxIaW+Bl+m5mK7CYqxAIh93PdyuVqcbOp
qOOD3Qm50kUuW4StHkkzQv2A4XwQ6KSPBub1oLRyg/YOcC5rkZjrfsIYZ5Ct++Q0iLlGxyiDUGqp
K1YQ3k/TW9Z86Ikdlq8Ecjyo5xXVsfzjiKKruN5BP4WBAQnXMhdRtDHxxamAmhId6gdSJ7ukiFYa
PRdfjDPBOY44pYFY+liZ2h9QthxkqAqvsBavmeBqxuIk09EP4BR5Qm4bTJ4ro36oQO523Suum1H4
cNJVEFgiqNVZqvgtx+x6WHhzu5I2L3geCFhBCYkkCWqwwKqeOwIGzWatZ0lG/ibtRNv4mDegPvnU
oKcuvf7xoBlzvHN73N6l/hxENfP0xmGkWPI+n4EfZORCmKTzjNhZ61xdBOVzgzyOCEpGgx/ruJjb
ekvL15z+0aDDxYIM7iTJZTKMBTRBILCW26qwIcgKJ9lW15QrLjOM84XwZ8cHHspXixbpICqGG/KZ
Y+TScJTbJPCYam+FeYdp82dkm79Xhz6FDm4mZNpQPz53D79VU7XSALgM9DnYxkTrNooA+pbrnr70
jU6sKNyZ1RoxL8O6TC09ViwdEcko3OsWLpNd7B64EcH+BKloSEZzJiJalK1Gv5Jd0W23iTO+CneM
GLFyGWq12KyN6V2e3nOD3MFKIPyUTAogOdD8C+yhkBtTEbvRASWbthIo2Ec4e59wa+POlCGCudao
stTCQHHd//SLY+rfiE22YoZt0RUzOpd8tIXR9kMMsH5pZDfa9MsYmwaKbIOr1vVtkMyb/9sn42ex
x0oVR4z3wCuOyk5yUlfFMz6GbEpnqxB8UsHfsQrRXYyHJ36icw5fyjngnyKMthBp3yoOk9sBSaty
B60WyU0d8E59u75O9nX+3lZdYvoVX2cLL1Zd1nnabTFRaRP6ZYBHWLCRN7/1rKRVf+ReRMwO8IaQ
sMW/MUF/QUE6axU0Jvs2h+KD7iUbzHLYyVa0UCoG5ePaiBmXYFxY4zFrNMC8SUZhzXj8Taac7qO7
3woka8nMefS4NMWl3WkALYQh7HKL5lG/ndDMSEthVciNeff5Z2J8mYaG1MUQ5IuZc22cDQwVYUHx
QfsMgIHIMAChGCYqzP8FZealU5xbY2s+yc+6isaSBI50SwAyS9wkXrJlPr/2YjkPUl9bB1wPqnMg
JJUUSeIur3qSy27SsSghUs04foRQUL3G3XsBooTjnRnhjpTW5Hqr5g3o6Q7ltnFKiCai2z44BNKQ
IA3CmPntTzZGID5o33VTdCBfGZkCBBKun7OlA4DfAQALBN3Qq+TzKYqBHENii51vC/SIN0zLBUqY
ocVoQEJn7WErL3iMBEo7nb0Iwa7Nj0C2eWaE1TjlFrpGLtQl5kRAX/tFV1FbUe/Cyc1xL9SRLRRH
Of2exC9K+L1JblBTyuYnPWCzdNFjXVVWizmzdN71mpdVT2jX+XGFjmoFcdpnv/k1dfs6eFDWQHvn
l8pfrnHy67n7a+p0pAVQbbGMdle2IEESf+G8mLRdQZEsuuCJHe7yIoo2yEaGVmScu3Q60srso5Vi
0MJhQnEbZTyKaXIF49DnhwlqSEGpxxkBeKneypt+AzWknbRZO0zLDnZihzu0ECTSiJajW8kgpUyq
qrL8rWJrkKpCK8n7J+4MaRZUOJHWiPx1LNaS0Koa2mW1jc6mzawVln4ACRUYOtcgrItrQ4uAkQcL
EraR20OxDDD/2FRo8VnoHLOJ+Y1/UJgMl0u28vb62hYiOmrALO2EhA+I2LmIjg6xVucZIoZE34Lw
RVyb/1/7+1wmUwMWT2YK364hCopfYWtrHPJLLseE3uBvQAFecKhWaS8jccYKVL9OLEWY3umsZ1uF
GNBmGTq00GQf+A/wJ7qVXGcP1/dv6WvhnQ24MapQgnox/y8ViWDEBb5WVZduSHWzFkJbS0Q7xuhj
PX4KsFukQFFA/+ZDm9BkjenKb/gCD3MXJnCoKuss4dwJfF6D3nsYTlkdWMFgd85sl1Zgk32+lRw8
+z2w/W1np3pmWm4zhgQaO7ICKEpo9ywlKR5Taw3qtRDQoLsH7nUdj12WCJ1HARUlfAhlRIEV6ZjW
Rre22s4GftwawGshoEGyAi8MQFUhFchjWvETlImSFrmO2lipDAG0xurKleT4AoSMg3hmhVtN2kli
j2kyjLtCFq97EV5CtNZcwZE3EASH3ps92c3j8E07qmB8ip3moz2uRiB25vkvfLpSLnQrhUF6KRMC
XKjKDr9kjzLhC2Oilez4/r8g+1syR2UKVAlUHy4aooMmCoWkhT56eb2JQUQA11buosVzAyAWaJ3R
UIKgKBflskAPciqwmWjX9wyspwe/ZgdyicLOvX4AK6q5clIX9/DEIndnYBApyPMAE86CN7rgXHXi
dg9F0VtWYa0Te47XU/OF2ARqK8gEgPydtWa56ErnsprivCAA1woWhqWt4me9LXYDtSGVZokevRdA
Tt4fI8Y8uyrMtnQMT61zsRfq1Kj5hbBeKILVRtTW4k2Xfa/X6jKLx/BkldynFIPC9+MEdpC52ynm
4UPlzR/klSh3wR/4dQ4NHcIqCjrcyPLOowpksZNIlHKCeVjfiz9zHcRJCqihIAIHITjJzIGRzlcJ
s5c/4X+s8q8rpZCntiawKux+w7Ep+OSSVaqhhXuSkaD9e3H86E+AViTgizCjYFhe70x/lfh52f3/
tsB5gxpHhPhlSMxUtLNfI4pbtmQNXmyD3sDV7cZGkPboDZg3HX8zPhTb8QbLtP/BIUTvGfB2WWd9
Zu4ZRDHQrEqh4OMjlltiDh7AXwEmqCXIG8VO8LjanVxyTpSHRIA7AAC+UONJqimQch/YvMYht9he
8BKGWDLAPIDV18fMXdfpXDSpySxrRwEAqljnjipOky7NUknMmUzf/ajaaHIJRGMRPF3fzCU7AOUg
90C2iCSOO3dKTuRmkOWANW7APQuA0qA0uakDCHbd0EIgQR1PwZGDqi4bUjlfUD1IZaBLSgD2YsOZ
BrAR1Pm+Lh7V5s+fD2eGuKt2niU1VGsxsMoDdZNd4DFVNJDgb/9v6+EiSagpmUQH5CdgD3G7pLip
5MiLyLyrjWKlR7J0z50uSRHO904gM8Zcv57kW91jwyOs3QTGT9SCAJ+zri9sIYqcGePuG0HNkmRK
4wDwiRejeVCTFY9bCIZnf5+LIWNEiZCFavAlCJ+DY0H2MJC5+rxbcOwzM5xjt2Djk9ISji2mjQ1g
imwavmCNQxKZ1/eLq0F+Pb2BdUHyjEkbDAjwF7SmjDHoQxCOarvcKhZorwEGdcDfieAAMbJnaa0y
shCFzwxyO5iFohjO8kn802PEv8Y2cKv8N/GPnRgucWTlLfQBDRxgANDO3Y82bagTH0pRfd1tplLP
bahsoE4yCT8VANzHQduHyc/ru7rw+ajIIEboH0A9jEe7YJCNKF0u+6B/fgP/vdg+CKVz3cRSMnBq
gwe4VGU8TRWzwfSXWAGghWAwSgBmIJlsVjazMbTurXEpLvg/6GUEA9cJ6leXMLt2lKe0glVG/dFB
KXJgAqOrDCOLq2M4K+iVKZhhNdg5P6lJooMxZMUAOyzVAVrfNYAEyCzNol68ETbUnnbGavBYClUg
+ZQA40JtHChCLnr4oqS0ZQNfYXcze2TgMDDfrLbN7fCxdjMvxKoza9xJKEjm5x1la5zi4Hmoq+Ao
E7RgrzsKB7BgJ1xD+xt62ajG45H+FQFOtpIkaUUqPQBL1Aa0MIfJgYTMfbILXSgi7/QDSCG2mPEB
hBWoawekTCsRc2FTz+1zn1JJQgVILJJblSNYxQMjpgm26PlaGHr6Y8JItlikkMiugNRDnYqdzJPF
+nqo5f1YoiNfySbpfqWAbxtrj9HLD3duhGULJ0amPm1CIzRwe/bDhxxFd5WvuNe/2poJLuGAhLXk
V20GTrn8m+8/GN0KrOAyoYEel2qwWijc/SJCCbFRhXMMzjqJPETCdyV7h8qQKa2lMwvLgE47erkA
KMnI0Lh0RqNqmo2SCH6LcPguzP0L5lOvbxTXbP1yb+i6gkYDtXb8Bz8DC/3EELzqIcBwoDyTUJzM
7cAxrGTYQ6dCcsFNtlvHSy+u68Qo+99PPKCJ9X6kECUA8dytlu0BQ19Z1Xn/83JVnB+PRij7UYJV
pcH7DD6xpAd1ObqhEWZEx6dOv1X813r+JRKwv4quokDTUcKICzHHqLbzNfD2ZdSHCKaMMhaAm/hm
X5O0J8tVpkCRs6Iqrd9ss4zwqdmud4gWkhHYQSUTXSImQcUXfufBUEtdAOc7RvdqE+UCL0OuOLyF
D5iehuLQWjdvoXMIgxDfVACiA+iWb5uoWBZ4ufAdRze+Gzx/C0Tqlg1j/pM3ETMFanIcOQOCnNxR
SKR0CpIeVC8kK00j9OYYSIpkJdhzwI3ffnNqhct2qqCegz4oyq9SHQoFGKwBJ3sG/ldGk40ZDBOx
cS0eLp5BoKohCQyxK6hacgExajsUgHMFOcjnl16vE7pyYLZm8MTQIpEbP/+TL4caCPBXUI1H5Zmf
SY/lwMgqHBOLtGBAhtieG1k6cUeHccStjoovHIAza9wCwYKiBiFVQ6vXRSKBJ0SuJzPVfGLmPgbW
aIIRf7kTGxRDAS3xmrB/LseROBXRnuK2b72mMSanQEi2i1wCr5CWAt0tpYoTjqQ8xkEcreSHl2kv
lLUBQGFxEUwgvAZvRkRiaH2GkNFWhT3pRDYnqRssTSuT42hAW2QIKPj1RBo/XI9dC1fLmWUurenx
3jfoLOBqSTc+VIyG8DmNOytd05xd8nWUTVFkB00vmp+UuyPhGqJUd2kJPViZemqAUWElHqMDGQvN
SkXhUUwL6HgM7QvBJ4C6XEUPAV4bNcrX+ZjpGL6ORHNQpT/lf2BpK/qVGgKKoSO6cN5SNUYTTuwQ
FspO96ntz4+1eqelq8AHdgucv200MBeAQx0VEAFEUly+WlVCmyciDEF5Z/g1gRu/MUELAlrumZqi
Ra14k7j+imct3H2YTJCQHuOsQ0OUu/tiFATlCVSnlt6lD1ldvPWYn7zuQks5I2yoqHEyQl+BLyD5
6KukUgYbg1UfhBd5U+AmEL1qq70DCrxmTV7aRsx2ARuDNwcyovPbfB4yY5JzgtPtMl2WyGmLTel/
gX9QVt1IEJmyVxa4bBJJuaJAWfqC7GmMOkjgqixOg+ypvWNcLo0r1yZwRlbkptZaF3LxsKCf+m+D
fBVXELosRrEH0MQqhuSVmmDMlxq3ZZvdFM0U4hiI4rsSD5um6lqX6umnmIeiBxLVV2Ucw7twCGRT
CP1xDRTKNvfCh09+GOfDijAYdVMhtwCdACoQzrgnYDfWnlk9IHLXSAuXPevEHPet5QwAgD5CipEe
6oPmVqCxJ0fRYtDnddXQpSB8uunMC07ypsEH4AUyIxhEB39lZXiK+DomrS1IPWbSISwn/IOjibQJ
/E9gN8GTj7v9o2AOFZC94SNHB73+romb6267FG++KikM1sKAPOfrGYsOzyvodVojlKp8YS+E70Wz
choXMl+FiqABAgMA4GoKFzxHTZBzOhMkDulrDa2cZoBSffNICXq1ytoxXIpliGIK6rrImtAaO19Q
H6Vhiuciupi/7PGt3HYe9PXM2mkZUIdaIJ1ZWd3SDmK63GAkb3gR6dydVVHSBLMOIEWpdocoHA5U
am4M0B1e/1CLbq5TqL6jBI/qON8Qpz2krjBpnVkpa9W228rz7QbDv6ZstYCQrcazpVN8ao87Vm0U
YW5Chz31vsYukhvlUbTQaMRsF0QAVtx8KW0HtvDv1XGfbZYaZNkyXjtMAni2G0Bf5CODhwTuGjxk
KfNDEwO9fHRooVDLfTCxnSUpDDoIWe4YJWiLgq+Csa5/gHkBhfSJHe550MBfQqPoWG9v+vU7LmWH
gYFPoYiy+rmWcjQDzxFYpKh28Y9msdeHfs79zJKQPNPbYpMf2m1xTxzf1Y5hZktu5nava2aX9hIl
B5w3CWsV+GdkWHeAESQAT0qNQQ8kUsFHUeSv4yRloDyZPJrUAKJBuR4MC+VKweMiFOMkYAYED0s8
9XRMv5yfdE2M2obWuP9IeZ+I26AEIYtsBmAHiZT3vlbMlQN4EVlgD9mpBAo+4MDBLnVurxirQBK6
urCGXfXSb0UT9TershN8UwFYYrJavFxa4KlB7gRWgAGFyoynLHLvnTEqnlj+ipgGVxbaqky2oiF+
u77GpViGqIk8jWllafxrXSSFFOZ1FlhE3Rb+QQNYulrLDthJ5rODUxvcZ6u6DqSwUpJbrdsHTocS
pcvgYOWmFXcjBB+hEbsSXC72EWr1+BfY2+AveEBxsWXQ5njOZKBhZ2JYUeUS4ipBABLMfYyJcl/7
dX0TF87EmTlugZMARHFcgIx32DG8YHLsUFDHe3FNNX0hQKtIDYD/hu/LFwU/dSjlqk8AEpMhQ4DK
PWPSVg8jrjkd3GprJ30hvpxa45sTWSo1tTig2AHWC1OoDkajWGG0kcTn67u34IKwgxtOAdQKzy4u
OqOtPIoJWELArQdx1exmjptjpQrv160s1aXALEChxyJgfgnJyflhjgitkfEUgC6DHDPZCA70j6zI
qvvn2QE19O16KWzJLU4t8tdB5I+RJKBwOmm62YypXULsIpMsoeqdrHk15u9J87iyyiUXoWgSAEKI
5OuipOJn5aT3bDPbz/AJTEBe6CL16ky6A+4c0JLr5tiecScb7Yi/rXF5XkOaQiknnDN1EEAilXUf
nd4d49ifzYDIUDr9vG5voUhlCCDg10C3DKF5+tUnOUnGSVENoUJqKBZ8L7ci+tAskCQWWFle0o0A
Cau1XO9yhcwgSlQ69hL0r5zXxGGc+2h8o/FBQYMiv0d9arbT5CbNTdisre7yxJ0b4x2maYsELEo5
3rCYONqxMBnbhkOOxGMibkwa97+gKbk8fwY0ilADAOgSiSafPzeNiBmdElZF0VQhkZTtZJgNjtFh
eNM8Y6fsQUC7vf4h12xyEbPARF8HoResVJQwUxqAMaYZxCNNhnTF0sK5RycQwDUDglNg6OanghQh
iKFPgmw9f2tt38swodND+QWQKzaeQ+xqLUqzy+X8UJwb5A4FyVrUrRqgukcXhX1LfjVuwhfIGQOj
ozvG3RpaYqHNCnuAOSK2oT2OetV5YEt7COL0BFc4ayIrx8lipVSQ5mFaTbyBxuqb7EwbYLKuf8E1
szxJbywPQdsCigizxQvaF1Zqd2CE8O0SdGZQSmVSjvTbGuH6kuOgpMQiOMOzMk6Q09d4hYeroLHh
p0gRTGSC+gjw71rddeHlZaAHiScsYE8A5fL5A8Yz4kTvsLbW7r9kWKFffIQmLYb/co+sZLVLO4lw
jckPRRTQnebLvI2aNqIP9TUk8jHBpEsNerpbBtBvoJnyCsa0ElPd/83Q0GU4lVB0lRHBQQyLZzpf
C8Agqj53ArrXSCggXICpEHxFH1mFccxqIILZmMtaWnFxK3I2uRwXTeSqQq+boQ8g+rb5H9Kuqzdy
nNn+IgHK4VWpg932OMzYnhdhonJOlH79PfTirtVsovnNLBbYFwNTXVSxSFadOqfcNUF19z8M5l1E
CmOHbtPNUdF3TTQWJXAAYIZ9lYPyWJ+G79VNH4Iv+KB8hlLzr/Tl+p64dE11MGCByDFlzI2wy5k1
Y7IOJpozqyJBwAoS4AuyTDV76G4+LvWrAs6vvtWfr1u9dBRWMZ6EapOKGojMHFHSGhUY64CClKJ1
gSJnrtxJvpPEwV+YQT0Kry/UWE32OjgU2bRE0wAqieG2t2/W6i63BC8FmvXPMieIeeyNCea91cld
FEsDor6zCzDpfslBZ3jdiYsTlrHABF9ldY7adWPtGfY3jUoPfiVrENmCL8KNAxw5OpxxoEZJv9gm
9Ca9rKoKROJe3nqatnpyhIejeWPUjxoA0nb9QyK76369P7svlm5jkjl08FuyIS7xdeajEtaxC82P
oxSkGJQngfM7c4cTrYzOnuilxUkh+GaoB0CxUUGr5H2Yb+NrpU2JHCtGDWRqWe26Z3pl6fbVgiGN
7i7+iaQmBNZdLi8tA2BUBK8FXOdZfIg2ZDjONTzL5SMEHXcm8EtmKAvNXN4c3ssNH3aYNbUjp5vK
Gf37GvSg/viNTkxBwhy7GalxQCtblBrpTj3/iOeOMTt5sqxlzm00wxoQMyrVHg3FVn8cQY87Fd8F
AUMRm9dsMQdpMTZpvphwbiZQSSO4D6VvU09+SFX2PJTGXqK6yCCuANNhRr5cN365z8/rKkxqbjSr
s2sNUAj0he86sLFm+SzA4F4e4e+1GxPtQ3C3Yxsya5mimzokPS2j+0o4PYOJ5lefuXNINU1UoLS9
6y5dJmHq0oc5ZjnBOl3rpYFPZ64nMzk66j2YDP+bCbotNjutzOZxLGpw+Zh25mlzAlZY6XXA+KIg
R3K29NaXC/1IAh6swZjQlpd39s4K42NzA5IK5xud1KmC6iT9FAp08yPi/5fvYoBvVdZmqSYUvjJl
cG3M7ieCkONtrY/vc6Hclo9ZrygVDkl5rgO1u8tnMGCCzVpGjq4FC0jzAru1traY8LYSIHpmB7EA
WOradbhcfVY1ACmI4OLIWzQAXkAyBxyncTGgj1dP0Wk2QtzsE2Oft2h4DNIgPVwPOxq5rDeYx6Pd
eV3GpmIOswL37UZSMvSnMUVlmbtsAqU2morFg61+WbWn69Z4+4hCwOhrm3bgmSDXWhmYmhipIS0D
qdnH3cHU99dNXCgQUSQblk1BCgCoAm2c840UawRAhBY3Q4qEUn50IPfA/IZyl0Iy8o4CRQe8eoug
2E1v8nchzoZ+fWY9Fby1AXDEgXn53G7ntqlitZfcCHTMHdql0IPd2bfr4uVQ/gzo4Jjo0cT5hHgp
QVTSBpAZ+CLGYTCGW1km4wncG5CtMXIvm8pHNTd9Nf465VVYyIpgu122qtER35qke2STrLo007Ji
whpT6WXFN/b09m3f0tt3sp+f/u72jeEYkC0A0ACkIgrA5yYdqWsnPcXC0s9KR0a1HXjkxZPNnA+o
ovVH60+ommgsHjImBgjMa8CG9J0WTvfrvgRpxYkEGCxxq8/r/SjSmeCdZcDBAodCb/gm6C3PPVNn
dZ7qucWg0dHe9Y/50fGMr6Cq8lVf3turIH3x8v/WnMMMe7Q20G8AiEtAuLnqA6jSAh14lGavju4Q
UKOpEI/CtQkQK8glKWj7os5myBEEf3WJdgOlp+RnE6a5G/nkUXucPJDGh8UcmI+CPMDJn+rWJnNm
F9GorwltoMkPZRdKhScHplfvTD/XwHYdTgGd2hFemNXL/X9mlfmYZq20ijzCU8OtDrKXeMqeXtQB
fgrVmz9vSYKEVLVNRA9mKAH5Z84iCJ6RyhlloO6f9OO4S4+R3/rZNzotmgS6aEV5voHIEPynqObj
azKXrpE0jkZkNAcpCEcB35QCJgNv9frnYWd8Un4KPiDd0UwqxYvXRokGnCQgq2E+YCLJo1FMdQxz
5Z0DpbXpCMSJ2+0qTwTT4pzpgD5TMjoNhRpU7c+3oAN59UWv0AyJMseDSMEEeTcz8kzp23WfOPcU
tBsxRAncH+pBBrP3qtGWIzCEVZ4FAePUCnNyX+mfwUcWAj9x3dTlSDhiAykF1kz0kC9GUau10/ti
xuA5pTwlvuK3u/lO/dI/9l57Wt4mcKwZ35wH/bbzql30fdmL3jvvNQPmA+JCAbgWBHrRrGOjc1Xr
LFUGcHlYawgRAX0IM/sA4oNQBhv6/HOE2Eih/8XLAEIqUAwCDBp3dvZTop86q2kNmpXhRwUl5Apx
Qx6sh/l/qnZx7jNnxuiO2Z6D7VrFubRSxPB9WXyfpKAS8eUonOP9zAazx7Mi0pzMhA3k69c1VGlO
cVtwNHgTqtwWBaSVOChi/7fo1cPZFQC+0YlKnRLk6Ewuk+0VwJwFHa4YKqTK+LuOf1RrMI0ivkve
KuIhhy68DgS7zoIOrEgpo9SEnaR1IGP+tZfhouFf3w88I6oqW5SQBZBI9pSlxcK1NKzK0xIIYy27
Rn+dSkHwcY4c5ON/bbBHqzVJVk0IZlAjipVboVdTCry4xNWAamprgslUrdxnkBCFG3TUu8c8Pp0R
Qos4fW12Is4fXuRtbTHRPeG8iYGOBGUHKap9PehuLsd7C8yqMwQpwLWa34HBZHf9O/GuQ2ceMvFe
tM6Klgc87INuck2vuo98iNYsP5J9GTq4tjwLDHK/GkC6eCrg2+EMON/EFSGqOfcYOEy/EAjYgqcZ
RS5I/Oju7Cum24Z1mASibj83HDdGGS/VWJortYFRs1R2TT66pimdykU4PCpyjv59k6GqUZJnUth0
NedgdtAAwMDSC7T13Nq3VsjDS74mWFDOIacBzvbvelLXNyZrI41ypGakfTWBTDeGvZPjqkdeop5S
2b3+8UTLyDxEklpFYSYaAAVZPw2qFyU3pBW8w2mWY0+xrTvsrWeJsy4vMUpGCfn+Uc5VAjGcQLRq
zG3H7Js0LTqj8orudSUOdLv2FuStJEKVEP/bojF5vR5toi+473hxfFKUT1HvS82v6yYEYce2E5y1
H8e2hYkMgpfrYLnaJIgywZd/T5SbKKs0i0CZBp9FwehRMrs5AbOAiACG/+0xVGXqUCTAPfQ8lOVo
tXo1xu5ZSSgb7gCkJqCMLXBi5DE+yGH2hYJRIVUmPRheGQrv9zQLXMbeh302vMtoUpUWN+7sQNCp
XEa//Iw97BqQcAqrY+pXopEN/rJ+WGSiHf1CoiYLPDZx5mMcotcfi3p3PThENphQb0CGqjgpvLLH
WzKFzvSIdvp1E/xTBK1PPOFxFbzAA9lzoS25igCcIWi2GwECCrInfDYP/LiAyf/dyw89ug+LjFdF
OjvDvGIDwyPNs0KwKAS6qyE2jnTASgQM4O4wPIwwnIABK5BYnYemOcZz2mdwMLX8GaITmfwqWEL6
L7DBB3QkpvJtlCUArD230FhmtywmkAfyMTqWR0qkoIfmDWbWPYElujSsJRwYeMaiaIZKJ2NJH+1u
6AmeKtDcCvpvkOA6VmH72fykoyShBfXBDjN01h7F8BjeBsc0I9heUPMxLoqFibU4WUcffqlWelr/
kleNmzTHpVfcwXmc+11EHq87y7tUQ6AIRRZoyuPZzhz8q1NYIIDEqlr2vYlqv/kZ0jP2H48ZICq2
Vmj0bLJjYsR201Ar9VxCe2B0l1awibk3UbyZFYjJG7QKwZwieE0vk6a2eGj5y281WPfKXXnI9jTW
hS9J3qIB/O8AyEpR5WzxL22Nos9bgov1KQJBSfWWAccQHzDi0B7o1GkBNIpzEOHfeHlqa5W5GCp5
veROD6upBN07iMrNX4c4vB4OvNKYtjXCxIPdl1YzYXwXs3hAo8hB9op6Ndjd6bU+uje+zdDoFO44
kWdMeFSyXvTaisqmvgRxVu0TeZ8O8V7gGl0fdltvXaO/YhOEWhzXi2nBNfNr9ax7edDW3rTvfSAn
FFd8WoqChP59Y25S5yqrqblY2UcgM+rV3lWk34NkCg4XXuqlGAnIjWHyDeWpc0OZOrU9OAUBabVW
3yRQzIGGoWDteMl3a4NNiUlqd6CvxRfaDQftBqNgbvRkhtnREVxvuSeljQlUA1PBUI5mC95yhzlI
h94GKXUg3pS7dHfbY6oBcrfez+te8RfuwxSTMowstnPJgFMp+RprNzKg/dcN8Jr6mJ/714LOnIrA
hVt93cEZPB4Pzo3zQva0xjz7mjdDyPXrXz0ebQwmOhpQpCaICM9jocfnV6IaLlFm5g5zx9i1h3Z2
e7ywMB//Y179vAHLi8BP7kpuzNKtt4n1Xi4j9ENgluomkEP0JcO7zr41oNPQ7NIf4vEh3uba+smk
KRMqIE5tYGEhFJmZvTuhMT1RtL0pQAnxPyEIOSlYyDIu5i7tFXWHaIBroEbd6SlerP0v2u0Zbzt3
VDF6KbpJcVxDvRAlUnpV1FBuPl9LaZ2RhFuwr+SNFpQd9FPt5qHRIFbaKY+C70a/C5MSz2wx21p1
VkvrFYduNsyxer2nvDh4QVBGye6zCKvKyfJnxpgb6QImQrmo4Bgxf8T9UatviBVcd4hjAhcZDBoC
to1CMxv+TlMRu4rAHNNIp8wJZ+femB+um+AlKDRyQdmMUWPKhsJkDQDWHIsYIEIxnij6FXeyNwes
CTvrWBxnl/zN04E2jg3KVqKD3Ig5tnQ7q/qCgNhlBv2gjm+UVKBQpeTG5n78LoKgX/KhYzoCDWs0
OpCBQQLI7CzdJs1cmQlgcZiUG734m+zhVHlo7/RAgyQKFA4O4BSzwOFq/TZD7TiC/aLxRtFhTRMV
E5n4GRTnBUkMtK6ZRNZJUMUFKxswqUDUaLdFqJWA3oJ/vdtFd/n369+Us+VsBZBGSCug73kxZraS
pBpmneI1sKOj5tMSfVmUDDPNgvDkPCzO7DA7YJXsWqHgHXCnH5zGL7LZTZRjPisugMZuXR3+m1tM
pCoEnPLTishJM/UGys6+UkE8rx5+d30jSpM819Dvt8CnjPjHA+08a03KpJRVAtdaI169KqtOTR15
2TKflnjZD/oJuu9pVh0mpYO4Mer3qXToIqi0ppCAxrgKoKp5aAwY7NCq7Mv1deBlBXAPmIajYDLs
AinrkLhRVhO/rc/LQz9Pu9LJfQyghtfN8Fpc9tYOcwrK9Ww7rQlpdH2n/jZ8E1cl0Iz4+TsuEniw
9ab0xpAySOdoNe10oCRFnUOeq5QDHXlJ5fA7DFGlRpGObdMXYAGEEvxdLnnX3eR96a0JxssuyzK1
yHAgFkU4zqds7QK5udOHKshRJ8yyT9fNccCmGNcCWAtbk+Zc9jVuq0OmVRZ1KYDagBO2J/REWx/i
p+Cx9bIb9Au97LPtdT/Kv0gL6ItiqBxjfZfM/IZMzMmMYNmWHuW8dOf8VpEeMHvqXneR+9E2dujt
anN7kqwkG3GLRJFrOdnNJ0JyV68EtUOuDdDHYoJKQT+ShSEN7WxaI6UxTAmU4KdX0yKuskT+dU94
iRR3T6CdQBaGZziTcfoi1mqpwU7TB4hdj79LiFlXmJpdVsEzgWPIQSkIZDWYYbikqE1Ho86VCRl7
qBs3Lvw0vSMWgIrk9bpDvNP+fc4fWQ1qxxdlBaLYs2RPE057PEdotRWyyhjOqA9FkN+3e4E1zqmH
PjFqTgClobjADoBZWSM3qQXEuLqjUK34qDxAfx7gCUhwB9dtca7sgPhggAAYA7Dgs1MnhT7Ik54B
Nr7aQwAwzJ0WdaKrEr0rMIc4xrxQT6AQAxUhzAT2bJeQ0TMST3WqN0eZAodqFhvj97wcoFDfQVTc
9Fozx8yic9styiepzd7aaF4EKesyWtB5Bx4NbWPAxi9wfl01ou+kArtIFsWzB8eTs+4QpwRZshbs
AM57AbboRCRmTGlrl/E5ahyw41YZJU+mNXLa4BogWle40o4OgOkidlSabs/XmNrDV0RDAHbZ6+Ha
WTYpW5AnQWYjpAEaH9XDD2dXYQ5LdIPnFNnOjdGF3mSqgjSdCpBpjcIX1U1a9/ZtfQC1LRwTPYMu
4/PcFPM0SeXSTLMCIN06dp46R/+mWrJo7S6327kNetRt3FHtooOSMdyhV+vxLgWMb3At0MiUT3/x
RKa2EBIAiOMaz96razPJStDzocRa+Erq6h5l8NE/QTUsxzEG3IT1Td63L9c3OSd9nVulq7zx0KpV
NYpb8MnID7GJMe4q7F7Ug/MVDPp33emPSaLB17/1kR5CW2vtgOGTho4kJbt6etPr+ybez7kgrfAj
42MlmSCs2iqqMguIZ8d4bKVD2xwEiyYywIQeSOW1thsQFgPgpP9sqeVtcPvbCgJraBwfhQVl7iaG
nAylucBrh02UcYJ7pTJTcPWMgbi23tftd4KxDLOY9hiQepVroD3L4lWvV0/H+Etqz6K9cJmr8e0o
7wtaOOgDsJOrKyn1dWnfnaZ1X0iwBWRvQi0gu8v2DcjSBJeey0FEKu6AwweVS4DpLm7l+jJBxH6J
cAApeiBF0NlezX0TR75V464cRTVol5NDnE37QlHuMcMRahaY22TAUe0JeswgwFfTz4JPz/sQyrsw
Do4tFF+YCG6s0SmGFT+q83HZpHySw83kOR1kSgzUekQfnncwbc0xoYy+TKqlFQ5IvUsD00EH8mQu
ij+Q5//oFxPSPUQY0YCEX/ppDChuYLXc9BbBhAGVyBNdnHkbaOsWk1c1tTbapoO1uXiqe4Su1oqi
hxeuWxPMMSvLWVEMFUxQ4mWACb2MCjA6QQ8mmiKYe0/0dufHK4ICc+sgC7ZZBhw1ni2nGGFxeZhe
l8WdbiFe5A838s9scaHYg3uop7/EPskEvlJX2BNeQekRnSa00dCTPM+qygKyGNCpwnCvErermj1Q
cvt+SgE+LaAGsRYHFTD7tolE11HubthYpn/f5HOlNyXJmpfEqxfXujfRBS13a+zqyrvYpIRdKriU
8vaDCglmbD0FhIgswMEY1aVRGkxaW85pSKHube4NcjAq0YuLhju7pFs7zL6rZ9S/yAg7IGtypQbM
5/GNuvxEwHmO7Av2Hm830JIk7vRQqsUnPF9Fp49Ua0pijEeGw+3qK5jN8ag8Ix6vj/REsWZXlFdo
mrr0DzVDQCWBmGTroF3dTbpKFBTxxhbUSOEQE1euBeck/2N9GGGiY3X0Im+7FYSq/VHF8KV5IzVP
SSOaEOCFP1iE//WFWb62T+aedDkGnGLnIZKMk6qs4ThZx7os95M1f9ZSJUyHSOCdaAnpV93E/oRx
DGtQYTYZB2Bdk8OsF9h0jnc9Orhm8CjBwIyGjj8rNmCuahtHFswQdQhai9yYo+bJhmgRuTH4YYYl
c9RkM5FyyvMnARPim3qNmYdSSQShLnCGVeSRki7RnQTO6JAUkErpdiVtUEWzoNgoMsMEXpHJ9eTg
4e/JxaFPPtXTsXAer38W0XoxQbeUqMhMGjwxyf3aoe5u/UVdn1aWQOBGB88A+mCOZEWu1EEvgC1u
NG+6pdw5up98cR7+IfQUZQTuSwCFLBuHBcQ78Ao5j+dUa8csr2AuOdjH6Z4qB/evNtj91L30SWSN
+4Uo4B8NLAifsWelVSvSrFR4vM3l6iUzcYse8vDLtLv+lbhpfGOG2aMQ03XILCMQmqi6dfT0NR1B
PmoqAXDwbmWpf5MSNuaYJYzMuOzXAV4RyXIt6WaawBcv0s7j3jMwNPjv2jFnkzp3XQ5RBlTSA+d+
uqXaC9ON/nPCK1Hzar++XzC4I4XXV5JbtthaZaKxMfWmsho8FKX9GlL95cmNofSgeDJYOWJfxKrK
/3KYbUE4IvpZtslYLVMy0C+XSXPYQWl3wCVq7B5JXriVInLuEr3wPkwKWRDMGl+27BajqsjU4sOl
KVhC1V2vh7Hj9+temytXMr0Ewu6aKcjs3HMLzPSoU4I18YJpLO6Sdcp6PKgw8IJhKOmuCdJP+l7U
KeNmqo0Z5q5dR3O/rvSxiguNq2TPlgg7yw0NEHEotNKKNyr7MuzBm24TY0ZR9xR/G7/oAJxOeyPo
R+D8/xdiAl7ywBtUxwGLWzaYd84zldVYfU9sVCaXPPdzUJg16hyW5iyoiHP90rHP0NenT1D2Xo2R
UlOLmyxBZ38N6VMvAmChwi2eEmgKhQ153wnzJBgZBVEaBmNpuGzuE5jNjQfcETGbo/wa5S9y5V7f
wYJ/nx326EjWO/OCfx+kYWANU9OfpjQKQpr7ZT58cJiXSJx3fZZBcs+TMAeaQPTbeZNFUEHerRIS
SAg0TMVgYIxJRAQUJlVkY/qmt8aDohZuFs+AU0+j6WmRJHjh8BftwxizeZYetaSxg0OmhAOxl+6H
Rfl9/btw1wx8OSBmwRMONf3z757moAOTC/hTZkvqySZARjqJM7cpieDrcDploMvZmKJLuwmxfDVr
iSQxrl+zc3AiKFJ02Y+2Bx+fA3FbRfNv+u/tl7H4kRHV19HqlrvhayFlxwSSKG5Rihqi3HIxcoaK
AXuIMl/MMVpzN7VpBxKJIkpMjLLQ6TBbTncYiHrJSQFCeL34JmUlqMxJP/i4aQ/usgzCUhPNGOxz
aPs7mAtjOSkjlFmR/3MXJ1xzML38OHwHt8o3PXUHTJ2I6q6cuMKGpkkM8+8YOmSCOOon3clb2nAw
J7+t+i/mmAhU8jj75MwEE7oyumyxlaAKmkcvS70DTvXQ1pqf61+vxy/vPmJDMcM0QIaLYVv2njoN
M4jEZPSkSJh8ksF1X5+cu/Jz7qUHaUd2WDwZGFvRsBdvBZEOQeYP9gLgepltY4xSNQPIVnuxM6H0
mT6mdfJy3TPOzsT9FLhk8ODQkh9zzjROGWVKARajdLLG09AMIEFs2tUrzKoWbU3OZQCNMACGVFR4
sRkYW0bWyTHmDBrUFZWw3AMHcZvfkL3+vN7obw3m3JfbLnebk5W5y43oNs5ZSyhca/gPtLsKRsrO
84K+DrZVz03jVd3BGr4Y1R83Y3UHjVhQ5AEwZNssVqdKMA0e53AuS91OikEjdCsB/BeL4JQ0pJlt
7CDWQN2KmhTAJmxM6N2iFRb80DQ8+h8i7Sntg7F8Nvs7A+3569HBGXSlwE1EPa2HU9rR81XDCDYm
NmIM/pWo7R0qv/0MED6oHiTPCKpv8mH4rXkm1DJixROBYC8/GLjDkTooGTvl9WKipevmrJLiDrCq
DjurSV9B9ysijrxczHMb9DdsDgu5s61YL/DRoOyCcQ1bc0er+Wo2yS4qyC/0qN3GwbxI/UCUJVRT
EILm1i4eASQt5psintzetryJqG5pW38cT/SnYb4J/WmgstjqlabVST9qOBVs5wlDW65h35V27+al
6AZI8/55QFFDiClwQGD8nS2+jHNDpkiJi/fmPoU/pkEcWAGk5oL0XrQLL9MNsJwYKUESALfNxSR4
2xdWYQ1d4TW9348nabidisfrMcszYb2PJFAdSYhGMd9U1iN9TobiHcNmf1nim2T449oLOP+g6oVh
EezCC9IFwPL7OIvhRTR8NtK3uX4bG/+6F5cn27kJ9mRz8nhUJZiwrCx9AVeT7it2T/Z1NdmfbTUX
1de5q7ZxibmZgw82ylod9io7S3eR1gGZJ63xfpicXuAa/QBswG1Wj8WDz7PS9W0yo/qrgN1N/yEp
IL4sSq9Ug6EXfCnBMrJP7CKOFD1r2sKbu+hVldGGSUrrtCoNBO/0+vn6N+PcPelHQ1EUIEqUMtny
kgKCtcFwbAAd9McKoixZ2NxML3TCbYWoUdDXwD/Ibu5Hd6JxLb6fH5bp3zeJrJHWWslxHfJ6Ox5d
yxkyb5ygBgKeyiqsqnYQXLz44fJhj9lkRZfIch3rpZdjRksnz1mDg3sSpEDO4/R8PZlN0JtlEYNi
KfWa139QxnTkon013/V+xHh6mu0vA/PDKWYPqOD1XFvTScF0+2rkD0n05+3lM3/YCdzBAU4lkeDP
nB4okEp6SUIHqjCn8X22I/LUv0nudIbknXSLtpTO48JUV0smNiziVjL5tOeZ7+SnEWyKbSju5PJ3
9oc1usCbKLQwmxtnKiJi7DHzgEnVQkoOUQyUpCrlrmKIHnuXF0q6nh/2aJRu7KlSZRJrhHea43hN
c2jt+1He40ESVErsz8ZNC4CxYI/zI//DJrPTVCsaxzpGRoFU2A+wP3vLKQ0iwzMoGpwisyfdz+9F
jVd+aH5YZfYbptBbKUr7wiu04aku50NcOgLPuB8PnTlAKSx6G2CueiaCXxkmIwUODYE47ath2Nn9
rwIVtXmIBBdLrj8bY/RSsvlyBrGcfjbo8VZkn3SHgBBN9PDmfCiwUKLaTxEd8gXHc51V69xioA7l
9xtDDQi4RUSKdSITjBf1pAMzaMNE7ryoyV5WbvUyvB5vnBA/84LZwA2RqmogUupZMYbc5YB0Kpg+
YlfrbjIFVPzdJ3P6cd2kyCv67Tbfxl5izRmoV6rRuCUJ1AjBPr1dN8Ipi+BZQd+CIG7GqDSL9gED
hmT2Exwj4XSrgZArPvwjfZT6Il4Pzi3fAPrSAs4TLwmDlbvQCLH1VoJDWbRLsWi16fjppGH04Ceg
Wq60Cp4VnMMYSGmMIkKbSEa2oQu8WUBJ6zs8qePM67KvSn1M65u6a30jKwSbiHc+whAdjIFAKsh5
mfMxAizc0XAVxYN66HwjLMJhXxfQZpBvyxA99U9//vgEPMuEOCNIhuTL+i1ZI7PF2A+Ka8VuLWW3
nB9KOpatnIj5uRFVQXmBuLHGVnOHoVO0foR7cfQy6QdNujXynSAM6f5hzvytR2w1V0Y/MO/iBRcn
DO0N9+SQHpu9AfQjOQ0n8ZAvNzQo1RhlTbwsgSQ1qZJ6ATl1XfyuxskzqiJU9T7MYlNweeIuHqBs
eNmhhI+Z8PMgJNOMsbYBlxmCQ3HZjc0pEgHdOZSTCAdAfGkNDgNDLNK9VhKplkzc5HtoTz2T5xTy
6M3Ncq89aMfINfdZkH2uBZuLM5x9ZpQt5CA2iw6cR42nPNn4Xw36D4ovxkMZYD1PAnla8VUEXOV+
tg9HWVkqHchps1xRwyXKba/e2PGJDJaHLS7Y0ZwzeLugGnOgRGRKgQCHnbQFR0DZxfkuqxun8+q8
tw2osxdPlV09CPYAP1T+/YxspaXU83EtFljVHxbMuZFD/lC3bnczuKYr1+5wp7rLdyHpJc8q8jHk
gTBUqlw8oq2kGgeS4AAYy1959qUrerf9Y6EjkPRubTAJssGAsKoDRe1Z1VuFButUB6WQdIF+FDaF
gMIMdpCGQYbAHNEdSaJyLJCmnL1+bMLsHhdAnGUApnlicgzuubm1xpzOTu5ETpqVGSAMVFrlHy0e
CLbjWSmiuuFc0nBYom6JCUjwMLJDnlquNHPZ1nhKVk2Ieo5nd4L3CW9fbSywDyJjzRvwnsIChHoL
F+rLvj0PpauB197KfwrCnLe5wCCrgAuU1vINJiMuhjT2S6qDBi6M9+vzeJp3he/EbvFS/aaqv2h+
OxhNSO+lZ4Fl7kKiVEtHTDAYxDZZiT7oy4q2obfgGXs7HaSXLEx3BFKmDgBwSiDvUfJWBDNjIqNM
LpFNNJHyFkaJtvr2iBE8RZCteBbA0oJCh4XYv+gdlFmfmJnUZchLSBUQUjGqx+srJ7JA/765SSUY
qe9R2sADUvs99IW71uF1A+9Lz27erQ80S20sGFY0JIOCVRocN70r70YofiIgIIy+3tnAEhzjnyBg
3xl+etdBCkpM6MfbAtsfQP+++QHQGUxx4cYPQJnbT9bvRfVLq3etElx3lJs3tnbo7tjYGaZqTbO+
QTiExXMZ1FC7rg/Gu8iNaGqFMwOKUN8EBpN242KW1DmBT9lhwbZ+pOR90z7xqCC1/kyOo08F7nPf
Oig/9dfqUd2bglIL73DBcAR2OsD1aD0y3lrdWsvjZEP9OrHCMR09U893qrwKVpX3srDfSWMhjwmY
BpP6C9B4Z6O5Zh6YXd148aoxzJqDYb4RMCapT9c/Ie8puDXGbIZc74a6XGFsgVIQqbK9ZuVBklZu
g1bdoq2eCXKV1FQFFy7uHqT0wib4caEXyKRN8BQOZeSMmaeWybOj1Kcojb3rnvEyM8Yy/zXBpCpD
rofasVGzrMrJi+dbSx09ObkpsmByBF+M6w2mP5GEUaKV2WfnvLT9OgIFiBsW5MLnfV6IRIS5G/rD
AssnnJsrqSca/JNx2zafi/qTHlXuXAkqsNzHH9qM/+8Je5xp2VKl9kg3mTz0d2MsfQMa9A2TaYVb
92bnljGZd9YqR64zJtngamsGJoNp/lYZcwSsQSICvnI3w+YHMV+xXOQhq0wcB9aSnbSauPVqvIL2
/ACmFleKo+9mIhruF3xNtnutZXLeVA0Cp1xGtCStRvHrOFcE4ck/JDaeMTtv1uoGhU0stb6bAF4v
/NXN/MovH2zfCEzMAZi3Syj7uZ+4Orbn3nq+vj+42Wxjn/59k7uh2JfUSU4/NeQLpskjkAedhZhL
+n0ujsKNFeYk6vMx6gDuxAnxOgfxzQq5WKrxrofQ6gxFFBv8L2ehckEHsXEhO3cpXse507sJxoY2
JMttW4qOdpEFxh0CRPw46gThqM+4uSouqFWvfxaRBeaQySG3HMXRkoFgSHJtO8jVQWCB/+E/Vok5
SFNZn+VGggUjm9xheDasDJqRh//mBj13NtE1ytmiRsn7p1BcWevd8em6AW5GdEB3Dk4GgCfZ669S
yE5vTvgSczT6SXOv9xNYi4lrD4Kjip8TN5aYFLRYSTIk2gAqnwSK4B1acCBw24M1k05EAaYjVOzl
ViMQxP/6pp0v3jTGkR0b/1gcfBPvP3DToEvVxf+zTV5QoIIEEnlK5HEBDuzaXsdwNYLCTAeQjeoe
ce5WW1A+4n0zECQAtY6BHRUyrOd+gd3HUfJ2xjOT6J+HbgCPEMo9vxxpLA7TpP5FgkOPCkwGUIm5
1EzoUr02SWKVXpsddTtQk7tmEZyX/FX7MEE38ybK41YyrYyAIrsqPKl7snFCGpooq3FPiq0jzLKN
g7VIs4UDqVX6aHFbBzRBMgGpvtWOFoiDW9snRgeh6h76X9Cg1NyyT2TfrtYHkievqpU/LMuou+WQ
xK7RknZP4k4Pl0HtT0ZjPpMxe2vaVihAxcv9jqKgVg2SJeeiWlgZ/dLnCraoDBZbKFC1O3StH3r8
eD8D8l0owEm3BXvWbO0xGxWPYdKaE3JOhbHFJQCpGJrljlf2x3p8n8d0fPnxehbiDH9gtgjKwlTw
BI8CFhgSO05RkGEGFsCrVNcIlT3e4MfyYIEL9i8zA0SigHZBOw16C0woWEYkmaDIzLw+8QiavVUY
BzIkbFxQmKcZJDMiT1DI451HW4vMiae2kt2qOQpRZofBOudTV+yvLyF3D21cYg48pbObaQQjlTeb
vqXf1uSpFp14Ih+YEy+255VYELn10up3P79ADO+/ucAcduuwACWo0GmZaXYXPDcscoyFJUHeVXjz
JViIi9NOkFumFzbaVdCgylL+Xn6nNzmQVaY/da6zuNhbKqZKnIMmqPtwX99b48yDrevnVMmUBLfF
PjB36b6r3Pt8n4VWgDaHEUyB5uHZTy+s4IUFFgVdjt31ReZvtY9A0ZntXa6lkyXSAOzecQRjWhNS
GUfzJ6VC1MX6XpeTLdjYG2vMGdwlZj3KKUqiVN+2Cae9slMhECAJxxe4p/3WEnOIrOB1yG1UJ0GK
0Khgkigw/GyCnbhApVwP7X3uO37UC0JWaJXJJEO1xkZBUCW1Yr/o/H9IcUwfip/NFzv29XCAZlL9
3/a6ziSTtZkJlEZpnbmS96Y13bfyGEqRKnKOhsLFSaCjvAxVHFQSdSZaTWjRzCOtja730UP7SKWZ
uqBW6UweENWiA5qbwTbWmMBMbEsCihLWRt12E/NggKKpKHxB+HNON1x1bfB0gQlEu5iS79bFKRMb
RYbZa26N+3ivgXe8/TGC8ZTsxLAbTs6kWsQAOYC3D9hqZglns4mr3oQ5G7Lgycv4F0iKs3+fWTQj
j8wSUxKoAE1q8TZFGEhXIkn+P9K+s0dunOn2FwlQDl8VOk0ej8djfxHsWVtUzlT49fdw9n29ajZv
89oXeIB9AO+6mlRVseI5bMJHhrErqHGdieJMec0wpF5YOEp2BMTuYTisJ4bOIJsIEKjBmRjOjlWl
cqcqQfjhWXiJy9av8agV0g17mRjOcI0ho3Fq4DSK/tMYf5ltSLW367omvjBAs7LlcBVRzXlYm43L
4GITGGmhV/h5OgUlOdX5gRjfvTGNFL3ynT/HFwXIkvFbJN+0yeq2gR0j/6Agrl07rI5Y+l2dy+aR
xJeH2gCoNpEB8yXcfC2zwhqgdaT6mmrHFhRBdR5cvz2hDKRQWApH/9owuYAmm0vsIzB1Swd77+bO
wayAGdwZx+tiBPyXDJfKQBiIjA1bXZxaV4D2GgrCrgwsbSqSUuw5Hy18NIZU5UXON++pQ7swJT5G
bogbdbLGsuigWL7C8gqoGh3T4RR+SWwM3BqI72ftNSlPClhMPBmFiajFgJI7C3UdcNsjjzvXxXhe
iVl3OGXaNaafkjgc8+mYFqmPJpHrq+uNFs9vnlvfK2N8wmy/5C0RRF1b+bxiOubq2irF10xS9ZOz
5qHbZ5GTuP40eT7pW4BcyByJyPVujvxxJZussq1SpWprNJgz8712o7l9l2iO4Hk8OxPnew17AHSV
jQ/XvY+RV/uMEdu5H98AFsq21mWLtDrTRO45BnkA9pEB+wNaT352SV1yZRz0j44GRh0KJ9AHe+dZ
wx1WkX7Ocx8ajv6iqa+W7n5Kx5ORhEAP9xNKwjWOGu3Ntl/WkviKG75a1g89+T5RWeVbcOf4iTba
LignYWmVM6aajgCKyTQUfctWeTSM0nmou+Ln9YuXCeEMptFr7IaYEGIPoHapAFDWyYJkQYkF253w
O+B7Bqgx31ipnNmdSZ5ieibqX8ntvzRyBQhR9CMCShqpYReYP2TwZCIrhVik+NjoMS/xCEeVOIbi
qTjZ0xQ5H0y49RE9aERbsql04SViWsxEhcxl83DnDqFxcopJeZIHqjI9WZn3ZHuyjV9RcIzj/CeD
OYWNBerpuqZjyob7xmCK1nBECIkFhhxAWZi614J6Nx1otbuuHaIE50wq5+qs0lEH24J6mOXee2NG
me/nJ28J+tsCDLh/Mf6LeTvcI/YANe9y+1zDsokzMi8A3OvWmILF/vPawZkELtw3p86Jqxp2ryhP
6xCNsWxYkd3IhWPZHIHTBUqHMkXo+m+SNu7pIT3qSFxk6i146M7OwanDOuZ51pRpjm2SO2X9vqSh
Pv2FTz6TwX18oK4YFZxcC8OdQ/e1xezZer8GsT88KUdZHiaKHbbS+ClIdQWwZWokLbjO1Ffv32Ti
XkMTih4GdPmwGHof4Z8YTuj+ooVyJppLLIhZLam+wn6J0/2kc3FISCJp1Ivt9z+98LgH7iNVKjQc
z9zbi+/C2e4qhEeg531aar/UwREK6GxZwVPoez3giGF21sJQEPeGUNNqereBEyyxuALGUB8vW6/9
YvVhiadges3rPUAjwMmI9oeBxbdz/8TQuIF6iTs0QfgKOAfUAtnHAwFxFr7/u8lSJRg8Gr5eFywI
hgAXjeUIkCg4WBflvt1aJ6QxsgG7GBo9xEX+mptfW9c72RV2CS0MfvSyNFFUeAJPL5ZsgUVsMhqi
86M2c7aQeQaEs/mUxT6gNotHzHzcJKf4xXhCvPu0Akgli6aDdSxO7rsRmAeZ+Ys6QGe/gVOnEVSz
4MRgS+cPQxjvgSgUGs/Y6IGzqXfJTgoZI3ritmfmFKkD2GcFWNM6MIYg/75EPeisJzNUvne/lnA8
lpApJVj8vxwSO8xsM/RyxbFWgJXlFhCqqKF5yg/wQPj/wftS7BhwhxLKHnJh0PBBxPk/Ejm3SsaJ
zKOTMZBYNUhutIN9tFHHLgCKKUPFEXnwrSjOu45VWw4JMNyDvDwV693QBYYqeb6FHw0T82B5cNj4
GmeTtZcuddOjCGyZz572fZatLgvDA0Y5/r8CuNe095bKqhOGtYMaHbqQ5V5LfPUfim6DjhkyW5V4
GZE728rjHteG0KJWUyyFFzXWrDrsQu2VdgTJp2SdUvhtNufi1EDrki435w+okClsew9UgZhVTvTD
dd8lvD8Q0+uMrACAIfzaWq+ZU7y0yCTLJRqcg4YK8nyYGl+NT65vY8F+LytZi1QCW9ZY6AW7jXpR
QytG3Yq1DokcKewvXVPeLlQ25SQTwbkm0xybSs3bHO0Zxy+y3q91iRqI3prtIXhn1K6J0hI0T0qs
Ln8jrdkAc8xqPrcVqW6VdcbtTVr8cv1jCY+FHBjVEwDrX/DAEd1UFt2Da1Drn1q7y0xJ41b49wMD
x2TE85dwmCNNlLQlaR1o02Ol3jXdt+u/X3hpm7+fs9VkBKGH2cN2+tRS/NHqnmrNfm6z5Lltitmv
wHJ4XaDIiIyNQM5Y4znB3oQL54A2iZ96+g+6GH48jK/XxYi2MxywRgC3AcQRcEWcNix5q2Iq8MNn
z7W/RAAZvoFGDH73iu1MhBzg6NtLXwrh6TyQBIBpBAV9HikF7L8TEEsAZ99Hy6/lu+b6LkP3tjHo
3DxX90kw5CG4KiSaL5PKOSbVW5qxzNBwmlWFgds/LxMJF8OS6KLIzwIB5vfhuLcJ3q/oqAZdsTpV
D6y2/VpjyNBfGpdGhZ5LNFPsBv8Tx7cRk2UytZTBpZv75KCwwRI7LG9dP/bpHbAYZeAMQkvzANWG
XhpGZ/lnsS/GZCEa1ndXogbTkgNnOpToJNM5PhrGgwu8awPUooAxOQ8RtTpNh2z64DFRA+0DqN97
piAxYeFZ1vqyUWRhqLQVyH0xFCXa3vjYWMMVFoDunTKYdNCHU1jvMNf9TyoVKVKSjUidQ5rpPFqs
lYYQdH0YI1BjHhKc68WKEtM3Q9Z9BVkLapH/YLjm+u2KBANoCaCJFmJDDB6cX24zNrHlKCMci2bs
Sbw+NGn+2TToZ2slkkkrkb0BtRAvNLbnMCfE+bDERYGunDrws5pdVJl3eV4Gc/43HgwCANnDCIN1
m9MWIINOLtHhwZzKXxB4mnidGfdXaKxouDI7WBB1/wUgOQadN2K5e6z6lpJ1Aa9KjJUDMBnl6StJ
npL2L5zJRgwPR1vrTeOlFWa3Z1V98YbkVjWpP7ptsIA06rpmXFg2CromqPT+ZeO4gEK2nWTuu3lp
A9Vp/Gk8xqpk6ODSzjgJXHDTWHZSAJkbvJv4Tvlh9eMJGcl6b+3ZqH9z18sWGi6UnQmE/rGtXiw5
8smmtwJSoEM4FcTtj6pD0dT9oQx3qh5dv7nLzIeTwx2sWtxSXUzIobsFhNVJNE5+cgR5JahFaudP
QwNOGHOfm2KmMTvJRPKixbwqIBvyr3bjBlMuCeIvwcw4KUxbNlI67N0PTgYpXZh+x+bLR56c2EFM
QO2s7Id9FYDg4UmGa/7h+M6cP+TiW6G7gJWMS/+U5nULKOAJdbMTekL5PWVRCYNTV6AuOxj0u6v5
aJKDLhOz+WCW/mNiMPYD8Lxh9h8uEk/Q+cE19EmhSICUKjFXZBh7NbkFer7kG4psDVOu2JcDdBtC
L05IUQDNuq8AbUCN+VPcL3fguTxKlJIpHX+TWxncF8xGJDFJ2bLWgbbr79kd6kf3k7Ivd9WdjE9V
ZGlbYewt2KiLSlIs8hMLfSeyRKoVrrT0u3bxa2mp8+JVwffBKhlGGMAyeoltNilz6ZYxUIGGEAHI
vVX5bCjQ9NVd+0ie/y1tqFKMM/ZB+MvcSmXn35wvmRKrHh1Ide9coPsrz7riL1/7r+WR2Tiwzwoz
vP79RCqylci9nm455GqX6G2wti8LKgPLLJnevYwcuZvkXk51jtFxdXGmLvQe9IAE6cl5Hnw2gDV8
ljUNRQrC0GM97ACCDJTX+JoiTkhMPFwEQI9pakT9Qm8n2/tUG39M84xzYRwZcHAmmtkX3AiatugU
yBFNEHcE9NxmYh2HhLQSpy86EFrFGBMFVjhcFqfx1jx5ZMgRSIE56CXTq51J01Alxh5Fnc/XVeEy
S2Mn2sjitC/XofDUTdugNZZJ96um0YPOs/OdSfQmBInSeCpQY9ypTj9Huak9Dpgr3aW290jrJvP1
qSgxtO+a/jyiN3T9xwnsUQNnGB5YNpitqpyeasSeqOVWLZBA1KCyHxLvlZoyEB+Rrp5J4XR1nOZ6
8TrM5Ra3/Wt8Sk/GcxdpQf7IKv9/XF1E3rE9EhfbrfVqU80s22Du3iYvioHDqkrSNuGtgcYXyCYM
vYLXntKlhd1YBM9cEd+1pDhZ6k9j6oLr34bdPee1AAP5nxROb7qhUQalqXEQK/UX84tl3Vj0mNWv
i/tXarARxakB1gspUQrcGc2xhdJ9bRAa28OX6+cR+MSz83BagGW1hU4NhOT600D/MQ2JobEPe3Ff
GMkDKIuDORx+S5/YVgk8kYa10YYjmzJEinTQD3+8M8/0ayOGe5nLqmjGSRkBigb0fatKfVcWy4vt
ZSOC6d/mvTLJZFodoeUHYKMaKX56Mo85HivAcEpb+JcIoNyBOD1zZzrbWNNvIQ3L6y+5ju2AFZxY
3jf1LX5Lb9mcQh7aIMSR3qXQkDYH5fTOWBw31XuI1s0bu75p41/9IGl7i/IWxknDJhQ05M38EEbp
jf9zvAFLb4qPIf2T+/g+B+qO3Og35E/xDthlbqSxuG7z6frE6TU6QTusbKiPfWLctrM74q20V3Ry
zTy6blPMZjidP3tbuAuMab8ousresfq+Wn5pTmCmURdHprmv2t11WYKPBb3H/CkqD6Bo4hf6pmVW
MrouwKVtxvuSHjy6HBJZt1goBCwxFhvSVxEjnt/fmpuxFzeIeym9sb1Amx8MWZVeJoIz4KFB1zvL
cA4VYW6v71L6JStk2bIofkf49fsc7Eds9KDAnlCcuhRgxOuXKjV93T0N1jsZy3CeQbHrRKvyWHQ/
C/UxryUqKD4f9P0DVRr1r3PRteMltDNwviVWXmfn67K290UiUQaRWTH01d9SOEVv9WqC3tVd4GKh
62Rg/18B/nlQ/Gpv1XB8YAyCf6F+G4GcZihpnhV6jWMpmMk3EakcNRmWKLOWC2vaiOA0g9AenDKL
B16urt0Vy6dJm8A9Rvwy29WObOhf8Fxh4Ad9ULTwEX3x5Q1qTSBGtyAM48NRb4ZIwbAUpvptVu+W
5GuF9ytJJeGeMEEH6z0DZcMr6amcr6+J5tGpz1DEOSnd0QVURPdB3g3axxB85je1h7Jbf+z2zsnd
NdIenEg1PQRNLjB0GH8yF5tNYMtbm2xliM/PTX7bz3tvkmV7YhkY/ECLD7QaLndE6pHOKGjbBUXp
PClJecxS7ZvXGpIai1gMGNxcQAwhLeJ0xUMtndY2Siwp3KCSeKdk1Px6nMPrWi+sTnmYhgR3EnII
jJecW7PhACRtXSCnCWmoo0Canqz7ZadFAKmKrstifxWv/ltR3GPSYvULhBrAAuwW52Gy01PmVuHg
/DBmWWgrvDw0E4FbxnZCed1XiaUOSq2iTKM+zeRm0QhYxyUfSOihMFT+WwjnoYbVJYOKdikKlinG
qfIIbji5ndm6+85MsBAoq85/gIRdXCBw21nvD2Gox6k38apE72cca1gA/ep+JtrtaCHWfVW9G6+J
zPreVEy/73c5df3BeIjNH7nj3Tc2mJoBwbSbZzPADvtQnYwp6r6vRRXoxZvbnUb8K1YHCNL62xjv
llyTaJnYL/z+5a7KdTTclmSUODBMd/5Yqy4PbIIdjCRZ5cdhdei/srqhfSCRUQUHNDdknSnx19r8
Au7VMga7t82BeSaUlwFS7veflWjw6+NybLD89MfjYUjKvY04Tjm0dFlmdcKBLQ2wMc6bPlIfMGn7
fPj0F0YFvFVM4qJgiJ3uc/td7MygDcuw19SLFDrfgmDPH/UvZhpLYg5RLOhhDJdxITroDXHaV9ot
MWKVeYqk3pEM4XtcnMbJ+EYH86ebzgdA20veE3Gmsgl3udOBx7bVPR0B/ITRXDOoQkRtYR96KDEn
O9mShcA/gZ0JEPZoLILPwuW+mU7aVfUIvpnmHeYKJCvLDfDz/GoKrn8yQRiAmXOsOYB+QdPQCz7/
ZAoZtUHRcZHZjOnidtiR8udUH4EiGtPd/58o7puZraEsdEW1K1O1ICuGQG1iEIRNodnrUUY0SVNP
eIP/nYxHVhxKI1eHBA6qqlAWMQNPP6g12UlhGgT+fXuDH45yE/0ua0KMeoIx1yj95y+j+tjLgGEk
H4kHUuzXvF7jDDUlqjfJHA6WRZ508NH48MEuFtkcbOb7eq28X/9gspNxCt/nWPU3V6Yb+qumPRft
7E/FIlFAoRALG0tYYUfSarDPuLm+eTCNdSghZE6+x+WPUsX4X/vp+kGEqrCRwT32ZtdRRdGdIjAy
b7rRSQVaZmdMbqhjfsq81pa8MCwc4p5GRj72+0icTdESS2ypinZyr9M3pbYfbK+W3BqzlWsiOFtq
F+TlBiv8Zc6P1PnilIdu+qU7eE9skNGuXyaz+Rtz+u9Q/PSGaaQOpczjJmo0GpM/6w9O8W4nk8zN
ihUCwQycKQiSbc7zNUruKoSi4IhJvAbkTqnvJbrnq3qPHtTwzwyi5Lb/Z23HL2lT7mwlDbvE2xMT
oGy0ARbBIEkxL3kQUObQDaQkuFHkEvyrps51XrsFZo+HfFe6gbGzsea23qtTANDUBej9VdS9snZO
8jd54Jlopmkb4zBKu8LkI0Sn8f1Ej1R7qfXv121D+Kxtj8e+x0aG1nqpmdCGNVfW2kc57CYHxQMt
wJqXRfLZJpFxfNRVVIBJY+aCs0ViKcjRiw4pS1b7MTh+Romxi6IrDOOwCORfCZz5WU29qJMDh7yc
uhcGV6AEGrYR0eVm06rtl0SVqKxAY9FOsNiyMgi9MYN/foOg8h5nJ40BxVm34aA3kV62d4aVSdyK
IObZiuFXJ0A72y6Gjt6KWxm7MqHfisK5q+Y6wDr9vtDmILNkgzGChwciETrif4yumftYrQOMPrdB
fknVfpcsy6E3vhgAYVb7U2eakmsUaSJYaDxkFLhJtil7fo8ZMQvSJpi9oTtmZPXewcoY5rJZ49J8
tl6uK77AhaIgoaKHDuhvpJtcEK7PpprNLBxRXXo3K1642M1JHbt7xEMvcdFHaeWF1KpkKyKCx4gN
hOOxwyyciWGP81PaSl8uTgK5ptsHQDHNlJPm+F5/Moed2lvAQNoneVRUxNfTCMiZqfcj7QY/j3fX
z/+xQMq9IfghDgJoQOToAJI5/yFe12EPO2MZXFMe2vI+qUffBC6/6iAlw2QZNpQnlI4rKnm7hHq8
kcvZ56hkCGAK9IsTuwMM+k3pJj5d/slVEKmvb4Yl8QfC+3bx7hmMaQwvyvkxqaVXvZc0HU4SNm4O
IuF/2gzQvP3P6/cp9AIbOex3bPzorNl1iiphF/T1q42otq8eukFWGJQdhvtmpLXbxHFRiWzVl268
SbxfxAuG+vn6UQQ+GqtE/10Z/4VGdGWpASmz+W4mn1XZorrIRZ8J4GxAzcpcn0aMIXntQS1vyiJa
UbAgFFXBESQaj3Hd+Flzis33ZV78oY6un0/0qTSkjboG5Qd4Mifec3tgHK19FxD91hh+aR5QjSTW
JfpQGxG8sx4z05xzE68qGEJX7XPs7hUnig1ZbMKCId6GsXOFCRNUV8F2xunDoGnq7PUNYpPQeTfC
5GSG7a0W/L/tzYjUYiuMUwuylLNi5CBxc8z3Md+vrWyvX/gCbCVwHyZ2vGp1tRE2dMqOrFpLD+on
BklZYrxbhp4ikYa95XOLpWMD3F8T0rz6hZX1270djqCJSUJ1p4f57i9qjgzWBGVADHtgKsg4l7eu
AFUw+xgfq72LsVjWVTdLt1fVQfaQsr+I14qtIPYhN64oHwu0rxx2jRiosoNs54brvYmZ9X+H0VaJ
h2VKxovDZiUYfoFGriNHOBfXz/NA0tTNA5euvjIc7MTwlf62Wb4S2Q6nqETMuEMZxQpWvjF9dy5r
yuucFGCmxBD5cPS+AAccwaoW9I+NFFZFZMJbUdwtuiWGaQqWiPQLsCx6nyrfF/pUVm143RvpwvvD
QCtcIibsLpYbTYckYG1c6gARsf7LfM79JLSOhm+8OTvjQG/asD1ibcifD6AXCNUwebTAro6hkv6R
RLLVIWFYAKeIqXbATaMoxN1wH9f2Ui3AFTQwJxMSq3ifk/h2zlCv1bDQyrYuKZYAsQuPBdq/qAaA
IBLwIiZmpO0LmkwgwwKin6DH64IKQ59Bc0yDPn+6fuGijA4c4RjxQocc7SheYWPPnl21KlBPAXa+
erKj5jY5sLHD9V75BqzLIeru9QNoHRWJZYoeno1gviaVqXrjtl3VBfmAoLZ+zpbRp52s8yVSXBgI
EFowvobTcY+C04EyMteRGGTE2rcGoH3ryu80J6pNGUiJaKACV/mfLO5NSAywbVizngeYgWUszPW3
eI/5vIiEoN56awqkxzWyLvrZC2VIr8IoYiub8zu2grzVGD0Y6GnGh+wBdq8fmYms0cfa6P662og/
3v8eFenlueupq4E2Y93XwVBkYeMMoVum+6zNJZGDyBv8dyqDp0r15hq+NtdBquPea5iGKo1dDzpX
s6r9vJBZgih+2Apjf755KVZHp0Pj9G1g3zmaHwO4Mok8MCDgBWS7CLIXUOhcXPAKgzwdmEsgaT6X
p+tKW7ds/px1Ptr7/NQBE4swjAlJmiW4RdSzYd1AKkIxjo/62xJIVdaKhlivjJafFrBtDatbfZ9+
obVzUIA+8cfagVI9uqPocVuXwPLjTKAfSok0Y3lZ7B+ucrPoki6fQAExwgnXyMZFL9He+6pykF8g
wxg0dNywROJ8rixP4qJEUdFWCo/4bueqUq4Zcn51z4BM50N1sLGbkoBTXV4NYibKhQ4QxrrKOBWa
2Jyrct3Zje0ZM+yD99lyTrH74JqRm2Df9xgXoW7/uQnjlcUYAlZwPuitz9WPkKVN0gJns7PhkKg9
SnorgHcUyYsuGoOFHIzn4VCMaInzTB0o54BqboDJ/ZXxVI57ZPPDlzxYHvQdCDg+FyfyJJvVE3h9
kEuDHgv0VdhL4KsnluclU6qCRMqZH5Xx3tNTDLneaMkoUfRLVGCg1qFgyJJpLGJevNHNuhZWP6Hc
pVfaoRt+tFZW+tpcRW3m3QG1fzfiyfFcvfMN90cyEOJ3IItzu7c1L/wMjWGvWH0T1FZT+g4s9Sgr
64esSSR6zB4eXrNQj0PhCnzzDJDx/FPDTOypWzOosXby6qOtPk3aW58+gi4gnPU/BmKFTaLpiY6k
Co5rjW/y115ujKSEYimTt7Oq2V+8/ISQ7vm6kxEtu5zJ4fy1q2BuAbvxmPu8ZfMRC9Cl2TAS9pLe
AKIPxk7sj6EYGMimgEWO+0ww57hNgrtcehwwPbTBzhhOC3AgaYiaTZEd9UHS3hX16M/EcbF3NhtU
A3E5hvCnYfqcJMDjWwv6amiFFpWELm963P1MSwdJTV25h7YoEGNUyds8kRTu0bF2xKndXTe4Pyp0
+4FCN2Q/1Do3nvtYI4GbVNnx+qcRmN/ZL+b0LcOorGUUqJk0PYmIdWgTfTcNQSJF+bu0P6yJbTft
uMJlZZZ1A5T2CtkdebSOYHHQAcICVN7gSINUD/vdGtwzGOhu/ySrP108QUw2wLbg2AzHvmA8T4hH
YpqomJ/t0j1orm8VwwWMm/P6h5cJMWi1YBEO42KXxILj3ABrj2CZ0MnrlzRfXxFqGbtYp18bPZch
vTBdOvMUTBhb0GGh3SV1G2ZWNSWndoGplCjBMq9myCqel28qJ4KLkuNm9jqtjJGr7tRfiLFOA4if
yyNCrDB+lo2XiL4R+MvQPrMYsSWPldOham9aA6balb49ril5KKz58+DI1kouHzl2qI0czheVmOAy
aD/mgaUDCMhGDL6G+QEYkECFLjuGhxXI0WEvzOxDKJqDrgX0ISRv525dtZdBsRMblUMNkNPt54xm
WN16KGLZ+yH+Zg5mIvCCIFzlG1UD6OLGZbKQBz9MkbVLT0ow7upbVloDGakkYrgIV9mxMG+MJiOe
ELzg58caSEWnHO4DpSiw1Na/HPtkLcq+K34si+wNYa76Qt9dTJVgyg7TkXzMNbgL2iIjW1yMcgA3
rX6PfM3FJMuknNg6t/LnbUx2uo1ETv3dnmrtWMCcvb66iW0a6KP9SW1GSXR3WRxicjxkvSrDagBF
3fktNmWvmy11cmQXysNwbPfxI6DTbu1d9U0KzcS87MUtbmQxRd1mThl+Qg5MwABERKExpb4TRzlV
fX2CY56+9XnrZ8UnLT6osmE/oX1vJHMx82yb1Jpn6EpatwfHbV9qWt3Ymnm47oMv02vuNrmv5ky9
WxsLA5/71b4yVuN8nxy9u+RlCYso3VkSExBipzFoD8RPhqAqo3iOpSrdgs3MTxPgPYYmjMPBBxi5
gQJf8YFG3v3xaBzO6Oi4HHQ5Ua63ua/oWsPkoiFVY44sLIzHPt2v423i/MVuPCqJzLRR5btobBpx
nBWl1WCcO1Mjr/BOTqL7cTIHrutKblHkH7FEjpQXgwraBTYvAYKBQ1WY2uB9z4bjSlPfdD8njmzy
WKgdW0Gcx1IXr3KWGUA2dTLafkVUM6AmBd/q0g+3k+Uix1K9F8CvZuDqqssDjPNL5056pI/lep8D
uGh3XV/FJzct/Jfwa5gdOTfIxorVKtMYzof55g63tvVYjwCmkG2hCN8FFGl/y+GePbCjehZoRNF2
7040nMP8pkB9fVZPbHwz38nqsSJrZ2U8tjmEZVE+lWzsFsAUK6w9q1Q4GO1kp92p9orv12+PfS7e
nTE8InhOjPSafM0w1YwsxwoHwFmmeKcozQ4uTeJQRB/ItQGn7AFvGzs17M83HtNxXZqpPU7iUHT2
o9x4L/IbOvyFAWBpF5V0tr570dvrtJFMVYqDDAmKnv2T5jzltPUbR6JuwvDHBTIIOGaAd4u+x/lx
tHzNBoNVPmOMEZfRv3shoJl/0Z5KhCafaKRh9V9WQbsomMBhIakFtw3Wk4AoxuVhbjN1ow2M9EA9
UTxwHdi9GeOqrJggdMZbObx5a1OZUvCjb7mn6iAPwD7F4G2aE4lkMZBIBcFog9TGRhUDXZ7zC11o
2Q+LA0xVkg/Ut3Il993883U1F1nTVgZ3LODYdO3gQsaS/xoAz+D+TGTtHOExsO4BHBkoxgWB8hJb
pNF6HdCwSE1P3uqMd8RajOD6QS4TcigCqi+gfIa9ahdzVJT2dZJWKGPqJPfuFafo8LJoeRWMyugd
QGRO3unsWN/IqDi+lTaPWVbIStXCo2KsAkkG9texxn7+xdqSaFmX46ij4UT5pIWdIZk6lEngvlfe
w8jmAdB5FZZ1PXMP/mtfcpEit4Te5e9DcHZcF40xaB1Tu1vVusmd8IO+KSyD8q0dgxoW9rRGQFcC
ish1ybKzcf4wc/LBA9ZZGXROWfqYqTq2nvl6XQaL0Xi3vj0cFyu63jKPWo3D5T3Ymd3EfFxnD2O8
DgaKyp8d1nmTQhaGC20M+HboIKIqhvLnuVbQxuhmbNQAnif7QsbHZf4Sy5DLROkSiLx/i+CywNx1
KrRGoHiK0X7N0vFltXNMpJr+CNQto5aBoIgSC4RucLweRqXwPHKxxTiMrWYOSoWRwva+PA036IPe
KnugjIe2pHEhUMczUVx4kZkdBQSrDXWcgbKbx749Y4Ns8g0Mt17XDempOPPFkLJtlw4KSe7dFOlR
u1cfrb0aluAa+uPuiI5RCjYmDwxMzEnyafugzjkQ04HxWkyf9HxPyYMjgyk1BHqHwNc0kT7DJ+r8
YB1N3Gat9QVkW43+2R51ClTgGXF2jZLguJZ9OFa1EthK5wHc0bUi3USDWTMIcLfW9jk218bPtSU9
qXWq7dSyeyxb/XmuGgeABOCyMPXhpcuN9IvmponfxnrzqaRW4RdJPfd+3mPHL1+9bvYpMOk+DctY
+/08Kv+olV15O3OY30qv6I7UUdRfqTfoEpAU0enBbIi5c8y9AniGs3S7Ngmo0dFJaazkpoNRl411
Py9qdF1pBE6LESj+FsMZd18l+agOFlJszCQWCHRyGWeayAC2EjjbXpYWNEY2DjJZNx2yaJPAzFeQ
xfYS/ZfcmMv1cw0XzmPugVxZzXaEouqNgWlLR5UNtMvEcL6ja/IOa+u4sVmZo1a5ceZ/PCqrYUou
jV8XaifDSIEzDJQ+/XXRLX9ctIAA69OBo7+uALLjcE5DS/TUTL0YnJDN++odHTbyY0teRkGQu1Uy
lynhJlMAoiIYilPklmp652o3dp/7RhMuLdnF9NSgi2RmkkE62anYn28kFh2mipYF/ilZjxoNaPap
m47XL07wZp0din3CjQhHVcwu65CZZ226L2p6G+td1HrzXi+yp8pK99fFyU7E+YN6XuxB1Vt06YCm
3StGqOi179oyNBWZ4nH+IM9sd1EwvRQMZfacaZ+GJrsBIDVQVQrJgURkLmcXyDmGIU9VcHQpDOJt
+qUCam3QfRW6EGUPeCn9JfWnd/AQentgHAKUtT8YGANJdrKwTXKx/GSnqqzVhOgaqjKnUW2kR1ct
oiyWDZCKHK1hI09GswVrgPwY1mo0RdvHEywaj3+t3FfeJPF/ok+3lcBZmUoWQia4W8wSV5g1f7KA
D9lZXztZBUMkB/U8F2P2oEsG9xWn+BrBqnePOmJa32v5V8yPudpjbkssWHRfWymcIrbpqjlagRpb
qbVRv9LbIZEB1ckOwilgbY6um2VorJhLsmuK+tAM4IKsnTvdkJXXhKcxUe/RbdSxL+IlM3fbqkix
/lnoJIhRdi1MiY8VFfBA4/BbxEeCufFH/RJXqxbDySJ0HkJM4n+QcPxPfv//wi4tPBOQmxkiHvYf
+Kk7mruTElcmxupAEaFWv5rO2F33ecKIFrTLQNdG3wZTONwX0kg/YAV/RZkibn1de6g0LbDH0Joj
xfg+z8AizW9G+j7JsI1FR9vI5cFPB2dqMyNhcrsfvfGp1ST9cJHPYbRu6GygeObxMNRZmpJxyHNQ
l3SWX6GrbGaAw5c4WJF6b4VwFhQPvZKBuhqvhf5CFHjxoLdvNeX5L74R4NVZ55AhgfBqkFHXcEYj
h97dzSFmSm/yO6yjg7NJv5FB+YlqdO5GFj9vWYB0r8xGvE4O8atb99Q9kHB2/HWfvIy7KcR6oZ8+
xKskRBKqIWu+IpFDlxKd8nOPVzekp07R4+3dM9IOzJ7tKxCcZT5g2SUFksuJEGRWW1ncVzPTcWg8
vcQDvDPZwFaAOdY71s8rMO+9vg5Y4kuk7UrxxW5OyBlau+QzGIGREGfHKZrc0Dgoz9jbCrCt0R/H
h3an+kqoSfcDWHDJlTO2h+WXUGstp3VaIJaOf/ZRByqKInSPNkFJco7sw19hJ5/J42L3QSVgA1jx
qJAq3i/edOz659o6lvT1ulGI7HvzEXmG4bUcwPk1QY5Xg7ExA7m6nVrHtfZkQDwyQVz0HpeqycD6
sfTW5j7tgbRWuoexku1cCcVsskROjEPZbHmNdKTw7B316M+50bFLJ4MzFnmsbarI3PLmCasKolZo
guUByrE/9NLwiZEgNffGfdLEfzp8yexscyR25I0styR1jykRuODl3gBpB6lfDfftuhowW71Q740M
dt6NjDrLbMVL4DfokL0thRpi2cFH2nBYS5QqaLKGRIoOKjRl9MxMNivLcDu4g8WNMwIC6v+QdmU9
luJM9hchsZnl1cBdct+zMl9QreyLAdvgXz+H6pmpmyRz+bpGrW6pVd0ZaTsIhyNOnIO7RSLZoPVd
GSK1vS5BObEjQRXm1/MU8FatfzX7AKuwMctVgb14Wa4Ac1xqa5qLyPwI9HEBMvskgspC6LqQFS7C
bbXrOeYu9/bU4CJO1lM/FVAsmftC48Efjsg+aDr8MjOw0xi78+e45v5kHslCE8CFHuvC/dnoAvBQ
dXiVaHcz388Igne2EfhXbYBZSkfHBDp6y2pX4XWmhDAP3sjVPjGPuoYS0/H8MtZdg6CWBLQsKnfe
4h5ru9qvIJI2s4XrgQrdQ3NhXCbRQLV3dkyCNEJSv9XgWl0XYBwYNsZENaRXP34DsSmLrNCBq5i4
RUcQkjHtWt8itFpr4qLR9MfKosrqKKJ5YkaKeNft0YzUAcMRkKLAHf0fjLxvLWnhDpXR2R5iehEw
y/5BADSr7KqjduFEG+c1/6BPPn6yqkU8FHruTDyDoT4amtuBB3P2MRzsx9F/1O7n4S+ykZj+Hy7y
ZyPntZ+ErA6/36BmGIzmIvtwd3kYH+tHEIbSlACHaIY2eJS2JvdW0+2TdS7ipEO0nKtZa2BqdXLI
WcvDvIq/nd/NLSML58/00WhNlIwx/hV/TV0yRHh4/HtvR6/TB7EuaNOBDFkG3zabEjK50O6avBvT
u0q1O3urNDinYh+d4qOJxWbxqm/8yYIJ3mWh10Y5ibzxYCsrkM5Fkz/H8f35jVuJ7R8tLnYOfU+v
mPoZ1L9rj8UhD9OQhcUxpgQzBMlmb2HlY/5obxHabVGNU0oavFcie5oZLA5gGJyCf/geOB23fP7z
VQLQHK4ux/B+858uQhS3bSXAYIEJ/r1PbWA62dc5hGR7cSGmyN8D4b93Q1SptjCJn13yo+FF1OIl
d4hSOMreuFfta7wF+VpzldOFLQMVHyswa+Dn58fkYADvJXezXv1WQehzmvNxGYswJSvHiycJMxZe
zGyMTO85b8N8jCw92izarEQoWINIwqznBbWj5UUZ+wDPkAmnRaiEwmlPu5nmrQjyr7+1PH4rRzkP
5z+B1Y38Y3M5Q4OJWMUSDpvCoApjR532xgmILx8S/ftQR8jvz9v7fMPMawTcAISTgD8tgY+AMLej
VdrYzTLdJyDgK/cg9tqfN7KCCYHHgxcAADYfxbzlTlrAfBtEId2WAYc2cU/bmlb7LHAoXl+7ch5b
3Ro2WbcJNNtc/EDNaAlWtUcrRn35t80RlJBpMLIoxmzhLFA7AqwHodgtXY21rwyNxP81uQgnnedr
sW3CZJ8fS/1BT/91p24OHDYQPJhfJoAPfbwyZd+2LvD7eLV0+ZUSxnHUxCEn7kaCuOr4OKSZkB+6
aZ+0WjNLbwaOmaDAx5BpQ/8ZkKwv+7B6ssC4cTEDlPSDQYLzbrK6fQCeYwQJam2fZEmUKdGFHMHi
kqXZY4FRtUTwjfx6xcRcO4KCHvJSwDYXAXjwlKhF2pRB2lLDTSLV8I1UaiXEmwbGG37LAIKYfnFG
Q5YAsJzW0OG2Moy0E1pOBSV5ERZZ1JqP/3rHTBDSI991MN73qVxUGWZaMjD+QiOnvJpYdQBh6F/s
2KmJhU9nmqGDiAxEUqYDZo3qR7PVtV3ztg+LWOxYLHQyTaoqg/i5/2V0mEgpd1rkfxVxNDNSmLR6
xFjSVp18JfDBKmZFQELqgDl2cWPlxBJabbTwBC/u3kkdP7aZI44z8e9W9Jt/1CKP+mBqeWuVej2W
/ojUFtprBpWMCoBowD7Ajs3Of+uA994wueqEGFVEqdRBh3gpvaCBMN5JQI4H2ukj4fdSRaB8o6XV
0Db/ft4FV/fxxNQySQSqIHFG+LvlH/LpVmqhY22sZu2jNU5MzKs9eSkQI23sMYODtL3BD62sFTjr
6r/Q5EMBZUZag2ADsXX59k4UaQq/BUkJuuDNyz9j/UNFqytros5uzj+3iKTW9w515pnaGoMpi2jE
YoLJsxELSw21S2V5kRvFa+N2G/s3H8En/7P/mFkkf6KIex+q5WAPyeq9o6K4B8EgEcBTb+S3q+vB
xDTGoWbiu2UyMWVpkQCKWQVNplAkzHgRTtK6bVqrDM573apLnFhaeN04qUZ2DnYuA7E6blxaeFZ4
3sTqrp2YWHidXavUA8VLFbRleiuLIrtvndi/xrCmEYyWfDlvbWvrFmG2dBnzuwIxohfPiYmqtIIS
mNpILtfeVyZGTNEXRLXus25AbySeO4D8EO8dDEn/02GID/KLcztGTZhtdrxXj+nE3vznJ1+uLXIj
z/qmCvy4pC5/MePj+W2bD+GTa2NACH27OXFYZkRlqw9+OUJkTBkvQxZW5mM6PJB2V/kb3rCWTiJh
MJEqo7MKt1i4Qyo6FL9zbF0FnCcGlFHHDTBAG42B5AEB1Vww/AfzT6vrO7G6cAt8Z3k8guQ00MF7
yIbvSXw96O95cTFtloDmKPBpK13IwuHG0D+j0jVTpLWDEYtgsII540tD70m6+z6caSrr/Rgfzh/d
6vd1Ym/xCfdJO3JSYEOVL4N2TC4SPbSqlip9I51ddcITQ4uTg3ixqux+jhVpfO06ZdjZ9YZ3bJlY
HFPJW6vSGjDfQIhRhW3V+Xtu5smGlf/DB/8c0SJT0mVVlMLHEbFI7aAau5/kffbfT20PGspFYMm/
kBTGtej6YHiGZNDnuYHCcmNPT4oywKghTaZ7Nb0zuT/vC6vR78TGvL8ncaLPGAMCBMmYmPQL7N4u
K9Foir+ct7L+Mf1ZyfxbnFhhA+6nbML25RlUbqwG2GY3629S3VM7Tzr9U6f37fN5m6vZLfTUUT2Y
Kwio7X80ag3CK0eDlTNYAg+OiYDsZuZKwdikd1sBZIpO8pxbWD/OG17bUhNVcMQqyCJAxuKj3WbM
2zbuYHfouHqcXJJTGafpnalpG9u6agm4UR3jk3ieLvMmGZNB4yYObxqezfTRNoNY+3p+MWsnB46P
mekZrxw44sfFZGY55E3SQxpNv6vrw9gf+LR3hi+FvnFDbhlafMj62E5Znc78Tv6FIlelEfpaqAPl
vNlPXbcEFk/MGrmfaWayLAYRPfhsA0i+Udu5yMn30nJpP39k9e789q2Fp5kw9H9sLUKt3oqR5AlW
lVfvgjXQtP7XEKoZmvPHwOJ8wIVaZlkOPaKkzwC5/TqU/3oO8qOB5bkITzLLxD0/AnE7TW+uMVCd
eYHjvJzfqjmELm9BgIxAteUAloPv9aOnjdY0cNcckJKz62S4TU1wkEDdfAhrJEyaFzZtdN7g6tdD
UM6x0CYDA8gipkOMAJyuyYRZDs0MGHqKXN6oequ0Mp/wp2WBEgGBAPw/SAE/LqvUeyge99g/SATf
pgTqGW5+aIHjC/xs3MjJVrwNU2Y+RtExr4fi28IZiJENrlaNWUDciZKBJrZJz+/Z2kUIDBAUelBR
xMNw+b4d2kIk5ZhABBt12Tzet8hTnqt9F5k7KNp6fVgnO/Ow9apeaxeAdRdD/cg3IWu4HNyzoUic
+x3eN6UdORdVBOJwOuiArgRz6X46/IVyBKgsQIsI2kLTRZ9n2eWZiqpjtjM/C6IpGn8YtNln+3lw
L+OAyWwBVNfeBx/MLQJFnw82630Eii6cJqquYC+IQ75LHTQ4qxBdoI133EoU/GBw4Sucx/qoDbiS
ywSSLyQUtk7tZgq74kVBZGXDbWYvX3wFBGeHmxgq4JgXX6QZXQPOORYD1CUDBUmnfq/dZEdtL663
S8ErH9wHU/Nnf5JrWIVWcytFHd+Jr4b8OR3vTMR5V/5rbAnC1MmKFgeWsl6LjQFN1EE9Nsmvnn/R
py3s1NZSFmdkqKazMUw801171HAuEvOnpd2I7N/PB8wh1wSRJfACCIXzA+Vky4o6rRMVa0XAdUE9
izrJXSvfzrvASrT9YGMR3jMIwFteDsLRuuxDYo5XPYgs3Erb///MLBytMEzOQLCGifKOdl4G3UHq
gKL4vJG11BKLQVRAcwptxd9jTScblpZ8GkwX3DCzrIyG92j7OD3zn3NjZSb7dKBpkNItZOT6Dv4x
uvA40x+61s1RpLeGoCkv5fDmyS2s2Xybf/pOTxa28DhP6s5ADNQUuy7dFXp9SLT6qtGbiEn5Cm3F
Q20/nd/LrVUt8gun9dqYYbgm0HuXdp1Jp+ELszeypLX748OBLe56YLaV1pWoMM4HpgOCGN+RyKa/
5coDbWNJa5fkqbUl5JE0tRRDkc/W0LLvv87kmloA32jo+MveAcC62wJnrW2jAeFLBxAmTD3+hree
eCTriSPHAlFPT0bqVF/95hKsZuePagUjC6K6EyOLOOF7NWq4FYxMF/G+ipp9fWiOoAr9D0gG1xzx
1NQiXHitSzLNR+gDso4lT94kKFZOYxcjD8DvHzZWNv/mS79HNoO803GBz3IXXmjJQvSJgN/PFMUY
/kZ64T16v+U0slBtFGvnGHTO2MIZWz9J8maYC/etpGn3GqNEd349GxaWY3KidkrolONhaNWCduZt
1z+fN7D6QSHNhIoxEPvQvFoECqmBFoWYGQLFlwmQJesQh8ZN/DjTzCSbNDNr9+CMy0NKhmY2esof
7yfhdE2fog8ReMNDBoQqYS9p/VD1G2O8n4lx8WY/tbPwgoy3UyczRFivjOqju0vutQfjMAOj4Obz
lJIHOEwXSHr4C0zRB8sLlzA8L2FGD8vEfMnAD8qArYTOxPlDW4sR89A8HgYYtQDjxMdt9PKJVOBi
KwPbKatHVXLI5w2+ea/VMHze1JoDnppavHp8y+AS07QoG3T5XZXqUZdrGybWnOLUxCIYNbFmabUz
N43sSxPYCed+NA5Q/zu/kFVHPzWzCEQYFK47oKOqQBuC+N4OynAGveYyHCPyH3Clza68jA2n5uaN
PYnjtfAw3cWxKqs7mOStxS1shRX/Moq/CXmnlmZvObHkp+6QZ97cXr6XERgi99aDf60CPcTwwW6r
l73leovcpSV+PgKYinYEinGxLKLJdPdltbWmLbdbBArQerU6oEMot2S0vHLuq5t2l+4gaFyW1Aj8
X9u4qNW7/nQbFzHD1RzpCjQKfmcW8S/zWR0E1V7sJBTRLILTXHp/AaUAKgpjhnicEgIim48nN/Fc
Mq1CzYf35QMXQ0OtLnn4K7//Y2ThHoktvdgYf2dM3RWAQ0H6mO0ZlBObcPr2N9nL6YoW7mFKY7JS
Bzdi0iSQFFF0sg6dHZ5f0lrAsFHvQx1hZiIki5hk55oqnAInxfhz7iQ0SQZoMz4Ic6Prsebrp3YW
gUl1vst0D51eVyQ4mW8yuy34y/m1rIalUyOLsMTRm9KyEj3ScWfsqijdKVDgX4hgpm6fDt1mGFz7
sk7tLXyudOopZz7CYBeS72Oo0X7vIZcmgQUlVMTCGajM3Pv/5yoXTmhrivhDPbf+JvqPFLQAtTWI
2OY8Q/ubmgjGdv94yMINvbgtBjmjArzi16g62kDMrjIT6jtT6NcbkLLVyIFyHXwRoHlMWC780a+d
sU9qWJOBfdHf1LhY3Bv91r1APzh0j9tvhNUzROnOtzAz4rnLIgxGztypzfGVjQOjzLoprY3zWvX8
EwOL40o1c6xVhZgxjXXIpydpgLtD7c47xdoNCZIa1CAhXgJa/YUn5uOceDbYtoLsSFpSQm5b577O
crDzbanErUzqgbD0xNhyRZPVYiYZFVXeUVHuhqs0AL/xjkTTLf8OIUHMrqeHdu/eFa/nV7m6laAf
BP4VPQpQNX2M8WUZO7lrYivzYZ+p56J+k3LjGbIaD/+YcBbpIM/1zNQbuEPuU2FFaX5rqaOm/Ty/
kHUrSN7nYrGFqfGPCzGKxP9H7UgB9UWzZCxDB1JeIwZ4nNrZ0qObb9tl+oQBm/+1tgiLKmNN0RFc
jZPe7lpnvMvq/L2DmnbN4oMrvL2pZ1vsdeux+MTowiN1BRIS4WIj7b21q8Nmn/eB9jzrEUF877Ap
/7u1xoVP5nnaVia+gKBUI81BEVVN73Zn0DRDTxNFh4ZvcSmtBg58BhCAQLwCiOXjGXICcg+9xWXj
ysdGy+jkbQSO9Vhoox9n4bOGlswiFurWGBO9wJ0J1QxkiL8fXxcqD6jJqf4lBZEopMa3nnury0Ls
Relzbv8sXTNr68YbCpybvCBfVAgxqWB++NvoOwXI7QFT3iq6rx6dA7IjFy86qActvmo0iZLBGoAa
1TT/okT/J+tA4DCOxU4Y3aMttSAu08P5D3A9hv0xuqxGdcx3OZ9fMMXLzNEKiOdNMQJOP1BM/mKE
++A9pBG/tDe2d3V3T8wujpT1Q9KJFOlWI/ubPu1vBwCazy9tNUhCvBO5HCo3EAv86JcYStD9QWZg
AUfRyzIVZve+8ulvAtgfI8vtKyat8bIZxCKaN2ggUmIAjjjcVlvtyNV77cTOYr9QY0H5QWC/hEIn
TZrFe0nkXZGggEggfaiGDb9YPR/gSmaKUgs45sXmZcKFPgDmcJAOV7Sf9Rzfz5/OhoElWQWZIFFq
MSRvhltQzbzV+UZrej3w/lnCsuhZkcqo/Rie7T9O8OwsGr65kUPLG283HdTb+eWsWoMwBbBuHoDy
n0RA7RylQ3fuhDvXajc/mLN9cTXDz34LF23UHdZcmyBQeDb++iz0GVuaqA0Or3PKqLSee/sKYynn
F7TmcMRE5mlDTxSJxvznJwWApKlaKDHLKnAaVoZssm8JMnhfotCR1sal3m/VPdcNAhWjg/AbCdzi
4mpts8zyHq/zrHdCNDJQ7r+0wPpqal/tLeTtqi3LdADDgSrZp3GDLutaFjtoABUdD9IsQtpILRCM
aNkL2ZKRmL+UZdIxP8iB8kDz7BMPr5c4dWI3QC4oWUaQC6N1Vj4ym1+WtUe1lh2sIrmS2bjR1FjL
rPBWAcDdxOkh7f54fj2aAUxxFHntMUm+Kbc0D6CZBdhI5PKgmuYvnrWn5uZf58RdWkPlNo8Bm4E0
QQihCWrg6IS21QlfdfyTVS28sqiHtMoGhEHuhYSzCJUAS23dw6vecWJkkdBUmnSSwnSywI3fq+w+
haKQqYdT+jQl+/Mf2epywJ/4m/7XRPT4uGuGnTp2VqDNTogfZFO+m4o3t+fhv7cCmA4aPxhndTEA
89EKGut8AAUlAqHCBS9+lu33TO7O21gJ56BnnkfWoBFB3E/ID1lPsWVqWRDjM9LLm0b9TZHhg4mF
i7HSTYHyUHMtLef7f7REQW7kTgBCjBH0Ikea7KateZQ17IUDXedZMAJPcdSHPu6e62ijUaGcEtQA
B/6eh/beSNRwDKwBD/EfYItXthJoIOiUzt0mgFkWxzV0mm7ovQAPMJh7MkYoEvnzh7XWypghgRj9
Q1ZtfIJng/96QAkeP17shnB6Se2gp+VOfRsODIVJdrRv+VXxpdoB/riFWsDtsRKaYBszbFAywfW1
jPST2aetLkvIjAD1C75JzfuaWX3rUBdzdBnoLp3BBtiOuaGY+HBZ1/qPgRd6yDLnyZgI5nN8/TKv
JqJjgIt/q+3CpE2v1/t8MKZdL/o8SERzaxF7CmOneKh58a5l5J57bKRtoqZgKtFStr2KBG6WZ3hu
VuyIEhYfKTfSL7zPvTvhVeZr1pgVbWehvtgrtbBQQ4smbcbTAMDKWU+8TS/x1RXHEovIQ1wABVXo
4AX6mD0bIhe7HO3embRTDyZjZGHZQftgwOB4aNpKp2xOT9uR3fv+oF/Upofndo4fjBrGUy17Qc00
lmHDvS7UU6CNGBK+UPF63COqo9/Zx/hNCH/W2yS5Kj1DfLPs8tE32xz0FCyl7ki6Q5mmDfVLYP8m
Xbo7Phi3U1M5vzy/gm8VlUZLl9tvlqvasPM5eptpo4dxKl1GwTQ8AKsQ534AaZgsbJPG+9XF410R
82f4p7nvvFGnkjtJ2GVjutM6T4uE6KxwGH1JZUueQfuQ7BDqdIoeqn9QrVYZYawyPKLqvgyzBFWt
yqwDoyevoxnbe1e4kErNbEGZAUXigskCskF51VOe2reaHF/trNGPHMN3Ed5S1a1knbsbs6kCmEc9
N21cXXqZEDRVjfVY2iyNig7DyKMSPKzcsqIFGl372pb3SedeDy2R16pmyXVcQu3PyFRz1ztuAY+w
f3YqYbfSt2IaK9Bx4CBryolT7xiwEAfPlBVlVaKibHCKvVYAwVcrUJL5KbAyFZDVD8PAmtBBU/nH
NJnJHjN17KF3ag8j+7V6tDipKeltdEW1pKFsUHFgxLb/lqrajCpE7cibZ6rraezAe1t0BzDXgi7M
ngpvH2MOhhqc/+Jtox/w6XyZ8Ji7ZLz73ro2ICc+eWA+KOd05bbIbYofdlW2ITQVtDs9jX/qiGzg
3xbdq2am4MQlPSov42RFgjQggy/cIahtwoIBSliXrZpMCmq79GByASq2kTQHSBLxAwbni3AgIMwD
V68PcQ+/lM8asX7I2J/CotbGUEj4omMJgpLwlILVXPEo110R2HjxhgNDIbBUUKUXMvEjL7dRvRXp
M+uKb22hWNARcDH2bWlGpd+aqKp5r8jrzF1npeV+BEEwGHVIe8z6gQRKH51rszLRJUhZJfeJ8BhA
5DEJuWxB+Ws5d/B4aLl7JAGsE5Kqg5Plh2wqL7lvjAEB4C2CfiGho19joFwN2jUXrnchWN1fSEAQ
D34x5EE5mHaQ+OlVzfnTiHZZVA4oRVjEepBWXh7rRK8OMc7Doh5z81tAL7WwsfSM9m2s3ykjr2mN
X30vgTUOs8KWR6+Lh0PaGzxiJdghzdo6FjYZ34dRfEvTTL7wOI4xUY/nuZ6w6qppEjNkdeZGlWP2
IZTD1ZsPxfob6XvZF1GbP1weF3dDbpgRAkR158a1f8ygBH9kpvxVIYI8JCS+yQw870pSg85RFskQ
dIkFnelSlZBiQ02GerHlUL3u+R5DzipyuLQvxDir+Xb49J249K/spKt2bWrEb5rvDZfS8kxQdmZG
shuL0qeG3qWU1PWjIxJxmXKzuh6rwQvilrWXsRqHh2Q0HkpZl5Ex9OyLlLkbaLWX3nYOqfYaqGND
n4iY+gao7/Pe4nRqwX8fJxO1k/aB5clbozh0sfHFUbNNf+axg23pmpGO6VgfjcJkYa6n1UHYowZQ
XvemkfZJJVWxw6BueoRIuR56gomjkPq3LDbaC4V840qUzNhpfsefGsiaHVsBzGwyMUanWi9or7nO
UWm5hid/nIXNYP2wMlATFn4+BKPsOG15ycJaDf67LRE5kBUZEPsEuPgttriJa8pViJtWF/qdp9/3
NWmo4qaFW3gsxAv3s77DoHLnBh5glzdW4V2Bl9TBB1pAjJf5MS2V8VVXlbhibu8dCyMbb2Dyh8rL
emcLKW51lmmXWorhRXvUMeQ/9eRWtZnhgFLTOcSy1yrqVfm0q5ykpUPRYzIakoQpTSSpH5xxunO0
Rv0SNtCSSYIhF4o89Uvc5fZRwyBDmPjVHU8zsneAZX+t0zyLOkg2XWkOgUqTEPjBnl4EopPGxWSh
9STztqCZJdyADe1tVzjVbewJqAtbdfXdaUDXrwkUa1wjFleF7AcUa+Nyl4Ov5bKEyjNVSuBRqBAj
7TSzLgatN2kO5jpIwRo2v9LHRNtP2tjupJOW6NBovryDrkO81zmHvEZs/izchNEMQxo0FsK8sFq7
vZ5Y/wqRHQhZ1ZUEdllXTeQag7zIk7a8rnuXBRrRejuUnvIPadqhGBdnUtEGd+p3cyBuoDvxD9zq
4KonaW79hHHE+7LTmrBvufkkhy7ZD3VfUVxIRuT5bR5WoGs9uBqAyq2YUEOqoN3FsmYKsJKfk5E/
uuB2C8AmGh884WYXtqgZ7c3sPcHNg+vcS56S1mu+j9U4tyDQigC5Escn4FbO1TQWL3lfPeCNmFzg
iZ9ceM4wPsRWaxyQI3VItwYWySQ1biDK10RNERsH5D5JQIRgQV662UEplt/WNSR/CubgAHQvhmfE
hfOrHeEUistD7vfwvlZ7YkrJS+j/CRb53Oa/JGbuA7tnVoT/iUU1nlVH0bEXllfJvktH8e4yp6KC
2AwiWyMpXlCLje/63LgBMZ91SGKXXeoTCNpKUoEfwuo6asQgarN63FEJb15AxM0p4+TaH9JXneQu
zUjsHWrLbK95b83aa14e4estnsXYXCeldNEVr+IIwsFmYIj4LWEKAa/tvDuM9F0UnZffmLxnl2VR
ue+pEN59lVcOp72y+hvbZUhSO823wRAMpRia6UzbzzfmBfF6bYiIDv7LsrOfoCOTHbrKK34kXYP5
Aal5fmQxrRFUGPJbMsFba4UGsNv6TVApDjIRqecQtbRk5NSDfzFxT9/lsrSioucy1As/9cDOgSxA
EAaG9qG38qdSAx6TVqDHC9XYxHcOZvZBGKK19xCVGY8NeJSg/Oz04AiIjZ3XtM1Oj6GpUEMz8Tj4
SR5Ja4h3Y5oUKPDlxn2HCszRqKb0pU+r5x5VjRDk3P2Lh//4CMiYhjKanz5JTLHTQeTqqemKJ1lU
+r6TCX/zLYE6FBZCDsSu8rCMNftSuW51l1SasccMv0UV3ljHQrPKH6OZqH02+RxXQEIULeR4nZr1
AzoNMe25R76DdhpjjwVmfDA2VWKhrL8xVQ95HjhIs5PoSATKiSVlokImIDQR+FOKFkRMavmrG1PQ
FVW6C8XtDv8M9LREy73qpqCu+3in84xcYLLupgI3vhZUzLPu7LJppzCJU9gwGqleTJZ+IzNUqTXl
NT7z8oDh/mvDLWMEy7HKqrA2FG4miTYPqPV6aUBtUsZ7v9CNnVk2xqERRvwgKnyfYDb09roU6i0p
hlu42CPhffPFGXUkTEnDXywzzSEsLOqd7ibWzvZFedSMqaU+SdMnD1pLO1ZV5WVBEmugZLQf9CRt
jy6T46NqjfLJgEbpLR4k93jBGPtxADsDbyxt3ilwHPuYYkEE778LJ++vPZISg+Zy1C6mtDSfBj+V
N4PCl4q/7/0WjMgAmIgdWDNS6mmjf5d3drorRWNg8or/cAEROjjtNLzqAOcm6MW4SGWTIb8ekrxH
3HXbg+zq7oDqQ4x8AmlLzaz+evQmEzxmRUJ2RcbMsFJsetVIGT9XTKbVZW3j9MIpcYzrQRCQW/h6
i6f9OAlMGLGuCzNpq0h1SRs2+fw+aJCn34hy0o2on/KGU5/ViFde51+7faLtTDXGl50ckrBJ7AHq
fk4ctq3/HdpYA8K93kUIq/Lelc6tI4fmRcsdARUJxb6JwSzu+ShB1G2MdnY01Jje6Gzq3nMfhmWf
KbxWe3Fr9AjryMSbI16AULKM9fwhyTHV77dDH2oOZINFaenXuDLIW+ziaUedtoWIiwulCY1meXXj
jQrEVhMDu1rbx0HL+2znZX7yYNRttyeG4yLUJZ28GjWzx5uuNa6qOsneSMLB2+fZO0ztPuZ+fi91
Bco2mz2qzkl3U5eBU5UXd5bwbphvfRMWf2CJ8+qVVg9STeax0M4m6xoIhOknwnOOCzYxwVE+5siy
7N6bn8jGiz7MfdKx7nXUnPvurfK98bKRxUObkd4NobCBiaLabSSqFkI9eG5hPSC44cHjNN0u9+3i
pe3nNxEX/UWMxxwVPI+RKiR4FOC1ta+n6THzq++xpnqaaA7DP8yXsWNA6VcGXhySmO/gtcS7rxzc
PRe5Feitk71aWvas2ip9zUGJFqWlXj4KDZrjXEPcSMf22Va4TEyndH5wOxYjHugc05dgGj1MY3o7
THEWyFZY+7ao2I1iLgl8g0GihRckxLyRbVCH484vGdj9beSex9bAuyPrpTyS1FQiSLTyfer0CRAD
8sPq7Z/Qz34z4s7YxbU+0B6v2Hs35VkkOhO/0+SiDVu7Zh84Ehm/zsCz5I0O2uw+vJWPWn70cSR4
fsY6MkaW0CLtcCMlAiGnt5wrT6Byg9DCrj1rtI41osEdA68SSJxqLw4thpxBcg8AhErYuDNtokEt
qODvrg9RDPx7kl6O4FO5rlMrbNL20cxcdexRHTnyPM2+1pM5HHzJ64S2sslwLY72EQMgzZOPJPYy
yVP9l+vl6kgaX7/ogILA9V20QWdo2d7PExPYxKIOnWzo7i27d3a90sR+MjXMyQNXcEhZB1QavkPk
UAyPsjpXNua1TA/Q9H7v+jV7thv5XUv67ouTg+uLQpaqw0OkadLQrdoG8JE06W79FjkvKD8t8qPB
/Xk1pL4fqTGzQuHa/LtQ4mtqaekrQpaJAK5XkxnkIOYJ3U79KEavjzAWCVV6yJeCZfY5dq1Lx9a1
YMLcDgbHIbLl2ruaY3B8dO8H4eGdhdzIjkO34fel+18cXdmWnLgS/CLOASS2V5bau7p6d/uF415G
iE1CQgj09Tfqvtljj+0qkDIzIjKiRjTHI0svEq9o5M6M33QS5W0W75uthGf91dZdnnXpLqrXwqMk
h/LmoEJ59TSmYSwwyvlHWFol/Yn1Ty7Iqt7O+Ty9dd3F0Q/SwI4LjgZUeNU8OUSzhA9E9/saBSl1
Vwt9LlXezq3bj/TGktfDf029gU3gcKnIRI7FyD8rHjCtYdjrtaVK4roQY/1fzNqTlOIA86/CDuq8
hIBR/CdPy59g+aEeyaERqAb6YkcECEXtIbFYqfOzYlNvgWSVnuqiIcMjNuOOcPas0PI+Nu18gEFq
qWl8wyJPLiZxpN22pzg9C9eYPfbz9oh8s5zAKj71jpbp3EfYtDxws1sorK1juBaXZO3fBuXyhUJO
XYuDzY5jqo4D+TDUP3C77DWGb/wteW9Q5qfkg4EO7eZl7weYFPg7qvgxibKLyOLS0g63xlniGrQr
BWr4ZMh8mOX7oi26/jlX63KsjXoORJh7AQHelLwPKSL+qN4xGxcqPHnc7eNsrOQ4drnMbnFGcuXE
MRrlzgwGH2c501mdzVAm0YDyOnzqjOLZZin8T5A1HBP2lU6ssEu4b8LtnEXy3C8YAtDIJol4m9bs
mXUAGH2422yn1G231b7j695Ji4aQKVRwmN1saB/oKYV2ZajvNwKV+9jIx0B6UAus7wHBhFTjrC/0
JMhUYBviYF24X/G6saWtUh1eTbBd3Pq3ywC09tXS+R9EyZJF3kGGr0kg84SIfRT9iQfEmIrpoV3/
seiR4QbxEvdqHbulAFjWNsg3r0Zm+4/v45KuAdV2eHb4JaFNpcwfLn5UvWeN/nQAt9YOoTWc+qWL
95xsxWrSKh5ObgGapyecg+WJh3E+iWeYX1QRzn4E+KFLth06dYR9ysrBvwEZAAcbPigEQ8sw2hMk
QbrkeaqzSgk/HzANM/HfCizP7BGGnDOUMfgAn2Pyic77pNB1iLHw0CeP/lpZ8Ed8fK+zd4VEwqy1
OR/Qcc5of5YnzcJb5Kliqaci5k89PAiSJgYSvO3ZWOdeSrALPqOOqYdWuR3aqd26JX+7IXytOx8T
vzIlCuA8NeWGij6yW2KfYotAd9btBoqK/yrWpYztZbO2GDr846AeB26mJ1TdmOTLjBlj25H51qCk
ztj+cO05Wl/m/g3Td5nqtJzRhwMF6IgPtOBx8/+hIfLYt98fU/1v687jdluafwMA5kGg6L+bGZpt
jJbbMu0TVIA2/fE2uDSGn5xFeQPeCWEE1Tamu2RVz+MSfnEkAyOJhY/V4oDQb+2bnA8a4F8WOKAW
63GFOfvG/pA+Re166MaL1RhuJC6kmukrQmL3s1qrRieyjGpa8g2/akX4EIjTPNog96JHox9bNn3N
cw/8OEVer6uSNq54Wp99bly+6nlf47dKEp7aZTmOXvokjHjkNX2bkBqoIvWQcWT71Cz8uN+n45J9
rAIMUMT0rusDqLoJzlDWNFWYrIXCXI89qJctPXfh9iA9u0M8w3+M+WPBhvqaQft1X8vS/lyY2qKu
dqULSd7DY6bMMvneRelBDy53UFXF/f2SGnfQF+wwq+3nSR1oqHbRDCTEJbY0PD2E9qVZ02OgVbVO
MVa6SbkyBGEi5oav8GXwW7SP/knqFbvR6mw98dpEqhTbnKP4lq4J8pSvF6ZQP9Syy2hdcUELY+O9
ghf1jFtdpOLCAba1+DMTxPYuIKqmLjh79XLwPFLIICsaGz2CdL6uhF5o880D94j1StxAt0aNpzhm
h2h68eZTkL7WHPlP10W+NvwrA0TZk8cseWYTfpQ63EB1MZGPRR/WrAzqK0P4IDtzX+w2nj3obr+N
4bmvaaH6sVL2b9eLCpqz4zDtOiy2YUuf/ahpPC/pxQL4rTN5bJs/k/rokHbQNB+L9MqkTZ9CZvc+
XwGFvDASXrh7vM/r7QBjkO6nZ97BYjjC6xnA7cfpzwz0jv++0W0/ww2cRqZMOCJCYgns3KuaZslj
5E1mnT17c3cKQsRhwDwxFrjDCDSHO5/DCRDaZYMQ7OjW9Je7u8BoPoLgn0VKdfIp6hGVLXoT2laD
dEku1E+ClqKVeKDtcoFsq5y3DxpbMAtowMdCApna2i+Nu2hovgFu/x3dVzdLxL5kuSPJ0QLDJOOK
k+4fxSrz2A8BFG+l1zXF2DyuQXNK/baMtY9KlxxrP/mTAb0Y++U8u/hxi4M2Z/ypw7XURxpTtcpD
25eJ/SvAVhGvBk7pJ0WovrLuOwOeML+PEfbwRzPl/XLqgn9jDFeL8UeHx2zKPnXDi0XGRQq7FbD3
aw1IGIHPPaTcJioh5Cq3GeBul1PT7pINW63tk5vtGUmbhdesB47iFyVvIXbUGeYrEWEjr1/gu3OM
EOCoJGxVgmVHzViIOaswV32s7stgEWOc5lxudcVYUnT1egiz9eiNW9FNw/uGpcUc4HbFewgntcsz
SQoPQHiXVmNCPzhtS5qMe8X6azBArDaBccLwMiDDSSH5W6fIr1jxSTbM7pNEn6GLDRCJAjsgYHVa
6z9B4uHM3BjeYSISDLH4S9hJuuUlRahXHcJ0uN3r9R+3R7n5l0n9DoFfbeucuyAomyTDU9zh7GBG
8dBh1Hsq5yNcJYqQRRXJEBgCeYLl5UgwrsTA2ATYtGfF2eM4pWB0vBKbazfdXxOZVrL9NPw2o6o1
bdt+wmd2Ku2QcczAaTN9TgEDN8PdK3qKEeWF4+ly2KuDv9TNhXeWHjgx9mHuGMU0EaOL2WQ65wTr
Y/s+MyipCcARhJmspRStf2szhkLDIh9YGD4pG7l6Z5nlu2BZbs3G2QdgjuBALW8rMUy3zovbI9jE
g0i2N9sjW48LPH6Lti70gPn2EDZWlPfbA1tXcQ2XPip1j8V3NfJvrN6wQiFbHNKQITryWv/jQMb3
OqxJheklLgc06/tk9GB8P2LOozRBAyQRluCtIwauaVyqkYAAXdIOQA/iQvcdgq7eyOxPp9YFpmCI
sSu2O+7eTFNUhtCl5ogva6pes/6wyGWuSAP7p3Td3lzKo4fa9f7vpNzv3ZH2w6763SUdO9AGBbWB
+dG5i2eXEzar2yyiQ8Nq+4eAnv/lho7IMs7eusF+hBkQOmQ74UUHOGDKMJ39CgEJphg44FJ4cqwn
HF5vN0HPn3tmRE4r0JFLt6Dsmc6GAkceowuc7bI9iZvXIYQNauwtmCacBJlcQ+NAFqVLh4/1MQBx
yhPOABzUtMVmJfMbLB5itsy7xCIOJxual8gtck95m5wzeW8+nBuOToZr5XQfo2pkYE5CwHF9k9A7
ENw9DXUjz9QTdR5AuyPBAvhJlcU1iJxt7Cog1QZAwt3/CUYi+SCD6KtNkkwXpI91dNCsUY89qdN3
RBd+0blB3ATx/+hhQEpTQyOeR57tTuk2oaPTQQcKrY30odb6G4yp8XIJXHgvPVKDrmPsAQRD+ETU
EIOxjhEVrEcAgrKT8876K4WxP+ZRfASoZZCF3P+KbPWvi1l/ata3fr6yusUBEbrMpKOldDV4/FRj
0atFZd0xA+qbz43ZI/0yOjUcSGA0uWZPk809KC0X4DHt18JgZ8MV4kW3tmf/bTBeb1BwsvhxVNut
7nFhBHIKAXY6tFHLJr6n4H6fMQY3l9CY9Gi80TvpRC8vegaVU6MDu/nJ8GRZ64q0tuM5Gix7b3Ro
dr3AtFRBsNE89goJgnGbQRJPWFMOvUhzsED2QkPAqopZfQSmtB6lHeguztoUvGcEnH2m3k5sdbdf
XfjU3WOz2kW0C57Eqoos2WDcPln0p322FTNaMebc1SBmEm1Glx3CZdP55BAIgYXqp5nKl4xChMFj
IH6k8WkejM1Lqvkh0m69DjBw/eiF+WQJtYB+6spLwjafxzbMMx0UIjD/LWHsV0M/G/Q304GK+i82
j/HYmL0TM2hhBGtOiz+cG9bfolSgNLu2zXkTIlYWwXWkfeCqfYwaL83DzS/mekzBpoewO5sJC9+S
rPX2Xr2RvR6DunSqw1gkveji9bhW8rFbp+vWjerYt/1jF3UUtEZkoxd/jBYMpTyoqzUMAbNQGL+D
6s3Noi5TMGCmXBfzPk/RBtBLeCwXA1J1nWmWh0a3mOu7kLhzx5P4bNbIwsGzZw8Ws03phXx+x0Ab
fKSk957HAKaRBJuH5davy6MYwqeEB7fRD8DYYkSvhin6i+sJ4FDHbEGi9dcDDvREuUor04yffR0C
Hppd+C9NvQYz/+qg64ja5UlpLFh50lAUOU+9RnjD/BxGbckzAKaD9LdzK1mSy6W5key+6Z3xb+UL
UMAamb2+SYDjgncu5RLeuegpvQUt0mXdEuNlTpEjiK44y0of92Mp+SL2rmlAbbg2uUtNvjo99dcm
BmAa6m76O9frX4PE3hkz6BAemznpYWpL5hLqt/Dkxnq6wk8xOrJ++I8lfHocBviSFsyfEdeCy7MC
7InNMZe9rYscLook/xEikDFkwg1db88Q07StV+bjqMHCxT0k6fAnrpsI7S9gpwjZijnSMaG+hrQo
b6Clf4WmJi543121zVAPa+9dkAX7uVK+WEhKHG0vvaU65zjDp4lt/NubJ+/LS+h7l7Hl3ROz2nEL
ad46IJ4t1GhXvNT7jIVLHh04tycH+15cLEE9lz6ieHLFPNi4bvoKECyq3CRagIUcehvkxT96UNmf
O9d3e6Ejemhp0zw1kVYw1elRTCaBvEtspzYVMYbuOikc7PQpXB+TZl1fGuwaIxLT4Ko1cZ/Czasm
+PUFkgUZ7xAlR/M26istcYesPprjuuVsb2PqsGUd64uZYlAWnrIoSAMFEYywS7/oMsN/NO/dA3jM
rYTDR/iF2SA9oLp4Z2ksr9wcQZmhh7eY0t9aom3wAKSVEhToKYrMUg0i+F1nnpUWwWWuCPo1AqWk
MAdp1HkKEv4QjdvbMGOhYJnRKpthrk/KI5LjTr4zPCsWtZoabViq5v8mYJAPy7zK0o7xf5YL8sZc
2sCH945piMHmJqUCnxqT1GJ0Bjx100XEcDH4HQ7p4LTdh1Y+jzpEYMk46weaeOEprLkpCPeTQ9b7
4uIv81a4xIO9ZYDluhVzNB//0UHqkmrxdxi12KF3THbCxhugjbvUZq7fosZlRUrY2VEGvjxmC/D9
WvDzIpsY/6dZL4nPgLOgNtAZbxs2cfGWQ89SIks7gKxtFQQKIsAmcoM9aQqdzw5pgA+zgvJ4WWV1
51nNFjdFJ5ApM4VEVra3x0lR+wA9119Dtw+8HKoMZfRMuGcuEQnf6w5bAORPJ9XrrEabrzBiRoU1
Xx3Bz7y4n3ZJ13x6MkDbG6u0rENMozJs+M5l80+7OXKY/B6tL7419HeRDyZ9QuOJdazXyCLRCei9
2ysyYY1I6RGYeHQyruNn4vca3GYDJaaBSKXTM95C2AfkHG95ruNtPMRzhlaGr+zZswFEZRpwc9As
HyQdQ57TVL2KQcx5OEOEAUzsD8BSGPVT8y/z7LORnrzYaaQ5XJk/VTMDNZbMK+886C1pQK+HUPOV
pvMegmY8U3TOOPBdnNM+u7+9WH21xudoyiXEAx2Q0XlEY5l6QweQkwCqA+2PUtE8d0vwMjZ+u+eq
HiqadtguahU6ytSfrimJAHNvYjuazM4lkxjgWDLqfBlaVU4xezdLDxrDAr3c5ujDTFhQYhg6d8mI
FXMsvADa6VvywLaFXMOB9/shq+PXNah/SWbj3HFUX9VhAPF7WudMh2GVhe4uHPTvpAEaQbww/TGI
5G9Uc/i/tqJ/SBQbrpt1/dH30wtd53UPmcOfmCp7aAw+rNJQ7ct+eBYB+OYWbOJbO4z4NnFXMcQu
a4Af0eb2EceAlKUTRD92Osv7X4CGm523IKiBdmV722sM9oZt+zaA2kEtyh0s6+MdA0BShvOdIrlT
T0k3b+VqPfrG4kTmhhKwWbBZP+qEvAeh1jeN7udERyqq2bnmGLeQJq/CnlLCFdzegyt8W0EjA3Rq
m8l73dqUezlp/X+BCW3RDIgH7GZel/jiEWbCosvomWdP+SuGLm+Aag6cfraG5w7qeojrCMPxtmj1
XKOK2mBs82NQmlF6j6KCv/2B1MA3M7SXCyckh6f/WDUKiwFxM0BAKtbwxQ+xmVhQKU8TxDrYpk7g
M+L6QRzWMDVl6uM/mj4CmTlAxdcihDX3yTzm8A9vipBTxOXUKygsEb0Kf6AQXchl78A952nQ/yM9
QtFnvkAb1jFxXET20ZAVBzNaA2CbsMEfW8grQvWLFI+oMA3O2noXYnisSXajo+KwjSYrlqmZAKqO
/a6hc7RLghVYAiGvA1Lk821dsVSWoWh4AOdBoBObw0bnI26XWxeFQdG50D3gGWFVcNsU9gT5c0YY
uiTfqtKTeIeDyCOXDATJ8J0EPMs9aAjVai9s8tZ8F5vt2wIOraRP/3ogXqGJDEweY+e3ho9Ni5oy
sUfSasi4WqoerG0A5PrxdR6D6SCVvxSBMwua091kD2BwdbIbZnBeZkBDr7o0vMh0oXm3Er5rFFgh
CvPTMuRxV6U+CzFBM++94/wUOigrXU9oDh0ZYs1JioGwi9p9CqmMkxG0Rmn7DMgEBdt3B5kiXyUC
d1fiMT5n6O522JCOroBpxydlyL96noAcjZ8rqPkqRorfn2j2j7WU05NoQcOAr9UPE84PQlbTF6pH
UOhT/Kpqik3gvcIT24CIDR1OFGXA/NZepe/IvYTktXXQO4+QHufQvHpBntWAzsDSdOmtDdyfWMfT
YxCJV97rofIQGzwr1BR/9MfjNEoN+JCXPLy10WAqHYT2YBEKCLEyRseBbsCzWm8D6NN+CwHBRUqj
Mkv7vy1TuuphavkYBSs/b4puu9ncu8dl+1ePAStmI/AgozhFZ9yPF4jR+hua1DtVTiDfwvrMHcKe
ftN6eJi2GcJhHrzRrL2t05CBOQCsXPeTKax/9Pt+J2rbALSb1DFSyNkWnm126dLBeVfYcd+p4L1O
MOONf1rTLVf098uOGPJj0vhWh/5ljZt0D8Wa5/2FzWMxms0dmzVIgKqmoiDL8Ml9A4EKGQ7xCDQB
uiyD7W/CgJvF7AqZEGSMeAMw1KbGyFw6fr8Yx9+4pg/dMiJCmCYAVIbxFDn53LoFLvy07YAOBk0H
GkBwtGsrjNtYe8cNcek+T0GU7aZ5oiB5obdDM3kSs/3dxhmxBMgyWIvA9OMRi4ngS2aM+FPjljxL
ZtAgYOYdVo/IEbuD3SWNzDOsBW7CtgSzDW8qqjrknEekLwdt/iPoz6oQyaVFDP/Oou82wMF+d2ZI
yMYLE4T5CotmXqihfQknb/ntrOiPogeyucp4KDMmr+H/pUspFDJ7NovtXEdt9DCnIVSySQKKCTLL
Yg7r7dK1HJxYM/XfUD76OxJh1Ja0XXfg24N31UOAJ6agacu7UKz02PDBuH5gcQsWbAD+sXg/PLbu
QFaUGGf8tuIJrg5fhtMO1PqMpEEKCqH1ugyqKAidjAZgvzIIwUhMJhBf8XsXyhmCuGcr4DuJIMQN
L8qIQmNOY4w1AF/T195EDprJuPmE59iJ4fzvJmWwnxtAtIYfQRLBp5dutOxtIgrs6bbuwKzK7aiN
gNqYg0Fv1ti+AcjJXrz1WgsHqChPs+6Qqfqwtt0hTAzu55o+Aq2cCLp8CtDEA9HzaBjvoMjvenPK
Am1fSZI9a3CtJ4S+YuBy61iXqYAuAkizNYd5TWGBb/z5QbN63Clr+DWiUFIwsy4FyBnW4z5ufhI7
txDfQEmdzdCgW9PFVzZFX24GkR5PfK56Hv3zNpscVaOmxwwcR97VLbTkXQAwPsTEKBK6hwEhuKuk
/soab8IgPbyN7RJd4CHf5H2Nx71GEIV4Ps8qT97DtEUSVKrHZgKpG5r3PINYEa1DXSMrL5GxgCUE
XACUWvxTJLP5UtfwYAZGsJ69RM8lZGdtwYMpuXnocyO8FU1wf+QN+erF+BJBIVBl2gf4KsXwZKbA
QlxO/4XREJ0UyZ55nT4ovPNYdEGTE26ISE0hjnmpJV4kBW91XcHscj4OfPJOUFTv+QoQorOQzSrP
w2LdAqjWsR7oAYdnPXSToJlN+oprBFJXmqJwx9tFKCwxcNnQn6yLnpVbg2MmAwPDzDh6wtDIq+B+
2BuMjheUjesYpPVLiCL/kqwbCO6k27Gl80qo1tKTtw380y7DUPZACHdWuDKyQekErvd2nKHscV4Q
QXI66p1MemiFsUnyX+OatWBwQoDpuH9CPIJf4PKYQVqHYIeG/sYV/4ukvQDyJmKP3LemIgnGUOCz
I9oJIafpGCwWghqNcLxZ3YXBYpI/swd5BNbVUwhqxvioOcfgHyVYOMwaDTkAlnnLTYdj1ddRnS+M
1UHeo5sC52vohwHu7/H2Gt1lIEtssQ3UgiGe5vbaK1DVBrLdDx8CpJc1Vd23R7n9E2QdKVLJ5nOc
mqWYNGNIRZXxK1Z7NmxaIx0YSDyK7wQCyqBMQl/IkkOE/ZQ8jp3+G4/mOgr6az1+M1tj8C8AhYD1
iK8tGTEOzq16xjUIJYXBfeHNjSvidHwf5PwSp/qMThD9dQfKGjICeL+tnQ/4E+YHO08EHnZkgp9w
I9FLFIX/RMzGCplDbJdk8fgY3y0QJiEvOKLBic1RU+cUNvOPwLDuUwhEVl+YSE2RhVuCBi/uLMhh
bV57X9JP7ixAxSXMdthD+EOUzx+YJ91uDvlC8gnXQwa1KFdgtnrYFXmgUbFHCFXzkmYYojJQsI0B
Sp9jAK9PW5q0Zai0BuiFMCegO3y8ItIZEtHstvUWbnZe6B+GZLC7fpXTrofSYme8YcmTGqMU5jHc
W9HwELcepB7UTzAdx8MrnrMpVUCe9RZ+b6CzFhCDEHEM47dawmesPsG0k+L6d2rSUPwbeWRUglJM
V3YJY6DKaTo940xvL/hStoIA6HggsTt2UAm/xjIGRyPQ5cYYLX6mFOIfG7bYDm6mc4t917uBVwgG
wp8uLbaF9/RuvgJJflcGWBo61PfRo5MtqIkNkoCQZJAM2xX0c4+NGcOyqC4xAYdoadinn8HdEYtg
8dX23gPEc/pAlrugAnQF5NwbBk3JAL33aI5LPq3IkauHd643+Z3GjByGacWMx+OrVmlyjjNDoHBF
l45vzUdZlXgS2KWuHBkBJfTMVPCNu1FgRzv/vvc+8iiEYw3sVOF3eJ1XLne+H4YFtCNNnhmRngK7
XRMmAKYsDurswNqPKEzGEqI3/NTf0C9MJD4KbJuc8ZX017pZ/li09DsxtXY3g6EAmwYcCdslD+CJ
Eb+33DW7wJwwEHruR2v9Q8VmD3M64mqM6pd6cRbWbw2Of6xDsNSc54uPLa/FfWsOccaVrsXXRLo3
AKTez+SglprHafk3BNlnHw7sSNHCnsRGdLEqEqH2toBG76szzYQ1sK7hgPGzFyw62UrHaXYJSdz9
ulaRZ6U7chZNn/z1Yfb9Eob+N7/DY3UDuQOMfCH9ZNwvx9g3Zb/6zRf6W+BzuBFOvZdeMlz9VQsh
5IH3K93NWILMMU15u416sMyNJggTIXcBTu6yFoRqwu3XIFI6gyKdBqhcfC/vsox8j/gaS49gpWtt
M0xewdLsArehcxgwmifT7O/jcLS3WiyY57roPyKAkU128k9OtW9qBHeXdkCaw1H8eD18h80KA+JF
L98BEeku7nC+XIubU2JrCkCIYrgGBI6VBnISenB+QrcxQ4yk23MCrh7g7XZlzfg0I8k5D6cWX6s3
PoDCQS5fN9YoQysAR1iSt8uVNxH6NiagDvHTG041IIIMKn+xvM7NpJ6Fn74Pi5irERUaGANkcis6
fkhFAy+fCZJSIkaxLLCpx5hGF8XEL0FYUTXzUFwXaDArosz9/UnAc6aDh1UmGN8822AAmIf7t2hF
+74si7kJSpK933fjLWrGEOmBEgqgzQO0TyUQddtAA8ZjCAahghrwYV5BN+GfADE3FgMR4fKOrW+6
F3W25hLs3K2NZ2zFQneAfhiycjgWQyGpsIWm+hnVL/X9MhANUBU9fsPWDYzKaCneAYA02Kuo3+pm
zh7dZHx8Agln3BRA1qR78D4Q/v2iwcSqKiChInFTWKE/dRC56GPAl/YNwJ04mk0zQHXZBq1dxE6j
gv4NuvqoyVvC4hId8hnkVH3mmNgOW9gDaMMLBJAneHWzkQX0yVk5qTuQzTwYptn1O1u9X9ma/pBi
3vmzAPrf+T2ovA2rbnvsVtsSLMX6zzc1ToBDAZCwNC+zRmwfKxnrHYxtIBb0258BQ8BpcJH8HPp0
geYVyuNCZpR8RzNF3x2LETUqyS4zmyFDUJicuZrSn2kcLVbp8Hr6AJj2iK1r8iGbdBk2qFhEZagE
uFFg8qOeeRj9wmipz8cIRl53n/qcEfNfzRt0A2PYlxsTXz3ad6gYcOXFEoLcBcIN7DD1cwm5PC4t
PkH0JYdbChkWG/0BqL35jlX3B6449UmH7D1k+oNO6YvTLC4m7J5fhEfFhZGRHwAKTVjaGh6DIb5u
m//OVfyoPbbnNPqJOtAlMZd9TmYZHmZPNoU3tW9TB4V8lKAaYckMwLAfuedp25KyTaMf2s+vi6xd
CR7kVVIG8OuucEB2Wpxv8Rr/NajVWDODBvD/IREQxEOSwGb4caHLRQ2V9fUuEcXCIR0Q96jjS8NW
wBrojo6Q70JhCRzp0Tms+guGP1TT5S2YB7N388hfuEhEpfiS5RCfYL9p0i/9mmxotLe74KC1yNdY
/WLop/+WML16IgPnb7N3F0pz0HprcjvSz3B0yDLGjleBJWaAKAFUSi3zTJF4EfQCqRgrPwHLNm/j
is9nnupJo2OtEQLbuSCGIiL9lS68bBt96Ps+ODTYMs6prLe9huR9VyNM+JFMvdiBTTMlRs1HSesx
n2r2Nw0SvUfeYbcL4eC9a0MBdZKqIfX0oJgv4LwOpR52XXfCxQp7s9BkCSwRQerlf0FH63IaBdHR
g73u64odjx38slvoslez61yNk5LJpYwmrFfYwWtQ/e/SDw/qGiGAbYKNWei+JViEaUWKsN4QbO2V
tlx91Y0P8q37H0dnst2oskTRL2KtpIepEKh3b7mZsOyyTZuQ9M3X3607eaN3q1QSZEacOGcHtlYv
xRuSrO6LTLRDutjsNdDRKTkV235nxA4qipk0WxH3zrU1UbaarMueZ+UpyB3Gcr8mtyPSXZc9WeKO
6UdzcRoDg43CUTH7SWhN5dlz52uVlJ/GOL1lWfZSVSURgEL3t4vBnT4mk3jzfb6lTFPtkxD4cfUc
OaQ1mZGWWpc9JLPmhEw17V0/du/pTWOxXW3YmqthPBoaXscmpbgriE78xH5THmXKnNoQ3hcn5FvH
A3tPkHr8rJc6/yLm3Rwz3wVDX6HE/GnT+q713RwNhDfheDkPdkaWtFkntZWTvPq691XmKjt6M6MB
353rKC4qf4e9YsIFxzVb+82T3TsWHmaNsif3ywUxp8zcrUlkIKzNZbkFP7qHFs1zO6vhy7Srfkvs
mtGEcjAF+fl5mu2dYnjx7c8jNl/TfzDJ8Uxxl5xlrD5TRmqXYRmSqGuJ9DoxE29tNfKXvs7YMjlo
3WNe+ckmxvqJViMv61J/CarNnZ6zGobEEYvlG5iNta/LY1+Y9VZbnHKXOMkfudjlQfjq0tqGPNtp
6+8Fo73XLBZv3bzInWayajmx66s0pDpMyiLDV5nB0GBrbFynkFE8cLziEHppjbH9nEDlXBehNVFe
d2MX1O287uvk9nyOmA5KjVOH6RCTN6N2/0bRJduiSJnpNUAe3YKbaEr0UOGmDw19ZBrcxN0QNOCF
j+tg/1uS6sofTOdSlWlTR1VhOCehXB4BW6HS4//EedBY07IxG2Lpxuy82YnsflhmdK2Vod28ngp6
BW6iOVisIvuTRnZBz/kS7eSdge0bGzIIy8VAsizy2bv6lS+e1HLbFy7XLX8X/IvB0neyZ2ZFv5EP
ka7F6ae2rtRMTit+ZUE9IkjmBC13kGhV+ZYsiRdjQHD1jVjQjrTOM9l2mXYhHp8EIX/Q9n7fv8+w
ra4zItOuNCtnNzS9HSLhQ0PJvPXkZIi58Txmh4a7YMc6KOAcY/HYqj6H1No11dlLl3E7cREnwSha
3JQyiV8y1fWvkBqziEMYc/aA6xIPC99WRjJ87rAN1cLu3yqiAJuZgMQegWN4tjxdviPAx0xIlNhB
1tlrRu86kWDate3j/E0k9Sl20kcAEcVZtFn94Am6QbG48V1ZIiOx8XVdcaIUdUbW1XE/S8s+mWU1
bKkuHvQ4Tvae0u6JQyK0ZY2IMr3sTqQou6PKM2bFjarY2+p5/RPxhexgtmNB8ttgJoodyrRSfRMX
40fDiIMvFodOl+QGbDW/bjiSJudzlk5z13DC30ttUbuUdzisKrzo/JigjySJamtW5p6V1eulLPTu
7Bh2zlbIVW5ydsVHxJS0QLimFfiYakK2ejI7WKx9k7EUmuViNXyCKrvvU8E29mr+KDjRw9UZ3K1b
9fe+ieGjnO8WODp7pdcv2lK5f6uL+9pcn/u1bT+E6DFEgPdtCfSLcsdZh2VVJcWFPZiYeGftnYR4
EwryHaHRIlIacec9S6jyG7eY+pBJ6L+ijZ8Z12s0V9pILY2IE642wymHuP1x8po7wnANr5QgjTEz
iiC2ap47PCUP8eRVIZYrbd+JVfH6uw+tn4/hVNANx4vTbAuDsRyktf6SCA65pKrNnWG+J5ZjvPkZ
IquHbKLlkRkXB3gUm5Q8QF+jqzsFbWPtPuuzs9Wn7JBNpMItjKajn9/P7TvuZyYS+q8smWPxylOz
LsyQK4R/bJCY5XVHjg9eMphBYWCf0PwxPVbFyn4cm4z8vC5c62l+KQaJspLSSKmz0vElrN1+9Y19
3Z3FcBnc4tbAAQbY8y25zn4mR5CkAvbAJrlndEXUEZfWhlMI3VMMO3mbV4rKvIr0Z1jznc/41WTO
ASI2XF3CPquaO0yGrF3SncPgaWw/cu2/VRV8Lpe2A8sp4ihdFQeeh8hAzbXnoHpb7ekq0HEqdzzT
g7ssDikZtWgNUzY7fyzMnxmnf5kXgbVmB5Sqf+1SPlm2xcT6j9rsBx/XNlbuY+vF+zJu/tVu/xiP
MMmWdp9zoHkVyJAKSbR0rzPOZdEItkjPKTHSJZv2asXNJ9L21fTEk5ZYO8vwX7za2lDNP2FKCPOl
nZEX7Tc6dPJd2omS1oD6Eg8GChGr8zLVZiFNREeLgDFVgXv1lLz3G4KycW30G8YRwy0W5RyrDHPC
tNaKCVOb7zkTGB6m7utgwS6oMnzTWW6d2sY3AisnkSCnMossclIHwDCfekcvRqd3SA3/iNthPyib
pJUOy6OPmFDy0tWBbmibCVvnINhONtRbvdX3hH/285w/svj80CYj+8vaw2opeBL2E1NvHBE8FN2v
7JyNQSFpeja8ACzSlXbGL7Mb8YGXGnZVofa1PuE1EFHpFkfNUp9tXW6n1tnhq8fUccMRx2Ah/BFj
M+6LmINK0fpCuXlWHHeDO/xrGAHhgG0PM5ENY5k3rjDONfPUvqV2M5ps39lvpF8e5UKqdvZ0EQwK
HHvCwm8Gfr0oo9JPqBm4T6z+cWVCXqZ2OFSYKnAtMY6yPociZx+52KaIJ6RDiUyMMuTiCOJb8qAZ
P1Iy/d3aU38yYLF8I+Km2pp18sv4/tB0LChuZv7NyX7RjXM+j5Hq1wMIHd4WtjROhA+qqQEgoTOo
0b+tCg9XzauD1ECqgOFiZW8bk4HWgqJcrr8rE4zWI1swV240WfXH4PZIkmb7oQAFybljsWW9ndvh
r88tPYC4i++8xZNUsC+R9SI2b8wtdiplvcUK8q+rVvyk4p/VmFEWa+9uMx8z0lFjV91mK+EgH/Sm
vRuKH3PGn++rF6wWZ5O0OoKW1wyRb37pkpVAnjz31AUqp5vmNe1z77d116jx1avf1++NjC+x5kVy
At+BT7+qJ4Il+Z4iVWF5XK4T4Ec3oeBc3PtKGaxc5nlPZ5zu0BkOQ5WipBn7bF7OlsLmks1RnQ07
2inSW9N7pqtAafrT2viBVLdcMpBM+vUJg42VlxH/DZlRETASnTlZam2eiJa3JofbEtKibRRHgyv1
e311tmVBgY/KdfONX6pVPbWtdos5vOKB/HQS+4pNI7QH8ylrq6vrwsvgzsB3nXyWvgxL8sBCn55J
XJLf1HaKQIom46jyzF/i5qRbSUBZY/GW0qdsZtMMTWfGwVG7HgZZb0co9NqMThBbbmCKJij08aK6
6aCtzqnGxubpbTQtZCNu1vUy/a5KLwniFfaVguead9faak6u/11NFGwxZ/04/PRLehaiwy9Z/tPp
hrAaHPUZK55dk9PpkuVVM3JmhF2wdlmyaS0zbLIsEg71kaPe03R+tm+sD5/rrizrC0k+ru7sDXbO
sdYYantGqArnzZ21B37hDTt+MRl267UfwW9BubGZuJQYcOpxCWUlzty05N/YvpDXD4XHMEzzt5qs
eR+Ng/SdP32S3C/WxeVOc9W09WM+QaZ/KR55Epb1sqGTxJrA9MdtefFtxpRWn4QDOQaZceFzhgp0
17goTvbaHbJyfLQr90lI1JSm+Bh9iss+IpAQDq13yIr+nM1zJFNGNsU4n5kLb9WQ5YGT4OuwHH5R
aIAdfSyPVRN6Q7Yb8zbgin9aB7ox7JmYyk5V9mNO8Ci8blcvHj1f8Zs0A3lS5nw8fZ1GxKSMd575
jaehwYbp/s5rtk2zCj+3F+mEHSpHey/rvzaDtWkw8+y6y5RqhPirLwVi0ZF9Ai4wjURvfI1Oeud0
7OdoCvOxsqsLWlzoJFzXVqwf9Il4paEeNfetKk1uQztY2NZEoyKjxql/Ysf4WYR80Kr8Tl9uxaB4
Tuxyi2tz2rDT9eAU6dVz0Q211bxPnZwOq5n3nUWBsxgsXecyLyCH9GBe+rY+tBggnVXucJsEZbwe
GAG9Vxq/zgrOq5vsO4PaMY/HS5fdIkp2YBXrYUoJ0Y3ln1l8j9I96Ekdebz9sTCjlV9XqGrLHper
nhBdGIkp+Di5+PvmWD+mo/2MUvjijZwciJ2E5K/F/LSY/IT11R7TQ9GbYekax1QraaeWYEwnZm9I
lumnWPSrZPgGhCqSjf6W9kjD3u/k826q+eh1852nrf96hciB7JosKSndeje19dmM4ztrlBELXMUm
q+NDjpMYQ/OEgM7UH4MO2WOUQgM/ThVNHtEgk2qp/5c21nlCo07EcNZ9mjQcN5LWYpqbMIEWTkk8
oHoVwwttQeC07QWVh/LA2zIQpxJ1tJPupaemmU+LO2MT8SPN0faypjbuirsk+2pz5tSOw+WLUwTM
X2CM/adBU4j4FviajNqO/T7sVAN6Y5f1jq2gqAFGIEz6Oq8f9kV6G6mTtBgGJgBDchFdhnm8f2Yo
tDFgVulOFimrOCTpr+vOG0PFVya1mxtnRZYVGuAM+cL98to0sFA0WwZkvjMehVO+rpr/CA3joIjh
aLbYzs5ibgpM0aaitmIds1+MwIY48Vz56s6CdcLyFetpIGX7lnouudG+u+9qPrPkMS7JeMBmOMjB
OTD/3Ha3+57oJMDVAVEY/5FQeqjVpBjxj+99/wZdKY/+yr4juw3o3EioWGFWrN/J+t5LZqoamQA9
vp+r4XOdsZIpINWtKw+FXZMprtAm3TbEkE2r2IcE/stN6Sh09LGN/PjDH/F5IPxtkDt3g6I2SWr3
ptXzcS2i167xmMfeWdMZoeUz1u0EB8341eD+Q4IJ2jjHDJW9YFeg7DZ2ssYIa3L0jd2V4d/RrF4F
Bm3yCmIzkFfChbpFmMXF551r1bGMngQ/5k+ttyL+TxvbHo8xo1unKI/CY49Za+y0pXxxAbdtBkaY
VVy/CIHOzeffOL1xhcjcbiFEngfBbHVUvEbp81qlO0btWwTLb9mNYZ7oF+f2SNb/dCkO8+hsm6l+
Wagpxlnu+ly9WukHjWhglTIqPG2TE5d1XJYEGg0qIOtcbqfGN/G/pyyfckZzCfas9uCnybtbFPxs
BhNcEwZHnzozQbdxp9GIWghipDLjMJZQvBnb+0bDn6aJLXcK6ot8tau8CuKcc6oqyHRbuLMbfRfj
3QiRAOeNZJCOe9/Z+MaTtCE+0UEwyZZDSgod+T8twPYJt38ju4lRreh2o4O7jkjVMBGjMOrjOv+b
zWHGADgcWC+57gAY7PFyVsGNvyC6nEQCh5PJTCv3R23L6YQBfXqZUMoJU7O8JHcvwlZHhYf5vnEa
DHHDqiPArG+L33DHL/O3Xys/jHkwvEy+z3UKf0xub25+ZxJHiw+b22gdwr23quwDHhSBtWHvze7Z
HJHxmuLOWXkbmPvu5TC5m8L237LShc4ovs06fRlKa68PSXMi4bITeXVm2Xu+sdYGlWjynxDa7mTJ
wTpx7tMp7iD8PNmrEc7auG+L4kAkBJIGe54xAZL8h99xytv8LwEIIQ2gkYxBk9mN8oJoLNWv17lP
a8Fo2HTUTvOmU5FaF5VwcvYlIXCi7qPdvo8FYjaB6akcH7J15DdecJJJ983T7CFgivsFRjQA2mYc
3QwDptI2BpGltoFCZ7t7t1gvNl5CZx6/vcFvI8tErHOEsdXmmLwVFri4jph4Ps/TjHsut0N4FuDm
IBzNTTsRN/qtKLV8+D9Ytx7FOIc4o4iQOTtXNajPsodaszwpiQanoVV3RjjKxd2UFeyrPPvQWF2x
6MCtKueuiPmGoNlhWoeRRONbvcfT+D72+Y0Y2LWB8pKDdPgg8EhuNS+QxNV4yFwq4YpRLufpQwyN
ZhnaazUwtupI3C1c+VkxvjXEynijeufdNMvnyV3SgxrkuAXIRn8HomrUwOQUo//Pr6xT2ksuPOvZ
oY3BHuywr9iv821BmsqPGeXneMJBSSzPEHU2QztfVNzzGYm4+X8NL7qlkq9lajBH5rMF8I+WfpHG
rhacm5jCaS/ybd/Mlymjz9N52KFRuk3+7XU2d0pV72qeQMzY+Jg9czOZomYq1NZRPjcnW3wP2Xph
Jnsij1Fu5xHQQFKZIOJM9bQiKdMdNcMpaavhguSC7phwV1oJOnzq0wvfdCZ3WLbYSCiIU9xaiLim
5R+SGFOhqQE9jLu3zIDQktDFd0V3YEL6brf9dUqTO2SXAYdAe6yH8l65U1A2y0uCbo8Tt39X8xBw
Qb2ak08G1BCUy/nxhksQQ76LY4boLjKp1X5UdCP6DA5Dz34gV8jI86t1M6yjS6jA/XGz53pAXUWt
A2DJhZmTsrIYE0or2xYNeNKh3yVGgbUn2Vb9FCkIPl03fFh6u2/owHPL+hKTjeik9l3GPVYXV7p3
tquD4rP7J+wgBsd5U2x0g5Ixiy+6ZuAXnUM3Np7pSg9r9p1iLJmN9DkdsboL/5jN4m2Y0jDnbtEJ
U6H30acYT4tHumwcAsvpKbtvaC2NxC+ZTIav9+nK8qPbpTL8+bbnB53qXnOaTkDKuyVlUt166MQO
Xib6dnd192gqx4k+bwIuQlL3aagADKGxpFMT0njApJQRvtH3kVIJsMGPyH18e/lCtHR+r1v2s41x
Ffhd+8SBcVYuXfjottiSqm1bLWda141ocReV5g/vCdLA8qNV/h0b0Lf9OB9TBPZ5qr9Fmy9bKgVK
NOTquitpdCZ/k7v1b5PWD35f1ITa7XKf1jSKPd0a4yHsHjVfus6DNpjqMhok8+akJQjf3ru5CSmz
84npi3fTHh/HTIJoMmQHrMmPT/WQ7JMqPzWOsakq/oQu9jYSEwTJyxCXwV5TGoyVPiI1sjVgy+Rd
sksa69/iWF/1aiPgIReodZtp/hGCyYtMkUXlCHJxMsqPuH7r+hsVz94jYQQ47XH46gE2jlOcuY+G
OUZZ7rx0Ju+xqbPBW8eRV024QVlqilcR0hTXwSrqa8skJWXCgLg7nm98B+Rg/r0uN7Si+NZmDLba
QJxf4CmyLAZN0LswJOhbIzciiHbZBpJNT92KrAJjKQsradnEeuKP2SPkl6wWdE9FEqRIyPBT/UKA
qTP9sSahHAjrTzRO5GMu9Yjk9p53p8/6W7PaC+eP2msTOLiB1kmtRUgU640+Imy4lnsNXUaKp7GZ
jn7L7hlgtQoAV6XbT3rh7ienehwF9ZysD4bXbLBKHMvWGKj1rPfFaN/Ioj9ywV/rgqLCbOSJvT1c
augJ3uA92a56dbHkGAuh5wrPPswu42oD+THaPIKBxChTp9rNmTMovMVpsiXg/FFl/Unl61s28Z9q
1BtAxg55D/z2Ju/iTj36ZVyT3jbuEw0/ZEMWajQcP+glE59basNeV5IS+cJka2qyp9Wc7ytMn4we
gPGp/g7HAaHBXB+OqzRIGxbGQRNGgxtKFKh2+XiQOWP4rDyZVf5cOXCRPIv2n0i13kfwEpagmeIP
18DgLLJT6VrbvGo/3TT+IVdE6Li8U8SXg8pzsxucbCPy7NXBgwi8dX3o9J4crh3EKY5HdOF9TsKV
ZgVNRb4bw/Tr2cQ7BqFkKLqYB8bH1Oq6Du9OdmplDycFybum9Mab9AiU+Q8T4evqJNZ+EYhCpGOO
Hpn5KJ5wYmoUOqPmR3E3Rp2/7tLEu8Recywd7BoivuFKk+EiiCYrSbxiXaatnG2Beqodpe0CntPt
NGgbvtbmlk7wqwrf5+pQOtd4oEs87JwuGEi/8wp8b2/fZROz/t5/M2AKgjiWGbZEebi9VYuqmEnn
56WX97LInT3EwWa3wBCBQIkB0DSTjTSFGeIAZl8v07MV6a3X/6HPXgf+ujb2H6F49EGWNrvenvF1
14eOvWFgTJ64o/GV+EnJkTBUGxm7KizrlPJXIuCUcHwyFyQ8sdBNaxALNEV6N4FlS6bstTD6G2OB
CnI2AQmVEGyq+cuPF+aYWgTns4r0ofgrxM/qTHci58Ys1y/Naz61wtp2KEKjq47+2OJ9S7B3O/5+
Iizkrva9owhRQDFeBPbB5sXCnioTnc7BaINKA/iH178RfB5khiTQU9BGN81S0SWxfRAmIqJAR/4k
GylIsWIUXA5dPSPvAkKFGB2gV0BxhhAJd3PTmJxRg0Vyrk9xZhkwIf1ZnrLMO5gQBdaEH1S0W2+Y
kfaWDcGl0CiHD3KqQbXqf6bjP8EFOSnIHcxocDkVvl1BrspIURdbWzvn5vCeFn2680302x7cUuPy
IbBBzEFtdaeE1QhjAxUEute5ntpjtw5r0DjK3bKk9M1dP/neT9rY4RR2HuOlD+cFE1Sp9cYO5kjF
iNkNq8TfMDf9ytz+0IvCRQzA1D7P2iMglefBKkK9W0HRSJBC6jBM8ky0ltc73g25/9p4cATABm1m
57dJ3O5TYpJzu9ahT60i0AFExvLdKETo2VZgMXVCKmoGDRW9CAjZB2mchjHXZTguTNE8l6PfEZjF
RXW03PZrBRGT3XoLpHVBBm91EQt6WKDbvjeebEGKaEJIizK8j6Tu6jtHWG84TnmeOwwjbnY/wzVq
TUdgKKGK8Zn7A5vm0n5LqvF15NduIMAVbfHR+yBGpI6mVBf72mS7hYmGNQ7ui7emnCJ1ONnlV+3x
wA70dnnWMeg078XkP+XVwuihcENFHcs7EnF7f0CKZ3AiDzj4KIII7XUYI9Mi/Zy9i8/UEvPGazFY
R0VNWhDSHpc4Yox00BnFDtr0I0UiIjq9UDO0XX/7UsYFrleLtLrgFgcmsbdGooCuj3NPkP1uYLM5
xXKxnOXP163nntMwxfQvkxEnX3pXWZ8JPwr0hHqPdAxBBkBEWj6Qe7rAVhzRNQjrpi+rn0X4hD7y
uTuTJA6xdO2rXp4boQ59oh6InB3ySQtbJH4qDlzqjRF5ffVXTf13UZH+YUqSqM8BTDHC5Q27Ch4l
b+7tAYvD0vxbytoBl6p+zV7mRx+6/5ajIN7bIEJ3KYPKg4mrdueQPaMbIN2lxa36jQeOAaMpHssS
ZK9OBcyi2inwkLawcYJNc9VDha+AdeTOEKXI/kf4t9NuycBvMux7nUZ14MxaN0mL8lNZxl1SFmE1
5J+A/KgR6mnXUmUx1kT5FkuOXmQNQdcPB2E5l3xMz0lWRr6fHur/qde4ZXSjv2txnHhyiFaLdF65
eNUB5JER9Ddjhi7OKfyPxw6nxCySj6mxajjqNm1l7+2zVJ2rG2l6SrwtnruXQhnZEcQIYxSuejTI
8Q7syFdD8m1oi1fl6u+2sZ4MZjyWK+79yWQhQn1YOtxYE35Vk7IsYzQ6zKAphdPBi/JuuloJF6R7
THBWSC6OhDm5Wn/HWn2ZaDdu3Z24d0GfcRIo1CbPIBWdq+e4JdUm8LJXBOf4e3jVAORONJtc4xI/
zODsQMocnIxUYtYdsyZ9Sek8ioIvvcEoUmKisrQnu5nP6wjVotI6JqYOoB4NAjS16wBpqZ9DvaG2
HlgHYcqXdba+ZxDU/IOZdun5Y0VTjinhztSdS+uv59VTXoDrkyH3+p4aLa+qOoFPZTw8nvKY8e/S
HQybvobxnAsBnv4Juwr8pNyr8EfruyEbHnyd11iH/rHtjenez8lmYAttbqkBC8888H6eA/4NQplP
swXAa57o7XoLKr0PuDLop/whxi+3XRf3q7DRnrAfwcm0xh2knOds9UYontAeMoezyGS/TI6EvYO9
7zysurirwawuqx7eJtdt2QSKCS/G5uexfgbCsWz6vj90wp0i08/2RgHyTzlMZpw7UrJBbK547leG
rR6MD+bgW0tggmg9c+s5kAIsJaFTCkbWdYLHuVvKV1CjZ5n0MTRsepXJ9K1jW/Hrwzu1YVqu7c7R
VaT7TCrKSsP7UyNhL4ylyG9a+CTLFYflUsHL63ncFiCrWuDZMCop2E+5272Usrv0xDeCuiUQ7mdr
8egAeyQh/a8b07DxkqvoxLvwkD8ABWALmKsHhXqbmTny0fyFrgClhDQYrtKTYbVbizHZkCWHbFHH
FqBR3A737s1Y5qZiV/hPsz1/xRjcJqaAtd6euNgPac3kGWohlmBzk5YZM2TMWXk7/XSxca/s9lH0
7t0yplBHbqooscjYOPGocWviqWMUtvGQSIPWaa8kZS6ZdH5NK7tLSCwiD0J/cVnJkiLgzRzTW1fn
ButN92Kwz6DtcbMBNWhT/ZsBLmndmGgQLkvWR2wNt77M5fBW2w3ZLvNRVelRMA3FS7fRF50SD5yj
oyasx2JnlPGh08otbLYtGda3OTMY2defQwWlTwP7n1MndL4ICzpoj7vft5P96rD2Cagz1Ve+90rr
sLbwoEwL7rZkNCz2K6QeYCTzPgWQtB8q/hHd5C8HGrzPEk8OyB/33KTiARIQqVXd3QPoedBW9ymZ
KySaL8dEe1j9aFT1e+/reEWYWI/2hJ/JP7T67TVrEGtQFvvBOBspzt/q62Y7Gmz9t1mHIz4yJqP5
r4bKg1uUaCTwQJ0qqbD+xTyYG7utntiEcqhj89W7LZHxkKsHLztnGkR5OUdc9W922hwBkx59iB72
Sj4/R22qamZj7GFYcgVEZbw3eFF7m4K5W6hCkhJyOKxdjxcyV/ZDAocODut+mOtvp0/ibZkubw6M
tBG0VWuzh2fkkY8bSp/iyV2scJZdiJP0NoaufhOzfy4M5HbdDWwghFx9wYJ0wDrYyFzi4zQtTM0A
aK1rb5DQYYeMNPp9OxNwM6z0u+8kT353x/Hx0PdwiwjWjOKqTDAlS31j7RAXqq6jh/6Jay6bq79R
Z1wBcXHR48Oog69AiSg07Tjn6TOVPNY2RjK2wf90efWO7XOIOuldHWva+a2DkgPVplyOTZ7trUR+
EnJ6Z6ZwMJzlVBKFBW9Ddw0i4Q5h+OrUDrHdGYroeJ+W+dWxk8cuk3eVpP9KWRVY0R5wuetwtFgH
qlfGYTWSX7MRW/BRB86vh4Kkc1GYZ2Wv763tb025BMuAcu3Y6a42geJY5TnBOF3fthHT8xII7rNd
5s1HiMrG3oLRwGCZyAjuAO0ik2QKxjE1IyktfgTQt9hmiT+s8lu3/s0djXmbvoIq/J3KilZygjbR
dul8yYsSSLwGwz1jxE3KYdxKQMTMw9B3MmcAW4XXx2sJo/IBCDIlm6y4rSpuSnxuw2ujW0d6e2uj
mXUOdkRemefMoUgJQBV6csFuE/bm+mtr+Ac6g367i6sRRw2zrmLxN4I9SbLo32IgEQtDrwj3+D/W
L1QRed4wYeLY5C7IQqTRVd9Xmh9aeBSrlUMprrEB2OqzLD9Yx1QSd80R8EpotLiCNbf8smJ2NHSM
7npJzzRVKqiQLZJxgmgkfjq753ZhRdBof5DodJEAjSHZreWCeW/O35QP/ZuEV+aPDBHhpiYCx9RM
M9GOT54FWKN1gtXJQ5fWctDaE43ZQbOMt7T6U53/JLDNdd0HsYUBA/aUBrpydlX8jk/wdWb8jl42
++Z5FT2wQcQ4SLBm3H6w9yoiPn8pcu3BadznAWths467ubK/wSzsmtpkEEviDZnJ01yG41rkLPmP
8vIrUmy4cKRuEulGilegJU1qcsuQWdolXb6fDFqwwdp4CYK+K/5KEF82+j87NQLdiS/J1P/N8Dby
xtkqnn1ZMN3P2dXTg0+YPXynJhAuHNrmyjfVGu+1V20LCwJ6O+s45LzsRZbZsYtxUIuSO0trQ9/m
BV9oMOFvB/Wc3GklnFq3YhG6cPa4wHLc+Ir8SEEfS3nSxFDpEvXkr969tRZRyig8lQmUuTGqa3xl
N0yoS1KT2pVyjblXDhwo13x4SHUIimBvy/FkavIwudYDPT0IcPg0O5Kan3Zi01DPRAOyDwMH1y6X
8aMch2pPR0/Mmm0D/Fmtpz+McV5jkV79U5fdNp5o/rx1NQiEsaecY1osZJTKlxospjKMbY0Bu6vf
LWs8S6PeKV98sjzsvGgeBb3Nfj64OhveZCxwo/ezKHM3Nfr34LvlZWWftIcLhEebwns29hKzwd28
Tjvd8J7zXkbaaLSHLOGua0XZALTR3/1FrncrGC4MKjJCl2bi0Dz0N/dwNzGGwS50qrm0ia38R9p5
LceNJev6VSbmehAH3uw4e18QVYWqohVFJ90gJJKC9x5Pfz5oYkZFCLtwWhPRV81uJtdCLpf5m0eQ
ttTvO/g0daJCROVGJHSiAvCabnAhDrxl0QE5KK1monBYfQkU6x2XCH8vWc332DNTNnvpK8phPvdS
Cm8obyMsEZmUNgZ6ep451TFK2miQKczaaWF8oUCeUBIsv4Lt/hF4jY62oGki6Zu/e3FG4YzKZt5H
1b4cYShU4ltEr73QomxnjGl4jGivURSlLauZwMo1WIgx3Mw+3PW1heZemF4bksCWM+HpY+7xez/q
N4GHzFdwE3i0Tw0TAFBd4nej9KABqJNH4RNF/ts8RBeWHjkHAE7FMaslcPBe24sWa1l478SnrOuO
eQVHMS0ORuOhbPomIdNg8KWpd9kKaIA6Er7iDUQza1JHLXoB6BtoL2WA0lZ97cXMgbcDzQmdc/1L
mFKYU/rLWPCxGhkn5wdexjBhcUhjeoC3GbZleeBJsNLZyZUUcEdtkCHK4NxJpkj9yd1UKHv24XBR
FMZt1VeI6LEOZdWZVJqH7i00xTsFOUxdQ9/UD+GYYTg2JvtQprkS1OYBlYyHuP4aVcB91EDbGg2m
XRgYmahrcBlmGVXc5MsLU1aOrhKi9FJql3D3r3ofmxLkc5BKoN+mjk6hJY9lAeI7D9HBUIoHZAWo
6EDoMIu9WD9bAGbq6k0IAARaNIFxXBkuOTArp0Aw8TEos+hzYaCBVmXFd5V9hpIDRfQe0aa96U29
hlGg+WCgE6WTnFQrxQvFz6QLiY5HVGU/4Ix4W633jrGMSKBHp0wfWLW+HQadsa385iWjwXBI6+Hn
0f6ko7xtWx40olyC5yEXyYOV4cmI2teL2yo/2rS6xiiJFyXlQ0Wqa94o96H3rtMWR2b3uoaTQKcf
dEUMw6BCFOBipAFzWfoibAwhvXHpSJYu2haucAVilOZ2kj/DKRActZEeeBC1m7hCPMcg3/DcQDvR
1ehOouU2fBJ8/ECQx+Q+JIrK9chlHMVW2sJUzVqkO2tudiavCdAr+qafVF8A9t7LSnkr+DhCyZje
5OB/N9xwwCsV+CKGybFvoxuqetFVYuIKgwzKRSCF3Pam+4gg8KdlDtzMLfJwjzwPESnu2OmAaVkV
0rMl9j+HNKA1CstfPnaB8IBficQROgD+7SBUBy9N4b4kUk9vGZy7AeWFlpl3X7o+ygXsLkUBP8eM
qJ0I2jP1vFrPPiW9Pzpy0JbX9PJaEblmq7ypFQUJuigegTNWbG9IhkD9EkphQGcJ34raHEGbciU5
yoJrHem09agG0n/OjDLnuoh7AHVfyrRiqN7AZEWkQbFaAFcqGd/KLdAQGcqMIlZQPTIuuejRgrLa
0i3hoNAra6sNifcugvBRePIlgzMKueH0lfx1dN3SHnKWgwn5BIVXK+Tgl3Je0LoCrED20Sjsx9J6
NuL4q+KN8VVjDYiAj/F4HA0I5S7MhYmp728zcDG3aBPy4M2E+KBKJn+p6Lbfk9TkJQ7E7gYE57CZ
iIaXQYTeaumxLupJbqScbh9yY9I2lSDPDhTSPsm6XAJXSHFeaYT23kuK2zitoo0S1tlexWzuQurZ
2mF0V58CaM0clhmlT1OX9hW3g40O8WbXj5HPainkgwty60bRQTp1o3VHw5eisFJk4wPPBdBuOCnB
K7LE4lKVI1QrO8n7qrVAHuMAKoVmmtWd31X12yD591hlwgTrQULvFfhRmyzXuSlCCty7YvAcZFp6
AJn+GZnQZJtJ1YuOSc9DwImx82jgUmnVg0vZH+Sd3iEEJZeILTaKTleMWubF2NMVabhkqfQYw3Hv
Y2W9UeS++C5ZiBTigSXhSRNz0cpGJMQonHj4uagYj92nkKtsMC/1J5kiPvjRApkJyuxSv0deMkKj
1FOu1ExGxEEqvqjgOXDpnHgUL2rJpq5QbMnELf/bnZc2jzX62TAJwEVjFebWWkR7BwUXkr2zRqrJ
yQZakR12kxBzfTQske4sPfYKQ4bGwtqQ2nmVXPVJdllTmrXbASK0qEqX1VCNaMaGj5HUf4ajdjVI
HWqjKGt5XeFEo3A02+661+PvSug/5pYEIVS9yxK4pJ0JSbOs2VboTd376fAituGtLPd7ocze8Mnh
zcKlGP6GRFcK5GMBzHtIzJvIfIPj/I4ayAHTip0lUF/veXIrEZfjTn/kf3jOOukIu+HNkxF4jsPX
MvsWZTrE3ppau5cFV52efW11PrUO13AY+mtWAa4SiWPykEuRX9Uj414vxyczGQEOasYX07V2MTcC
HSufVnvr9OLJDMUD/b2HblLPpZASGelFDopCbiN6hfk9iiuO1VjcEDJbp/oSeDmqaoAYQM4OWj8Z
72g7BN0bCBH0xGqqyoCOxKsQ/frBjTlDzeKlrkArIrd1AKkoPwa+VG2tPNJ23I2Rm9PgmPiFJu94
rPCAojaNaWaX0/Vqk/TCa1U2evri1JA1VmvYY03aqa+WoFh7JROeR23sceoKUyhlSPX6eppv6wIH
qzITsq+AJgVuRrku3IY+GlQkRVJtTCSaKKYVxa3Z9vdSk5dHZMmwasmlg96BYBEUc2TPTAq7RzbD
0dKYN6wCn2Sv8w7eKjnB8QbmQBaD7hHp1OjSood/mU72UMy5aneW9oBWZrUthIk1Wimwq1MreMrk
0Tt4uSB8qUz3Noyk6NI3/RHEoM/OGUNaBJkWtFsRV9NHX2oEGyMnABVGxNsABfx7nzrJtpYgIEs4
zYChDxA7mfohHiQ0NFqSLuIxxqV3S7EJMY8I59nCst4mtVPKasknqQ4iAMIo9ZShJD2mnTxeKUVj
UAx1X8QsRzezha5MDx4J5jFElMmHKGSgwrk1feqEwaBTsI6brz1gNR4qUau/5O1ENCYr9+jDjXuj
R/ZHy3vVkUM3eZWFlFYpTycb3DibUVrBd62UUHtDmDJ60X3EQroGSEWeN6iFwRv2oZxSlLOaLVor
b7lcgq/KENuH06Q7w6QUhnEEpzAAGDjvlB9Vbrg8QbFLDb2K5xnaHTeJC7W/oIgr5XL/I+RT24oP
Ex6AbnQZduj1e5nERb/obzXKIdfC0Eq3mlujphh3U4GnFl8GNQVGFyp5RRHe7I5+gosjlANQzDgX
4WBS4q0Sfy9QgNs0Sp9i4plbt0nBfRWz3MmTCW8Vbj6wXgSAraEl36mR91r3BsBOPixtLU1HMWsc
Bi78/CdgulKcngrxCinHPtrghurtSy1MwJ8H4jeoi/jTBeMhxuIUJYIaF+BYtbidCM2tAuZRdCzU
WdKc27/gau+1Cd+si+NRvcAnGFht+D1B/smrdA55d5wUIAPq7tUw3Ch4qG5qRbulYZ8eRnqdg9dK
W0TBzY06gGFIZPpmhpU017WWR45YY0QptoHkZH0hf4vCF3CyWoIFT6iGu1If6l0qR1/5eJA5zL6/
kGKdr5UBcOKewi/AQnjc9mDWLoGXVFBhkca0g7F+k3TxrlJyUIgVeod433ARFURe7ajS3iZ5abyh
1/vNCEwk6/Ou+ZHEVrgRuvTRaHPlOGSmuAlb8GhWIECfs4LoUkXZZZ8XpfUFN7AGlVr0I8wc3hbS
x8pd5o5A6lHlD7HmvKtyqkeFlKHzpsfYMdfqF98V2x3oE3wK0MLi+qNK12PVvUO2nNrM1TBJJ3AQ
ZqFW3hhjqF16Awxh2e9bcPwe/mjR+ADex73SSyTfouY99Yw3fMvvPesmq1imTSu9cHNABkWSxecg
TGWatPJ4NETgsamYeYBGq5ZOfVKwIltZeVCqWEHNRZYA/OcoSBaA+UQF7Jbka09JiB2PFvPQ1RP1
3kwJ2Lo8NIXssxCjlGWWonJFhU2/RTwQsHwjsRUiamNz0etvoQEgGl+U27I22G4jH+0EdG8vJFp0
GzF1J+cebGcSmnJQFb8rVdjteZdT+vZ1cJmcNn1Uc9mvkbHcUvfVEXYFtal6lsjlED42GM9As0B2
gdc1YW/zjpaFz2aoPCPsg/mpocSOj/cg2lGURnGPgiDmphzqIRDVpkQmpKabHcqT2mtZf0GADT4c
/jz2gA8sUrmy8Ix8bw6MS7W2olQea0vlL1Owcb5QJQh1ZgY1Q+hK6zLlTL2Xwq56QDGV5wgy2jTx
lOhhqFF/81sUdEDUPSIMyenmJt9HVUjwwIjlpzK0bkNZ4XKhdTxcuugWzZHbQqnlvRZrNxFttPpW
DRTpJcbeMd51Nf0qQA6QGGuaIHZgpa9tiqG4oWXufU8fEYtZXTxCKTXv8YR7idtKumBBXdVDQyVR
jswXXhIFFUeQLoJWiLYFwMzh7PzU1VgAUC7RPpGy6LiqNQdPB6ACac63xKJHBieOEmmMhWHmvvZ6
Z3QAmvybqG2zTdikN1pRDPf62PSXAbCELd1JRJT89j4HSHNNueNb4snJUY6R8OFWxjnKjsebHDyl
rUCTf4U1nm2iuu5v2dypkE8AkpLGexsG0SMFBzoikZTj5KHW9Ilpv0lmc52PzRDs2pjuaJMqLyhp
GPdlF1Vc66oHWGg+IhTRq5kz/BA2+H2V6t3nAbd2lHkgUotSJV93piBd1SbkAgnjiLDpsV0pS/GS
2+cT3ZXo4h+mZiVqpkVYLoGFECfSWWte/8Pv0GS2eAihcsRLy5euh9Hf/P1v/+d//u9r/1/ee3aX
wZHP0r/xqrzLAmA9//134+9/y//5bw9v//13k3eOjgcr7u6ibKoiHB9+/vrtPkg9/mPpH6XVGmpp
AdBq3W8CIAKpv0UnJMANZnDORzKXIkmywdtKkXRTlD5G4tUOYLR2IcJ2+TER+kst1ZyB/opeBsfW
i7BJ9j+fDzn98fPB6YaCB6Yha6YkKR9DNjG8yU6DVobUfBlftf6DFd39QQgTGSFdlyVJM+fzpwxJ
HVuIr5nhXuYhGYCVU9iLz0dZ+koYrSuKrFkqQqmzKJUfCPCTUQ2LURPgeQ2+McTf2aa2gCJe/6j3
738SUDHQetBNE3XnjzOXxT3aHW2AplxwJYDM63QgPAC6kp06rmSguvCRDE3TOTMtw4T5/TGUqwwg
4lsWcwtCjDG+qGZ6cX40krwSQ/8Ygwsz3Lhp1Su3CPjtCgdA6w5pGDvc8lSzV6JNaTVPu9MRTV/z
ZE2ZPp0mt6LroF4DTmqe8h0obNsEBgzMeIvo82W4sramOfotoqWbqmGYisXT92PEHu/XAT1DpAgg
XwvWo1thjSmuzOJakGmST4aFw2tStjL8I1w/6OeJdgcNq0V69fz0rYWZLVpDTOHjewWdMipJBgXj
wdyHxeF8EGkp69Brkk3F0PAzka2Pg6mGVND00WcwtnVbHtJNcc19z2m3dFG28ZGG70pWLA2Lsin/
SKbMP9P2eDJ7YmDE/SRWB9dV/VRRRaZHRdk4K1ZSYUrleSqYpmyo9NARfv4tFXqZjvKA6DnYF1i7
uKN7/mvSvZ+fv7Uos1xAxalu6EHkdih67yoe97ph3SgpBEmcws+Hkqbk/X1EumQqkgi2b/6pmk4p
2kzCvaWzx12/8e3xMr7E/GebO9paWiwtXZ7qKrQ5zkJLnr7iyVdqzVoQaY6ipbYDIXmhbjMnsKtN
fMM7+sLbNCu5vrgxWbpkGKomQ0mXZ1uFkDVtpyEuaLtfu219kPbGVr5FksfOdsHGWNlpF1LQorQh
cdibHCXmbJfQkPxBT4fbuY6glRgqDuAipzGU7fkPtpAbH8LMcqMXjMS3clRqxfZRUh7L5FLv0S0L
1+ZuIS8sSVE0bhT4EKE4/vFb1WMixJmi4H5WO+pR2XhH86GJdpaTbeL3P5k7yZAUTnrCqcZsV3KN
UlMkmcTQFboJmDHCeeMp99dn7jTItGmdZJ+sYEgsUsO2gbxBUse5Tk9/dJZ4DR/l6nyon3ef2aqy
ZFGWLVDnum7MLy6mhhHJIIOeEp3wAXzCxt+oG/MWWvpevPC35l/f/lA2VCW6kKguSfpsvzXCfNSy
HrHdKkZlEU2GRuay++n8oKZfMh+TpXEI0paDnmPMVhOMLqEuadjbiP3upH3gQJbY5c7aabt0eHAJ
496sW6o4rd2P3ynXR8nMUMaw6w2OVzfGbtxjVYj0iY2jhR3tKKisfa5p0XwcmiEyc+Q7pzxRZ/NX
jIbmWRStoaVvOa527X4EW3+Pqvku3gooFqzca6epOhNPEj8OMTOiJkBxiycWIgQjQjS4cabwuV5z
9fn8R1uYTYaGHzHpISsKNbOPoYZBSHOlALSEL8jxujwkW2+LgOEFTcVD7ZSP6s1KwN83DrRB0DgX
VS6cILlmn68HoxmCKsT6GMkjh/cpt7MqtgUHiNqu3J2P9ntOfgw27ZYna1qSxEZ2VZrCrvilH5+N
8rMYPvciJjnyFj7GWL6fjyf9vv0SUJYhW7C0UWeb7VQIAOHOo1ns8rA2n4B3afvgU30JMhfR0Ntu
Q5nhtn8Ey7Gywpfj8gqSLVEUVXX2GdsMJGOcETedpEQDsPGT/++1LNUrG//0eeapybP1X4G0eWp2
bYMIicAAe5QfAxywU/8FhsJhZSKn3/NbnCkh1eleLc13yETrBCukRA/zB+7vtWo+paJqt0jG+emT
GTuD/rUYopXBLdwI+HwnUWf5MoIEo0eDpA9EqgN0LH9XXyDIb4/XGHGu3kpXw822zMD0PAolemKb
16YDMoBjoD5ajr6DJ7hZS5HFL3cyttkduEtdK44UZhTmVKoePP2t7FeO0LUQsyw0SySx9RxnprZV
8YTJL4GqX4LJWAnz+/OBr2SquqyqkCKM+fY41AL8p5ItxKCjgUxoLe5Xsm8pgiGLHJoSr37s8z7u
G+CsPZ9CeGjT7xsP8BUQez22e+M6f5JNB8+/6ZzZrgRd2hlPg06n0MlmVXdgYZK6i22IpbvpRpXu
M17JUy78wSsZCItsmLommmzH88O6jODpGqh628jb1pvyMFzD2rcpyuKFs+udYLd2hVt4SHyMOEs/
/DQo4vhMaTRs85/HDMoGybbbyJtoZ67M5dL3MxV6LAh/4WIlzRaWBsxyMi/FMiW87/TXKNusfKul
G8FpgNloMEKTXZQFQlv+NL4ggrYXtsVGo/e4TTZ/8nYwOEoMUyLl5eny8zEzkkEUhaTjapU13/qa
smcDcGcl55fuHKcxZmu36TU1wW+S6xv7kRrsJTPeNAhuIQBEp3tlo13YKCRaFdzgML+wKJp8HNCg
Ua8PfEC0RQQcpvWo1gKsu8sNQIvnv9RapClTThZV3OvKGKmUgzQ/PhrZLXJ+DsCnlSjSchhdQuVP
5uo7f/h7cdtqvciAMPSDR71Xbe0SJWG72cBaifdIZ23Boaxk+cInYxZ/BZ2S9GRsdSBZuK4Ad2Oz
fIv64dhLSFyMrfysNSgDYkz0B3MJRUcDF0jyz59hI57hoBkohKbWbatf9+I1ujjnQywsXDpYpiVK
qmRQb5gt3NYP667Wab+3/AXIbqq1awuerH85H2bp5P0QZ7ai1JgX0dAEUC620k7aBFttuvI2G38v
XtKxeTgfbmlUCsUndvefFd3Z2gJ/1nQonLC2eHhpoooy68qnWYqgiaKlWRI3eZS+P6aCCsvY6zqq
C175WtHzq1Yed0sTxotrKhGbhq4Z4mzFqmM4FaV5khT/fAIhU3Ph/wifptMid9ZOi4XhfIg2/fwk
swG3FeiVs5zEbvT3hllP0jfl2lNympTZHfNDlGlRn0Qpqb/T3hbZ7hxvL+3rveZIWxCPf32ZyiLV
Cy6zfFuO3Y9h4q4qAXeloI+qcKtZ+6KuQFAhZYlwUig751Nt4SFAMNXQ6SypsqrMvlOhaWpWDzhy
hCh/d+2h9gH3NKAjV+IsfSFJtNjDNV3WpZ/vypO5o5GW9Q3oYDvo4CKPPjCwwZdXzqSl1ymNHQyB
ZU3BJnT+nIpCz9StlEonqr2OvB33ibfv6PPY4i7dtu/BRvoS1pvzM7iY6pImKtQYVC5Iyuzy5zd5
kUMCnfaG7Ju89Y4g/rbRA3e+zfobYHEeeeJIqBhNb9XZe0qJGmHETWOi68doabz7nL7nx7NwSvAi
lTXKZ5bF020WAUioJEIo4ZXtD8YXo1Y/o2mDb1MmmS+eHH4TIiVKVlJ+KQvZhvhkNAAl05xt46ba
UK8b+G6NidxNLGIAZnzN/PYO3vvK55oW6XwRMzo6czQbRX1e2s/9GI+DmoQfyu+G5lTeN1NamcHF
NDyNMdtd62w0oc7TFQHtAOvxTtqbG/GgOeM2uwr3ycbbCX/9HJy+2b9Gpcw+ml8bYGV6IgrmdSMj
rHh7PimW0k6mCi1zpeQg12d7kgCnCC18cHdhghaP0SXGp7hEF+d8lMVvcxJlthkFuslhPm1GSDpf
wMXSkgAy2EpFSV4eC5kDFoo2+vzOYIoNmmAyDr7DsfqmvTZH6TOlQQCCNrKgG8sGXFpsJt3uJyB0
dvWA8gePKm/1gS0v1Cxor//6Q2aXirptgHokCkzCTbeVb6rt1O5sHGHbfDFuCoiCDlLMF8EG9/rH
br/2plue7F/RZ0mah2WLfiPN8GzC2bXFBSCc7Qh2/fw3XVravwYpibPMBFGrd01BZqoubL6JT3ws
5PeqXtn6p7n6bVmDQOT9psoyLaGPhyZBImD5pA6+EpxgAF4LNDZHwQEx8+Z741GXupWQixN4EnK2
aSEMk7pImiW2YkH6hCh+Pay1uBYnj5q1acmmqNPJ+DgqIS3wO25YdjHQyBJdY/QeHKRKV/v6i4cY
13660TKr3DSnRXNyPmPMaOJlMM0fTLurzvG2LVq0F/ptv0UwbPWOszh3J+Gmn5+GK9F9Tqe586CL
IxpsPGVrc7fQNEG4+iTGLCUGQUUqRkE5MDy4TnfjbQG/HuJv47a0gx2kipUq0+oUzj6Wj4lY1iZW
yvUwucl3KC5e4MR6oBi0RRPzT5YVMDMdjQuu7/MTU+3ctNc1BgeN3jK/GQAbsT2Pmufzq3fxO52E
mW1ReoyuJirYdNIGwUFMAh0RXoyR7/z1MDyFNZUrIpdRebbx12oh1pgWp7bQfQ6MnTBc1+rln4Qw
VZ7ciISpv7246zpN1bYm4+rvod7f4NlyCZJlez7K0hNhKkL/K8rsnORCH5R6Fua2b3WXPtX0XKme
KUs6yN/KuM8ocfgl57F9Pqq0tPtNFyeVh7BpUZb5uJxwGaVYK/M8hUC8kTaIRe+Qjr0GxmoHV8kV
zu/b4oC6qpN8X4m8dJieRp4liKlRdA/HCEjabtiCI970zwibT1VwwZH3AupCq6XBpU3xNOTs4LJ0
6B4pWHFI5+ZzLWf7rhWBQoYqNJ7q6fz4lvL/JJY6O7088HGjMHGSNdiL2A8H+YOor+TM4sZxGmT2
gDAGAeXqgO4ujRhlN0EmpIQpbH+4F/LFcBmsfLO1Mc1yVNGaDqoE9shqIGMYtfEx+aqy6/MTt7j7
ng5qtqQVCeMWAbEPW86wEIToWQh3onYX9Nh9VM8Iq6GaWPrXvjH5euzq9nA+/kqSqLPzrE7ERiol
VsRofEMpI+cVqKSXRXN3PszaXE4/PznHOoRpBdHlgM6ta0ndYwYnr5VqlmqF9JL/vbjV2TkmQphI
BsgMdoqXwlHeYkQBXXsjP6i31RWiSXawsTbZWlIuXU5Po862FAkxLcVPUHmEgygXzqhtswy1YPet
z94CGgFdjfhPu7aRLUcFXkOZF8yLNftsUib6VpEBHxIwtFeRkezg63ij1CIdgqOHpEL2khUukuKA
cGPqlyvH6vL3/BV/9j2DRgwKJONTtKkw0mmvkDmAb7ESZHm3/hVk9kE7H06op3HaGfqrhnTZAO2r
hSyMzrii7wZ9bSlOC3p+N1Ykc+oVAZWiqvgxST2MoiH3CHwzu9tiFWRzLtyoG9TWt8LGfzy/IpYP
hF/BZuu+z7UyynOweonqIViPuof59T+LMMsRzJo0M8ZZG9VhFBiT6yFdTcO1GZulQV6bQMAx1eTq
qB/zHdL6OyrztnwR7dZLOss592vGZungSq4ihiPBlPBbCzdCnqwTViApy9vhrxiz1WwGleJHsNFt
17hBo+A5rJFq181jhMzHf/Z1ZheCToJJ5LZeZgdG/6VCz1m33Of/LMTsAhBVeWABHaK27GO2UThG
tYZamKbjzIoxZ8d+OblaBZN6vxpPpL7WAemzpcWxF0ZEriAov58f0WIKyBoYRq7zClDQjys0QEcH
A01uUY26G8dLRcXvYuX+u3wgn8SYzVqO1U7tY+INcsd1JtiO96gZF+3xZ3d6Y3yptZVt7ifu/LdZ
/HdEZf70RzbHhNrFFcAaQHYF2abC2MONwxvVGt8V8bUoXpUYpWAP6LCIOC0yRWODXk171Tb+xqzb
bVlphyhHLsSQo6exFL76+E2dn/qlRjOVrX/NPa+Qj3OfYq7RtRVzP7XRE2rG1a4GWIzH3jrYfHFz
PIk124lBTsUIfXH1apHNd8RtcczvKsfd1BcR+v4/0D1cxb8trnxQPrzpTRrCxiyVvQDQTRjw2QP2
Mu8dTsxV9EoTcKXhs5zBv8LMZhGnOq0sSojjQeIo2iFOLyGmrnyp6ej4PZ9+xZjNXsM7Fa88Nsqp
CYexeOPU++Cq2UR3xR0eTGgDb85HXByUQjWJur4MTGoWsFalyopRsbV9anRxue3qL6UX/9HCPIky
OzEFN8h6t+Y8C6+kV2+PoChFyNGJv6FUS6Vire63/Nw4iTc7P9uuNZJRp8CPwVKIWuoh3sGbvlLR
R3BkoNP7tb7Z8tZzEnGa55NbMqSvUhxTmj+Ic6FG8M11FLpnA5WmAQQEkEjst1c+3eooZ6eqrqCI
MVTMat7YSG3+rKv2sK4dyUbBN9yuDXLxyDgZ4+yEHdxQyDR9UkUXUBq+Uodbd/LMir6M4u58Vi5e
H08izQ4LyVMHS/YRwmqC+C6iUBJaP1ofbfJOvFHzCh2RP3oxgroAzsoVEnjdx+9nqr3cwLQrKA6i
7ZE+qhr82jUuxOLeqAKFBGakUKGZBelKpFVinMrxOK6uhwJXhGKttbW4nk9CzNZzY6FpPQ68pMzu
q5SZWxOWN84pK6m3NpDZem7TqES0jF2DrdCczFCT5OJ8BiyPY8KLghHgDj1bT65WuaLYkAFiBuXS
4IkyVp86tAS25+Ms5vRJW242X0Hf4hcr0tnEUeFRk1ABT4V9p351LdWejG3+s2izecvhA/upy9tv
xIArRuNRiPeufhXmWNGuVcwWT8WTkU3f8GRHwpzGN0XKZtTuESzznrDrUmrlQo8ezo9pORd+NTZn
X0r3fT/T5DjjzvguNgdEXM///uVM+PX7Z7tcggEmIJ6IYxc0VFpu4MVTGN78QRCNsqbINUyU510I
Ff+JXK+EEGeLwdH7T9EgQXnOVpL6Z+v6t+P9JMxsX1MHI0PuAV3I4ThdUPv9hCnH9GqdyLM4ayeR
ZlfhLIgkLTbJ63bn3fdvxvepUOpdteDz/W/qDl0sXLf/ZC39ijkHQo+arAhVC11ENRE/Kjpo1Q0i
p24a3au4SmD1mNvnP9sSuFxWTkLOdtSmgKmPqEr0890f3SdUjsrvQgIcQgdEhyDkRXcbbLzN6gm1
uG9ouiZNXBUkiWYrGacttI11Lmppkow2rxvHgtxvsLc3MTrEfbeSoIur7CTe9POT1Zzi+tjHqYmx
UFZi+YgiXrHS3Fk8c08izNZxIOsYixm0x0rlKsgRLP9cqocB6n8fXcbtw/kPt5yev6ZvtqhF1QPC
ojJbbvracKMoxpu++/QnMcCGAsgBVzmnl42+XiB4O7VlE1TtvnnVbdt/Ox/if8m/XzFmx0cTDhpK
jJSCcMA8tIKNklPyKNitXRy6z/6+uUq33SUyyOJK4k/L9/eN5FfcWfpBokfcriRueACXui/3w+7/
B6e1fMXUfsWZpV2ndaKEfPg0PmWHVpVT7uUHxA6AKAsHeVzZH5eT/Fe0WQqmVJm7MODt2ESxsUHF
rNh4HAyb8x9tMQq+GCxbMgNMzselNDReWwUlV6Qkd1+6WsUzz3Sd8zEWv89PwJmOIB5It48xfCTw
4mhkJHjGDc0mUWkOYF9jJJ9bA1mjTZa8nA+4eNqbhoqBPQg3a95ejID/p17KoCoXScm42gZoPyYY
eNd/nQ9N89LiXqaDR534eh+HNqqpYAwJWy5A+osu3xmIUCbJSkF3cX+wJuQB5DwR8uvHIJ2Q6ya2
BdRVRPnOV/JPQ6dcxmq68pkWU+EkzOz4UAbD8DR0qOwx62WkLEMJ2Y81ZPfSp1GBA/5EmqGfMss3
PCYENGZxNPQt5Rp9Fh9PZxybcuiAJTY85/NgaeJQ5gMaCIiJNJhGfHJOcI2BJdL1jCjv3vTAum4q
HSnPJlm5lS0OauJJ/MQkm9p0Pp7E0fC4wm5zoo+jkTfmR6woHR83BPft/HiW40xYf4BMMKBncZD9
NkMdt1AUeYULtdlXyq5NDtawspEvThtow3+FmV3M8rE1ewQAKelW5hHP6g3o1SsrUVY2uOmvnW/b
oIX/HWaWCj0O5xiBQBHW3K9+s637VznFuxQDgH5lP1gaEDYb4BuhA/GmneWB64pdKqEkAym4Qgp3
N4CuQV/4/MdZvM+eRpn+ipMswHgkEeUSFvJwnKo67R45TtgytWMczkdaWqingaY0OQmUBMEo9ilp
3Ucq6piq9UP312CTS6l2GmOWal5UUpcde1RMwmMcbJJavbCsz/W4xr9YSoLTOLNckyyzUFOLlDbL
xpbU7jo2b8eoRMKs3qCrdHd+5tYSYZZycWV2CX6PnHa9chPmsWkbgrDHJW5lBS1eFU6GNYftAqGh
oRkCHe9saQcBeO8ejC0iartiZ31Zo29Pf/V8IZ0Gm23cI145TVCzXkt9j3w+4uyp/CT7WFrcdn6z
MdWV0a3M4s/Bn+RfMEpNXI/cVxMV9Z7xiKL5RVrszn+qlSSfXxoiLO2ySOVTqaK28yfKjPYHd3wN
goyiaUCRfmO9C7qqhfpITUCfzCey65H+Oo45QnmD/WbwJwXzk2jzunwkdrTYO9oOvY/FhS6/Bp6F
9KW5sqkufptfg5qX7sKiaPK0YNo6S/6iCcgoB35063d/XfQI1SZJ1QxAihqPztlKwnpG0vuOcmuA
9l4r3+nqd496UYbg3woUebGajC6LCG1Bhb4yzwS3COOqKnm946D4k4D+SbANY6eyu05tG+rX2Uru
LS/fk5CzAyMzgjBHzRgLq/CI74EdXQZbYauXx+QQ70tnjQGyiOc6HeLs6BD0uipZUmDwt/5dvjEd
+GH7wgkcHIJu8i3+eTSjN8M+e8ax+/w6W9zoT4Y6/fxkMSsCNm+Dxuah0sjB9VDHY6RQvynxyqax
Fmd2oMRaXxkZmuN2Hl0p+VFxr5rkKulW+t6L6a9PMhMwqQx1jotXQkFr2y7g2IqekwBYGu7d+goe
YTk7ToLM9tuop2SGrciEvkv9jbevnMgRcFs/YANu1+9rnYbVeLNHhhR5ePhVvN1jY+86Of0iHCq/
UvqY9KrWtQIW5xBgIVwJyzKQTPmYEYGL+m6dcCRX0b7Pa1uKt422VtJe3N5PgszO/YhXUzbiYm0D
VrkQ8SxV1JXEXo6gYKVqQmDg4flxGIlqjLLVgbIrslcvOerD6oVv+g2/nbsWXLdJgwAo9WwPTIRS
bsIMiOnwaeJIT1oV4hdmSrqZChClIxnb82t1eUj/Djg/Q7TCaiNU1an+apo9dGC1+pVJW1ylv4Y0
Pz6k3spdYGAYbXneGyrZSFq62SEfjCcjM1c29qXRoK7Eyxj1PE6SWZ41TVzVmSVQklLNiyK4aeKV
hbo0GF024ENDQEOAbbZOtcYvolGRMviv0o8kE4/gRzED343+WnVtEVRwGmq2RMdIi/6pi5ZJztR7
xIrqFQnAcTt1dNfue6vRZqktFChFeQyOl4b6Ax+ny8AODpZDdXdVOGTxI53M4fTzk+NB981yqDOl
QFNex//iyRuez+f0TxWt+SrSWUKKCCZjeql/jNAnRqnEKWVPr4r9mzp3UUGOLQwy28i9kiqjxIEo
rx3fBcLUDGO5hf4bbSpde48juoZyrvyIigERK8RMbM2T1MsuTe7QwzbvEgicmyLOs73st96laeJ9
G2Yl/mn9pPysFt5dkFYgRZtKOvw/0r5sN46cafaJCqh9ua21W2rtsiz7puC19pW1P/0Jas5nV1NE
c0Y/MMBcGFA2WclkMjMy4vKyqPO+W5UJHCd6m6CGNJl9w7QnqOxbpHvWpPkrSKA7SOjKaKnGoL5N
gYK5bI77mXbmmAQiJoY+KQZUfVcNug0WJMKXj2SWoGD4syImUejUCcMpNF0ey6cp9gvjMbbDy6vg
PWT2JpiIsEoSJBHoC1rFwC19QfeAsatCfALvgqO4SAPQKzpGzsSFxZnroayQiiBZ9sDBI9eGB5Xo
y2vhGtFsNAoMDd7NXj+ZbTRmQezC07LazVBHa4jjZ04muBK42bG5s8M4WhoDO6U6tIv2gBrKUblO
/R/mE02NVfdfhB56Gt/59c4c42gZGWpVoRcEIis0B9f0R6ZON6kB7x5LtBb6vnTnpryHlNgNmFlF
2eobM8cl+4wXlkYyFVBMwkz2Qzq5eEkFUCYN3yCuaDRYYNj4PZ/AzxcKx4toCL9kmXHOskVaOW/4
oCRYMHOBB4Gn3WqRHkLs1ZcEFUVuMWn/WZn8aLC6skqRXSAJ86X0uo2/ZdlvA+yoZuCUm6eTz20q
KI5wY8ju0zLpTFKSuoDQEzwJejBt+0RSQXLORbbvFsVWRcpNAnt3byFxvtJe8W6EGKTfX9un9dUE
/ZWrBevBvI0FDw/+bYlzjhlPjLKC5O78gpHkuXJsFVtZnmRP95RDFUEV+JjjISdK1blbiHEjDbRU
IBxmWQ/7sieKQRDARsyObMN9PWQfqTKiMvHHBHMAYpvMkNoEKaWk/HKSR8jekORRU1c/R2kJsiY1
iKdFrBvcWLazybi+YUt6g6dC4RXgsE+tqxwiXcYsiGT0h787X5A/xSvf0B1MQJ5/JoiG67ig8eyI
569DMz0n8lcHiBogRJ4+EJl3hpjsyYDa9rwYCGF992pWvYfcICS14l+2wnUF9J4VwAhB+comAE7V
y3psoNExFeNtKm3ft1UW7JjIBOPYSWerxtzg0i8UyOtYVWBCfuXyKriVCXSM/yyDcbdtSJO2XjF3
+EZc07gmzo8UQJHZxwzMYfSbZzVz8Ri5Nu6L7wLb9B5+5xEgpAAeU8Y9yvKvQu5iLGUdZfv6RAEi
8bHzR3/1h0iM1OV6OHSPoJWGVh76BOfOB0ntsphjIBiaeDxOuvbSS1NYWa3AKbg+vsuhGNfrMcs2
o1OETl5KIET3cxqS31mcebWkPQg2j+scmBZFT9BB7YxttJFpsQBEQ11HkYdA6iAoMiRuampQXHWi
KjV9AuUkySjdVXeuZjPz1aaMJoiHmNYgKLTyc+H//ZT3I+HjAq3MFD9F6kAr52tjsM7H3GrdWv/I
0f6zaIXFds9VZkHtgMaQTasOU6xZ122a1y40xT6ClaPTuP/sL9iBzz2m6osZ/XncKpBeCMtK8W0Q
b8cJJvpijG2tPy9/TtEWMo4D/amFyPX2D/nsOMrfVDwjwDsfxHVnQQSjE6GzuJ5qgcgRxw6jaGyp
wSRFKff0QAzr9BIvma/ZMhWRB6hcVQXJDvfw7Wwx+XgMnYOksOEfYAJ/GXMolTrdQzPHgljGfV3s
zDBfDOqjM95ItI4M4Ry50yEasT2teAiu0xbNSQ2QlnLU1tG7/Om4B9FGGQ0VNWjIsSOldZlCCQrq
qV6KChRSYndZREh5nglcmyCAAwZBV9joBfbZWRo11AMGrMJAyT8XPf54/gdaAjDlgZAYfDtMBhDH
UKo1SYcnEwHU+VtWvmTWae1utqH2L28Xt9q5N8VkvvKsZlAkRlloCNsjpddRj7WreP9wcgjB8bw7
Zm+NSXqh4dfEa41kIDb0+z5rjks+nqy2Dadewb1qXjnN4gGZ+6VKkZJ0Ih4XLnUMINCAZCGlQy+K
sR9jWnYzC9SoZi+71VQX47m++iXGzdr9HKIYNOofQspbABLLSKhgVma+5arokFyfoSpSnqCt7pLI
vNddioXsPfA9HgWfk7vBFsacMIMvWwDlnMfJAYrA/UxUEE3YkX2lHWIfvJwVqHEq9DNEa+NFLQtZ
Dyg0NMr/yVzjowwhxk1BjQKjSNCs/pUr9mNdpfeg2Aour4tL5rI3xSRGStsvUM99+3D1cTlV3+Sg
DNOwvla/jC2IIBQvd7snSHSHeZSeFCHBOj0GbHK0t898xQoEaE5OrNZT7uIHSM9uoRXWT9N9HkI+
w+8hSngFOUTgKXznKDo1/G0Ge6aD5yLSC2btOUq3DQQjMWwtq66Z5HcY4z2sefrFLswPRE/KKvc/
U8wy+3GQ8wGnBNpgYQH4FuqRgmuBH3B2JpiAk0mtikrNTI/gHGwgU2gi8zh5zbEGgYIkegPTm/r9
d/u7IObAQ4SzgXYxJIu0JzMqDtmV7Zsn6yu0LXDWoYHyfNlPuQn8bgMdpryajxAXHYA89uSE3PQT
8Fby5jcQs+vyzq2gDdg4STRmv+gIXm1mhxXea1fSHcXrqc0SLtnPkaweyrIfCfSYUAMVPK4tjH8z
kUFXk4bSuaBmGZHf/6P6nlIPGf6/KJrzkoy9NSY0NHo7QeYVqeHsQC44HTLJR2MNmi+ZJcK40R/O
fuK9KeZ4SFNb1hAuRKV0lgwvaaXYG1K1FUQg3iHcW2FOhpmp6lhssNI1zh0mN+7sBUqvZYLBICP/
0LeCUJNugDQXBW0md5qkHnAFIrVgOBvpGXFpFWVwm1N6SK9MAWMX90RCJeWPNSbbtfImqxyU6MET
/TleQM7+KcfVKEEOtLldHYjVdve1HtUOJOtEgkdcN9mZZpxyUcqh74mFBvKGuA3VblIYxyStBR+P
6yI7M4w3jn02dNOMFSq2cqqS6SE2RC0B+v3feeHOBOOFY9UMxkCJuAy5f4ylNtCWu0QzQSAECdqD
IMpwnREKEqiy6TRJZL7YuCZ9nkyIMqhArB5NK9LSK318QbetXNOd/d7F/NK/yGZovHy3zJ1l5oMp
vbP2CroeqClidP918IfjHHUemNLd+AmEAc2pvsVsLzAb80E0VcTdYmgUYeYCAlmgAsdv2zXH9EXv
FUiCgpmgyq5kO/ETTb8DqVbhqrP6lZIPCbaZv9i/Bplt1vR2y0sIn3vQiR1888o6UGkQCPh2iOVe
h8e9T47moQV7HdQ6284VFTi5xwMcejZYhyBgxI54t7o6p2qG74yntrtuQaK8ZKvgOcjLbChP3/9s
MM9B2SbTJmV25xVd4erFcZOu9c5wU+dlJQHUJy/vKd8aiMAxHQZYLauxZzVWPDR6VnqGNWs/Rkta
o8nZPklGNXsQahi91NDQIZxwHV42zD0y+l/DzPnUpbZEKwORZpLbIFU9qP5BN/07kb9ftsNtJdg7
Q8xFkS/TtLaU6s0qwLW5KC7QyWPZu00PMIkJrp7GbVNAWVpBqsNZoIlJahn/oXwIrtnz00ESo5/B
qwCxq8Sf49fR+UXMowQdycvrE5lhAoAElOA06kjf2rYLR5CQrDoa4tsSzfaXD1hCMRQDq2gmyCye
oNSlBXcg2vpDgYtPK1+Af3Rzx7zpWhGlKMcrKXXLH1NMZEEjwcq3DmSitaHGR7OzYg+1ZP0ECsef
VQISx76c5+th7kT5Nu9BemaZ+Wpg0EM7uy9Lb84P9VEP6tSlEiz6k6r4xpXsp0F8K4qjnNsQk2NU
TwEVDLAWMB4669MG3XbMyhG5ulqWBVKgRr789/MGI4jVBl6j7xVDMgXDYpBtKiES8mrmfURAKACS
r61wostuwmtzvU27QH0IQ9QOq89Yz1PdKEaLLfSs0ssyNJ1qP3twvDFMoAgMIh4ojt98IDSfWWVc
Rm96FXP3DfRIK1TLy8JX1eXJFjGlcE+bbSAvxxwP3n5McDbHZXGQbGKkGuJ/qeQ3i+Jp88HMBTMv
vKiF5fw1xCynlDcIwBH4xFhcbRby9BKC1UmL4d2bPHux4qtM9Ur0gT/07f6aZdwfNbpyGh1cB4Mv
Qdb1SCIn6OAzqUdfaCuIMdcHqISLzHLP+261TBCLe1RlLOCtPEiaj5LbZlAuqSRoCLmb7IwYvjfH
500q2qcibVMI4uL9Zqy1dmz0FRU/AKg2Lx3r6b4085c8GzbXUYYXde6lx1EfRBVNXn6O6hGGxfD9
0S9h78xRLSZzKXNkeCclpDJ8aHiGVpSAAVusS8M7TmfWmIty7JdyQpEBn+S1OaxVYIw4UMRbDupP
JQ4GGw9GqrciPQtcgROVoFUGXQmMxmHW5u137bI7q0M7EgjFElCHQ3vEEKiHURXi6i7675QjGARt
Yskf6l9MOgvBGuhfmcCwoonMhMJaAWePKeEUI5EeEoAbKP+bFFRI8Uoved4CMRyGN7d5ZpM6526h
jrpkehXDphxBuH5wXOeOwkzto0Zc8NDT2qtxpXnidjkPvGIBrA74nw7tvneRMm7GWidThS1+qY/y
N4K03QGUDaN6lE1dXB/kpK9n9pigQvoGPHIGLjfN/qYYhw06gVnxcNlveG6D3r9Ghw8ptS5T4MmV
qoaMI3ZTiic/L38nnSANERhgKzpZ20O+HKR5Xgl9+qwM+lrUKeFBJrBPNoRKdMx0Ayp17hE2weOx
1UEi5GgBVW/MAttPksCJ7JDWMy9vGCf2QQ7VQKoImBzGNdmQu+lxO9tYT1Nf18mtMlzLaez1hZ+q
L4rtXzbGd/adNbq7O2cHEcDSEILDRH5rof7N+Nx+rn8vjxsc3A7LB3y20Pgiok3l3JpnS2Se+zP4
cJyEICOQIZcz59+zzF9AeLKFlxfH9Yzd2phIWeYtUpwSZiS0mjb9Bmzj7mUL/G+FgVd8KAQnllUX
fGJjrsbYvXT7XEAMJZddsJAoGlQOr9ZM4OjcyE8V6/5njTmuVWlmWpX1yKFslGbJ5iouZW7QXQxE
1I9WJANvjxgs8Ed6QN+F4J1Vxh9tq9YLbYRVyiM9RlW0XP2bKT5epk1zKIArMNkLXSAmUGBoy7LS
BAnp+qBflZiHhiJQHG5X+o83SEUbpTfO4fLn4/rhX5PseMQCQSBNcfD5Rpt4lnKrxXQ87JQbAigZ
N84Ceg9hDprUsIOqVlXXiVxgCzEI5+pLBLo711k+8p12RphrSyo2e1hTpKJxEppkCAdw+Gf5qczv
1e2gb4NrabPA/fkX1s4m882mDeRdaoWFFS92VFxvh8JTos1r/78EsajRwt1H1EJAOoCuLoAp58Eq
JY1ar5mOl8TyNSaNO6135vzjsk/QWM66uyrreBpZyHPeDS8XrdN0ca0CRWSTSJ+/lTFYpqzMn63C
LZ1eYI17tezNMV+NLEbSdhhiB6hHA/0eqshXtkuJjwu/ExSSeLu3N8XsXrauSlznA7RTyPclD2fl
V1M+X9483oFSoRhuGKZGe+N0c3e3SWcB5VuX2Dy5LT4VGJdQtOYT6TY8vn5dtsQLF8CbAI1hgAEA
qBNm40ak3PnWwt2HMLvFW/w6eVC/JNHi2a7slw/ZU/NdYJH+RcYzziwy+1c5kiRlxARupx+zcFmm
7rpf6jQC82PsaiTLD0WWABBG1O+m1d8PU/ZS2Evnl2lcuNZarFB2qR8my8IvnAZwCFUSSOVBOyS6
0+k9wPxQ4DpQLgGVpoI8gnmU2l019mOOEtDmLLlr1qkZGQ4Y0gZHS90VDXZ3kYz0Mbe7HB+melGV
Pg6gGV25UPcRksnybuH9r2FurXSdnWkwMYNG58Dz1wS5k3qHVzLVB4qaUCwswnONs/UzN1apgyB9
NbF+UqSvszp+3ZLkxii2EC/4r/lWXZUm6NoT9GqlDMP8GFOyNn/AU0pbSlE57g3jeulj0O3ZHQlL
UnobA5Qdrs/2OfZI4s5Xc2CE1iENraD7MUKwHboy38FK5NKnBVVNGqIyEukzcE//zinov+9+R5fP
WVnpBP2xMo2adgz0Zrya4kIQZLhXAuAbkFYDgQomwZhTsiyx1Rib2aEk59l4NuXhZrnpZwqpkP3u
qYzUx8vnkr+wPwZZZqluxVSTJNPX9/I50W8r8hprgtEs7gt/tyiDOVGYmxhnFB07TGJkt2rQRZJH
Qip/Bi0NX4TaEFpjTkycK8qKWwheAQKf9on2bhaP6txS32gEH4wbsi28MxAuqFw8E0eXtSBGJ6G0
ak3XWRPImxWqgEE6owhCxwmf4Db8a4h1DGvQzHVFx7klnYv4FIzJQ4k2X1v9zofec5TDZb/ge6Ij
Y7BFoVJy7KstX6EU4ah43Q4xTtyEkkWM5zQhQV26C6pXYmkGuoR3Z31nkdlLWXIU6MZPNNTRVNk+
KhH5FwM73BQFyDnocQOgq7Ow+k3Ps0xWaaZcfF6qR6m5q51ru5xc5ZNgCznjLVAJk6l8Jf4H7czz
oLEYE1iMJzC5GN1DpUANNHHrPFRU/VCvN4mFAfRCdcmYuJft8nxyb5Y5AIbcVFMz4G5f0TNtI3m7
n4rAOV42wruX9kaYW6KqnG7D5E7pbVnlxWB+VYVocbo9rD9A+BOTVQ5qBzabDqXTXI1ShbNFFa4U
SFtkV/GpOipB/iB6pXEfh3tbjO8N60KUIcHxMhzIEg9OkKNTvyZZMBgIVpVz7DdbBWnJ7CYOSldW
gRtQCRs99m30wCRVEXxDbmVh/4OY8x73Ojim6rx7wxFBvMCP/R79Wcr2TBvgCkp34/Xy5fJH5cbO
v1ah7n7usVmfO4OZ6Oi0J36FiVO/Bn19h4G21W2Oyo24XCPYeMxwn1uERoTa1ptD1znRRr+Xh+aX
crjvgwXjrvKhk90NOkUfYKTB9A5QfUiCofbIKleqY6/U6obKfK2c8vUlLX+p1vOmhZf3k3tIdlaY
7KXZqljNVHhw49wWeQ66WMEH4x71nQEmLVn0xCQ20TD4nhFgg7wVFJ7acNImwW0gskP/fZf+lGXn
6G2zApGhgPPKTiHSM2thuaaRLhQV5TVrLOQEkJYFLxXG7ZlnUKyry6B1aNnnx/6ZUnlOSO7Kx/qK
fGRVO0PMoc/UChzdIA72auvRrn6mznEkjmuaL5e9gJdi7dfDHOVmNq1c1fDyqfPcG/poBYumswnG
Irj39c4KiwyfdKLYOaQtPP2Gjm6WIdRLyY8pmI+ym0Coo/hIOWFvkDm5zbBU0kYo1qGR/No+YGYo
rEUlQn5E+vuNWBb1JSFxk8rA/+SnLcwO28EJlEgOY5dKn39kFn7veizKQEnmnowTrG1JoP4GSDSY
DkiyFuVNqxdNysuewY/yu9UxAWKuJVVec2TGm+Jm35rb6alESdL+aX1tX2Zf8/RD47dRJ/B7vq9o
BjR7ca9ivJD5dEWJ/DQZafc6rJ/xZlUTjxblNSA4XGODXmUWVqJeLw87ivz1r1EmLVl7mcgZJJC9
6dWOnFDLKDw9tE8qwBzu/LoEIPQ8OAfIWIk5cbhHcGebyVbAapz2uoEWhGZFvZaEmumqywfEKs8W
yH7MRE41VUOTOc6OGB91jXZwjfw6U4VjmzRivMuMdsthwv5MwB6IVzE6T86N+tUEyjWAattB98vS
HX9MvRun0P90bmb/3w06iOwz14HujEo10b425WatwyIaQyrYJorPoq/GXASy3IEFj1IbG+hAFMW9
YZWRJIsGH0VWmFtA68w2Bx8FmLuc5cWwQISTFC99koWCs07/zqWPxlwDSdvWthpj04oXDQIe+WHy
N3+9aSLHkz4l95tFB86L+38nF6sIPhn7zt/McTP1GHvZGW4LJM5yyL8DAQ+0n3qkSvS0/zwe+8g4
Zr+d+w/dFX8dlq0AAIAL4JiF1uyw2qfe7J7T0Q5tHETBHtNz/H6PbRBHWxByBQboPE9ZZ5KDOBhd
dnW7WW3krxDlDTPPto5phSEKFYAj0dOB+vo7k4CpAlIB2OY74plFBV1LWxudBypVgzxPS+Guxdcu
MwR3Bdd9dAP0cngKYcCAOfOQhFzx5EDMTjT7c+OA/5hIB0fWbtesdyU7uwMjiiCn4J6MnUnmmEP9
pS3HEZPadopqn6HcGLOFvqqIHpt/He3sMOfcMQj4kChiC2fPp2gMMOvHnvqMIooalrgVDJEKhmhl
zJlve0zrkWHD1NKM0o11RYCQSURDnSIjjDNK/bwAWoNlSdJ1ZR3L+aEQQX34zvfHKdhTXcvgwnEK
OEVTKQ99m4V1C5C5/CUGPPojRwvzm2/MOpi9YvyvHZJFUSWH0t5X1zSGVEFzU3nyiGoQJQ77UPDf
2WOcL69I3xEjqT0boKTeONT1NRlfBYvi1YI00wQswaDVfoPJCxx76poZzD+YRKDRuAgWCJFSybbM
W0MCsLcKCdJ/oY/IjcY7u0yqAI4YZy4tG3M00RjML8Zh+a4fKc48udGiJZhuyYlCgpLQ/qSKykP0
b78LWDvbzIeMk3KpWhkPBWKXftXa3vLp8q5ynRKTnZQiA41AFrG4KqQgEH1pvEGKn5RCPQythZEy
Q79usq0UhEV+8NhZY9LKLlHb0bYwx2GMmCap7+coC/Qjea1flKB5EteXuacap4CycsiGzQJmUsAM
kzwDFUMphX0MREt8pTl5cHkL+WWRnRUmQ88XY9gmgDw86aBfpR4Ys26STyCXqk5UeHE9KEfzUypA
SXJvGPQCwTJFK24shCBb06FYSYrHiGmj9NLPw50sr4prx841cN3Y3H7LvbRXRVroXI90NDQ8kB+j
HcnE/2a1+qVbMI+em2hOZ90T2LpSgZ9wP9vOBhPxJxu8E7LddZ4+L16SoydA6dseBZ+Nm3+A8Q67
CClqsGoz+QdmDWaw0SMxTnx59tc3bgvJ2x7K7fBPmBSyffKKzFC+xjdT0M/F/Nu5ySbpW0K0ofSc
/mBlsRen9wVJw8H0tjXE6LvtRP3of2CdIMGxqKw87fYzcbNYm76bCA6diWLDctLA4qE+t8HiQXsQ
PUkR4onnIDrsAWwNySK8l8/XWC2oxBY10scN/I4YTANtzQfcY2eBvUihoJpZMsUOAit/l0mfO229
X0aBe/B8cG+EOdSqtDmD3qzo79c9pIWvch0UDCKqMN6VBoiuiSFIGdwj7D29pk46aMmIldiLj3FU
Nxsw1JNVbo6pIlFez/8wf40xl7Te60qngUDQ6+ocT85E/5G1Iu4b/q79tcE4uGnFeUxs2JDyr2p6
pbQ/N+Gcgsq5E2klGOgYAGUxOX/uYOjhTPZKcXy0ygRerMhClYkWYGjP8CObtjdGN3VXTN2GJu0T
UHKhx5tBDa1/7ojICXh7tjfBxCFnaJPK3mBCQ124TV7ySUXlUYDL4t0XeyPMxx+KqoJGC4ws05JF
Q279UPLmZ0JUjPx2alBKznU+oGN/OfbwrCLuaIh1KF8BYnS+e0ZaaXFaw7+JEToJ7vwX5XO2QJ5Y
DgfpcNkWbxuBqlNwjHCY0N49t7WaoyHX9YJna4r3weKS9sZoP7CLexvUNXfeUJQ5KYZ6RhGajAcw
k+f1naT6pPqm53KQrY5g+0RLYjxdkZxezzaYG9vCLawwnSoAa4LL+8bLAPdrYjx8mApDiQvsm17+
AhOci3QTc2II3Z8u2xEthv77bu/KaS7aKsdi5umUKw/qDKHY6P9mgnHy3hnWRF9gwpwl19JPTRKD
a8m7bIQXRlE6tBXcbppusJmXszRtVivYLwKyPLV7HTbBKnhMh5gf+mOBxWpaZb9kUwYLU0hVvFug
/4DBfoPAVp56RN7VvkhR5cvfRfURbipr6ahaoNasKIC1nH+kuo9BXWpW1RsdeXYowcSpoIpPoWbS
b4rUg37n8+X95PrFziTz0fR2nrO5x8tbMQO5Ok0LRh7++zwieEF0qOggbcWwJ3OOSgUqAvY4ITRo
iZs00AHMlNCyT7kpMMRfy19DzFnK60lv+w3xTsULtfxqJy+6JUj8ue63WwvzhYZ8KAoCGQZv7Ae3
Sp4wTC6IOtygvbPAfBDDHjB1OMECOPiSNnVn6TTEUZxd19nkL9lHwja4BQByBdUbuJLOPW5ageGz
FJzZYh7cuQaTp367SMf/7mM25nmgpKSBd4IdNNiWwU4GAva1dLomhYxRsoNKBHcDL5fb22C+/brF
iHDahlML+OysHMymdnNjcvW6dx2Rgib3oNoKnU2CvpH27v0nKWhMWg4gBz3wFhsgBwmo1VzzuN3G
T/TxMh96cPM9Xt5G3lWxM8oGJtnYEnN1FGQqZgzB281NtlAZA6fyL9vh+fjeDnOVl0uHVChPey/W
5/tuknK3zUUzyryjCkgR5D8wz4biM5OpAjHllMRSkNST2PQNY7tW4CafunIVdXu5q9lZoudtd/Gp
m0lkmTJoDJseJrF+bNY4+MCG7Uywb64iAYthDbzzsskvyPReqzwVfBPut/9j4h2VH7AZ0jTOSQ85
2M5xJzmbPF35tpq5Ow2rYDm8itvfb/OOzK+eQFxDgGfzEl32pa38VqWVC/lTL5++O1oHftUiyHMi
sHrZI97x+hG9k9AQMADMMK9XvXPTJnHtVYiSpZcNW9LD00XTZCihAYfION5s6UksF+hB5Ef1ankd
S1dG7yP1yK8iikMlGgIVoyDVc+/e9t58nbviNggvwtM5XozZgtMNReJzj4yttKXpMsB7MYgizAX0
P0ete0qMxF3WY9JOgpSJC1PeG2SulHzbKrOuNFzA4fLDeaU1Mgr1JD8WyGSB41hIdcb9lrsVsps8
Zlm8jni9Z+1LGUe2imtMBD4X2WDOtUGGtiYabKRm/6toIFCz6EFa1eEHzvZuKczZ7mVDMuIRewfs
kKsMbg4Rxf+ThTeMzy5AGeU8VH0DWJcGlexV93M4/mULAod7Gw3ZWXA6Q9L1BEcrswf49lRukbpW
611SkMei6/MrtVxB8doMgyBqcWPv3817Q6zsDIPZdZyNFTeWsRizj9Eu1Z9VUVmbGxp3Rpj0Mu7x
HLAXfKFMvtHl1l9TdAP0U12+XN5FLr5md4zejtluNcs6KuCVttH+7VFp1nDnS96Yu+Pogtj1ywen
dPcGmUBhV2ZSxQOmkPTIeN0yVw/o3JPx1ehd48oAqU8hRJ6INpP++26NuppNRmni7ieAkda+chhz
P4Zet794C2D1FaR2mrCMykwADueOJ+3XyoQMhAu5lnsYdsb1q1RLXlVIyHCKZvNMTboho31os+Gk
9EMoyY2/Dh8Q37bAt6piwMeS0Yxh3Gi0hqLuEySpZn9r23d5++iIAjF3c9HogeirDvFSFkvUbkrV
typCVr30bk5uJtTX+9ofksNHPHVnSD3/ihbKmoqUgKMwPcqeDMBLfNQeiU87xJL/kXl9G5PzUG0G
kTOVLj+3BiSBNLQqobQb2bc5oO9WKSAhwO+bJ6MpmPia4EFBnYG5xG1axwdvEJjYMCt9btG2knrS
LHyrRYEYQIwDOKRBaysPsV5EudY8C/aT/r1L9pj9LFGss+pNBiLEvqXMAOSX5LXrwYigJ1KFIplJ
Xp/Opo8KFAJMNEhYgR4FqijyRlqcBSlffVJkd7NFpJNSQiV42cbqW25WX/QlU91tsTDbbJXwIzUB
Kezwo6yHD/SDML8ASApm4DAKwJYRZam2zLlArg6Pdsf61M0E854PH9jjvRUm8hDbguxlApIfbImv
gqs6TpxDWREfw8g+kebrVJHDJYG2pzSBSzAWXFWcdAJpoaw56ERZ0KxlXGq0+1YmS9Z7E5Cniq66
+WwEqf7fYSKIMZDGMjFQgdljJsrpqVO0kjRWoG7JDwqa2oXVPaTIdgWbybnxaV8NbScwzdL5qPMD
ojcTimczNpNCxRUfAEIdIwHmF/AJuYqXXpMTFepOo/kggllwjiZtptBXMSardTaMmg70S62JWh6+
SQ7YC8C1Z1qYRAbx1TCWgkDAS20dhBywlgHZ8V5qqiviol0G1ORMUteeREpoTfW/9dl8pGyTapOe
1vW3RbqDagLKaIxBb72Q2dzctRSVi3mFQ8hEQ2FIw4sW/STmBpln3ezarum8LgB1zE17zFXoJo4R
HQZKX8ABNkMbJlQPtScEKnCebA74PBAJAVQF6TzjV07WO02pY7ykAbjZVcotnAwpHAp1cZN0DnI1
RYvT8ggUmS57GudKOzNMHXGXL2TWNhaGmVdeIaOCuLmldYsfYAyCshvPzNu6TIMql7H+bCt929tk
qTxbjtTRT+bWpfWJScTuy0lYnb0dJghNRWOVxBx7b0EnMNZjtxalGTxsL6ILTTSoiCdofM53bMvN
uZUKzKHJUOxxAKQZ8ivS/LbyG0m/iy3EN7ArKN/y8qpZogXaW1peulYNHa6XtrjJZEHNlBcpVBDF
IfJBq+8dGYKJAmY3jBhgkcGuAy1tv6u/rHloYWvl+GZw9OCyw/B2WFPw+AZqAnojLEjd2NZsGgYU
HLvm12KFpS1IJDlxHFcVYoEB1AmAjUzky512ji0FdcC663wZjO/zqtxK5MflVXDjzt4M4ygJWLeV
rmpBVxoQG7RIxbVy3V6nL/XmGV4epDd1JCJr46XIZ0tjPMfUSqkzdLymkj72dSMc9MNcVq5mHCe1
9sf1x1TjXXdQNk+wWJreMOkP6NQwUInvRuVAmMCmZoCdOOC/9IYcgiB0uhG8UxAOUiCEWQdJmEaX
DfKi2d4e9aFdUEGfVx7WGYF03hwlnJwhvlHX/IQ2p/K9q+bZXVo7cfFTnUgtZ+E+0+Wwy0UqgHI4
mIQwuEd/3s58laUQRLPevq0Sjl+zYLrWfTpUXB27UDoKgw7vYfk2FGsgqUX8fjc/2s5UGqetPRnT
nNuRUq10vu1W91AS80VgQV4ohZcg8KB8/R5BZAEg0g7tVHm9puSHee6eCwx4geN7va7TURL5zntz
UBTCTCcUBvGqAh39+WbmpjEp6thBZfDbAqafKuhjTK5lAZ3Os6VQ7v1VBafXvwEPcC5k2EbS+qaf
gNYTk9ORJdYa1dggmJPOUJ6HKMvwFfrWVihbI7hFS7SLnjND0jDealSfEOsG31GKLijB4vcY61vs
dUWePqTSIoPmdTHvrFx3bp3BsP57Wkj3BzoSKtokoLM43yS7NEC2ZmOTrPxrPqAC+r0tBGeKNyoG
G1D9RAsG+Gb2lVYk9ixXU197pnHtzC/Z9GOofm7lERmLN0DdGGh+e/z93w/y3iYTJYchXvXNpDZB
i1g14WzYECz3AVUNt8JHiwGdmk+XTfIeTw70PpAT4uGkvyMLtYlZDJqEK5wEdqT5oOUPtlvaQaUZ
by5syvDuMyA3ge2CkIQKuvzzT6emS740Nc6upS1+lV5Nq+oLVkR7cGw8AkwfNDGA3WBBTI5V16Uk
TTaSH2O9NdRgre3QbE/EgBpeGxYblbb87myCe5oblPZWmYVJlVS1eYOkOntB/xt96CxS7zYoq1Z+
ImYi4G/jnzWyYqQJCER0XcYa29d1db9iSCdKgswD92nr3gIzLbbIu9TwNqJIQDTbAcBlPlxSqE1G
8OGG13/WZx7XL0MP9ggKGhXKfXP2Ey8/oBag3W6CD4A9f+lmolBi4yxMIUXuF4H1SFGAUKqNHN8R
ZHWcU4AqFkoyCnA/aA6xKC1FSmdJgcYKBsKbAx1yJJF1u0Wm2x1Bwh8IoZXvKyQ2FofHJvR+8Xxm
0eH5VBlJ1wIdrkfWKx2Zgf5m1By3G8kXYcJ4YR03F2X+AQyd8heef7lRS7Y2LXQI1by2x/mhPtlQ
dvXqsIoasDWO3uzrYQNqyh4yLpePIucyQ95uYn1gHaety3PLqZWiJFWAYgWTxJ7dra4yxW5vvhqg
3Llsif6l8zNvn1liImcta3WWzEPjrdbs18hFipZEGehYL5uhKeMlM0xK6QxKvsYWeg8AG2yQt5Zd
FUEZMB63G46XTXFXpFLEICixcQkxSWTcoIyk06Ecp8DUyhy0LRj5NEGsfB9GsG2aBbknjCqgHMWs
p1m0WYbaVOWZ8W2inIbm8fIiuH8fYHbQ+9ugNGarREqStOPsYABOrn/9P9K+rMdxXGn2FwnQvrxq
tV2ufe8Xoaa6S/u+69d/wZo70zJNmKfnvhycQQOVJpVMJjMjI8z4Zhg4Dnb+GsMQt6qRQVMN46Z0
UMIkQIoRfDJmvdysjVfgYzSj6LRtakvDR57yvj/royhIChArQLeKXTt16GocLWM1DDCspo9D20Zg
1R6dLG5rjjuz9m1rh/z7JqVWEB5GaZYBbLIwYm0Kx3JKOP7FcuWtCbLUjQlNBri7ESRUIrrMbs3M
y3so4qpvM2q0MQ8k9v0h6IOztUadz8xYimqNsCAyDUMq3uA7UtziPnkmvdXRsFtPclo7v7dQ/BZf
uyu8HvzwIf7BY9VhvAqRMCoWHBLPlfOCW94sRlVr+CXC44w+NtElkG6MIL5adrxhaFb425qiviJq
zcWqiDA1y7/0/EpIO7tUgkLlkSARr6M3d2uH+pT1ME9hp8OOeG98YrIcUj3RMQlQL4mhHQuK3qfL
p5rlOmBARfmMMMyfzXhjc1PcpbCXZ+D6GzL1Ls3TvTC3+7CS96n49v9njmQmG0/Vm2xOhEIpnEQe
bCDB7Ez5EvUvtTxkAscU84upCIXIb6AoSD9lF8Us1KaHqVj3aqJTp6ggD38RIx5qjRVIdMhSKFAh
hEou3bIYta4Up0QDv80wHUFU6hV9aUI6YvjjlxK8fWOHyoUh+joPtQY7TQwqEuNrKUTfKP5cGBFW
gJwGRaiOI0V3PMZEmqq01OEQnXhlZVAtBMWN0i/uZUdg5YQGquVQ8kKzB0KOVCaTt0mtLQr4txpv
8qBjhiF/dT8fVi9HVYUbKRjH6nsMCyT8Eoay6FfmMBvDAjnmHMplw1eLjBDZoU0gWBhFSTE6ytXY
I45MnWNTwnUGUiyFMeKT5nGJdBjzX2RYlRDzxG4CUlchaIPIX4LLm8nwQLBHQUkWfJAKBjqooNGv
oSatBrCza+IZ/UetO5bGyaoZcQKsO0TKAMvSUL89Pbg1GP3qBCV+J6xE18p29fqQLtetpKDxwHEN
RiJAUmmoSiJXgk3yU7YxosqaPLUq0PmsoZ+FD9oQlEChN62nNLsIND+XN49EbupLnVRpqDwgDEE6
1+cLHD42EJdWgNAVNfMvG2GUIFCP0dAiluDwoJuk6jGxlZb9IndgDgbBL2GrIQS/sr3Yw+6yJYYv
4FkHTU8i1AewHHWudND8FDJ4Fh0MRlT22lkA1rTaXlJ4yFaWR2wM0didVcyEVFGxoglQ00wL0vk1
zd+GtXJD7rOH8cTaLuo7Edi4RC3k1ipLKBJZ0Yc+3vfdXp2uIyG2Z/0t0ndrlNpQuu50zrlif7Xf
m/kdxDZ2h8LSFmuC3Thp77OstlFVB1gIvEZ4mgx19CCW0bXcSRDk5aXz5DuduSU4XqECAEY/gz5w
a5cJ4lDgzawGYOgJskAJVB9VHN4SGYHKQv4LFLSBy/JspgnaQ4nSTbATXhPHJLoKk1/tZRuQKZfX
IWVF/RNr5DBuNhRg+CxOQlRWpFszUL3mWnWFa5ItZqhz8KwxMoATY1TMEmJZ7Ffk306C/k6mXunQ
4NXb+5FLx8naQyR/iL3oQlpnw0ZpoaVClyFilcf1SB7jIqpFkUNK2MMVt0bPOgxba2TZmz3sNW2w
5BLWlkPyQJQwgDf5kG3RFlyeLdYZJ7mhqeAWQ92G/PvG1CShyRlVMDWEXozhwCZ9ra3C7+Kjqt9f
jlusMKwAGkToyUlPjgqQAOIrodxMGDMpUZ7ugrZX7MsWWJFxa4F8xc1iSnkqY+QB6D6K9zEml5Mf
Ok8fkbkI3PkYAjMgWEw3OAetXlG7QSmvraErUN2Hk8F5IJxbQEEL2B9FBw2BgnLC6SKWJVmGEjKa
TtkfUuMdbBGXN4lxQmEALRkVY7smynXUJx8TZZpnvCMdqAYoFpr4JSZxqk9RAQiOaGTyAhBrQYDB
A+6D9tp52ULFNWKua1w6mQDVm9YCOZF3eUnnYYBQNgAkAeQJGVugLngIfkZlIWqVAy4rN5YMr086
O2oS/PfPy5YYRF2npqivI8xR0VglTGU53sa4emMn8owbDM9Nd0AuiiCzQrJpeuWnyNGvPL8uTi1T
sW6s2x70VbAcTyDMbtxQeCjFzmtEPx3fS/Nj0H5dXitvV6koJIhhH4cDDIKt2w0XwZbbyRUBT5xC
zhXFtISHAshsEIfAoHvq8iGQ8IucZ5VTpYdQv0mHZ128S/58wgQbqOIpjOeugVyaypvmuIa8sYn6
piLeRdHBFMHof63xNDiZa8HBJaQXACnShOpyHWWlKqDomMu/NOW5rO565bCOHI8nH/s0d8BaSPxB
2Z1c7dRayrIL4yWciYDxVVQHOWYeBffy52fGiX9tgAKUmp4yugXA6hwcSnCyF8MH4x6q3oSP5L/d
5JsFwRh1OUharGSKkMK7S9GuLaDR1XJnWC9D+nR5WRd3DoaoO2Kd9bYVoGjmVM3LLD1b0fVYP182
wd05yp/zSjRKSSGV9C/rrfbX19xyAbp9+JvYrqp4X4q5JuQmhLDDBHKUOql6sazdPGNEZ3zTD6qj
7PTJnt6BybLu/8688mvjZ8mrijAD0sYqdY/M6C/hikHNu0y1QE9Hu4l3mfCoWqbXp16d73IeG8p3
BfrM7TcmqQJJAW4GQUkwz/m3qDZoev4S74SH6Ch09nwQb//WfIAa9fX6EyrbTwovZ2fMxsFP8cgj
AERQYtNoEWRSmRCqOqQSIQpL0nb1vZts4Jqc/oOM01hu+cZDjDD6XadGqUtHW4okAfawcNQfg1c8
DEG/A2L9YfjGPC9XPOZ08ufOdhk1IvJARzpFPzCrPhHzLBGhNF0KRrD2qr5PmpCT5pzXAMia/jVC
Py61ujHkaoT3pGiDDm3k10vrG13rSM1eNZEgGpz6BmtVBJhq4ISgiPf9ZTfJoVx3YqyOYJO1ytsU
XNuW+sg59iRG0fuGpA1jkyJIWFCTPL3GjL5Uc5VwRyfj4PTqi1b13rzcWsnj0l5ltjnaIbx15KAH
WRsJiRWUJZEA6bg+T63qWpiOs0aOoZbYXbwzdEhADfYy71WQpNRzwok2zH3c2KOCTQZwWNovFYqh
c+g3mTfpvNIa2wKuNfDKo0ApU/uYowhWlGYJmYC2/7QW6c6qVIfzrUgIPvtW5FX8/2xQIToaummI
MLDwPeOqk8aCHwWY/kO1sEXLmicbwYqVoKoAtxhKoThR1F2KiVMrKiUoHJcQB9VHxY5QIWoPSi/j
IXHVgIbUQqn88hpZt8LWJnWlWsvYlKEO1vm681r5Q+88ZXy6bIKE+LNdhPSpjpNMev9UPE7Eou6m
GcwfUxU0K+jZlpcR/yUWz224u2yKGXnh3v/aolIeVEpSTLCYGZiwwiD7ih5UMunnf3af6m388L8I
CXJWp1MfLZzytcwykBt1AgpRcKUg7419q6sfSdbeGUvLyfCZH0zVRbwqgaHHWT49yUNTABG4gHRd
01LouYGWA5QCsvXO2UhWhqpvzJDjtwmETdng/gpBcaRqNpnvzq6SA3rKUOR9IWqkg09mvIU9wCOX
DTOP9cYuFajybmnTckWFPq3N61DTbCVbOJcK84ttTFCxqZJaCJ0O8BErHPxEutbDzzkNClG3FeH1
8mqYl/J2G8lv2WwjFL6nIpVB8dUCVRxku9TP3RRgeOCZF2/4WQdcUmoS985Om6EA9wK6OZToKYvy
LEWNJKF/3n6DejqkAcbz4BLQkuBq+8vrY34tgLIslDkUItp4ujyzmORpqLE8zfiQddE2Zs27bIEZ
EzcWqOBhCZJc42VTof5pHkgNovWMA9QMOIHj+8V1tm0QDAfnNCggZHqeSlgbM5c7xMHpoLm9Ox7L
I+D84HgsAt0dfOlBKuwiIMJBRE6BjAISmVBw8Oy6vxbu9DDZt/NfQ0pthNX+bPzJyPqxrgkJvCZ+
CVYgjb9E80NL8H84+Q7PELW9vWzMbavD0Jwep/Rmlt12Plq9YZcRj4f6+0a+tCgqNkOgYhHDEkgL
zY6fkq96H0P9nSjF7PPXzid56ngYgVSU7os90TvOnfDjsjOx3BU3ECZzUJfDnU7FzqYXpx7i6blT
tKCD7/GhedIHDCwCUfj+bYKOm5lVyr0I1NlywCsLDR7VzZ4IOye/rs1A4MMWmaQEewmycLpG12Wh
NekDqggz8HS60wTmnXhn3YzOABcVd3LqZK+XN5AZz9CEIOBSdBhlmsimVrIhnMUUrOW/kC+AGTp3
zT1AM2SMfg4yn4eqY1xDgE4baHxgylHUaMhU0vThMPSwZ1qAm82jY+VfbbKLMAJweWWMaxVlR2T9
KN8jmNGwqaWLug7iirVTFF4fX+X6W88jrmR9rxMb1GEzFPD3hyJsKO3Bqt/D1EsmxVaaQJmBgjB9
sb4WIY4AaFDzMLaukdxdXiPjsJ/Ypw5gG0nL2icg+82gxxZJb5IBnLWnV/eI3JctMXcTbxxcCWgl
ndEK9lGVSNpYgFLJyu1Mf9UVz2h+XbbBXA1KgZgR1TAARx/mFFxra6TBxlArdj+TtxrcZNr16WtT
Zv/FPTbGqGONTrAcNV1VA/Zo2lOSBt3aO4rGw/2w9+33msi/b9KFUSvLImthpi6Os/kYZb7OU6bk
bRuV/cxgVquUAk5QWrdWdDOCcq8Ub1a5siuZR37AuLxlsN7++4nIb9ksB+SxtSgDRO2IUmU3VuwJ
ymqHS7BMr1K52mk6OxWvWcvbQuqQZUZems2M9Y35Uym9t8knhmUvex75E9RFdrIs6hyBLsJMlg4m
NKiF62Vtj6EvFDfruOu6J6F+u2yNQcYPYMLvXaRJj8KiVKRRxi4a4q8km1051R1lvWrDO2lanETQ
7Vrv7Rjjeq0gOxOYagZIDSpx+1Yl4utUPS0WVELCyO3Lr8s/jbPXCvV4TENw3WFoB2QTIPlWRTBN
7QyFE7QYd/bJ6ql3flVp6bJYWP2cPIi9ZFc8bjbOgaCvtDhMO+wqcZjyWo5JTfktV+4xbuk0y1+X
94u5FoBnvrGmEMum8o8aKMWw1iAsIofHyHIH7fPy32felpu/T0WpvEKPpCTa6Wa8T9bOKaTaU6Z9
GkqcE8BeCArjAKIBUqdQcWoalQbnDHFKM0N7lqW7udU571xm7EAF9R8TVJwKpz7VBKuunbV2ReGu
QSsNuq6ONLwkShbgRzkCWmn/Yf9MAI7Q9oSmJp1QFZOVLSWxWbb7qSnsZdglY5BwCVeZ3wnq1ABa
ImvTDeo79bORjknYtk6uZPvBiDBKKF1bgDdLY8xxCaZ3b0xRX6oWJ6FWBvBEkHKB2pR2bb6nw4cQ
JXbDpZbiGaO+WWksUxHHMBbpV7pxTCAEsUaSqyPLL/88lQd+6vcWUldLCsnOdJYXpPJhFEgWoKr6
/rIzMIPbxgJ1kXRziQ/XEWdYsyDJQ99AKTPP/xx/jui+MUNdJkUzjUIj4MzG3SGfAqM8jDzKBY67
mVSJSkLbNK9qBLRRcdfqxVuvjZZTU2Ge1t+roGWQGzMp1ykEX0ddKc6gHCa92LUx1Cv9PN0pzY8K
Vc3Ln4fV5tlunEldDH0ktWWVQflWvFcXL37q99oVmO+dTxuYYh04aRG4m0TGuA8BMQGvxQkWHP8w
FSq5gcL3Ui3Y1cWs7W7Jj2N902kyB+3LjLSbjaVCBRgNFiOTiJ8PxW1dWLdZy4t6rIUgVYfiKPAe
IBagPHCw8rQsRqBg1fV96HxFrV+aQec4CMsHN0boMulcGo2sZ+CPgYyEMP1aOtGxpusmrN3LbsHC
XshbQ1RO0oaymJmljkfWY//ef0vEND+ie9PFEElxlJzQHp/rZ/nhslnWZyItP0yIo68DlMmpM0TD
CGqsFHicrgKwqOschceiz97A3xao2Aqee32IdVgIBzDyGhhzqKRdKkAp8v7yUpiGwNSPET1MIxk6
tYFDUbUytIPQ0R+rwJDABvOaCiBM5iq2kgNCp9ESIEyqZEJFQqO7+VOTdeFSo+T2t5xK7o4a6Lyg
Ki85RCJmkjx0qS6vjZW5b01SMcNSEjNF2oDiaGe5KUaaE+EQJTt1OiBAuUqzcmIE0y02S6RixNyJ
kRl14KxESeiINsshMtrg8pJYkXe7JCpARGPcxaEgorNX3LZmMDTQmv0JEICdpb62+EC6cNbE6rHI
W4uUr4MkTM7rFeSYegaZAJsAOAExcfTS7+3kSXEQd/3uLx6Kkxml0IpDbwdARIOua6vp2k2YFsDp
SvXVxxMcNEmjGPtCF/JALTxT1M0/tpNZrwbo9NLegFPKdj88WymvYc/0jc2CqLAb6UmWQAq4dqqq
2YWhdlSKlnNHsvIxTPeCSAKEa9gyKkkq825A/xJlkaJvH8v50wDzcBQtfpZXByutOJ7IDBwba9S2
LZh0H5pKRo0EGCAAA/TseTZ/mcXussMz921jhto3jD2EvdGDQs5QR68eZFfgCTxwFkLnS5AWhxL4
DNLBXsCIfn/VQtdpKj114RTfeXaoSJtXYW3kDexk1mumSUgibsbejxTO1csMer83jE6UFH2SptnE
hiVyfB1CBKFqpmOvL18dkFSi1SSeDuj65Y/EjEqAQMsW5q/BcUOWvqn86J3RzdqAM7oaQVMsttYE
Q+yNPaRLn010t/tpf9kgMx0koOt/LFK+rggLJtk7IA7Qr1xsC/AeEP9JvmB3zryLJS9LbEyrHkGc
5oI4Mj50V9Ffl38CM2xsfgHl/1UPRh5rSFsntbIjBqvuZStyZ41XfWL7/++FUv6vt301gboLBRHj
udXvw5AT3znLOBO3SfK6F0q4iyAeG9GTlGvujC/HO2iBx2ExorFqmtbRMXkLUhLRjc3qV9h/VbJ+
pa5/ya3q4XNyMDCcjaORN3lTFAi5eJ2OamqH+X5GS+GyB7AwfTL0P8A2B5QxRqQot1d7a5SXToPI
iR89kCkK1dWCxf0blc+7ERkTuKDR2lijXD7u9VgsibX4qLxBAvHaDAw/9ORr0rIXgCms0LA0IYUT
JMH01l7pt+EtGcLl8emwPeb3qinHF8rJWJUFHgNpqZtqDcJRue1/XN5a9sf7bYP2ekxXgt0ScmM6
SsljFwMlxfF7djT+1wLNv1EVUB0QCDXpBJLVWm6dZkz9UHnpxoRjibNf9Aj9sAhjpBuw1BqQ4dXu
QOTpNat/ecOY3aaNd9AAKUtYozJqoJMGduDXPRC6dzlI6tR6tbVJekswqmUVnSfWXin8UGRHmHhM
urwNpZLfKcYI6VLgB5QJ2q1KnNvCukpOI5Ze0fAesTxjxH82F06n12or5cjZisX6xJynrXaNP2iJ
IyTF2+WdZXw+BRgBNJGRiaJHT5nScgF1tA5PWS3FqHS8z0WwBCcvl418Aw6o19GJFfIrNgsq0xW4
ih4xck6nvSEe4/pQ1T8NCYRRSeYaQ+NOOAna+pgUsb0Un4KU2OIo2r2sJnav39XKegeOjtiW6qM2
/qzV3K2V66jp/SV5KLO7HJrTtfI5TMYO2rh21FVPmRGUw5OqPEfisx57wzjYObTvNONWaJADoyMf
89gGWY+Jk2WS77pZppaZoYwdbcDSMkNTs3F8q7BH9JMnt7Uf80Pk84hhZEYoOTFJhU1dXAchAoGK
IwkGqKtNd5nRNMTscflUKj+N2kvVTw3YXYwwttqxLyunUw7hLLmmYHqN5TdCbhfCXiwqoDU1u1F+
rsqTFnEKP6xCxsnPpKKqNIMUVY3xMwFju1H8DkA2obDXK8FrQdDfHK0DMo175f2y37E6/CdmqUBr
rcPUKyXMNqK1m+rELlrFrpQgTntXWY5FeJCl1i4GUMRWSKkW0U55vXjyAS64Po36jTqAu4eKrLzP
7KoHQl1AiUA9DObrKHxy1ssIHNv10jOlVju3Qp3AASeHOGC7J6zm5l68I5lia1e3ZBBd4jS1eB/3
O5HYuH0ZJ+Iq4IiDpeXR7K4mUXU7EPpJ440Voy2LGaFhrysv9RrUyZ3eeLG+E0kM5TRZOEeBhlfM
McRujQU/Y5Hv+zhz9YV3CTBSPWwvFJlJPgRCF+p8d+NkFoklNZjaebXEo6y81etR6ypvxJhXhf1t
eA4sM73nt0XqeGdynhStjDJcYQHjl/ZlHdRdPdjGpD5YU2X58yBV+7hscrsNpQdrnRJoqQ94MPTG
42XnYt8UwJKreAVBcYOK4SO4S40oRVVcBkRhNR8SAxzEJiczYjvwbyPUDuvxWqF7LJAmLGkfKH4K
UKgOyRq95lEZ8tZDba0aJn0lhCZSilgbXbkE9Uk1lJhqC2WdkyN9wzfoIABKFxlToCa8kO7FyWES
josO5sLkpd6PvnUr+RgUBpZXdYegCEZ7cAklf/8iugQ6VvnJrcS7nVjOS9TTMckBxgMAA08vJwFF
ldWYIRdIhq9BEPk9fP0/qBywXNYC1YFBgN9kgPjUjlyu+tqKsNN9hUFno0J+A20St3oqD3zYGLk3
qI1VRTBE6UBVgmKdRjrJuVnNo4KBfdkk2IFiMNNHMRKjAO8w0wMXFh7psWkCaiULGecJxoLHnRin
LrU5KXDzhoSPsgpTKOqU8FTRb7puX63Wk9KABDMT/KQ390oFnev5zznO8TVBaUommdG++35SbeKu
lklaWVkTBs/LCXBYFbiCqJ/DeylMeO8JVkUC5IvYYEtW4UT0V10FjIPLhO7O/NF9SfvJie8EW7IT
z3IKwEo/J78/hHgqevkOI+I+Dwl89p2RmergHkFHAm1STFSfOtVK2JKmEbiGZVxtuQpCAfdL5MvR
T2Xdl43AObDniQOxZ5BCPqxiAp5KHPRObJY1WghS9/uw/Ajv5LseHFDVnbrTIzv563JwZRuE1Cbs
YtgDW3y6QAHs8lmaoQG33gqPxc0QEMq9RAFEF9qEvrWXOZflWfSDITDiyBICOZCPNFCklftRavDm
dobhuR+8JUWhm1cSZNoAsx9aImRsk7YxJEs5anoCfKUweYMx2VoRP8gpj0yc5RuEQPAfM9QTRhqH
rjOnGLLkQ+qnlnaY6vFKAgGK3dZ4i6aDu0jzn/aVyPZh3zAURxp0NPeOXMpmauWwuQpPGUg8Ffm+
Gge/UTkxhrmFv+3Qen5zaULTWADlzti4ZXM7AfdgzZzknGeDqtxahSxM6ZgBe2hYXiGisNlBLcFw
Lns4OaEnkfp7x3RTJp3Z8+tnaAtILY0TYUCE+qVUX0f6uqshKlJBJgndsz9NJIg5XD/wcEJiSdMH
yUkW1aEcVg5ehkm8H41HQ/Bq6+vyos5rZDBDSJiwIvQlzoZ4TWWyxKwA5e50MDERgczQMY8EI525
kc+rkbEcHaR+YE9R0Wo5i8GEBKqVLACVRAVCY2A6VQ0bDFq2lvyUqmcs1ru8OqY9kKjhaMHgGY/1
mk2YyIhhr1d+dqU7l7cobhbjE8g6HasqODH3LH3HVuI4iZhY1BGV6C8GAhAoJmcRKA00C5xWao1i
Yypb7p+vaWuFSjATKYukMcVFIja1HwmzbYFiqoJMAGbGMj8Z9DdQuQWXbTJWhoYw5EEgRgRWMBpP
UiSA91aGCdpkRV+h76jngSmpu8tGGOcL8DW4ugRSJtRRqVNs1JU+90mKSvr02oNRuLkbJF8Goq3E
VXnZ1FmSjo8jg90aM5igtDxjUImm0gLXtg7q2/QoTreTNdvJsGtGmWOHEZhO7BD/3OQ3wERZk5Xj
/rDm2O9M1TMRBReRpyjJM0NdvfBIKJG0Yek0anUVgfq1a1EUsCL5/fK2sYIFKEZxbiFSDw4wi8qM
jRGE/NCvrEAZvHi6k/rQG3vHIDmy/cGeODfU+aucfCWwMaByLykIF2TZm91bplFaEw1QpckJg+kw
eZov2alruo1b79YvBbIGwp7XB/5GyVJhXoNkCfFBHGKkaqdWC7U0xhiEo44OzZbCQKaUdddm/1lU
I0i7SrQPVBMal+pTX+q+IYDaszX2FZpqUafiamjv9DC6GqXEKRrTzkPFLzLJHoX111DlHvDku7rR
rkZNO46muJ+q1e3T1YvF6b3CIPUSVRwXZJ0qxHe8LCx8srMp1tFKRsAecf+u9X0ZH/vsCbgHK0JW
tkScC/L8OYEPRgZDyMQswS9RW2ctSSmKuQxiLtCp1WBcCncQRLBRcnb+w00CU0QbCbS3oKalgsUE
DgNcJQYUdqTY7vG0jjR7Vm4V8a3O94b0yHF88udopwDYgewj9OQhyHTqFGHcKmU3Twi6B81ve3i+
5VSQLCoI+Q6PWI31ybCBcEACfAVc4NSYOOb5NBcWrkctV2+sUNf2U2G2rir1d6tZD2g1gob38gpZ
EVEFjQsOHOAceF6f2sR8UdopU544Wn1fqa5a4LJsIWvBg+mx1ra1Q6W6c9QUpjzgnZelFgJ9bGOw
zi7Dm2a8iXnjx6xba2uLih/hkA/Rmit4ApWhC2KcY56uHMwAK/LCB8G+DRQ5GhAUllOpphjtXwR4
bUV3qjehKhV6tcg7WcyVQJ4GlxWiLnQrTr+O3gEcXbYV4m7zpFdP0+hf/vqsx5uG58C/BqjjtKxa
2OomPovRa41dTrM7gHGxXaqdFhcKhkXaW1kUfDwqH1oFH08vbWTDyHzXB84vYe4onluoC0D67GyK
LpfmXuhFpDdNqewlYJVF/b3T49sufBWLYraz7EOMJNFutadMlq9m9ELGSjpMAqJOrnNSEuaFh6cs
6oW4CfA/1LHoWoIJyQcyP2jeg08H5X7Vzj8gIojxXd65Zy7dIvk4EnGIH1EfoVzkUG0SZKuF9FRN
mlNUy3Utpa+Xd5hnRT71JQ0NLAOTTWgP51916bcJRHPMxflzI2RsD3oNKG1h/06NGF0sy2VhQdg3
7TCIYrWHyYhfZpnb4mfFE+g8YioRSQIonKgPlFuxvIqSAOSMZvdgRQPJG/CDjrxXbiZ/9cYXGQQv
SMbB3sCrpTOdAxeCCEoZjCcgyTpd5FQCLwaCA1wK96Pb7xvQQSZHIqDQ/g+XwjnrJS5XDYSQ4FOA
lJtIM7xMULqUcgkFnXRPNNzGnYqaKxFrMPZ//u2IXgnenCJ5gpIt36Rd0KoC1r7Bi1Auf8brlZZ3
aKq5l22wAtrWBp0YD/2sliaqD1K7m6rnovjzqgOYtjDyiAACHm36KVaqsRS3OmY7+/K2GiFNWbky
UrLLi2DdmVsj5N83GzVjAkGaTJykAQpp809t7t1VHGyZV0Jh+TgRPrFEC3O356/mOMuXsiJDzJm0
C5vKUyVxbxpJ7wipNNhNGJr/5fPgCUaUJYBEp997lZKlxQLZUmfqn0FsaQ8m78IhUYZOqEBU8K8F
KgqtJbRn9e8Jzn+Ipl35ffBJqTByq78ufyjm2dlao6JELGglRLtIZM0Do9lB1tOuQd4uNI9z44/x
ANaaYOKF8+/SPb1GVCjxzvweC6dL+0o2VVCXw8iKGiy4TMFC2jmpC660fAH3lOIUkATJ3Dxof/GI
IM6HFBEscIAh6akTQDddjE3mMhZDXQJ/42LXlS061UMHYXkvgWBzv2t3nZvKgXo7ucr/xAz3jc45
Wzqocwi7I8Qp6Hx5HJe5Mgrcm8qjoXr1vvlQwLYdusGd+IYcMyCKKIBCLW4BaDl348nnPLNumnjG
SXjxYBT/9GDGnZAYSZggXcLMpTPHdnWNxpUDutmfcWeru+jxj+m3yH5bUDFTSSntbMLakBZ97HTQ
wKRReQPy3ttR+OL4MPMJgmItdhRVb7znThe19imqPn1coWA7urHipQbUZ81djZF/4Vrv9rWx12WQ
MH5ctkv2it5LfMF/zVIH1VrCPoo77GUzvovLM9Q5bAPSEqW8n6FgJmqFLfNg+qx4t3my0s6bZfFk
LQIKQYq+zDbozQ9yVP7V6qsrRWgqjsoYXF4jy+D2wUVuq00gN+Wi0MUIb+Q41H1wvDrj0B+iMAbP
0+u6WN5la8xke2uOyhtUCYqwc6agv+gtnurUtxgNKOzqrans/AaaZLs54SyQWUoBKQVeyqgAEK2g
0xUicYDML8gwkDxovhno0LsD9b2j2gLIaAiDdfysez8vr5OVaOINi6EVJGdIncmub3Z1idKlKDWU
Q+Vl8VeAj2drcIWIO2LEOu2gBMPr5buw/A3d2tgZhikNawHFPPEQrXa2iw66q92vX5KDx7mbPmuc
y5F17W/tUSdCVpJOyXtcjr3wI7XmO7BM363rfNVgpvvyDhK/o8/e1hJ1bZnWGqdRgq82Si/TtLd4
9TzmF9rsHLG/2TkhqQD3WlDOUzp3ta7S3O0nTmvmHPeIyLhdA+XsXT7M1pojDHeLPbsE/50+Jo29
3uS5XUIYGNy71r5bODt3DmRTcPGqOmAeqPzrJn0FrErctOaCGx+U5veaX3hEdk8LpB/qLdFTSyAR
2vOqowxH3NqkodrVlGuFVOG+7zz1YIJupgoUREsITEyu7C67VnMu+wdrc08sUse6TkgDvbEAifOG
wu2wufEjlFABVRDu8X4Eezuvjc0KXih2KBJaARaeIrQSSdxacjGTWfPOC4P+Dgmpq93kL8pBRxTR
bzJe6kZOE3UGTuxRSbZYtrJUFRjITff1frgn9pTCzo7JE5HeMWNOYso4EifmqKBVzYmZ9SruHjE7
JNDllI8rL/7zTFBvnyWrtX61YKIf7L577FdPbjjxnhE4TlZBJUDQjp/NPoInWvLLmj6O8n/YJaAK
RCKdBj1T2gnCMDENPSTPt+ppyOxCelG5L3viu/SHJ/SEpoLaP0ZhKd+e2g4ysCn4qeQgeSDF5Aw0
bT3e8yhS7TnniHVyt7aokL4USBZzBbTZow8glWN89xm0m/Vg2qld/uAh9FmVAx3Ev+R1BdYV8Lmf
Bl5VNfIoExKQnd/MbgelwNgFBsczAsWrn3m5KTNKbKzRLXhpRGE3gza0Yz6Lh3YPaiondJfULt60
QAj66zzgnVry+8++HRINSJ2AOhg3wOn6ihJTbiGh3Ur30a4GTZwUNPv8wP1uLD8nrfF/7FDBAc8M
zeqq7/hnfCZXqUsEhKxrzav2EUQlp53GQYryDFLhQdQGVUIKgxZvRwjkm1sVecBlZ2SFh+2aqPAg
TxqAX2i3OhVeqGG6T/tfaXR/2QbZl0vfh/K/FagFEXYqp40+gF13mmhwxvpzVXi3P2cxNHYYJWvB
SMkHat+ijx+oKgd2DKAghg8Wf3EBMuBSlLGaUGg9AUyGTo0BTSQqbpjVIpdq9n1hfEuD7wefPLbT
/yFusLfxtykqbNTNUGdVDlNJezSH66jwzeEmKjnRiWeFBK9NlqY1oHSvoPLkxNpDCn3R+Q0cGwq3
J84qV5xsHPH9jZ1IXsN8IRvXuqhVICylbrhP/fkqcz7JDppX8Y9px41OrDgvi4Rzg6iMQLX41Kw5
NNqwKriroDX+TSnZuBIUuYioL2/WgOWNoFzDmwTNZEhYUad37XRjGGeYQuUAqnNvvfDa8LjqmduI
mjCgOwS1g1vldD1psshjo8PI6PdHoNcPhAwwOSg3iy958g7odVIf5ssHs2Lu1i4VC8V6FdWug93e
T27W2/SoHwov9kFHqyLRDt3M0W9RDncxUcVlH2em21vj1M4OQmj1ZYucJnkxWxTiIc78rDx0PmYS
dF87lB6pcxlczgLemqlY2USTmIciktHRr/fSZ+3OPpFGQbXCPEIv6Wnw693gxjt5Z71rPy/HUO6a
KceVZ2WoFAvl3zVyW0z7eJ2zvppu/gXJxhJk77hag8hd3y+b5SyZfmT0FUZ5VfXbvf5mYFUCK8gP
/ylFQflM0iFnLJtnVI81WOY7aUTkNq9X3/CbwPKyoxZoAF1AGIFz5zEXtTFGhZ4kmUwFEpQkX0AT
5zYJsr3uZ376f6R915LcONPsEzGC3tzSthkvaWRuGHJDB3rPpz+J2bPbHAy28a3+m1XEKkLVRVQV
CmUyBV0BXlkS43QXpRjf7IoitoiNvGsKt1D3+ijFZIl0D9iEMcgObWQ86feN7aVPw50NulLz6frZ
cePPTjzjoqWSEeMVthDd1vt+QkHUKT+XaudfF0Odjb3d91oyzihp5bSZOZKUuc/8dsp8GZzbxRRq
3XPdHK7L4l1Oe1mMBw5VtdaEdhMneTjXAzn2oOmYpOwGgPvRdVHUCK6pxfhbUbXKhqQF7RZt9fOy
OMlxEVwXwbNDEA1gChLjZ+/nfcusW9OEOKB5j2gcKSMFziXusL2fRUd1Yi+HsXcVEIBJnUJO8RI/
ZqHlg9Zp8vPJA39tmIYolnQ+5bfHotX8ZQn+FyhXhZ4M8zmxz4GBeDobCUwAJk8aFgU3L62Q0Crk
FtILPwkkD932cPbLB9nHNJJLl5lFoYXjBW8EM1mTBVpWvd8otqt8XMgXXU0AnN6610+SYyxvhDBJ
04pRF3stNaCK6wHG0l11Fs0Q8p5Vb0Qwh9hUoyRJKj7g7BXfkwMlJMAmu+7KX8Anig5w8kE09MTL
bd+IZOIXqWfdGSn25OzJHk7MbW8BhBahuHQWQf0K7YMJVnie6uWavl400kFGFrMcM+xJ/E3pPGAp
lJhuhrw6Esnmxek3ejIRLGtXpRhnuPrg5x83vwwsV/WAeR/EfhOMN6qfnpKjhNEy8LYKCQp5zbM3
0pmYhuGotQTVKcZcnuWX8Y7y1uACvG1y1Mtn9OzygNwpQf5IW5Wi+Shefe2NcCbK6WPW6gutd5XE
3cL4+ZW92wVxeO3G7nwPqjfB3SvwFDahAPHRspRmj66c4mK+wK1GYZpGPfpKqGEBJrB5rpSEpmmN
4yphE+a+AZjbsw4wuO4xDURPCk4Ux2YDCP+wFY7rnk3zJXVScnPAJ6TDeuWpiOZQD8lJBFLP6ypb
KoUPVVHgxoAQ4412mXQSmTH/Ud3gWRbFxyYoPw6RmPCRe0Q7QYwr2hpAZ8teL7yi1cJMIh+2TDte
j5f8aLaTwbhcXmCcYcJIOV5/caT9pNkQ+SzdjrgM8HgOkntRj1qkFONlZV0uWUqnZzbA9g5z6Sq/
r6vESU3eHA/jSQWGWzChA6tbgDkoHzbjVEu3YPq5LoV7m12+G8sSgzlis00oyGu+PeQDMDdOpghi
hns2gEGHMWP8HhOajKEljaUA6BqaAMTmtPlNmD3S7h0IaFb3FU1RGBSEIhmTk2KQZkro8NLZhYBC
p0heC65sDbPe8pnyZ0iCSUqeOex1ZOxvWbVp2LYSPcmtCJWs8rbp+38/qb0ExuAWR67lOMeFlsXB
kn3NrMNafLwughu99zIYmxtsta0rWqvRI0rTYp0pFNsYxvd0KAz/V/Cg4BUbKED+35bBlnbVaXNi
jGvBxvHw7T1ybwFlpjiA9y/4aUTkKUETqLddqxGkV7wK9hvBTPZom6s9SnTASn/UT/R5aPtKFN9T
eeLBSJE1WvSC2ZWmtmSuhyrGZ+2x1nC/+U5YhYAFwMJxqfo0UxVnATy/3n9ZJoFcqnEtTQsi0wzz
izdy9bVuP1+3lveIQRrlDbqcHvWJnVqNkU15S9s0houH06n54hwbH0hIvoJJIaA9BjralvqvwZVD
1a8BtPOceHVYeaILU/h92QAzJku3oXWJ97dOXKSVGC+sDka0AZ+zxqzrKMQP5Kaye92ZAKNm+pLn
K76vfMoOzQcQsKG909+YYXrSBEV7biq7l8XElsFIVzvZoF4fLH73UATTQcbzji6vL579hYZQY3bt
IA5EhQ2haCbogGKxyZoVGbv+2NzEUeXnYY9SUeop5zLSXdM1Tt0dKTGkKmyOUAtls6691kwsstbK
6giBaHLj3C832Ul/AKwF6NLMsPwAZnHBRci7bnfiWJi+Vk6qHgSgeJ6Xv4tJd1NQzne3ei9wmn8x
HDpSgPo+kBQZx1zXypTHCYc5e/opOSgH8wGH6OZndIOD6w76L6d3kcU4aIVZzGq0IGsJy+8rCnwk
dMIa3TO88n62x9Jvbv83MDF6Nu/P7iKYcUhlmXqr1iFYaSZvbW4sDEVukYJXwfxlnM86EYAS8qPd
RR7rjWVPZrCXwxvbZ0U7LNojESHmikQwTmjVG5mQvxZeo+YhSEKioVNCR4TT857W6DWmXjRhHE7X
02yTaE8mP2ZPxZP5rJ6qj4Dn9bsfy6OJN5Scut8xCIKGUB3aIA4UUWeLjo5xO0ezsfDXI69VsXg/
0pnwox6qoJe+bpsCMTqzEqJbBdAM6EirHk0YPe8Qrc1wPYjW4ejnumKIbJXISWazW6iYSv/doL+l
+82GxSR0WS0jXG1Rv5D3UgST3t/OrTMX/bQ46gooQjg3GtWpV2BKbXEnZLrd3SA8qX+59i7SmFBS
KNuQdjRbo2XnCYhXw318nLDYVd3lB+w/+6KYLPABlieedCqRtxhfc9xuq+FcKZEhmk4TxUe2/5TY
bSfZNpKK6kYLjZsswEBQWN1tt5K4UsJP2i8fkAkbdpMYMgBv6JQVcKFoyRTLVg/aXQ+WLWQsuGVE
1Yp/ybAvIpkwAmCQZiU0/Oso0Uo/KadX+oOCVKs+QIPE5RFuLQrzixhDQX8SjUom083yhZQVrSbQ
2ZDNP/YuSKJpRSj7ZgUakLCCxNtu1fD7SXwBvbcXBaVodGBMQwfiALsJqJdbnEs1vVMz6ZuiK190
I3uMZSe6Hks446Fv5TD3XB3reIhvWCCWT1RH+ba53w4pWoajL9euEpBveSQdRWcp0o7+/S79nZ2x
s7TCyvFALw99kXlz1Z1sgAQKtHsfVN5qx1jpulng7zOTv0bWylMeNuftDns6HqW1a0VavQ/MmOkB
SRodOlRURWXiv2LU1VKsr6O2FHhlOmgYsukiUfWJ9/F2YlgaonTZeqdvWgDjtZI/yHGQDPaN1Hbn
6x+PKwZ7gbQZogNnmQmR1TJr3TDD+vtYfzSc4ndXgC/WrkQpOvWit/cMvtpODmOBQ7HNNSpbmPG6
ochSyyG5oTM8hQ9geIE98FSi/RcQncugyXz3ZjY30oHADBDp2mmSP07pKdMFDkWDEKvNXgQTM1RF
WlLD6BEXld+a0R/R7jkAfuhG0wF63FZf/vsZ7aUxl6bqTFMNZCygqzVpONoOhqxVl4yiaVNO10qR
LRl7FQDaNAAFxoReLGOWwxwDBcK4B7plqgLWVvH7b7lPSTnRGn6ZQ9sFqa8n35M7rLYAOMq9rik3
UO1/ApPdac3qOHqSoq0DlE2vO9anNJxQa6k86s+J10VKkJ4mbKyKnjecxPKt9oxfY+Y7n3sTy+16
BFgKb17c7WB5AEm+tQLTHYHZiQJPXLqW3wc0iJpBE/331tmb38A6vVnGjd2bdeHFU+li491cH9ZV
4PHvM763MhjbzVvbHscGIxQdiaNV/+yoP4oFDOzF5yY7DoYAxen9qxHSwEWrUYgW/d0OZTpVVdNb
fYldD+nGXD4poxFkKipnIhR5nkvuBTGXgK7WQwmgNRjKVAVdavlFk3hGZmHH/TlRBSHmfV4ErYCw
qMFLTBPoFW9vtiElxIkpvohifWrLp63yBX7Ai2EYHtVoPoJJI3a/amjAqrIqAIyfvRYVvg1gHFmQ
RWXmNt+r5yrz6IZy4oswtzjZFxTbyWX8LyN641gSHnF0+nu6b+5BKlS6TdAfy5/Abgtj0S4Q1z52
AhmvwwT69FfTP6viG/TlZLc0S99aEuKmiTYHgu9KD4YN3Dv9TOZVlVpOn9R9QQfqyUfdA2TQ2f44
/RVaHuezqOsiOEZ2TbqzMzXvUjv3YvDwgBfMTTR039P2z8wFYBJYIMbMNouzt1pLoRY1VuTj2+km
jd3uAZsCAFIZQyOS/eZ7Qru4wqoiL+8CWsE/UhmXWxNLaVssHnnaPb0pslN262AIDam6Kx+cj9eP
jv8pL8KYy6kBnBP2cRG2tuTGqU5l/LEWLZVwI+NOH8b4B5TxcjPRSm+VT3Obger9vtCwN5q5cbtE
2boJoohIHmP7dT0apKlgHTZ4vJUKACdb8jVWG1fZyOBia+0w94I8jBslHQCr4NWB1Wn2weHkS9Y0
I0WFi7+lDsYG5SM2Ht01LT2cZfTfjwxL6xRoE7TJAIx5GyWLrbZAGoYjG63zpoDQ44MpAgDjDOkp
mJa+yGByo3pU+swA0+PrxETrKj6mem4N+bWTryD9l0v3UReOhvCMcS+Vif85MYG0m1JICpQV6D5B
hoyWoOA8uBqK6u2vFCuNotyI5257ofRS2j+neq0AdjLuBMTG1avvNKzKbE/TixrSnoyoMPQvXxbw
khqeOUBgYKxTakZkuDZOr39Z/OyACUg16CNA2gOB2m2I65xKf/0cCyI07z7AbujfUtkMKNZBntKu
UHIhNyPqas5TrNxNiuhb8g/wIoYxTbmkLd0UoYsOf+ioQ1XmbQU4dOOu9ZcAkKwN+Acj0cuE01Wj
1noRy1grcjvgoJrY8R18GjGJn/qTq96Dti8gUX247n70gNi7DlhuAJOwMYuG6eu39kL6YWizhB5g
ujzmRvMVwMUv3aL7qoFdTa1De3lCkxl/Xpf7L1peBDNxNJdkucEUZo23XnMssa/ZBDZW0QdsbBDv
Dzow9JtepDF2WhlaZSU9OpVtsL7OTCVPVkiRy8CTLiOWwh/pKn6Bp8vD9uu6qrwIfpENPI23nzjF
ZI0CRqzKm+upccss+9nl5EHphq8bGOlAOepPuggriP95FaBv0eV7sCJQ297FgY7oajxUr0Nik48h
V7f/ZB8Bqh1hCjtFl+u6ilyH3EljLvm4NIpyUGIUcdTZa6zYXVtXo6vpm6BFwQ84O0mMvcYxALjK
GXpNX+xIuSH3yafJ8QdAKbx2gD+kp0Vya8FriBsIdkIZW42NqQUxFOofepEdrHj8AVyRaCGraDKZ
BpR3zggAGyD2ArDhXVcr35RiKCfcGH1QAGPIMxd3PWl0Vio07rKb1Zde7PvqDppG6VN+SE//ff4C
brL7AcztsSmbjjoPfgCC0K00Ksehn//kvt+JYAwzt5wO5FPojGRrfdsTm7jK8l2fEsEkCaes/1YV
xiRNsB8bA8UWaV/mQA4MRBh5duNwwj6VSycz9VxYl6bGd+38GOMsJqKNPZ2mrYrJrWyQGCalJ61R
XxM8nUWvInoY16QxVqk1JgEuF1gxCuNctYemfrnu1KJ/n4mZ4xC3caHiHrLq2zX7rTXCZIX30NqZ
G9u+2rKmdTQQW3m1BZIHcBWerW+ahTlH5dQf9fM4uH/0dt2LZO70tOyWBENUaOb+nAM1UM4ScpXt
JIc0fIibI/zIAVQmcAHYQFJixJGKgITXgEWQevJa51c7nkYRZKpIBpMvZHpN8oaubDmr+TDIeF/l
9a/CWZ+umwP32W8DRuZvXZh8Ntl61ZJqkz7716DF7GblgsEV3QHFg2lkfpyg7HVdpkg1Jh45au6s
yms2O5cUuC/MkzHMB1nwxuKrhjKNrlnQUGNXcXuUpZy1gWodVkIGmurlkjdgfUc7tb8yxa3E+7hc
1S4i2QK0VaqZtHUoYpbuWSIeTPFA0+btZN7/VT+VjqKvyb2ldyIZY7QLzUi7GMOPbf0Q1y/qdKg7
zdOm4/VD4+Y7KpC30P3FfzUmClZTIetbjSs6a2JXT4sHm3ReLSWT65gNRovXDEjFzdf/m1AmGALK
F+DWNPQ6yssMfOdJb22/ksYfxWq2Xjf1d46cz4Ikln+GF02ZCNnkqZLMBjyvNZYncyb3w2h9TDRF
cGVyA/Hlg7JhMtPGHJVLXJkNSI9WOz4CMfP61/sXB/hHE7bD38ykJuWE/JgOYvWGn2bYPzHdFfm4
rXhAxapuRbV0wcdju/y2Pg7yoCH4N8pzmx6VOkjIp+tqCSyR7VuNqlJIaIPn3rR+UFEWNaaHpTV9
tfuaJV8nIb4O9zrbnRMTrdplkfKxkHLAp942k6t7ipug8b7kJ7J5epgHmS+kQxF9Rfr3uzwffGB2
lcR0j6Y6O8Vj3B1XEUwbN6sBDrJCcW+xZM+IaKpi0eWRml+rB1uWAG7zi+Q8dNshLpPD9RPj9nbA
F/qPMCZtm5TCTNCWQ6r9iDc3gMqqwSU/0pfX/ZaD9Wt9tD1ZuH/M/4oXqUzIIlpT6FUHFc2UPEgE
gLd6M/rZLMpK+QZ5kcNEKb1w5kQFFr2XxHIROsBi8jdl7v3BapyzUk+/td5Iornpfl//rPzIf5HL
BKrCjC3JIXiCFnN5NCqwnCit67SDmzaJ4MrmB6t/RLHL/ttMpqxXICpTBhJkwwRy92wVNXK4UoAs
hwVuULuj4PvW7O1BktDqpvgIpuwu5AXTZNe/GNcidgIYO+xINTR6SVvRhXy2V2x1FfOP0Y4FTz5+
4N3JYSxvXoeqz0zcycZ9/6w/p3Tf3ncwXgIaQ+wsV9/GJriuGdcWdhIZG9S6Rl+6YkCbsikCAw/1
yuzPpYwdfycWXFxccwelBHBgLLxp2VulLu1aix2AfynozVZS7xap4qbzGMVzKru1NYSVmQvsj39w
F5lMNqwNtQNWHaRy4NOo3G5LfUdKNc9oa0Ga8y9Hd5HE5MP1lGdGQUPv7L2WWF7h1EwM12IVG9hS
orc5Z6YLL9rd16Q+sQv1+mjZCanQeZjLgL6WUl/NXQJUqbAMR1D+CZJivos5mPdAVxbDLEzMAIiA
pWUZugCq/XmLIycT8SLwDfEfAWykWJe8i5MJkz/FnEepNrnxGpDR9LdM0M8QaPL6YXcfzkpIjY0M
WjMavvTb4o6aoColEsDYnKSprbQ5Zg565sIcvEFeVTwwc0Ughm/alw/GGNwwtoNOLJxIEgd5dVvG
t5nQqPkue5HBGFkurxkmSlFaH/z1Jf0K8tbk0EfDAeV84PivYMbCIFhQRY2PzXxBuKAW9a6gAbzv
/29xr7W/3Tl1s5IOioExgFkPjeGcyaafteEqh8p6IvrkTvYfBQsAxIFKDoD+78gl6nbsY2NENaDG
68AdtOYuc4AlPtuDqBzFLe3tJDH3SRm30hw3Y+Ul3Zz8ajfyksaWdShXgodm2RbPaWbWvmTL99o6
ZZ/afsHYazwZguDPtVQToQ9zFgB3ZhH++ymP5UlFDDGdh5lYQZqJCJL4YWongrGgWs8VPSV4idFh
DuAW3llVkrogRNQ9eZKsE5ge6wNGCOrAtAFH24EPKkkMInjRcH1l9yvo3+9syUo2AJbWeJqB7fHc
N+v3Tm4+DoUIkJXrLjsxzLFKlrPYrYJHTCVZABXGmwlgJ1OXen2WfjUR15JED6/f31zN8Kp+hUSj
jChvNdvA+1M6dE1nBdxaPOiulReI0aLqokgM8wFXshR5Mw6tl+nkrHWtB5SbT6omnDrlPpp26jBf
cItlCTQAtEJ2U9ypSPiTqL2h3RjQDnoH0WY1RytAbwCXB5QaCvqkTLqFbX0j1yaMdigy0J+nU65O
rjkJxpk4GyMQspPCpFjq1ut2PmIWrw9m+ZYOgMY++ZE/A2MVdbKg7nwKe9Wg3ihqdHHsEaCMIDcF
yKumYfL0rXEAFSZeSQHJkxQaoPnTMIG3le46eyupT1sh0pRzem/kMTefPGVG37ZF4WnKjQ6o3GOJ
Hrf+y0HkTqLYpeCToioWrwX0RiZzDVqFbme6lYFXsAzG1dVC7FOhQ2p9Kmq3OBY3cmh44kEWahnM
5YQRLqBkYHLGwh9MOgTQZUJIAvbaJYm9RDupxaNMCr+3xkdnFWxAcC7CvSx2ndhSm6RASCy8mcyh
TDBwd563QFmPavcYq79MIS+9SCBjNkOa22ZWlBDo2Y8ZcfXZT5GPRXQ9zgqGF+tT/r0Blm79IGHA
XXTvUxd//2kp/SdYiYFWzoQatW/nTaXsROhnHJfxZY4PsQKWpd6/Hjl5GTu+60UQE2sKwO4QSUVy
s3pj0D7RuWwwSmO5HTOjMBn7j7zDdFQ8fjC2/46rVlsbvTBieGP8Kbt7nQM/O17vN89A+6TLfiL9
uB9yJ4+JO/o6qFneQZ78aEb2ixL+NRCY3UyB5pGgOFKmiD86vZ1QxjHK3NJjh8B2RpCTV1sckMnw
2xklr8Hpf18/QXq3vbOUiyy2Eqo1KQoKKUaqq6YYXdveFLcfC4H3ce+InRDGGeZ8aYyaLv3qkyZ5
MvhkSiNP3GRUj9e14QqyTPQWKErFO4rhLDFzK55xXGUXptlXuwf17JfrInhtUNxEFxlMtqBkijMq
BACq9QboXCAg+0D3ybC6OAUyrtnEG4TzydxD2olk3DmfptZuSrizLelnUyp/OJ0cCtTiBqydDMaT
5V7NE3OBWt3PtXOLpy1zOwwUBhivwjDA7Lh16udP2cfYNeDayR+w9NAL/vJZmTwiJZkM0qEFPY4W
LMF6FiVDsE0HgZYiA2H8OTE6achTZCtjveVgSSHPsVEDyw/URx9ysqbnsTCce9tZj3IvqXe5Xp03
rSbfyqEtA71vs0c7t7VDtSyiZiA30uz0Z5zejIvGAn4Zys5Su57itf7cOPIWyEmZu1JRNh+ufwmB
OHatWBqMCjUmpNkt8XPlQ631rgpUfk1kVtx05qIWS3kyOdJYZAo80qjuKW4oikfeFAcWNrXhKjRh
+6OE1AHvt+5owCJhJSqlXtj6BFKvevhe236PumyX/UlA28lgkrRk3pZtAAeJp6fSb6VcXlZ1+VAY
2vP1Q+JlSIASw16ISuEMWFXUUi7tmfKTKerNvOYeSNAqyyPO3VgP3nVRvBCzF8VoRMqtXPXBwMKA
hTy+SAC5FUtacF0IVx/MxeGlDKDQd9jT+dDHUpsM6MqivmzdFGWwgenSOlbrp+uCeNZNGQX/FsRo
046GWm5Dia5AMUdrmQXNhC1GqU98uc0EOQnvy2mAKQJLAoBkZHber8jNTRuShKDTsTxWdvFYtoLP
xgtaGvav0f8F8hJeqW+fIGSwTdNahxpDg+VN3gB106wftUV0BfDE6ODL1rGUSVl9mFu6zGbDqCyr
BQgzRpVIdVLJ4JVT+gfa7MUwZyNVRWKB/Qva1D+d+GvTFe4yC/IAGsbZrGYvg/li5qjbDdmgSi5j
Y2g+Vc4hQRlhGVLXrL7iBhB4j+jTMTlBnKS2mWty61XKS2VubiMFq4g0nftK2ytFf8SuACNLdpwX
m4OXaOvHGB7HOFu7AIE2w8BI7GrA4rqr/SYyBLVebo6vA4weFFm2br4j6ex7IqupKqG9cStHeqSF
lCXNvmkddwgoO0EnGgLgplgI3CAGtcCEAJ6jt5p2pAa0iI4lTDmqbNCy0dc+wKywmIURGewFo14r
vDb4au6E0piy+7wbQJRb8NMWXvVl8AsTzWbiTwdyLjvQwZFA8iXB3ciLhnstmYyHlNIG5nM4AvZR
j5L8ZAyJq0rfHPKzryb3ekAUasckPsBKWaVmVvEePRXfJ5Ro0Fuh2FO4iOuPFPBP9HQSacfkM2RZ
5EFSqNWgJOmAa4h8L6bIzD/qqf9/040dXl9To7NLyyDenJ+qI614VZ8lBxhGruKhcPG/GAsNUu8C
zMVYXtmOd8ZimbPdDMA0BWIX+bj4FfCoqx+WJ4dVoGKHRBAyebn5zlI0JmRiI6232n6mPArJQTtI
wQxGN3HVgBvFdkoxUdNx0sSIU7CLVYvcPKqb0/nqPBpRu9gfrx8Z735GbQLPNA3krqisvfW1Nd/q
LC1VDELqW4judlTGgEgcK6BvlrWIg5c3AaEYmP7HixAwb+8BBXVT2ixqin2ghCOwiopD+UifbctT
C9wezdsKdz0sX6/ryMsLAGBH2dLo+AV7nWZWDAogGWC0c3bc5KdJFTS6eQ6G8SLER7BBAJaf+YZz
UqP6Is2lJ3c3KQgv+sZN7Ig0mNuWRB7GM/e9LCY21sayJsS0sf8YxbdGSNtX2Q2lyaQTnqIxJq5x
7BRj4iKOMi+60aFEmQ9Tv7i6Xd0V6oNtDY/XT4hn73utmJjYO1gN3BqckJxYuWuMaP72qE/opBCk
I6KjYmJhLU2F0uo4KqMA+PAQGCABzvJvi/Jpnr5c10kgio2FfTEPplHjpFbJjrruyZYlzAgUYReP
gTGJOtq8pQjwrPxjhGwcbGR76WaJGsbjCobmow5ofAcduSOlZkL9T5Bn8Vphb+QxkRCtDXMEM1kJ
Vy43zwizk+RVh+JYgaEsFC1FcaUhPGEtH2t02KdjLLEF+6DaOis4ZLZfNpY5i+xLvd2tiu1V672a
GS745fG4/NJIf/Ico0yxGhqpmorG4tsAOaYKGjiblHkpBn3sfHMn679vYGDFGToBsQEkEWz1fdJr
J0nLJPe6Vf8EFIqHVtEecrV9uW6PvKxVVRUAd4BaEQqxEytd3Uh1l+DxarjNjfNBBbZYH6F5c+46
rJjQCJJ/E92XnND7RiZjJX1bZFuuLblnzs7PTc4+dLoIfJcrAjSrFMIfmyXsDWYW+TwmU5aDytVC
3H0ZWkF/mycAq0YKqNZAtGaz60aapDmthCEiz+pbl5Dfzu/rB8MJfmCAMnSQUAKZ/d2aWmxNidkN
KfrWa7WEVrW0h0JPgdXUZ50g/PFE4fI1cdU74EpkTaBwDKtJHTRfJJAe5JU747N1m6Akw7k1QPx0
EcKcuT01urLSRZtKvUnI2VG+pnlgl4IAxDmVN1KYFKnKejluCKTkRL+XBwAsjrHga/FiKnob6KXS
ix3oQ8x2Wzkq6diOHRDd8BCp78ao9LD7sr6ODv8PLQ7O3a6hdqHaFjrftJPzNtS0DnjeO42+x2//
Ymuw/S0yIgo4Ir7bOdcT8J40GfgwIHGx2aSlzBoHHOZoN8il9bEgmBxetFCSgYFea18w2uD+dyOn
gIYIP2jvgzn9rW6ptZRkmGcUztPqQ54akythgh6tjqfrcnhmsZfDGJ85GqWcyZBjTuYRS4JPdaH4
10XwXnCv+G1/68Kck7npBpE1tNrQUYywf+ht59RvzotHh+NI6wrvWvoPMm8cUDbIBt7hWLUB3fzb
j9csEoCDaK0ceFme4fiK/qQvP5c2wdSJ7K72D1tKvWZ6KvP7RPHHTXBBcRwarEW4ACEbzG3skPSY
T2ZpKXSOkwDwBrWJJUjqQfXSDTzPGuDcBR+YJw/3FJ0+hDvY7HTePObFlM5r4bW95bVj5mXZcxkn
B2ILIrtA0Dv/3uaNpEQqvCEhH+Yl+2nY4y89M1Dc0JaDwGo4DocI8o9W7KReubVLNVRgnTdSd/Bl
T3KNG/KTjtGDQ9ME7n7nLt+UW3F3X6Ql4xKdStmG063wrKqKlnYK5hzgGPUHXfy+4xkqutAOXniK
BXQwxjO0CtW+ydYwmRR/MyMjJKHtr929knpUvf+JFYr+etY39iJpQNi9/ycHflGotBb3c8U8Hxbt
DvKH5ZV4u4mEeSj1tPfSLCCFYc5MU9k+ADEX056blHh5DXAo1TO95mN5V/lZYB6NIH0eM6AkmYf8
oLpVJEQkoPcNIx2FOFzcyHPgGiwef1fUS2OjA+UhnP82EyAsDK19J5lzkObrqetjv2/HqE3tTw1q
rAL75ZytoaD7oYCs0sFYOnO29ZAlHVidMftWhPRLz090e78AgCuWaRZ0xIUIcJyPjZxOBus4Lqr3
I9ZDVtbxKsNj9AiEW+csogRjnbCny/GPN2IY/1h0TCaOFqi9JPmmkr5q4D2UDvEcCr4f7/D22jDf
DwOPzmLqODzsA+f21yz/lW5HeY0UPRyNTwogmmaUHa8L5eR7b1RjnENVtxYZB6Zq5+4J+1WVKqN/
/PG6DE5ceyOD/oadA8alib0WFYlYPPmZfNJi3S/6aAEoe06iPxGlI74ApOb92PaC1q/etUCLRFXW
bhYEsdPaH9LthHVe7/8kir0aMtIsOaHcZ51cdm6raoVr1e391uDxXr0UpBeYB61wsK6NDFM1VeR+
76d15RZvw06DEU72aLnlpD1q8rGbPZLWIXAsgs1oBbcs99x2Eqlb7M7NtOuqnyf4s5p1nlWet+nn
RIJa09zEFHWCqZ1d047+lp2sIbUqvQTWDyApfMu4Xx3B5cp14Z0u9Ovu/n2wKdRjL2HWeSwjGxtO
1fhsYMUqdwT+JPpmTCImSfUizVjw9Gri9+mhl+7s+nYBtqd+/APzuyjEctZYfZF2AMBIPRuIFlp2
U0/+pB5m59STb9clCQyPpa5JBkktpIoanjoA2yKWHxagzHnJiGdVV3S3ndQ/ytumBtfF8jpL6GP9
Y/AGE3VRS22W1UZwn35u4fpMyThLQOSPPy2giVanJBThBgvOjn1dkVGyW2eDR2MJwF1ywy2Xz+N8
AJemh/glCB/cwLvTjgm8s9Nuc1rDuUbla7tFaZm6iWgUly8DwQI1CSwAs8lW3NYg8m7wBUebnK0B
GF191OmCyizfPC5CGEWSKlcSs8L4K3aPnc3PtRtTOVN1UmDTW/+9ckBBEv/RiLlKSE5qS0+oe4HU
aMATEaiM2XNdCpyLH40uYpjItwJQQJFnHI5d/1zk76AdEtg2PxxdBDDhrkry2O5S8ATOmBpWIx0s
TS34ZSys3Pd+DowTSjEpsu9/8aiLVDYIlo7t9CALfcVxNsIikO70BzqT2R87YJUmoYgEW2SATDRM
W6IpSQsDjI0vXRakeu02hSDi0n/j/c1ho+Vr090ZNuGOt2wxMQGBYazWcrE4chg7YJ+uvTdp1tfE
1j8r2H1uM9GKpEgsE52cxWnklO6MlzHWBCpLkd10JJ82pz/W4zB7hjyEtYmHoqq2U3jdfPif9aIy
kyiOep8CrAou19irqwznUs/cQTQ39S/WcpHCOHahbea6ZPA1pTFcBRtCiZq17liY/tyr0YoebiaZ
XgGkzRQ7LXLu+MjLXLyJfG3q/nsDDX5/+S2M38/GZgD5D79lKaoo21BUkTTXjvUDauZ+aQluvNfc
7ZpNMf6fdlJmyZTXHATGx/JUe4W3nXQwJYiGpEUnycQBQ6k0E0CmtMaWYS2oiwpNv42rReAj/Hh2
+XyM4xdrn9Z5g3BTFL2LlA6or4IKkEgRxtORnBrxWOLtoqfJsV7Mh06rfg+1qEjIj5v/KMLuBoCg
rQcCN5y9MBt3LaIq/zCBx0a0YM3VBlNvwFkGbqKsM9qULUbsLMqzqvbft/68ZJ+xtX7dhzkUi6Ad
NTD2plKYXFQ832akfbHF+lCggw9ik+pY3WRPmBECJGkBhrH+6xxqJzMcQTzXARNOhJzOzXR2shn7
HoHVZC10i6pxMCSEQeIKeJBSt0UrTHGz1T+JVztxjJVvFunjpUCsnKxP3bi82BgP6pLsh+CL0pD7
zmtN5DmYvELnme3ir1msayn9omAk8NVnOvqkRfkdhv9P80FUcuV+QtO2MKuA1Mp22HL1sKSYKsXn
UkEr0bRo3OZuJreYyA+bJfgTzWwDQ7IGBjAARPHWVrI6tf/aKlxCSqCUBcDg7sM11AL5jBqPLBiT
5HrZRRzbmC7rYiVlkqBsU72o4+hXtm9OvTuIzJC3KoZq0T96sS1pTHjn7YKpbqRBABQPoNdX81fc
uPLDz+yjdaKsVPltgopy4Sq/RN+UW27ZCWdu8FzOY0npsOlglL0/l8nH1dAfmsrBBZMZD1aff+mb
0gPBh5s6nTs3+q/FxsNbTY6DpftOa0T5aLqDvviSVASNsaGqkX9f0se++3+kXdly3DqS/ZWO+84e
gjsnpvuBS+2l3ZLtF4Ysy+ACbgDB7evn0L24RHHEvp6IvtHhkFQoAIlEIvPkOQCvGP2105p3GXFv
heXs7QgYIEd9cBPdT6CO3qki1G0exoXcki7aZLbuG47z3Ovmd+p0BxP3QZWRqyYxwa3bg05UV1of
sMVNAdJzMK3tEpZd0QpxYyeRcGu/mTHdjDn6ySvTb43kmJTWc9UkZ5XKGzKa18y1A7vVNyNLdo6o
vF5HxUo3PwmLhHbW+Qou9zSRu84Ey4hNznochQAabwwS35YFapvgmy9rFfFManhRVwZxNJwsS78e
DftoW+O9Xlqe4EYIdv8gLfLPg/tUoxHBrKw7ScR2RJe+bnx2LXWrV1CRjZUQNZ9dEoE5fkArQ022
hQD2TOoxKgiFB8WdG5DNnw2FbnQLbW0mhZZA41O4ZUKGKyo5ANCGp9Pu2iraDZ4Dn4HxCTW1AhyQ
5vaGjcOhlvJxxXCWTj4qvUhhE+TqrXm934ZoddbUsJuCu4EGfqwI4lv5a68cR7YT5cZKzmZ2y4tt
qm1SVGOUXQYaeYodS1b86lLB3rz8KrN7veOyUNTIKH33HlboZQf7rlY8p/AEeixNPwm6XfnNToKP
V2DpxadZEybcRR3yXWGQAHsuwcCPm6JOwyIJu+gxHr91he5H1jVLV9Z7KXbRbLQIIb87QTtm9yTX
CetBNYFjmpoPYrSOsfIbUo6YDdLlDrrCbcjmzsYwMlHqaH0AjGmbX03SG1NVdepSjUOgV1du/iXv
agDe5lowIaDNZtF7X6suL2MgBOvha55xr7IPkdKGslp5Ky9BYszLgaaVvch51bnpUs1Q4F1NdDNW
0HIf7+zbibt3vTT9/lBormbAkyMVD0KaeTSTN4Bxl5ab+33CH1NmP6rZSRM3ZR20xYrVv1+/t0NN
P7+YFgfpk5M4CM7r2LwtxvrExs9WlWwNdVgJmxe0Rd8ONQtc2KDILosS5jcbnYbspoIgFwte44Dc
KgxAbjCtAeIMPtLtxyds4WBjYOizqyingpdvHsqUrlv3lKP2nu6nd3p8X6cemqBsAcnx6rEHxtnd
a3ddt1Lu/Gl7b0Oot+PO7kTbkh0iq4r5+Q+a+M4BAFak3FCdc2+BWQevy1oYNZ2sjwacHYaxbDK3
nhANRV/saxZ95bQNKtNYIQ9ZOAtvJzY7C1oXd0Y0YkHt/ioqNiqUDOW16K90bGL+pa2eVffJzn5n
G3UUpqbcBCqezsx+YjUhSjwivgZaYvBV3/AB4pqKYijoToqN1B+a/6Bbe+mEoAA59WpD/NtxZ7so
EkFBsAuSo3i4qvRPQ6J6igaYzdPHVvreM0P1+2KY2d5Je1Rs5gDgV5N9IT+JNXHYBTDw2wFmm6aS
CNF+h8rteJ2eUFbBSZiCRDd0P4FO4IWE6i7y15r7pj2ZW+TlrGZ3AYd44ZhrWLwyf82rDQQqING4
0YGmRdT3GwsIcRRQrwBiY8yvtooUrC1GAThPCg1UoDJqUMF+PMT7NBWWECAe3JuahVad2R4ZOii2
kB5iIGnEU0V/UJNHi97n9eC7oxomLPWbtRrcovVdDDnbtSjvMjNvGPNN9+ASIOzLB1sGVf788cwW
9+limNk+xW2lO7lA35gFnpjIFqeOaaADicUXnUiPRuRP57nfruTs2lFTxRAZ4lo/nQTooj6sUEl3
K7GrjRbl9nGDmzH8eIqLXuty92b+w5DqIJ1+nOrb7AbgMsjlymAqfqyrCi454suhZqFko5bIrEdu
7Tdox8j6W6c5N1jHlQlNnufd4brYtNlDFpRyDWJqlOE0FOxN6OuB1+hAILE8AdjiP500fLNj8wpt
K6y04SoMcehN7kPVJkKOQ1W3mnG2zKNTrOryvg+M3w44ywnoyTCwIenRyhiDFE0vPeiGqL7mt9B2
zn2qAESLlyQxPW3jHLPN2llfjBqgujd1YQELZs5RYEndRcAHotJtjNqj0dMbhePlriZBj6x70eGt
lApw0iI9YlVBJb/G0vZB0n12AFulwISvbPbkW95ttouUPNLyLmhsZps9Gh2RSlFCKhKvewvCwXhh
jtQDza8P1320qDfkKwa26Ht+DTnfclR5nS4q0JktHT+JdyR+guux9JX88OJZuRhlts+cdUpuA6nl
j8p1SwmodFDXWCNUndzk+9VDJgvRg27ac0C7XhoiIawGfD7dpeNTmq0x0C3P4tcAsxPPCjex6hjk
7A2EH0DFzG3Vl2vyTst3OGRD/zWNmREArTQoSoy1shz4y3L8qrfVjtf2TeF04mlwhiqMNV1uMrPq
JxslgaNmqVer4oEObeG1o3lP8Cz02iZZ6zZauhxBeY0HiwFkuDq3Fp6LVKG5weBe+V5Ap7jbGKAT
/PMcIRoeyr+GmZmL3lNBQF48IUXK9KiOuYOGCPIcCyk91e5vPj52S0cAWFAkCgHcfY92l3VV1gaR
4JOJwC8mqZe71xUUYpuVyGJBFRaV74uBZheilio5F0PN0N/BQED02XhkASomHnhVr9LHbC9fJvlK
8E+AKT20ttZKknLp/r8cfnY3ll3XyzZG7jBObSjE9Mh6aeqVY/X3RMk2edftPl7XpeNiqDoAylOH
GABNOK8Xz061Z2WsJDgujmKi2hYKo/PlWmF46dBfDjKLnZAOdSVTMSmdQOECQH8P2mhrmK+FtOu0
c7+mMk31YiruIFttLOTkmKfrSaDuAEWoMTBtbN4IZKTmoXLTPYGk92Zc6xhem+LMbEZAvBPDLdAB
qiLXmHokX3nErg0wM4yUq31ct9go0WZhnm479GB/bAqLR2yCV04kglOnxNv1S1uhsX5E1xtzXoR9
47p+rOWeKP9/w8zdUykVVybJ1HnZH9vmqcElnoFCO7ZWFmyh0gt7QCYPIstQXwFd09v5dCoEsyMH
87HvVX8Ix30W4kH+zdxmN6lnHIfjWqSydJZM9JPqaGHAUXrX0JSCLVdLHZxdKJ2HJKe5Jyth+C2D
qtvHe7Uy1LxiSPqxjZMY9B95cUO1I3PupbWSaFsyuIvZzEtBiak4bjE5QvTyXZdu/DhSfWUWS5Hl
RD6O/lvw9rnabIc0rouG1yraYlGos+rXpv2U4r6srAB+PUEk9fGiLfnWy+GmGV84iKKDlaATCSyL
dXwXp0jiMbIlEdlq6PGvM3L/8XA/eTfmsQ5CHB2dLVCpwt6/Ha/huo4gJAWYxyzEtrWjb7mWVo9t
47AQzU9iQ0aibd2RcICk0PZJyvrWyrDKCGTtO6FVaIiSKg8NyktPqFUfxErae1kUg1JaSVKgj432
2FKj/5TqRufZbVyeaU+1TQL4yE2nRwTcJumPKgcbhN03gDEw9LxJFCk9MHydMqu80zMZeRBeB2+a
UbAvSm8NfjcioE4r0Dzhm5fJRpc68zQn+mGlgmzqoREA1fbtqeatc1u2doZeUrCtewkVzXfaxWlA
VXIL/rAKIgAgbK5EDeB9hgJLmWfEA4mizD29dvcAR2bgHbCruwJNMni+OJ+yzk1PRTrsFbQuP/ZN
BZbDrgUVTK7r3zVddC9akwGn0ehglezL9nOSCmPbxzS5pbWOOrMLEV2mJI8VcfEeG9NrxTBQfKsP
6EKDogltzmXHNT/vbGQble4ms50m5K3t7NCD9Kxz/jUndfNop9HZgqiRpzV2GWLO/UFVmY4VHNnj
x3ay5HdRKAeHHQrmRLdmZhlzU6msCGc5TUD+2e9JhcRkhyAqXeUpmCzuvUW6EEVx8Y56B+OPFbNV
gOfBbX82fqAiAOq6bkO//4xnVruoF32U/Wuwmfn3Ch8iUVeo/hfXFXtokMv481DAqb4xNagCagAt
89mlGDmicSliQ19Vr9XsnpRPlnb38e4sNMO9HWP2oCjbbFRSgjE6v4f6M/FQ3dsyr9yXgJbVK+HY
ki1cTmh2Bw+aylrgkoEpGG6SNkiz23q80u2Vq3FxZ6ADCm4qVLzeEQMoTRGDOx3JwMY96EjxOF8I
X4ljl26PqZIIvhYXRShr5trlMLQqEF0TvDbbmlr1LXXi38l+o1AJQPzE1ouM9Fv/mjQ8q8B8hDE+
g2MHQNrmW7VLr4pQSVdVi5auqsuxZsYMEVoUERK8P6J0B2wa/LJnOyctvinktQb/9LHRLZmBNfEt
GWj9xt04W714NGTXuujmG/srlgR6dORkm1rBx6Ms7tHFKDPHU8s8yrmOUSytPRi28mRKfcWel65c
C3lnPKjg3xCEvd0i4Wo9qYWKmDwHy6iSnurcgkiA9jok8d5UP388ocVNQiwBmT2AqfQ5pZzWl7oz
GPCkoty6rAa6H3ckBV3Z/Uhtz6FrsPjFBbwYbza7fEzRJitGRGEE0g5277E/D9nC2bkYYWZ21ih1
bA5CllKT0GlRToXVer3ofscSTNS8QU8C+Y15L3kbpZVdjBim0UNTAaOA+/3jnVnKSaAkgDbyqZ0S
NItv7SDX0FioT5Fe1Wyzfq/rwqvj703Lt0OhbCz9DhCnlTO0GP9fjjlZy0W4lxatKgwFu2MRdZ8S
cNbE6lWUJchWRsKnGvOBdPK07lUh7nbooQGb089pgXZEm3z5ePpLDvfyip9+fvFV9Bz9nrSEYdrq
I3N2dfs0rJFuLw+BWj8yeKCA02dDuFyAow2KCJjUU8xhih1eH7Xi/85Efo0yOa6LiQjZAl83TaTG
x+fK94xKT2F3Hw+yWCC43LnZLUjLXBWSwFoEqHKgLx42jafumxBc27uErExp8RBDDgMFaVUDGGPm
a3W9TJLG1RAsSuR5Eu2r1KF69/GMljYHtap/jzF9h4tl06DnKlqCXFk2aWGkFqhanX7ncGvlSlx0
gBfjzIygEWMSDQXmIosbo9+X8XeHBKZzcmhopyvY2EXXDoQgqDWBmFHN2ZFmGZQI3BRxUVObXpZ7
hTiJYZtVlVfQ33iKWhdDzU5yQRHDxC2Wr1T3SfSYik8fb89ijGcBo4WrdhK3m6uja4U7NmqNaKUR
taeN8U2OF6IhhmAEFD0qQdo3FGUgpbNDbjBwQFvidY274iT+j2+BnAUCMwRl85iJuYwmHIIVMPsu
LKlHPJTI9uaWhC0eV8Eqdc50Pc1fAzZ8xaQJr6G5abaDbVcarZ5j1nDBxV4PGLpbgtyEoDAbwce2
hotcOgR432iTKjxaBOYeCp30Ao1PCNdScH6YuRsofR3CmDcrmzkd2HfTuhhn5qNaRTVrBKb/WEZo
bYO6L21+pgDLG20XhWLtdC/eNKCttCbFdHXK3r493hQ69KyzcKEMt+3nBitZ+xE6hPHMNm+1TbOl
Qb1y+JbX8teIszl2Vt440HRBK4+THnK9OOPNEJbGmrDvkm9EeV2dlMTRhmLPwg+ZWqUpR878iImj
Wug73WxX3O+SG7kcYuZ+cRejkjK9RUxrrwzEc8U9M49K9qI64je8sI0IB5sPPglgkN5uUz/gzcOl
YL5sFbS20oPpomVStR9+xwAvxpmZQw7hxUqXKMAUn6dGqGKTwhjAEXXqw/I/EE9Y3qRf05rZQmpS
EeUlwniGDIvauh5UkD+e0aK16bBsKN6a9rsW+BEdpowVNhxFlO2ptDdSxhtt4NuPh1nEacH9wkFA
ygMQnJlDGrq+UIoo5n53K0Oco112rnZGoJzHMN+w7Zr61uLCXQw3u1aScWgSu4ccUqO/tpHvrJEn
r33+LIyRalo0JIMjcnjzIhO+MYx67c6YNveds/s1h5/lrIvIoohb2DTB1hj2PZL2vAIieUucV2qi
yfMpKrZM27UyaEeOlMKtyWsvifYRX3FHi98C5jHJSYKnwZn5CSt17MrOMdN+knkCssOyD7n2qq41
ykwr9m62F+PMnMUAzRoObZlJFvlGs0OFQ3flRuN2MI6FRw0NstYrpr+4hxcjTj+/WF+iKLZdVQh4
SXcv48duzeYXVw6MVBN1swamtwnOf/H5oqpMrQS3/oSls+hrixdrlgQcaPffOVsmkM2QxUJO4Wfj
zsVASqUqJghman/YSmg9A8y+MW4siAZM5D3d05rLWJ7Xv4eb22VFBrAI1Nip0nrivD6keLPWsvPH
NUDB8uVrGeCmnoi9EHS+XUGkv0li2gTX/eBP9H805EfDCIYCysvJQ7zLN0gQrekhL95av4rf8xtf
hRaVKnpsW22rtyj6bDpjuHKE7lccGH9U6D7evcWq9EWxXZ2W+2L3ykwanDC4KvWWIiPkuegYuGtv
aKhMLXxB/NxDlDY7OcRT0T6zzqWzeANczHfmmRltrSGO8ZYuHOUEMcaNGfV3NnNXrHRtmJlHRsXO
EqaC05aVNDQ6PSza9ID0+EogsGicF7OZOWZDk0bSOjCZSB2O2Vh50ih2o2B3SbNW7Vz0H86vB/Ns
4Yqi6LheY0a0AEX/VbvaRLXoEqdsPjhWHAvs2G8to3FsJiOBYAPwZhnan7VncNluzato75xAn4GL
Mx4nJJo3aW8BMvuxYS5tGPj7EM3//G+eqDTi0WL5MLlHoT23OkSwnOieK6+/MQoksIC3saGRNj9t
kcG0iqQGrE/L9m1MfZvFNzVbIzhbOtSOgQhRdQngq3O0v9q5cUENF3vlql81YwAmUnitbK5cijfD
0CnPH09ryTbw8geIzIHfAlr27dYpvdJX6vRQSSPrG/gX3UPJONl9PMjiDgGkbcA/glF//rS1K9CK
5w4m5db2deu00iPDs2auit4uTgZUwNCKQBYFAr5vJ1NSO2ojjvsFST0X2qwsz2sPj8BzL00eVoJk
Xi7q4igGl9+1JSRCh7bvN4yOxqMLFeonMaquZ43D2gWxdECciy82u8FpVccZBIXwJDOgVq8M3hhv
KPjcXHVXDKOXusdB+fzxmi8Gsi4xQR+P4i+6R2aJYcflEn2UI9AgfrEnm/Z6IvnQ7p3rSXwdbSpr
Dm1pky/Hm8VfneSO2jooG9mxRLm1OWgxKsbAeH88r8n9zsOvy2Fme9yDhqgaxynMs58N/R7qmxuj
PWvDjQGVa73Yfjza4s1+Odxs50pnHJVYK7mfN8Mui/UNS0oNmTP9DBC7q6Qvg5JjLfWTkmc7mpSH
JHICsBqbDn535bss+QaUMqFkpqPnQZ37hpyjPF4UeOLbTX8uq3xbKS92/zIkfFtGWpga2kPq5B4Y
Qm6c5ofO0KynWmCCAgk8rULbyA8Osr4rX2ra1nf7cfGlZr6/ZJra9JY6YdWiqaWG7JyAll6rhCqk
XAtfXwHhLWaoJnScqkE7GKXdmV3HUW8nUYr8Yud3oeKBuR/wQsDTt0U47NbahRaN+mKwmVFnnW5W
XYTZdcPZAMeGGZ1G/N/Hazgt0bslvBhkZtKSNA4VNjIcVHyryLe0+dGN3+kalmbRei5GmVlyq2nc
xVTg6Zvt2JqeY0SeFQXReJWlDx9PaMndTX6HqFA2REZ7FtsgLVGPKkvBfKJvLTdkxmNi+TzbI3fl
8fqmNJKVmG367u9W8NeA87Zq9OPVOVMwoBLR67wxNoKv1dmW/SnAwj9tzkWLIb7DRfjbxgyctHnF
Iflt7kZb8Ts6fC9j5tld8tkG3pqBswO1uB2k8nZmM2KBMelSfPt4bX9i097OFYJOYOYEhQKaHAHq
efs9uizJJLPQ5Jjuo6mLLJxQ33K/LoTwfhcB3CUOelswCAKeyaAuJhzVamMRbIOfOvLGkomBOpWV
oN+p39QmOUlGPZDOov9l7O5X5jhZ/HyOl0PPYvDMSqSj9hDFTPeAHYG/A8ySPExOva9sy2DYrVFl
vz/mmKoJQl7kDfCI02dTBZwura0kwprWe60IBnTogUN+5Zi/N9JpEKBcIaGK1NKcxFGwxOWuCv06
c9BeWVTdJEW2kgNZuK7ejjE/5H01SjJBHqb0PRoDAgfy07vER1+Ar3n5fbE1V876e7eCAw4CGYDn
CFZuTi6sRMLU+IjcqQpF5jpQ6b3JJTIJz60drljF5GznVnE51PTzC4Pkbgn+7BJWIQ+ARU8M6tC4
9uIa2hXNf8DSvHDTvJ3azC8j7WwOhCFqM7bWjyIYd+0uuh821M+D6rzWUrO4dcBEoXvZQf37HUW8
GluDyiiab42tYoDedOIsSXpUQ9Dd0mP72jYotuOXlTV9H05hjhejztbUjk3aRiSpfbbvDsnV1AjY
H53D9H7Tc88GPREE6hBfPQHPsnbqVqc8X+BMa0Xcw5V1flOikZqchJ98jYNJjyRJgnLzWwWntxOe
nRC0DDDdmMac+qTs45QWNzzHU0/5xt6vLO6SG7tc3MntXBisFiWRDsgpthTSKkgMuceJ76gE8hcZ
r3qzniJZvBwuR5xFY5nUuqqM6GSyzZ7dJxOFeZgFEIReOYxLHhNQDTzoUONBODa7hUa8mfJkaFGt
Nts74hJfuO7VaJA/XXXFboGxHJcBhEzfterUUdGaHQfnr6FctcPXof/TKLS3nz+7aHqn1FVlBBgx
lb5RHyv3yv0NLeu3Y8yWyh66ouAD3AgPqj2Yu30oP+yh94wuZe3Ez2s9MUvXzCSWiIK4BhG7OWvb
SJFMSqEp7Y/RNcg5feBX/Y/tenEEqGYgQwF1jnc0HWU8NmbJoGY5Roc8l54mX//8AOjMBz0uwg4L
mhlvz40gPXIjEMb2I1355Lj0aMWK9/EQS/YLtJ6NKx+y2878Mk6HctDFgF4JMUDwN4NvleneWcus
L12OQDPZpglxIvxvtvUkEyj0O0DskVTZoTS6ES1Dr7D5QyuGz02R/eMu/q+X/r/pa3nzj7tQ/P1/
8O+Xshp4QuNm9s+/X1evxX3DX1+b83P1P9Of/vtX3/7h38/JC8LP8kcz/603f4TP/+f4wXPz/OYf
YdEkzXArX/lw9yoka34OgG86/eZ/+sO/vP78lIehev3bHy+lLJrp0/BSLv7454/23//2h439+6/L
j//nz66ec/yZP76+xAkyX//4rH/9weuzaP72B3H+igQXysd4KwJbASzoH3/pXn/+RPsrlCQJKLWd
SWkCuJs//lKUkPv42x8m+SuyXg449wHkg3+bMvoC7IL4keH8FWpWwCuAYgxpFdOw//jXF3uzQ792
7C+FzG/KpGgEvg1CzDdhDaCjSPPhS9gOBLJ0/Hhm7Ra4j1QzdQpfKYh8Mk2FnkVByp1pg32tzV0U
vDUdvWZqthHCco/oqyOeqkkIYyhmFEzo45BEY4/kVtmTgxwr4hWJWZ5iiPPsITtrhbnVEN8QWu/r
Eohu2TdO4qmAFHvQvUFTLcIR06+jFFl8RG/3keoYZ9Caf5e5Wj2wcYxfR1OJ/NES1XXUo4TiVqb6
oIzJTSvHL2WcNde1TXMAcJwYjMZuk7LU01hebzvVaK4hnei1YmpYN5SvGVyTSnVzX1tmvZcVwHBa
FDWHTrGTLUSNzqLmMfpsB0DlTXCsHAD8YaHRCvlZjVwa6KxE/6/tbKA9gygwTfQA6Gj9TtGQjCWK
raMzSck3TZvkQVQod21M8C5shyHsHfbFpc53RaHttoGS11OfW2ChcZXiGMc8DrOI3lmG8hqNAyrY
jfvSRS0kJdyoCFUB3studFHl6BwZNKW+05rWOclcOWkVrSCchSZKaurNGYIRVhhb4kdtuSUynUN1
pAUY4MbeSv0EfjOI7ZztYoMfa2vsNsThX1WF0YNou7ORoi2szuV1qbnU49FoBXptW73XD0TxtFq+
KKoivd7oX4tWr8M8V6VXDrAIAt2a4zD1XI4dJCkEEAibhPdFQPok+9Hjtn7WRwYhLOEMj4aTKzuR
K692CY1bpamZF6c0exLQw7mK8GWiDR069SDwrgblUzHegLPV9IQreRtwWpI9eEGNAHUF+7U1C8wz
60298NShw8Zz5gR1NaDjMzdGUGYhN2+0UXw1yoQcCcfbmFs6Bw1EyvaUAs2k1noRFAYcJC1UqIen
eRxaeT16ud2a+wJXWOfpUUcOvQmaikx+H/BJEIOXmHyV96oRtmbWaoHiWl0WNKMxfFK0atK6G636
Cvx4wFhYHRQKNBWMorWbtx7h4+jFitQ/Z2h/3emNbO+MoR+Y1wIl+XmIq/5gKYT4NlfGl9Z2IY9H
9SG54tAK2UvgBKg3ttS8UiNQeDUSlZyEyq+piOSJtFbzxDqXE4+pIEmHhNFG4ZU8UbB+7wYON+UV
oLYL1F7PdwVLr/qa62gD0XWf1iJHK0vTb+JykCer1H+QjtDbvumrjUiQbdSLFvBy6AV6wux5i5YN
A/TvSpwoWwtkcl/Bnq4qV8DSwiM4UWJrnsiyAucuigmAZVoLCjWm916u2unBSrEfEP526syTthE/
OEpvf7FhsOhpBxxup1Vp/NjranU0eMMPES8iSMiWTTOgk1EhnVf1xGk8s2A8D0y9tZg3GBkGRQMa
EMmtG6EjvkHIcGMz4u5rtSvvO0WIxwL6As9Nr4kz4/hdX6aRGfkGJHFAvF1HwaCUeCt3kWtLP9ep
si/1YXzQWqn4btt1qIXUg9eNjnEgrUxgqc34TcSVc5+i6Vov6HfVEq4FzrSckhPnljzYRZJfyyQf
r91R5PsSvTu3ccm/ObK3blOncc61kFzzHE1GG8upyhubcDyBerWMn0RsNYUXRxFkc62sSM9GZxHm
MTRGHaQG9gWvGdHZ4/Vu3AV9pEVeOwi+pY72SdMA3ivh875ILSu/FVbf+APpDGC0SpkE+JqnLHLI
vWwibaPG5pbqDTl3qTGGaW+oj81gV0Frxs65dKvmUCRAp1SJSU8Z6Vy/UmzzOUGosOk5VUOejlWO
9n+SwCBdptxIdD55ZhMx5G8kcn4AhCReAemAfRzB+4xazV/oRJZXUh7w0bwBkNwISNulgWzhHCjo
/AIOYsnAKmrt2aocyoLErI3XTKlcy8vTjoL4QTF2dapdgamnDwtBdei1cexkLIDWwbny+j7Kz4ZW
dNfotrQgB5k2x9SMzNpX9L4KhhHfEkhzdzP2Tfpp1JQmaI0R9DqxvOOgnvSaAe1pDnJsVqcYcBZo
MUN/GBbyR1O6edijq6rTGnZiON87i2fZBo4fNHJ2ZxxrJbY/mTGLE0+KIT1F/EnnmQLqlCLdWGYE
+UgjkX5Wt8112RbWcwE615107G9ZlpobGqOwaUU2r8ORCh6Amad7tdSi8MZGA8Oe7bBy26WyhFux
GhaMQD94ecweagIuqxHOteraUEl6tk1b5QwFwmPf5z8qzh84GDdDnSTlLWRi2pDxongpaNQFrp4n
gWKM2XYwCorOojzEbebouPnU4lEk6ANTHPOJD02Tekw21lPHrCRggm4jTat2hQXDbDX+bLddFJLS
vGKZ7I5py/oTGRpQyYLhaMurwXkuuxYGVald4jeq9TxAXdmrTSb90nCYp2tjjyuaa+hDUyJ2C2gH
lA5B265nfj6Y7jFnfX7nJBp5NEZbXhOFFMK3O5bvG5rQfdzS/Ai2NvU6dyE75cBzBaUdqdvR1sUm
0vP4oR3r0KwL+I8SZMiOFcW3usbL3RBVzZ6bDg/yTmuf3MJVtn3U09BUu4Mw9Agsq+1WL4v+Lk9c
csjyvD9bmaG/9CbJ6DYmaRRCNCD3OI+jAHe1fq8iRPAAI7B3FMj8M1SdQCkJFmTwNJhZODq0PMQJ
+pqNFtSCNWKKEBp64kdaud399OA9G1KiiaPoNR72qArvyviu6rjx1Bl299hWpRaUBAtU6+iz9Eqt
jHaDg37ACqSY36lZN2HNEvUMqrV2Un1Xsh3Ls/QE/hvjum2QNKPVhP2NmmKfdw0YkhTT7bykjd0j
6yJIkdu82TAVcUmbNjRgVDp7VYIyus11J2QK6HQNoxdhYw6BzuPPekziXVTm0Ajh1bWSiGynOyCP
pINUPCo7PSgoO7fCERCaLkvzkMu03+SRpYddafLB5+5ghm3P2jsp8+w6MtNq28BNfxrbJt8mbt49
G0n3WbGSTwnR7UfHrNIw72qwSNc4tujIGQNwBmkecAPj1IMDdFjy2Lcs3hCEUGEkLQuUSc+qTh0f
lE3xtYUrybcqnqK60+RXmZSVpwkOEK10XlDJNTZp2SAGs0f7XpYK26duVuIKUo3sa8ry8ghAan0j
azXdqDbbZJ0gp4jx7o5mwx2eswXiYXMEAzEf/bgymoAlptwPdQEaGcq+OHmtnPpSscBt7lheZrMy
aIb4EQmKcYcXce2VcXzrRsIrG8g4scFAjOjkJ2VoYiguIQDKgP3dwKOBX9Rk5n5wULrv6AhHnowP
Ee35hrKrxrKrkGTZ1w47Hqi2Gh0yq+u3CuwuNRJl45qZe5AKra67LIVSVYZjBRMwN1JNtBB7+8Np
XfWOJkW+6UFlhGesSM6iJ9mNlanywaJTGJwn7JPIhHkoOHNPqsz7oBtVuVeQhX7IR83dFkYqD4pI
q7DSqijUtYRtVPThb8bK2RTm4MJN5rgVs6bcuVpXA29kFK+ubQ+eCsqNHTrgQENjU+b1EbaexW7q
g560wf2iag+DlZOwI/xTXLf/S9239tapq+v+oe0t7oavwLjlnrRpmnxBadPa2BgwGGP71+9nnLWl
s9aSjrb2xyNNTU21mWnKAPy+z/VzYNq32+RZi5yd9cYIUz0mqT3Ibbm11YrRXUbiIOBHuoP1GnI0
GI5/TL3dbwGM8rfIL4ciLu1NUeHlswRamJqyeDusZsMJMBf9D4mtpqY9676hwr1riqHH9EH7rZYV
3mops9D0lDPiVIeV1wuuTotzvT+VRNsvw4ry4Fk3PKQYdI+EzL+KrpyQzVoiFZhROz8ZNdm3BcVl
aNSKKQr7ugzS2lgj5E5c3/BS1/HE8ZcZ8qWOpk4eirBAqzpN+odyhW0kG7IbIUl1U8hye/Qcd1gs
3CmepuSQiKJ6WAocBlWBKYJE6gRNVzhR5cdfMtsQNoafZ32MJwj0Mfv5BvdxiclfrDfRovMjLB7m
2durjk8KgFqc8FteUAZ1aZmd1oJi8MWFv0ciwHDoSBQfkIo+PGyit3VPcLrLUPKLj0zS5jy2zb5T
+TtJlKtJr2bYxO3bGJCZkFub31mneYP6b+R0JXhFrZisDpXX2yEifj+zHQFicE02smfyvuh99r5V
yG+eKqK+K1h4vg0zfwrg15sp7YpLX60Yr3p8znXUL/kFHfR4ToNcMK+b+Im7Cg3qkTAua+k16nfy
I5rN7HvBeH+TlMo1w9iDEO5Z1vBIqQNk4y9pDCp8ZeuMBoF0ftJ0NG2eJCvycavhdo/ldsnQ2Xrb
J/17NMTHdExFPbOyqgcsSWZRWGkrlEfdsL0av7I9ZKYmsLO/eYsa95hM46WrcjSfixVGdajX53uo
NRXigPtxP3S5NHcLyRCUgZ60wyCI/jm4Pa2XVa2YX4cNEcAGXpUUwWDYtj7KUfszq+bzNqz7EeNK
0ShoOy5QoqE5tkvSY2Ri37jKDZ9O99ktSt+K78VukX5Y7vbZgha/w+iX/9aJJmdEbK7fIWb6JRcN
6MmFtqJMPFpkAB88ZiWEFV8jkCvJflZuq36WtsTatcFu4lkkn1NhfqGfpmxzH75xLgNKIOYlfHJb
isNcQeUxbLgDokl1NbRFUSOX4i3K1vyX9+Nf7GbBQ+/ipsuQBlfWVoMwRHoOfdwqp56iKYtDnflE
rEfTr/5G9gibYQPutYXQHft0Gj1DLq++LS5F+ck8u2POZvk8bbE79R7KHrcjHbybco60k6r/Rn0+
twlLkluWRVszKMylsyi/ebVH9SKiGHFMw73zhXjUIspbieVO5+nynOHg7IZxeS7663iN5+c+X2fW
pDtfTxE4c4AJxr+6VWSXqAz5O0275TCk48JqnQ39R+L4UleDnWvbZW9+7N5RDxPQhOSnGxu66lLw
JHnMDYU3aYw0ht1hfJMLZJqVUOd9QV2IDEh41s9bMpUNQ9f3pQ+qOKC1t+vQ1olj0uQYKlRCWc0C
AsWGOHJ3QkZYmyPSHwa5Fpe5k0trnb3pY+dv3TqYpvcrumBjS6ea0IdUJ9iObYr6bSGQSV0whCjv
Hjg0QP564IgQ0wUgJFlwVFJl2cXwUr52Pf9LWTo8q71fj5YH3AhhwRKAMH9VB4UwJIUUi2YLVfmi
2AaH+qZ0e+Wo8dhJqKLjcXH3wuMbajhU8TLgtkY01ZF4oWmN0Nn8EqHnpmXQcH/tZQ8dfAdNVqNZ
rO5RY6xv8rCC5LaOP67rlosmlmN1rkRVvPl8JRe83rxvPJ5UgacQ5/FGsO4Aa8Q7PpVVbeZV/lBS
Rfizu/BXL/nywGLLzr2UOHvnQd3MAxKlvd2/phK1AR32vh96hWdnzrP5toLM9IHlqHCDpaNsl3wS
fR0KUMReR8CNvIPytSN3hgzbAV0w/TcMcSgjJEuOe9PGj4Ag0tvEFePFaqynvTa08bT/3vUyOaaS
2RtPw34no3CN8957RFj46DXBF7eTYtU59AU/A+aKGu42VIJs5Xjvytg1CBT5SEBo/2BEmxaf+yeE
gwKCn+UnChPtA018dMiIGd6TTLQ8KrvHAabUw+yTR0BTtKEpXKdDnL3lYzmbtjDJ/MCQHN+ybFg/
52hLXmK6Rw85gj1qb+b5KJB/WiuP+4H4Q7X46YIjvLrX0BAciWTuOUd4ak1NvCJNnV+qftuf4qqf
bznj5U/X+fLNxIk6Wti1X+MVIztNcSUzICftqDgM576ffpEpNvfCjIhOQ7yYek67KKsZxH2smTbH
n4gqn60nUtZmn57nyJxMOY81HfKyRpwJ3tZrWtzRPiSIEUFlmIkLfw5jTpvcyupAXFIccgqg9Zo3
X9azt/0hTkt2Z/Ni/B7mbD3Aqxf/2KdiP+WRjm9nTGyA1UDOpkOlsOQJ9ZQQXuijwKdzjOeI3Wpd
do2YefrOk2VNMAnOYHKzpf/TLcmffBdluxn2rtTyW7o+atJqzBofbEvlag6slBukgfPnqnEjTwCZ
mn7q52O5Th62UNdOm1xbtQ5dva8quSR4F97MGaZsTAi3ZspBUm/IkaElMspRF6X8NN8BnJZ3w0qi
G1sAXrZd1YxrBdeCUFWz4cQ9xj4u3qyPtxMbc3YB9TJ+WT/OiFlX8n4shvQwTcX8akMVtaSj8XE3
ZrsvugU1URUg2aGYjtmmX9ySLAXgE/bdAXNv1o4nLWUZbVfWPRmPTJ19ErQFlFwjZWK6i2JlbxbR
6XvqitjCuj4sL2U0TxdXVttNVqSudUSSc4GdC+9WlECIav3u43VtgBmR1is24psTFDUMWXbOUKzX
btCF1nNi/qhBRbe4onfeIH+8FPkDLPsVkn20+8Y9SS4kk1WLg/OISmR8nujJq0Nepg9yRAIV3pMO
VaboZeshMD5vRmDCzKNwoFt/4WobBWZI6NBQTcGzBtzDdgSnlDTaDutJ0OQuJNPaVtv2jZelQWNd
+IgKAcie3Xh0psKlEpcHCUyrrgrZNYnqw122uu3sCf+IJvJ7yVDEko3iFhTScsqK3p2wqfXHPscD
2vcvWATFXYrmg2Z32K42W7jTtqERCpxaQHJ+t56HdJLndRjm223zl1yT59TFOCNLDJcIZnnrKbe3
RHF1hM90abrZdm3c5eMdrAXXkjYWqoMBpNzouVQvCIsXNz3S6c9OTrqeKx89V72O65zIBObQaBlu
Adj/9TvVwKQHrLrhCmJYjpbirnTibR3o8CwC2/8a2O3AUnT5fNxzdQKij08vkxPihIoCSvFuu50n
kuKzLdfjSrNQgzby7zFCao6Bd+I9wgn9mNOUNUQx96PiZyLK4ZgOPgLkA9XLPuTfjOAIEZrKpyzP
VE3QCPRQ0AHmCH9FmrEL303UQGgwFHRaG4905wfNrD+xPiDQFOVB96Bs+LG3w/gPXvt/xdR9nxT+
+Xfy7V8Iu/+vKDqQn/9viu7Yj8Pn+PUvFB3+h39QdGn8nzmSASB8Aet7pUlBgf2DoksikG0ldIHI
eczw21dy7L8pOhqBvcOXA26KYgpXEYSg/03R5dV/UkiSrtbUEumYeZX9ryi6KwH3f3VHkNklJWw9
0Nrl8Hhjkv03UYXmaPuFKJegpj1UGNd7Q541QBZfl67HUZcGKR8A82HImsZJfbJ4Hub7ha4WTcSI
sOINRRYNa//p+v03k/gvzOFV6PrPPxZiczJctgwhI0iYA9uP3/8ndUksnRY+0HDocOPeJW6XppVi
BmS38KTzzQjK45dYTAnYlG7CI4aE4zeDBVrYbGarhvp/+In+tfcFTOb/qa6ASwCBLvjJyqtw4J9+
olCuXWxzFx3Wohs/WFel0Ojq0tCadtv4iq0xNu2YSnRgS5MXZZ3LdKCIfklx6v+vfxYoNVNoYWDW
yPEd/u1DY9mcjSVOVQDiaBpoOlxBiKnsUkxNDyfxx5KP6Q4OtCp+lp1iX9qJ9GmmszL/008C1+i/
fVLp1dSPG7sEZYx7+N8/Kbza3bJlU9lmblF7g4NlRHsdxYT/NgQTV02/RHDbCUAsZb1LEidth9Sa
DwzYNAc/WWDt3LK5l/UEJQ4acoYukk0yEvprmUBKXTTvFvAuikzD0Yq0+ztKQuwlzAS2em6W5HvI
+iQ7LJFHebbNUlAEa47UfhjRcT7XadUNcV24aPiKsC1geYJ3Dof0vkL4hl2d4GYKCceeQIGixL6P
u9oYtXfnaKJka/koEdO49HZDSlqWMPpd6bnSGOdK6Y7RAhLpkOVgsNq156Y6QNyQvpGFYjizKGkD
UbtRNFwwUcwfTIMwvFg2p2+zWTKkg20T2+9Uvyx/k7VUBsAnLA/Y9AwiGyV+cnAUWPZRr5xOQ/zq
IBM0dV9eJbhVnG2sLXUn35F4YH8EH2NX1ihs2+sqXcxXPkFM3pTF3NGb0I8LB7PKIlaPJio/ujWG
Y2RhMVkwCEThq+/7LAUmpdirnhHJUGton99dtlOBgN14BXagDAVDuVQ6qrNhin97J4C5mK1T4wkM
bmmQAo4FE2EVkU5aVmUZqrSmcqqeJaBDQIoYvmQ9QzMCdL3L0ETop9L3NU138Z7j9kzrdY1BAJpM
04bEyiNeyEg9nqIIRyx6hjhQg4SP49u4ewauTGLwAuA+M7SU9wsCgAH0YKlM+WL2A1ja/gNuGoyV
JfdAJSZg6Kye2EhA6fKB5Q1DhL46CUW1QuqP70H+q64jCHexJKvnOIVfTRSQL5QT1rAaZULbzzCs
BrMai0da56Dw4tYquekDW5L+qRtjZL1j0cz+5FtM70nh1G8TjfPYtxny89gxo9rsgLVmrCbAOsb+
ApIx0x+iC42KIkkOmEBmfvQi4byeQ6fwtmNWGpjCAQ3eA7iskFVfgK8xwvP+0CUOhGdRgGxu9nWh
O6uLhUnR2Cq39SSQnPiUQKsHQnjVuHsmuuWffrLdfJkFFAJ4eYYF7HlDwu7QUbLLcm0HaNbAAQfQ
Em0kewxD2/rddBK52BCjl/aUAwRXJ7CqoJZ4EA4wd7kR+QL+Rz4Mo0hPNMzMnLJZ0ceMyvmGmYHc
DxM5+zRFvHAHA02yAv9BimLtcQwEuM4mYY+Vmqb1BXBhaZ+Xnc43dkouwOPePVXhsywX9bxrsn5G
PfW8tjQBNjiKKAC84sAK8tjf5qwsjokexUO+Z8Xf2XN5KNcFzE/H24AQZNxpjMX+yVUAhPDV5ac3
1Xar9xXjdtbt3fogkxB1Z7xU73b4IyjV8kXoObpEhnzv+HwbK2SiXakmRtAraQe9XLo1IT9l5FZc
b17e0jBw2I2F2va7vVeK3MtSyRVKE9G/Ol5wvBsnJ4+5zwgkBVOOJ3bMM4xkeX7H+qS7mzJqP0Sl
0s+pM12jKz0cXJ+9IhU6PAHSdL6hdHSP2bAFsLNGttWYvjC+KtBV3iAJJwJTFC1Z9iShJTnOrsND
WiL858lxnNp4W4Pb6cHhxWv+yHcjb4gbXglfLZq2NAqi81QcnCHISm4mavEqKLbEJ7f7bhJssHYs
z5Gd3qZuyr4V87AEDIWmV3hnsfEVG0sE5kEvdS6SpL8XcVeq34BeEnKLeLGKP2Cfi/z7FrSc7kuL
4rJWkIS8zPOVkyQby4pjz1e4ctPCJWg68/hbnNaokH+qgW53uDuy+GPBX4W2E4lBoqFKXZ2uazLg
1H3lh2BjehydDD/K1fJXVlT89mqfOzHcQcjl7MmKyMliNyf0lu3iiMKoHktoR7c/PO6j9B5BIOov
Og8t8o5t+maDmLYWC8WMT2RAkjU85XMEEqHoyxe6Yec7ODyTZUu5yluP7fUv4W7CgZhF5pVAhwET
KdtJf8cNCmgx0s/QLcD8ND/02TZCGaxDfkg8uPLFwrsODDGe2Q0OhXCZ933bnvzsI3bZSlZAC8PW
9RZRtcAW9UwW/uQ8Aypkcr6/LGMeQptJEtodZXyvUwm4q10r01fHEt3c5rxHgGBqvOq1bAqTDihF
VpGZp4cpjbufMq+gI6whq5DdyUng18gHX77EkqWQOhEOSA0P/MOSeQVAZqyawPeV3khk96ffHPCi
7BuqZnvUVCbPCi5Fi2feD4IfYEEFBjuWJ4YQX2z9pieuHTqcGe2WyVTdZSGPiwu05Ml0TCH50HTF
M4o6r59CJCC1eIT2h4rcR+mVy0WW1a0v0/nktpIsSwO1HM7yyCK9NVrj6YL5yaozg1dQXexegUIn
bkN1hABl/w1xdikGpRjXeNV1xbvnqPS2UWvPbkA924vlIOK9ByIEctZ1UUOzp33LzzTNTwme+Wa0
C148rrNgBcUfQ+IvXTlyymR5nII5cumg+kj0iRL92/uuwBzTPWOTfdFd/JJu6rj4sNRhRu+wzG2r
xhh3ovpDsU0PuX5a98+edAe7LV+Av4DX7TMCo0NdEMgnCCKuOORBGH6+tnE57oAjcA39a5pszyv/
Fu/FNw/JYM3X9SjnheHdDnIoi583XCjgiQ2EQDHkJLuE2cV/5Kl+t+te8Fro5JhE+QvG2KvtIRqr
/XGnavsomA6iRcFvpC7DnLH4Ag9Bmeg2kdCYgBnDjFxCyODm+XMvOeiRe4tznaQg/EZZsUMXg+z4
G6cDjx4H4Lz2Le4I4wcxhE4fHd8BWh+LUYXyuKzFPhy2QIrlkPqSQOpjWBTR465ir39GLOwBJOrO
U3kkK7GbexgzrfeTEULiyQHGJ/6EcZwgV9g6b14W6LeGWmNPX8Ci9QnIKbZP2/dOptRjaMe40BSp
n9cWwuBKHtZxpb8oW+Vj4as5OWRZ1gnIFrLN4Rlz5q3qFXL2Asf7FBKQIdrf8VTavp75iKsk+w3D
CSQv8mfw+JVW50sBRC8fLCCnclnbBZm7WXuN/ZklA0+n1xWqPdeTHibM3NwGVzF0nYwUMqB8Kv4a
NzHVzFbF5L5LfHVxlUAsx5CEix2suqkqsRvMscgiGdNs/Ryi0R2WtPCYdhG5j7tXKHi5YC6e+4MQ
ZDl2fpsZMCtmga9mAQSd3pBz5HJ/nwCAPvfwBb4P2EQuYxrMdDFjAtyPa4AwFKMawvNtGu7A9vC6
UqNh9QyRwEOFaek7d+mICrkOBJb27re9chwFtseHQqTpsaQJVOLJ5CK8/QjEhR2mMUGy+fdersWx
yyDxnGOGHzxbIlMvdPSH3ZvsMky5u0AskjXuOuhCBbEc8Wt9uyL3/E9OOL5NV21nMOzi1G+atpDM
GJx8Zf5I5Pwj4K5xdVr06N/wBP+etoVHtY+MPywLMWfg6vxgJB4MDhocq4DV7ohDtwKTYL394LDE
HZBSTM7dzouf4xRh1E1EF19W7wqQF0zjvR27fMzbNSAO/jgpZI1F0F7az8VM5JT6DMhN3GGkxtvR
bbUuo/CaOOkIAB0cxiiqW26cGsJpyXr9hgfB3PoOm20tR7kM7UrMBV+Iaa9Lb9MYB3OD8fqGlRuO
bSOOM+RLivK7WMTnuBxuIfkwqD1O6F87GyhZdEleMN0XSV1RyPwexCxc8nuAc2fk7UzSYYS9vIQm
NBZK8brfELKNi4y74m4u8zW7xKg7Lc5rkQVzzqF9nU+MdAZw9UYxrooGm2BVfMf8XUB5F9S2dlUN
xPoqeg1+BpyeTYO5h/gOtG89zXuV1E7HuNnqFBoT8K14vGx3phiKusdOoY8wbTw2OMvrHKrS7Mbu
CTQBW+KMOaPuSz0wFE6yFkMaqPkMscWQe0G6WIi/laHbh9tDJ34XRC7YcKJ9BpYI1aTo7HboGFWA
RkWK3M+VbyhCXVT8Z6kYqExKku2ykb77WUIA9WeI2QhSA1wDrj7t9jPd0h9zWeA4gepW3elp1jN8
YvmN38RYtJi79v2oAlRIZg/6TKBpgoIg+Fpgc7thg4QSymQSVVAF+hzz63q+w2QnjiZ1/RWij8CP
FatMzkhAgSAh38xtX0CKiECypzWf5wtbzOawdWEVyeLyyaE7cm8LV8yPPBm67kVtRF+w7lQfDjAg
DE9DVCbYhjZMod1a6sNQVcsDUFnyqcQyixMUYfFJrtCNRDsG6Z3TRLUIVEeaNbcV0sPA0n2fBIR4
uDnW+cFtKDZtZ5okra2KPmuqeHLQkLyTmfB3NU/uka0VJEdgvhytHayB93k2jVA9KQ8Nv7FoCRwk
xMNjSJm+mK2ECxlyHySNE5P8HeQs76AVIO89ZI2n0ovHSuBs77PdvZtdiQcNHmase1n64a5fiPta
wdikbWkdTj0PWmA4IScbU2+6OGjJy5nXIR6yBKNNpYqj5ttS22Is74S9qiisXdcM6fHD+koyPaE8
1uPdg8Whgsi5k+KUrQs/F9g97tN9Hy49jve7iMTDt40V5AXXRJ6NicgZupbkqsqi0AiP6SnPGDlH
xa5vjHY6P0TBhDuTJ+E9Fum1RkPhbN4sBEV1NeH/qIHa7hdgR26FrtW4Aw0kvGq15zjlUJuX29HN
N4oV8VuZ+8W/VhAv6pbjpHoR46C/i3HDjFft5DG2kNgibz3Glgg7ksSnAPq7KT0EyK8Js+tRO1fe
jNMuLii/4s+OeJieHEbkurh2+MYrVgmNU28vAdtBFwgc6JsZWcGbWA2bfcAeq2/tnIYdchoe3jCt
YXtMq82jJxxVhvqGdrD0DxCrtPnmeWvIAm3izMsUkveYPvAVw3SNjHriwUwPt+W1fQGPqplvoz2J
fqdDNDySMCWvSB+Eui1Kwu2GB+PLuCEbTgaBkSAYJow1aGYGCFYsNwYvpjbwmDxHYyhPBdeGH6nU
6oNG0j3heAtnqYblXTNEOzQj8n/eJ+wpt9jOIHD1vdigTiwBtAB6cGecCLAZxDJmUOSzXN5pwaFC
malm9QZUq6EFmpNJlJbPy7YAtpkzPYBMNTiZoEp9HyGtAE0buvO47WCThsBOO6u2/YAY+flnmQd7
EWWKksneqgFGBzpCeKr4uSQVrfU0iM9xTWEiFJAcQci33dmAC3D0hI2f2LbwBoHeGhrEpQCCUZtk
N59RPEFi4sS6oqKJ5fZuti5+iPRmsnqJtMGbgyv7GS+gmmpIcLoAALMT/UMFgWEMqnIAlz1sMyjR
TcXxHzaX9KolLMA/L0UOhkx3YbqHDiJB/0DVyTe8iBz+xB1J1ECvBEA9JKINr6VEe6AFKPshlbbq
YQG7pq+vNij4C4fTu96hUoygTpEWb/EKOhxwInH3uIqoh351DfyhRLqgvTCfBshyIQrE96NYOwoo
T8BP42b4xCa8Y7VIU7xhkXSIY16Brva3k4pRgqpAtFiIl6FNBjU1qOUWmFYsX4o5LvFKwCgCM0C3
Z/AQDLmnZ4WdC8BeUuEvG8U7iu0ESnZgyeUTJOGSkySrY8qJOucV9p3jTCOoA3YvJ16XeeJelsCm
O2jfJxzwU4d3VpgmqAZg6ui/cHRa3nYQs/sLHe32LsEUjCdDSsBOomeYr9AgOYVDLph+17pfCRwF
W4RnYon7d9o76FI49PhdXWHne4SEPOZtNhceoKOW6zMSEnHmR0UBFThOoQkSWDwBV9Vbl55U4fWv
FHqjcFQWmkNYHZYlOkR5Nn7seYoFYN6nALYWuq1vopp3dELrtb9TIoUmHkTeLyfxBXUZR1d6FsGv
HsUPG2hdlsbLjRfp9lWRwvzuUj99ROUSxkdML+OnyB0U5jvmeNpAhIi5K3X5+rIPGtdBVRyKotK/
j2G7DKjAkyF91NOanPdE2D/Grewx5oBtDhYU9T0JNP5Kxu0aMUnXeL/0FAJHgJRVdwcl+2pbmUKG
ekxF5t6mAM1Cq7bJ/ORJauyJmbwH6wrm84WleppaGCPy/LbL3YxpM1L+neULR/nqRLKxcYTlP1Mo
5TI4Z7ymN3vHoecvRzFWT+B5s2/xqsPJlQm6OTYHOxgMjBuGi7TDkwE5dAZJnfRrBGBa7gGIsE8R
NIAf/hfyhGHSk/2MXvJqgUCl7h2YElgowIe3MXx8y4GgDxO/LmbzjYp4f42gTcdeKWfMjj0kL++g
t41tsjyGyAWaiLQ/smQFXC2vIFcDi2aqUNxB8wmjpky/A0KY+jpdocCu82mK0TC7wc2L76VyV28w
pADBGXoBA+zQrazJfTG/eHiNfmN46eaPPbLpZ5IMeY8tktHPYRsq+CaUFrJV4Mq/qrGXb6qyJXbr
qI9+BPj9HjEYI7Q1ZwmcL4XOftFoJjCX0Dz+TQbJp9alqX2DdrKg9d4P+zvkLNXaZFj6DOwas/yZ
JbL42APe1hjzp9cuZ/H7nK/dWKdXFB4y1LL4E/aN70+TshFgRb8IsNYAKaH7U9mfIqjlDcMFrt5u
gQjcunjYf09dxl+GpEJTfYJdChQT4sBsnWmMGKpL4qUNg0D+RtQlV/IZhiJkN4SO7eeFIiirMcvU
P+5IF/6LN0r2exl1ivcSROPYWKftLcbFgE4JjNk9UokL2az7uv1yOYmq09w7mx4gXYRAGdE29PeY
cLzDzcRkjObyaekhEJmX937HTQXHqJZ/fFYZRKnDIQJpUliitE1g2IL5xXQMEv3BwNbgs0AQlhvN
LhwWKnukMBUdxFIaiOlcuw3yQswX8AbCIkdy/Hcn8SYRApjwYcI1yJooYBKsh1jDQ1ZxDZi/6kSJ
ARLd1jgZKC46HnZmVgTVDcmOoxtCClbFvT9ZSQ2g0Qw21zrB7PFK015hw2KSw+gU9KSPdiq8OeDW
xocWlBDfJdG4/3dM8qBnqn7aDnBsrWWt8nwFTK6owx6CP+2vRKIH4l0WNNjAQNfvOzb2iSxtagYU
/pI8ZuVxGHxA767KSNkIIBJ7A1vB8AaZIrA2tPfgG2QWEvXWFGZ9H8pQugOZIOBpih4pfIjRqtCv
XkYWeECGLmEsVbsGyIpXnIL2P3C4RRCpu9diISyBrcR0FIMSRU8lTBn6N1xw0XeNuz1rTFi2L1Zp
bBtZ7KafxiyiqPN+MlAXQHNQWxeF/nbX3fq3M96uNemkz1FrPTgc5VMX/YXSAyPslKb+ixa6dw1o
vvhpc9IgV/+qHqcKQoVTwh14/WXk0S+BDyxFZ2noXN0XAzb+DQzvjR39ktdVxMWGsV92v5iAO71O
N3hkBo8DEVa7GWVKbvAzheKPF9CNkKh7T9YUDg+wohS3MRxPZ4c+HXQYGBp/7GXg+jT2SARppyww
1C0tkXwzWeDjgS9j9iRUBvCUc1KNzTSQTZ+c2Je3/wgVgLxk5EVbLX36bZznCMeBNvDkwaLnKTQY
FXv7jwpVRx3A8AJimwEwIpyYcx2GsvvRORWRA2jt8ZXsJvuxwqFPj0gCpct/cXcmy3FrWZb9lfyA
RBj6Zgo44PCWTtLZTmCUSKHve3x9LbwIs5QolWhZwxq9sIh4ggAH7r1nn73Xcf+7DPt2zvNgdnHc
lQ89fo7pXLXFjA9VXsfHdU1x1fOmIEgwDDiXzLwav038toy107X6IYborTqaGqmV+0/39n9lj/j/
M8i8uhT+4pJ4a8qP/9q1q1Wi/dkrsf5r//ZKCPq/ZE0x0FJUlPvV/0CX/d9mCcH4FwhGCeXNEE19
RaoTdf6PW0KX/6VY6oovFJlaTQT5P1YJXfqXQs5eAtckru1yWf5fWSV+dQDwiWBFkBVVEiWZ62Pa
+NUBgH6CYKsk2BR3wbbyBr/1rK1sMwzA/+m5/MH98Fuy/tOFPoEbIg5zJWZt0eGblIejmZyJ+sz6
a/Yl3HI1LfyPzeL3W/qU4S/QfrNa50r1j9GVNpVXO4Ovvmuusm138kETvpzz8/u04V9uThE/AXkl
QzEFxeSSHDtd0c28uoYDY14bd2X3UTckbujJX0xLWu/j/36fYIR+/elMmdFvap0ypnDf7NJ9d1hH
tnbbr6Aoxj844V8vxKBPA7Mso5kI13++kDUaY1HhtneqdWm1fE25S6Vym8OzM/ax0bq1NvjVWJG5
lryuNzbxMO364Y28qtsa6kfR+wINlm4i5MxG3mRsrRY92/KtrL/XpMuDNsd4fh70u0ULPYEdzTDw
O6iHZf4+SPXTJAh2z0y4enrlHLeRzG3TvTQMU50GiDvQdppl1wh7s2pHOjpeSH1aTy4HHhd4wc2i
33CWtMcptwdiVwmmdfRhctVJQM58jYMob2J+CbrcE6XJH6Zw06WOIW5HRu6WsYs7wqlRO0Rpdjsc
bmjUGPCYERmRdcQzS3vIDZYdoWPMgdjx2OD7xY3HHdHC1SqzSxk9jZRoB8ZzbB105TluvyO1av2+
qE452o2m+wXSbeQpwp7GGtGzKxksi0QxDK36aWC8KgGLar4riFkgSOdEBksfBT0KejZUgL5pewoS
TkQF8lC2L/Vz031YTNdTFseMXbhmytT5BNvdofvR0hbSlY+OfLTIycmYa5jYDBV+D1VXmu+1gC4z
3vlNNxU3mrlgubktLUeyrnF8AYPqWkHsYx+kcoNryPSHgmcX3S+6chKX10712/5kCpdxRJ6g6pB2
3fA81I1vjd8JEG5ySkKKW0PvGSQW+3GNeeCsEGYly1cpAO7sVs99Y7xfR1hVuheNXtf6+niVCFFK
Femu50y9MzEycG1Cg7wmBaG2dDPU95a+HSXB4xyD1xtJJ7LbOnlFQzpqjbGbJVL/zehhvzEkB+zB
zUIXbAme6d4dW722jURnqsV+HAMnRLDrC09hMk5CjL6bW7dXTGfmOA1GRSMjgKuDw6tGVLHqZJhd
y07EU8zx5DIl6b22HKWV8Yw9xGvkx6ib0IgOBiiHhG5Al/GTn7LgIAtHdgeCMO3rIO5xVd1nhXhi
2pUiPWAL1tRtT4QkOWfma9KfdXPZ9Zxax/q9abZSdCOJNwpGy/zI8MG9unzTyNiHFBV23BorIKXH
rf0hDaVLIPQ+6JjdZ5aXhpQ5DXS4VcvkxoZlm1WORdPizMdM9m7ljzG5UbIe2lTdMPd1K4nbKlVs
NX9p50fBcoPx1BAQik7taHgzf8BAtEBu7hom4EzyZi4xNeMASJKR2gPBQu1vp5F5lO+yWl/i0TN7
vD0UVRMKUWS4csVJcMwAMsjTZViWazjchD3HJoVypYFMPURblWmL8XgwERwY6HxVo/JgpR/Y1t2i
8svkzAQjmavlwZ1e3OAUp3urOBh8m2LTKKWHYJun59o0nHJ0DSnYz0PgjsviqsuHpRcPwfikkD3J
Qk/EbabQcRCkH70gnslrVrWfL7u6Ul+aIXlIlU1SgvWI3HDEu7Iv+f81bpHh5ZLjjUjGJdXcHgLC
4Mu8m1nmd8pZLp5VfdokA1V4uk2pTcrkJrOeJfFlVB4x4Xf1P3NS0/EjFK7kI51yoOnsRcwxCsqj
rsJ6sN7qeKT0cCRsXi0dHpk568qPTDwk80DDntmYxK1G8Tiokj0mOeGOjW50ePbrjbECG1h4u+Z7
b5wkfSML3yIJ+XJenxFSZ2mhWdDMoNVVsrLR7bOIGAh34nwKxG+i/iNXHqPyu9R8L4ZhixgrG4Ed
zkdFvcuYlJb6aeyp6ZsZvERrd1y/rQOPKa0etdpGWK4YjtDa9Pekaw5Kebe60DNF3BUdST/1VRJF
HPLYWxxNdnrmd6TdXmcJsbbp8C6FLR2L99R8nVBpingmvTk4dAXWp0vJYMnYeuYrGAAv7Q9Y7ngh
WQZzbFEkzeNNLz+U9SaIb0ygeuwpUSw7qfCi9/jGWvPWqv0lTOwh3s+IUV15T4rP1tuYN2aDp6Dr
tY2sd9u+iG/yAbAH3aWaoSZmM1MVCRuR6ET4oU6Gb4j6ITZJAHJ0Sj0JBHT83M67uGvu2ynwmteU
sLfNsAyHBM4Ql96s3BjFTbjWLto2m2a3rXatpNjEuO1kvqyhnBziRgSmYJj8CeNJnW7NmIDPte1a
Whatq4kfQ/WA7GEHQ27rKrZomZy+NTql9dJpdwULVbwFOJDovjIdGvbABbuipPpV+cD6s1jbMtrl
SbUp5tEOQCpJWOvUGptWwx6y8K9H0SbOTbahya5XWf2lqxoXfzqmMddMNiXRVqBPOfjOYk+nmS2s
P0lz8gzMgHVJjzZGGfLYguilDVzrscPLOJoPBXMzGPBrq0LsmxlWz+X7XGE9+DEtt0V5FX3dzjRP
FL8vw6EK7kVlx1sllxu9+RZX/EnepB9ltslxekIO46NwcxmexnAKl4+BX7VC0BDJwZcHZXipTIwY
j2XAD3dS+m+RSpblhOMhnA99dkvCQQDOYGkzJtNTPl1mxUmSfaieMnHH3AaU8Tz3eryWdb6TxJ1e
opTfJ5ojijSrdEdjLIL1ZjZU5pZNDT43fDi9I9U/eu1EWr3OrmpyypR9LmUkt2ifGafedMSBVXCL
SPZYxPVr+62TNmXjVQ9Ceamt6jDC+Rl16Dbisak5M+yIjmHqL+BZKPDgk/GUsEDWJMFZcivLseLZ
YxtGYrkLs+cxruxODEGpoJv2hZsZ7GLm0cpEXlhfn/aZ/LjU5jbPbk22womo7oBYl9DimpeD1hpH
aDuaYW0IAjmzeYakslt6E41U2pldvtFrgtYQHeXKntFTAOW0MfSdHraGsMbdt/18J0fGCa7ZFzXE
70hX01o5yqol4qXiH5+KiFZH+qIvxNzn0+LFPkX6NxHzyIa32hV9lY703d+rFun3YuLXK34qJspM
NY1h4IqWnx1Bm+p73FD+fFm2MIYFpmAEZ/3ftfQvTLBffOJ/vyZ13q8H+1mPUtkcSxmhx9a3azkR
+5IvOI1L6kVxUsYBmV94nn+vzrhNjhrwAeGpYgj/9ZJFxvRodeREt+4ucM5lbHTFj26gxfbt7090
/Yk+FxP4zTFWI59AqlV+vRI+kCkvYfM7BolqYderA2euYzFg/uBcUn71xvzquV+LQW4MtDz/SWFU
5WeSfWIkNA9HxBp1W13Xn671lP28IQW0Mb+ox36jQnMpbmit9OGDkUL+dGeBFsXDIJIRo/RbnlP5
Kasf5uH9789P/cMdUavDptcMSYa1+OkyeaSPC0Y23sjO70T0vbdKJjDQfmuLewLKLQa3qL9YBhsx
S5z0DK9znwrarjWjhwFrAgclxqST/VdpbAb3Y97vzfibGbKJMwzMTbCXKduu+kC9tNOxRsGG5BO5
0eSgp5N57c4qkvgiuXE37sfkmmP3/SqX8IcvQFJkhbpZMST4u59KW3wQBOgJWDuCr94unuqkbsJp
HxurTWw1sEV+PvmrT13+/c3korqO3oKe9hshM5AJkXV5tL4qWu/I7uJbbrrD+K85kHm+nKT3D/f8
05dAQW1oUA0l6mv502LWyUURT2tPUtyHvvHEq2mjgWNlPwBNsJkY6Bn79T1Ntt0LDuJL8MU3z839
4Y410zBIpGjro/70KulBCYGmHkHVghPAC+fUvBMxEw/MnEqKxpC0VNu0vm/Km0Yo9kEAMQt1W7IG
Nwl2C5wpsb4rx2utXrtYOTSJ6vHWS0l4Dztra8qiy6nNpx8uqriaooOZOI21k+ZTbeIQA47lLJws
KOIziDFjBc1m+W4aiPnrPFU4MeJVVm5V7N2DxihKnbFAGISnH4Q+Hs0hIREQWrc00B8wSzxLSbpV
lu+a2NDaz4Hs0RF0FI6XaWt34+zNRO5VfxxGe9Kfw0vAjDAB+ngJ8Tv1RbrTMCddq3sgD2+HceJq
gC9WcNJawQRtYydj7mL45Z+nVuIf8p4x914UE8gt8PVN19IIXcyBNo2MAovvt2HlkYjvaiJvDeDm
Cj5GKT0MqrWpO5k+MeWD4AU5p6z5XKQhsfCLEk07rd8kxiPWxfs0POrNndTDLehfIREsUemay0sD
UQ13EoXxaRo4FHVPlfLdWJ4GYfTjhRZY9d7MX1Bdf5eaQIdSBqM7omFa2qdFO2SiJY494vfJLvQV
X98BwXNl/ysSqvSnF3KN/1gKWTBR0dZ14ac8Uh8vfTuIg4SONm1Uh8n2O81tN+s4RGvz1d6wiqif
tyLp56t92vSaLtWKXuqoOspLN3pGfY1nDsAL8JoIq/KWqLfTYwLOn1GTGpkkVGxsO52ewEUaDjPl
cSRdDONK61WtJZva1aFPgFv1IpTPZnzQDW8QHnokgrTeCZ2A9Akxo6leJD18xBE52XQTCcfO9wbv
TtciI6gIDOkzI79sY7yWfEOi6RCXtmf9o1qek/nGaoAfB9+ydJ+oye2QvXEKhMPiD+0xniUEneB2
6QNnwPPv5LR69O7Cxv4w1YovR8sDLpxdEmJVF7pjRr6caMdomz9yo8DEe/vFTvXp8SoikCgT57sO
pF0lKPjrjym3OYpzPSncNiAfccNHbv/9Cp9/wH+usKrWLCXMY/68FcLNG5JB0RUnms+qdcyDtyDY
/P0Sv72S/76GCXhWQsX/bcprT4A1KAFtOjLjBddzGMArLbXV+3V+xegnifvFBddv6edtgQsiIEs6
d0Tsns/u18dWlCCUp4yI8ugIN9MGO5KfbJJv0fkfLvTLV1zo376Cz9dbv8mfvjktxSqSMx/FkUMq
VMp5XCyyPLxqvGmFBJ1tcLSRpMRAiztYYYok22xgB9QBhc3X6rfJvtD3iebmRNH5nQfBvFVjcova
ncRUukU+NCqslSo6xhYcE4g9vcsjYC7TozKc8+TSpPfgJ1RO13Qhw+Vi6JSH2zG7TaenLvNZ+OOe
Tp8AJiDaLnLumJblzdiOZ/gBkCut+Hts3VXlnSRPoG3w34PSa6ePRGkZ4sqfLLlGv4f5QLDfHwjI
YOGJs+Qg9XtF+lGrGMR2JrytL35I6AKffsr18KmxjtHEQTXnVPHro7VG4DgKQ/QcsztWqDiEKoTk
Rq/fjf4s6weN3MZ4209420T8r8dBerLSa8F8DyvAfH5Z05h0b11LuZdDL134ivpjVXgm03aLF8xU
HggsOJ7HtrkUWOY7LyFB094sqhuxY83jJkBRUKTHdr5mmWDrBla6PbCMNHQCHM0JRjVCY91xarcd
sFdM4nl6aIttmW2xdiq48kB86E95fMo5DKqqJy2DMxH6YoPJ+kteXSKwmYtnDJ4sbonaB6WnJ5AZ
T3H5NtbHgrqQG9hU4sOiOErxnCaXqD/QerXL1hND6rXoOVye9QLzOOI3eBXypjmD1bub0bScZviR
IWvkiJvIJiEjo4VM8LoZKBHQhkjZa8mxrzysabYGZWC+GVZVYXrleKE0TzLKercQR6zeFeNk9Lrd
QEZOb5BpMP+k6T5KbnJzg98sxDNSwRwaxbcqw4+4GcVn3p2av36Yudl8kDAsSuHB6ANoP6feKq8a
AR6Nx5PoKPA6ss7gJxH5BelNViCnjeFHUiQvHKx1RHcteoLwikvqOMhe3VC25rPd8GFVxW4CS5oM
L3nrGeVeFbCwe0J4AzfDHgPBzYMK0BAOzrk+tc0HLWHOCfSz+LwqkU448lAl3evZrsW7PMb3Y7av
tNd2QppvRj8AD5T312QmjaHdCAXOHNrzEY+0AaQtRoPHR77B0riRMMsVFspa6ADmiDGxRu0pat4N
A+fBfQVGo+0J8kSr4KlqN/JMLBJP4qg3fozrsjV5GN+CcAMJmDmKbibGbiG9qs2zFXowbLaDEpwS
xRXNt5Y4/1yP7pS84cZx0vk1lnfKcld0pz7DXCLSyBcXPw9jz4iPTXoNcjKrkC0e6Pl0+mPALhJm
+nndS40Wl30nDBqaLVK7Jj5PU/cwydJznIZ3yLMN3jnUbUHSLkV0gs3LBabGn6O9WNwn1egO9Bvm
8gmz5H3HGXhJXS18rCs/rLZSoTl9f2AIU0nuRX8oJryiwzGkasq2cpW6SIUSIlkZlqQ1iQoH8l2X
F/i1c0cYe9WRgvzbvOykQH5vzB8L46tb+WigGqKqLjemYHfGtGFJw8tERaPeGvOlN0TbHF5j3FO8
B3ES2GqEk3eFC/mcUKTpSZ5zjFqzWy+Tw4yowHTHeBtqpkNIDBuP26LAY/Vwa3PEWjNvIkG8o6aH
T4wduiNGKWKYioc3RX5SJ6cxSrJDyKI14Od05Uwj0+VY8bx53MP0I1tmB1wajFK8jwTW9Lz1B+Fj
jJ8mcaOkp3R8GPleFH1Xd6+xeIjLD0m+QbTumudgNByGP6EcyhudM/a8lxAl61eNgYIKh/5YqRwd
M/98NyfLpmmeUunU6ImL60vKTiLYw060l5gxcBNGGwxAOuKhthXyXRD5DArFWYzm1vsNrhJojLZs
7TNO1pK5NuemLQzBEIuOGL+SjiBPBB3FvArjpqv7B1oisD1fTG18WDJ6bOqlQTSTDBwuIT2jd5Mf
XpmPHMnsmp5i1odH5sQAaSuuJqercNlW5CEEsIOW+loTy0y2Qebmyn6iQujzfdHuE8xHdVb71vxc
4wPDcjuGwyaR343ou6m3p4X2kU7JkyfQjoLex+a6K/NzrbzmmHZIgF2hiPKmR3bfMBti9rQJMM5Y
f0QDOFiFWR8Z/0UFI1me2QRUwzPobC48hwTbFTDWzNr1iGNl4UgMwCrHZs1v2IZ2kpubtnovZwsI
eeiF+TdOGzudJrXK4oSDyKyh2VU4mZnRRS8pU18Ci8bY4kaZsUtHJhPPpQf4ZKOOB60HwncSywd9
UGE3xlclZtwPWPIWwqga7cb8bWaQsHDMLW1T6/FbOhGyY4eru0cW+cH0sUu7jcZrD9PLaOMzONRB
M17I8bmpmr83eM075WjWtQ9Sz1zcrsTxjB2efBmf3bMF5dRE2c7G85wjarQYzsst6aMgFtyye1Vj
1MwNwUqHM4NJKVkb32KDd3+bgZDEJuXkguVhrByC0sVvZAchy9TokUQ0phKuySWqB3dZl8dgeJuW
dhdiEk3rM08e36QTEhAp6bqtVtiask5eO6dSaKQ2aNtdQrnJcEuUaqfXDnhvrBBYcGHczaY/FG/V
cg67y6Ka7wRjEL84gAHQyQKdFXXXWjRVrPt4wqe+vEwkDmkoDHG/m6qTMJC1IUmdKBAG+17d5Yhn
dblvjS1GEyIrTPHLhsKx1Mgz2R3NdN8orqHvxeYuzZ6gCHfTk0J8WXDJIofBU7rUd1LnDyI+5HzZ
9rR4pemQqqe0fJdo1y7Q8cIS2mPKUstUNd1XW06mEZdi5RW+y8mjzNE4PosMZcDvFlTz6kejb0XJ
7XMb7ci0tOi0lBxKOn1LenlD91CGflOkdyXPXZw0RvaRM9DrN9VAcYJeVcDBFcNj38zQdRnTG4Gh
RB6QF6BUeyqz0HxU6shVW7PHhDrsRXj5UfEq1sUmkoEoCnlxlBv9XBUnvZ9pQfLOstPgaZvKxc8E
3HV0kRsniwqvTERkhoD2fuHMVX8Oo4e0I9kZ8/1TxfzQgF2W9bjBrEqbvcEAT+PFNHHsK15IgGB6
L+g81SY93W1WrBOzL2l5XzdE9ltfk/1Zz7wen4NG9ISN0tQvLe3harYcNXusx3KjCpcpJ4wyWmQR
T7Lp9vl9JLyGzUVU7sNox+QdZ5Ke0or1HFOCTvdYdZfAxE+xiQnALFO0xZTvgv625eImCOh+93D4
241lTi+B/hgHyEtd44n1tR2eJu2sqdlTCK+XVrxFMI/ZcmOz0/M7VR7h7MXczOSVqlOmxUZVrhOt
NCCdqBpKh1Ij3VSm4jcanELcvIqqbItVE5z3Oju97FfoRHpN/zUOGn7PbyIkAIEHr4cxEfkXrJv4
G5xU+SeXSUWR23l2o2BFFSO/ybbmGLxgxsfyXh9jqOKzhgsOCDd2f2W5YlzHKAn+mdnCwRJ7kqK7
cvGulA9DGm9VAlGFkBya9H2krTPtTGXEN31R+XsWH4nQc4yV7DS4VPMTi0JI4NIk2FW4UJxXpSkB
fr3UJ6GBLN1jn+hAmb12wcMqjEGv4hNJRuOtCF77/limISHDNuG8jllbusUPqwi3zJrT249hDfAi
ylhifJsukASXZKvHTiksu4Btop0rNnkacK24pfdUppskUDKXmoLJXDkJsAYDJi9lWk4gtmnNY5fi
mxRa8Yk9g8+G8Q7BNpjYVY9aeYVDkPcMskyOJrTCHRHmfWhwSIjotvbD7TztMsYEOBZwMM65TIIr
h2sbKfeLVJ4FaAVBjOuFpBxfeLIGg+MJl4ALgAH1a5NCShRFT8d+PRuu0iQfBl8qNWBAHruv6pcp
wU0Cyvg9iO9adDc9dtM0eAmtmyp8UpTXmYos0/aqBVl2tA1rK7QrSgDkBow7+dBmJSt4zIH/pmRn
w5q8EQMPW+W4ePqIZj0ojthDRZf2mHLE6Vs7PpbWNunIUSxHvUZJka9MnSBfL0Oqfc8hhWtrnehJ
w73QaeyC/Kb64IfMw5vT52TkhEMHOeZvbcBIbClFo4NiGU4TcOhkx6AGnZTgGoYJJ1aq3/kJvPsp
49QjjyKy3Z2Q+Gp6R+M1YudR7IC0dAQaEiKWPLInzFZ3VbKQD+c01zinwpgG421q7WScT9R0peEa
KX1Gur3qYZLPmnUTly54UlG6LhLQi/n7NN6v9z5qhyZ6ZxxuyzpfFMO+nO56rAwGuJbA4Fhgl8Ep
Ljwggbg8Hwv2fB06yCJ1t7Fe8iHCUZTsVpjcSJNuCGjyBmZr/AqwnasNs0vcw+7o6YbRTSocAtK5
FeW3qvDY8ztD4PiT042EKhrDBOUPDt9N40FoiSWlmd2xporw6AtS80/rw5dbe7R2g3XXjKeAoeON
SI9n28GEE41bLd0F9T02khGsnw7kTaxhcnOPhh8kzwIGhIYvQ4zSXbJsJetdN94U0t0hE0NYisdb
leOhpFV2aAYbrT32PUnbzhWTb7K5DYbdlB8EjUWicIaesFzHSIIr4QBoPbfoYGUD8y/7sUwbugCw
TnCCvbUESmLcZQyqczvyf8Sa+Lp9fXxamBlhEZJPr5P+Migqe54Xzf2BDqg7ok935VGx4NJn3lT/
gKFxEub0teYsnPaSBw38qAWY/hbrqYoElrOZk2q9l8UUHfxK/sauKwz+pt3r4jFGT5pZtOjrOCQX
nDq0vICbgEFEdd5ib2tdks68Y0RK246/YMWKdRqkj17YQPgLi/sgiL20YS051cgBON3K+r4rD5Xs
afIjpyuAebxpknweIeQbqx8nVl0rBMa/0eWHXnzU2ZcIN3+QOWBphVO7sC8hn6yJmfptFghYpOep
6LxpQP++YxlxG+G1YpcwzEs4fqQFDoD8UZA8mfj4tLy2+jadL+3AgQ7LMX3q2OSt1kdXq4rStqbp
alRHE7TmAK3CElw5g7bCDUIfmeQrXVdHBFRoZqcZIh71+QIBSZ5rjlO7tJKPAv4XtQMeGr+u4pS6
i9jFMOOJUobC8RJzANNGrGckrEPXigMvH7YDqkLhTeW2xRC/TqtSDbKhoi8rd6P5PRDv5jL3KVgX
DP9d7dXhWzjcmtYu5sSzFPMdSA7PUHGg7UTyRQHXS56H4ShMz4Fu+GCHL/BQ7azY1Kj7ZcCMBCXe
jFH2mPCuTDeF1UA4vYrJfZlcBW3aNmQMDGCuQ3fXy45mvaeMn1hUv09YbeXGjjmBJ/IpQRrhGE4l
FZrtIZ/fA+YqtPVeGWbP4v/CC63xRkT46oQz/547YJWET7WubI+RHp74m7Sa4EEkcTvDdPrmmTDS
GqQcHgHo2rA5E9JieX6LJlUlP+o10pD5k3pO212gvE0diP6dTiapVMbt3KAshdpmyA4SJ0JJRwgv
N9m4h/2GaIXxhaJpyc5Ftqcvu68h4UaAvAyJZJKJUyNt3CX1GBBUURq0djW8jMmeOfAz1kyh3QPg
teS7IT5L5RupvUtUCZg5QCtld5NRPw+SH4C/KsW3ZtwMwF843BrZ4Jf1Ls6e9Y8mPpQZYdDS3ApT
4eRYFXRIlDVn8orfgpKIOEItv1jaE0TvMUFLyIk5WpQ6TNqIWlAGgt+xPMjijVaeGBNwJBXmAndR
1e+6tcsDhWLgPCXFJgDRkKAJBFPhhcqrkG77IbTNfr/QtBH9WHlS48jtxX0WfBNalS/yXZf9OH3L
aCsY6ve8OTMOWgWSD9JUsmqvxPiv4aYLtuy2mX6f6xSr4w8NBACTPhBlcwSdFUmwISaDabV6Lupd
QPq6TjEIESbXwHSF2OGeQ44OC3InJ8Ngfh9VEfDP4ySLzKo5nTM3FeNTQ1o6j7a9+WFR4ljmbpBO
c7ELpyczq/nYHhX9oox3odg5bYgccrMOAkrembpnokkv+F3O9NsxzOLm5i3X1Kch1c8aMiGLdzQS
SMISx2ZoGYehnR2+arMQ2WJeBOVdJMFTGJecbZY9gcpunB6zcRPyLqvhsdZeiTD3CH0a7C4tnzcg
Zu020LcJlXp6VSS8WasrVd+Ww+jj6Jt6UjahC5nJztKbRRJAids55whchjrcEkZOiO3oTDrzKWx9
voNMDGlvtoulOTNre/2YdUZUICgBTDpgxEnil5FROCofTmgBCkToErCn5t+WjtBKsxGm27Alhw5S
foOjKjX1NZq9qcOXqPgwK1dR9vA8QJD5gLNsgttG8/p3cflz5+MfZRlTGQ05WgUAGH9VlpcuV5Uh
aTDCAMqdvyeTi17290v8yRKi/c8l/nGF/9QXiJoQQkiOeM30qoVU7ENGczHugCGd/n6hP7p6NMNg
cKDI3GLmuv16M7MU6WXPuZYxsfpW86jdN3gU77Wt6jX0/cT/B5/Gz5f79Ow6+KPxsnC5mm6rus1K
l7WY7fbvd/UnN8hPV7E+mXhGkfxZr3KVnIO46ZYc/M2JA7/6RYOKvMev/aJ/XgUMJ+tYT5loyKfe
bJ0EPYVxR/agPMkxo1LwUkehnWEAiQc/Ww7BdllTk/i3xk0p7OXBj+T9ZB5bk1Y5fu5ZY8/OHCl2
aMt+8RT++J7+9Jf71NAVGcEEL4eTaUU/GwQMScHGevz7k/6tRff5CXxqs8DPC+ekKaBZuSwNfuoO
/nJeJ0/nnrWRXv5+tT/+rj/d0fq///RZpAD8GiPFKaWzbUm+0V3G4AH/69+vIq1dvp+7gJ/v6ZM1
I8xITBgqlwE24DESDvXLYat3mG6zb79ygvyhvS9qP93Tpw9QgV9exQ37g7n4Mp0W9FIQRHaCRgIx
hMjsSCPvixv86s349BVKcIMg1fDaQhx1VafZKRtqxtrW8L4ENvLcPnltv3CD/ek+6Z2T+cYRRuLp
0zUZV9YWoYCxbg07Qfr3AV6esfd+cZk/3drPLsVPv51J5rsKazyDgUBS8ITyVQvXLx7f+uF8ej8A
5Uo6lF0mUXJLv76G5UyoRJNwSjAMycvdcot5oDjExxfTLvEH/oi+Wmd++8oUUeGmSEQSWAOta37q
S1v4Too6mInwgpizRZfxVpvqqX6Gb7K1GAL1xcrx+QY/X+5TW1ppRTFk/sLKoCCkwVBroIZfPMPP
K+d6CQlnIBBxdlLcgb8+Q2UpSYy2uFoEf/IMr97Gp2UPe4px4cKXdi/p81vx+WqfFo5KbuWUMSoS
GwKj3usz8HZX3ck9FQ+2Ntkrvf5pPhhffWd/vEl+MWjMmEWk37aHMJmNpJQJDgjeal6NNoKT0tdE
gDpicbmRLl88Ve2PN/rTFddf9qcVEg5Op80NNyoWP0R1s9DAFQ9ydDJmYzsmxbFHgyyl0s0YKJXT
wU3CCs4jQyem4SWlFTYK5YPY3yniUykO9iydmP7oDGZ23wm11zZYz+gRiWgXLefP1rBT+aRWj5rk
6OVhQlYMFq80IGbN4iHLCY2J2VYCtCppN+Nyy4zlgO7vMr6D7LoP5eLcp0CS2p0mxzcpM5Q6RngJ
GrMyQvJl2agy1/wjnrYziYcoYSnE1uIZHTJ5+DRHp35RdsPg0OKkBtj2ySEx99jWtG4/14exhU2Q
PYZhBrrsuCBPVWXndspDTPMoQwxtGXwRxA+A07atKtBzo5PTh+YuEGhZgABENoYSspkyE4D/jZp6
BnsBgZtJQ1g+tcpdFjMpb5+Nbq4eF+3AL20buDO0KvRAzikcPlXsa0xtCxt/kp5H9f+Qdma7jWPp
0n0iAuTmfKuJmkdbsn1D2M5MzvPMpz+LdfEj01ko4z+nL7qB7mrLksU9fBGx4gDNBpYA4CCkyWGe
5Kc23ac9cmPy4UV7s36Tk1XhvqIUuQnc1JbBw8EarkRItnKA2xnPgCZmpsAHYN9FgjIODTFbkrgw
+WEa9dVuzO8IEuoQYDY1u4Xl7kICK12NzxfoGKMPS1vSi/ndjjmdc35fEf95vn772n15mvMcJnmQ
8bVrV+qqPmWOPbdu9kVdDutw7u/Db9anv7/lmqwRzDWAlWPj/LoA82pJY2h4J330Fip58+iX3373
8Fr/+ioGP10l6ysDu/jyLElNnQUJq6ARUOjVhtu8zV40t9xZAru9jwfzGE+zZLKIg4cShpDq4TpD
krbcM24YHZNB4m+oP5koOOc6CrZm/GwyVItKkjZY3aLqpPU0IOpXM36K+g0TrSMOw0G5qRnopITD
IkDKYTjURMEsK9qpVfWmSooT2xnyru14ScZQi23OjBEU66eIbwqFnUm+hDDgDCnTHXKQOpcHy2QA
5yZvMjIcIJil6WoAqxhO9GsJlKBB5Zil4J3b9Gp/wXWnBO9+/E5h1TyE39o9tOa14pYuqBmAaUdE
vyErFzmSTlKio8AX8kClr73h0tIpO3ibqvnA35kKMhJ+5GhiKxk06PG1kFHlxrkaUFDGPjkG117x
HWX4HNU3DtAFYznoQNDVNmqjPvNMgCKA2GPGHpRssLjkkKotCOrVEDBZToiEhtzeM6AVwFVoC0GV
fQUx2SBoKrmTlR0WjrtwV758Sft31/vn46oCx5A/NN9YWvmikQ617FTuKVVXbbJjQUD5fTUQFqXu
4DG+J4ykF2crpTMn6H/QObS3w5sX05QRnG2lXclM7z17nXsbRXrT6voYc9gOATEVA0sbSkPTolJ3
wA9UZSaV+6zZ6fYdjtwtlOU1sEz+ImKKam4UCty0BmtKtHTND6rYF1WZMrs/k3DM4kvrH4T87U78
97OrcSyDiA8hlxCCOv3vv20ZcqfrwCzZpGRncphWjrtQj9qMDOeSvXjz7ab49XQN313Wib0bOn59
QVv3n68npfGoRTpbRr9SVmh/Dq4TTDDzbIVcEyy/2RH/fnfY2eDa8wYNBbf3lw1RzhrfRq3V5skd
YYFzBrYf/ZBtgGHM04MErPe7y+f0E/9cCw11ivRznTYoRf/6eY4wZfomiHDQ2jev2pr9N0en6azy
9eeTB9doa4CEZH49SEvC9UKPHkUqb5IlnhWPHj7/LVC+W2P/qVL/84X4QxHUFrAOTEykX74YbqwW
oFYtZils9AmXWB5MpTl0lLlMYbe4ZgIW/Cz1XzUFX6X2qY3BPmYMV6Pfx3L0qiBzkPUcNcDh1gJX
HBusdBecftw4u6Qw8BXFn6Vp+USCDVrgPKyXeV1D/z5rKmFOdkYRfyZcU+zIcmEE/zBivOiG+swH
TKC7WBjFXGOfHUPp4KnQJftPPf6YeISEd0pdnbXlJozCdcYIpR8k3EHLXjDJjWw42d40ihvxwvUL
EV5cM1JpyQmY+eNi6RdyxvAR6kyf7hOi2YzEYU4vaT/R6vYHNLxllGItS+VLDNUSMVX36Q4qJv0A
QSMdZY4+kU/K0l4Cb8a/EPYnmby4gUXZqBAAE8cvJ4sTDTllvCm7nvx09dSWa1wpUf/ZGBBuqxGD
GkaPihyETeDUhmJkLMHYzH3SVpbgu8U5djx0tbcEQYkKCJQNnxiGKRMcAD7RE9zPWQgd3oQN687l
HpV3KRXUrw3upjWQJPX6nrL+pdPcAsBP8IuSqJVfbQKQhAwKNfVEIhyE5Zkt6+BGkG+oxZVcSnWs
hZljVluPAMbUYefF6q0V+SXl7KNDxkrpJx3IztOhcFHUgHBp85ZrYKvimOSnuy4U89wiNIxYGMrq
jHdjkuvHbjvGK4vHRqW73oKZs5vStQJRmdF3yIB+VuDAc60VxecSm6JgvNH76iL3KenC2DeYOvAY
fT3WT5pcHuIW35gvPckTsK9U90rC0Q02+njoA30V6i85rgIwBJe8YmYPaB2PgRleOpIBdLy5UBJJ
2LxBGn5qmYUiNKgm4mcMna+2hiNmFEyZexfPLRSbWd6E+O22QTR1UPEkKMda4s/Q0pgyw0ajy+45
aJKNV1D7AIkNvNLJYptiFwcwqB56sce3Xuk7keUbkd74UqysHIRxA6iIDyHFq6T+yppDXZRLFOMO
OA1QMCLoE2BgUdiHMOp2tkqBAjXnob0rq2tJwjPFZ5oo6zITb7CB5gKufOT9SJL61BOerbThZqX9
UwWtfE4FwSEjMjLk7jMgnR1zL8wd4EYtEzC5eVYzzhWrWHFMI1hDpwUCm6RrjHgLv2heJbDZxJ/V
J+jELH7YLby9B3hSjZtFU/wUIL8D5deIrAoFEJi80v+KLc5v0R2+ucbqYNukVEoAa4Ivc+kMWeFE
ol3VOVUYXVA/OnIpSYXEYdKWaXsackd4J3NcrESeYO3QcDIMcuGMyiOMtGXh3lB6R9hZtLXCHqor
8qHFScYvlsYXGuVno/nU2MtxuHotTD5uDB4nEJIeCTnn2i04a1hHf1QPxpj9siu0q6zCHutTDmO/
0AoV4NsSyiLoxUbJDPLb4zJuTGqoXlyVlYAHKVmHSCV2uWqClcB8idgYJj7wop/SsLaVk6euES3a
wHAq6SSqXcF5xE/ilURmpxt/YRCtgmWBtwWToc2pQtFxlgzma+HB/g9XrE7s3h/lhKfP8v5YuNwO
2N2KSVJq7AlqsNCHZR7AGyg/24LssjTwt2gO1MGsvH4SG2K+5uggrRMbZy3VkRAaVNVsXlfWysab
0NEVmBCMDmq0LS538Zo4EmrRVWu6eU52NsGvXD27eXYDCldJtjM1jnIxvGKELfV1UZ16OkMxfobc
BRN6z68prEHTv2Ay75ScaRdiQXCtG2DehUNKjvNvuZdl4KIgne2aVbNaa/5RcIqNTVphvB0NfqO3
lRVkqXNnY4OalxYLo3+AHQ/0at6pvpNE2zy8q9IxxZEpow36oEQ46mDxOhrGHpqHJm2UhJEoTJqB
Vlf0uLuh3Ac8hrE2ZzvEen8r226uFwBlKm5QrAvXsTvDZDnQB41zJfc/G0Z7MwsUK/jrozY131KK
KuXtW5q1b2rBTRoSbQaDMsE8zCg2hSm79hOWhuYXx6SdhzZpUnVBPXccKZisO2wVufbkQ4asR1gY
tDzPgu4nH4uunc2ov3PmtfnWSk07c40AWCHyfqWbjqe4TLpxTtGRLmAqq64NxQwxJXFoC5nZJd2i
QXcmgcdVAWeBwRkZG+5GEvIG/8dPqyse9MNuAv0bjeHfDkS/HVjUL9N4Uw66Ic44sMTGh5o98Ib9
9xlPm0akfx5UDLqu/t+JSP1yUWtTUVM6xQvUJeb2Rp0F2soaScibc9BkRfhIMlql4DJo3quXBHzG
97zCElnOE6OaWz9Fh0lWX9FbOGtysDTGIefDzUjM8Y/YfF7Cx71SZy8BhjcVt4HanYcA46eaXCoZ
xTVfRzrb1ogzIbjLMF3abCWAfmM67FhyccQU1bFu9glsYu+7yiSO/X+9f40mTeBAKj1S9M98OVET
HQ4VGmfEHGrnJTXLp7ZB4B6SdexxEOnt9MU3TcR7+ZSlS41geetSZHsGb8p4grx/ApUcSvXI/AP6
RGteDT3ew8Ujg8jBzaKshUbvrR6Tnsvca5pxbWq1nR5CbWnPpLQvMcJ9Ih5FE3G3neyYCu3Xbo7Q
neOD6Ott494VYk6Say26Hl+VGJdZ9KHJbMOU0fhiXRbuxrPZhoILiQ4mN+e68nYRCJLYJ0RSv2Fa
hTLRLHsT9R9CBkwRuaqwFr/h35tRteKTYAhFsbe0m6weKSNY6obKTvMy9BfZ3rrDpe4JcWwz6Sj8
bZQ5RrNWpqKAyesYUCKILnlpyH9iC8KTuPTES44gHO57dSPJ9UxxnSq+ueE9rS++ArgI5HL6XgqA
/MNOT5nTt/66cfeDRbHpW6K8pbD6213WUiMeLfFaOWn/s0uf6/gpZn4QZo6P405PWDZbJ9cBbxJS
NKBL6iVUz/6lq3WqmZ9zpHmLoZua38ZsHVH/QMCySaJVP2CfyuiAQA7Gi8JKabFVV1e91pepDl7R
f+TYxM2J3jRToB2a4D8r+VzWbz0nrcrDMA8VlF2/wY6iBzdVOhs150wqhiNofIVJ+/QHgWcEyEug
ftgmv0A/F+ZpMK6+BLIQcondv6fjS9w2gKXj3ah5cBKCRWr/okUxlYGIzOXp4xxJNgEeZj7kIS+m
p4xxXNH+TLnsK9kvDSOYRhFHizIW54tYfdJJQxTcJAouHbb9q2jP6fBOpQfkhz3h4RlPaoDN8I6z
i8O/u2gmO5nerZPWPQ3cIVV/Hlj2wzM69tZ7V64l1sICepGffYS+Fy2AZW9t4OjQbr183/rttjZI
DYS2eZbHnhbQLHmWB6p1dM2oHNq0r0ZYQDky1zpOQL2eacXG0N5tTOeAh0yqlCNt2GOAPMDEhX05
rwwoxtfCfbY55TNdLF9FsAJtfUvNh5tL+9ItUP0k9ZJG4Tt313nf6YfYbg4lIIs+nqo2bWsbCekb
/ZXAy78tFqbJzRugGCPpLwJJ49rdwMUF8SJzMcmwsBFHQSd8SOEiUGV8KMHNiKBHtcKpzGyn8J9a
Erzko+kk3s+hEAQgEv/cZDvJuua4/NMM5oW1bjR5WaTBfmTq2UOlDpoFXDGN6K6kLAdV0G926Ny9
1dPU4jWr0boG2AQlTTA1CjepQqvnTo04NXb0WSfYA5f/HACl4Sja9N65v2IOrtzQuKANFemRHgPY
quj9tWu2F6M5pdZNGq51tQADP1iLFm5nfpTGD6PlRB1MPxK+lGXdi56HQ8G2g2tcXZT5oXnzA8hc
xksJQcbGWdQuLcM+pEjjs/DTV+jmijuCPOnBwtKSMYUFrrY3Rjp66fGCe2UBNYq9NeQWQgqO4NbI
VKs7q7R6uRqg6PimTXh7UieGugv8A7oIl9xVqFmrJJq87rtMeZKSgnFmiamq26q0XSjXCogT8LPw
WVLbnxamf47KDnT6ed7dcgFo5ifm4nNMr8FgDXDL2kUXmRCxtGNKEascVh8Nc01KCNYGvk/Pe9cq
lMyNWtCiivXCxbek0JDgRqek38X50gIlb7a3BO+O65KRGk48eMJTZ8J9i+S9psLp9WcK5sOwTZbQ
vc5i6o2e7KPpNsjlJfznWS5ec592UjEThiOFN0NmBAmIW2jv/PHmZlZsfWBKtfKUdJuud29h6WQk
x3Js4xTIRN2SQMpMqrlekgCzux63HtbEILkaRvkwXVpTDfp6k3Geu5BozPfBvFKVyX5mLaRWdsqy
3NFws7Dr4WCLB6J6Dri8YQGnf3mMMLJpBHmVdUHCJuP5r2KqbZRHQweYdjeDYxzeUlI6ddoutCRc
WqJba5QMZVzcrYGE/XhXvQH+V/j834eYf5Go2MQ552mqAnpS+ZpXlApPs+zc4Ga5UFaQrrj4z4Jl
MqdC5qTOUxAr0g/1xzcvOh29/jw5/fmiX3QxQVmQSWczz57jrRsncWpkbsmpne/U339RMP98pS/L
zqiGI6hepn4VYEjQc1uy3Y7pcEeZ5c53+qXy94wM6ghpi0kv1TmofBGbo0IulLHk1cCn7Qfk0uSt
Q/LjfurtAQEtwktzGj6Yovz35zkdtL5+nJaJDUQzFMsQ2peDaNhGUalOf8Mu2zXhkscq9L7Rt1Xr
3/5mv7/ItMD/Nq9V6lor+oixHN0oRwiNiD60GsrG+zDiMIb/Zp9M80frjf+0Dp+tAAdByUMs7LVG
MqRI40Nk7iLd2Cs5ljZ2qewauA9gxHOruwQkZtoxXY3xVcuupfKa0BqsSB6TMBqK22E2+cHij44e
+1w8K+ZbHWx6cBAlQw6VajD9g+HYVDwSdK8Ro4mR8V9kglwuQ2DoR7MnWcqkRZ3Oi7lEAI/IToeX
uU2zj1ppt6n0SNCumunCJbKlSvgnluH8+VOtfdhC+CIWQtGStcf6NgslY52Pi8EdHbvg2PiaysPD
LZSty4oIyOQ5qLOzxFiAjirdvJjuJYZu4O7M4cYcuBTnLrrlnuXgBH3pQf7Gcfczq22CK8MizvtZ
jataIzjd5PXW/aWZYhNzYwBBbUhTmDomP6ZFUzvdo55M7tH7SPx6XFJisfKK9ugXhOSoRCwM/wdH
U6lxJgd+Yb6UCJCdTvrfPxsghZoPpdwVsO08bVdTsW3j6sP4jj1yHYfPZoPVD7u/vM7cu7CXNoy4
Mnwz66URf6aAaPgAkGFFdJA0BJmNpCxERmnRQSlIYVVzHHWKKeYiYgJw6OARh3iSmAwUzSlImVP1
tFo8awPUBJZQVZ2BA5QYm4HSgpKoNPFdlT8NYxH706RexI7JSd6El+9fa1bFILhr+tFDBHOZuuZy
tmyt4VmLPsto7+P8y7lB2+pbnhx62eHWjz861J/xViLu8cEhxJqbOmM3rCBkhXNX3JPyLYuoxZ2+
MCHZRDI/7TzSz/TL7Knt5HZHXp5sHmqSjqMVBmpdODFflFHdSpgkVVqnlGHKX5/H8Cl0PUepz0ZT
8PVGZ3PXevFp1AbMcMeXwy0296whso66FAsnqXdxmmx88JV4WkHpmUKatSjaKsWtqpVtKlHvUoYm
vXegh0GE0l7BjxtuOmmuGHu9gGxCRTrRF990iNzj49koUAHp+3F69bMl7+LF9iyAoqJGy1wTS9Il
it6vx+xikhjuOGFY0VNT9r9MQ1oEr5rI+bZubaJ5WWHvWuSzXASEWPRt3/BRFncCBj7Ni82wC2MQ
qMQr824dV9cxOg/+klSB7x6t4hQjzWkrt74VUySjOgTquCIeRx5kyimuouKJ1mRHDtr9WMpEKxcJ
sSY7fO4Ve2+r5zikuw4R3SoJ+WnNnX/wGssa39oc6Dx8IBoTAcIEsOniU1+fDEmcykK7uNZWgR4Q
avEmSl5UNXyuPeVU8cceNqNxtmENiKUBbIYY+3C0GalyGzGjZRO99E0EXY8TfiJh76U8Mj4rVvkK
ovwzbeiEjAaLCXHEnE6LLvrItbRJJcyp7qLQyCsB1Ac+o7zKRK61iQqYDk5MQ3At9nY0frPy/6Mj
fVn6IUKZQkwbD57lLzqTWlDUQZBjAhh562pOucysmmdzaa4fQP2tSh5I5/97s8FFZWBLxk+l/yWC
8zS4qtfC2xT6jcl0He3Irv73S0yb8l9v6reX+HI8KEtbo62DlwAoXFqvFW2hkbnNIc3lwTfvRoh/
2bNxPE7nH1WDGPZ186TnLWtVGychqu7eG/MtdYS3sDY/rILEQHMslI1pvsnhp+kvtDDA2qwulGYu
m+dCPiWASFIm5T65XeLTpiG2CiNmASWxtJCjvHMpywdK2HoKKqm5UlqniYNjKeH0SAXdetPw0OSL
mtmEuo29zfQ7CYqlbCtPpraT8m3EypO7T3K/0vRHXV4B6CNYESA3VvTZzsug5SC/j1hD6XM7dPiz
wzQHTXDI6Ek0NN8i/kuTuBFsdKBgOtMNoWXLoQ3nY804fESSR+UNsnin5bhZEABEH2wCTN0d8ZHO
v0dptosoHYbNm3i/dAv2B01KSfvkTXmmgRFpSJkLaA9jgzKj61w8hhezvPUq68y9jyB5MCa2EeUS
ynUjXVqUvo5dhfxLehgYZVFMxdq4K1iwaZr0PLokY2+mACJgulEllM2SpcrihzQ4XvWk1YTUYIS0
zLgYUMssXAbDcHIJ8yjhSpCvIndJke/kkuZxT9uNkDiE40VHQqzWFsRm/jBS/WqEV0EURY1+ts07
YQHD2DbD0ZUfGOFFc86zH1JwwGEtvD1dD3NJHEZgUcLhDlJzLe1qIogAFbxsxuO505Nta98hqtp+
Q1HKAcgTN7L98M8qKa+KgBDcgjEoyFQhP/Upy0JyKgjkdog0lIFygzLd20AdUjZ+5kgmLmnXmPLC
1ajK66Q7h2CfEspl73G6Zu18qUMqpkrt6o8njlQDiTgCGoaJR0Ma3+jGsbnZkO9JyoHSaogIxDOD
ZJvEyl6iLqPo6Q1rZRgq5RT7PBZDvMqFmBsgLeWhwQ1FtCTMgg+aFzlgxNWd/xegBBIYTcn6+N/P
+79Namm+1qivADnOev/n0bKJdE1p6LlEFgQDXpMA1r47mv99REaP/+0lplnub6dX1Bgpom5SnQfD
Gxc4uaT2c/V/exdfDv+6inpShbwLSftUKqdq9G8+pr+Xxd/fg/2VEUlLCSDHkRdIpujQ+FGZ657A
h30kRPHfb+VftpU/X+rLjUJxA6XSJvtC+yl9QqNcuK/ghV8bezasEKzn6XMeLr55TfHXqs9rCv5F
pxA8JOPL5wf1ZWipo1Sxt04Mf5zBB7Gpl9pqsnSL63+/2t+rPi/2mz/ji8mAqndvLCveoGpubOU5
KK6YhOcKd+z/fp2/gg68yh/by/Suf/vihU02UNSL/xiIiOuoC3dDgg0n3ZLQ4oI2Jed/sz/znHMc
wPKM+eTLwzTiDQkoFxEMLR0jNGcTcYMc13dvy/r7oaWGRBW24KE1aYz6sknztiur4iY8p2uOLvp2
o1YpG9YppPk9oUyM6VyWLfHNz4z+Xa0edvoa6Ddgg16JXNpiOQyHB5Ysgc3QahIECnTacdlRI1B9
RnAiut0Q4q/Y1u4lq3E6K+my94GpEECNix+B3MyzfMVYSjGvZL82jTE4+Atee5KoMjeVjABZwa0n
/VEww08BMHTTThV8hHgs1E7L1qnWOXRsA8HeetWz15U7vbiNubFES1vAz1BbLAjyJ6DxiCKfuC5n
bsmcXYe3TT8z1CukC7+8WYKRerLQyy3AXM98DUB+FAc7f4AuqOTXkdB+9UNXT8lwGfMnmbYDN6i4
CCHuLSVtHUizQV31QEK45WoWtfJTnjg4wjpQ62Odn+qq3wqMmvFnzyRLb7F/gk4ImETnh7J8q1MG
gXuj/+Hia6+iNc26SQX3UH9F7tRf20RewKM8CcHxQ1YedEbN2ughXOShc64bxG/tehn52zJK30r3
NcsJjHN3TrwVY3UtHuCM0JKnUotDg0LSJ3sYFTI0ADN79XOsHz10ZJpSm0sCnKJVT6rr+DmmuWk/
mbXJJUIEpFuwDp/ScE/zA/uOgrhjz/kK+HymZmRvlfHmt0f2p9YHk/GwUn8TV2sZuEbbAQQUT034
o9WVpUF5vGm9hvUmkIeljDIdYKdtpdeRfTbG4woliML0ZVGi1ov43AZwT9O9CQHJTjbVyPvEeVWe
mAqrGHBGtAzXOgqbHt/y6pLwNaA66EisJdPFLvrMmAkCMVAKppPwZ0xSyKAZBUZk7EBA+pEEAnwa
JKhd4PCQdKOL1Np8qcwD6fiFb7hzPdM/hl57Vlv9p19UFpizCtwAsJj6KUCFoDOV6S2T+nvs6jsF
0pDynhCxFeGOSk8ucd6z7mIrquJnUVsQ9TBbVKF+tVIjxw2Sn1nGbokHxz4YmDJMtAK/WZmlI5eY
FYnrDwBWhBrRUMZp1GyrK4VY1MSFSrjgr4Flw+hOBkqCy92LYtmdTwzWMuRVIj0y3CUlh2DzvWaM
jjbpe6ji6T2t1o04aRVUrzecDRluX4L5/lnO7vDV+sARdMFSyKApWyPfMtvVIbG3hyiOFjn2CS65
SYbXSr4MBeYuhCG9AUv90TJw7Row6URgc7K45act7y0g/ZS9s4xhiKRrm5yIwqIRH0HJsGpbScj4
FMASz7bIr1rcbjXd4IbuFg/UKHwRh6iKnjSP2bfkKTcTrlFmAxYfPXtLecgavAl8h9ze5xFMWyZc
+2gKQduB8ubS+TbzeqJ8QEuD4V7x31cK/R7hgFRzDCEHQBofxMqStiNE+3RoD8TnbRgoWF0f1Uiz
YEPCOl8xeopzdzFKDwNAel8fzfGTWBhpyZ2K58dmUKUJWE/DE8bRkWw+bfKUgBWELENks5JrbnIx
0m0hHF5yrZgjBKQBiL3u3SqEk8y6kG20SO8insb1xrLit97GfuZKxYlGypsouN4Y13KI9lRbdQX8
dzp5rRyvlZFgMYsXWbz0KU2D6w/BSu0BoFTZ2nfjNVUbCbkWNNrFUEZHvyfuXQDCaZPyNGAkpRqC
jDDhgniudu7J8jm8D3r1oHI5XbRjvpEhlnY/SjNZBTg4gvAlDJ6n0aH3asWvw9gsPH2lMXWWFFzu
4NWCisVWh/LlZ+OCPuLOUSr+NCwXnOLOPC69Vi5se93m89F+Uv2ntP8VtYekOzVYk1gcHdDPCYuP
XFZIcGN4yvqnHoJA6+fOqKfgA7DH6fZ7SFdNK9S7yxBAHz8DK+OX2ocuoQk5urQG51F+isdQMffN
i1APdc1KrAWnsjx4UDYUfkWKCnVEBxsbhf1hK8upZiZkIqA9eotW43RBdLQh0gCzgxHWmG7a4S74
YlIBKrO+it6bk8RduRidcuMtIMuWA/XMiRogL6b9fOgP2lRRNyL7s3aitxJG44wMZ3Y4kaVu9S3U
sNx+mfg5PdG/bosgyyLUzHJJvzTEJzRsbQ1itdYjcDCUyLi3QT1eFmwh+vApCopxYrGIyuN0t5RT
sUBLbbz6odfUaEqIKyrDOKlkH6QQBrJBCpmY9d2kaEbTYoQ3eFV18JFPaEM6FkJzYWPBSi2MPPm6
sKV16tW7jAy2C5koOufWR9RdvCxEDoOROsDCy/lecFyRFBMaJd72kV8vgqur9d1iMPMXr67fveCY
Y8imP4CaQjLWBy0d8CBigzR2DAh6lK2ygSPlFL30GrbKadRzGBwXP7+nSfKmQG51l2lvzoNY3wyR
epMoB+DG2EkzuFyY0mkBWjWUzJX2LcO/6JNHM5aBrx7ILKc1zIiRTiDt2JvPdIbO1WyL1DvKDKhD
vPi7ypYWVQxhZIfY3uO8ENuy6ZdUj84LIuZD/BqyjCgB9QqgE0MeeB/CHid3heY9ySDe7N/T8AH4
P7c79lwqi8OG62tyGoR7briQwlKQUbXqyVIxixm6NCyxaq5CIlv17NExYfCuPtjKLvDeoaRC8tpY
PUaTMCDw2m0QEHvCdkb9jq+tlC82Wb/SVxx9At8BgStH+cikQbMpAkZ01UGvhWLVjHBV2md3lO+B
EmxrhYc6YkjdLTT5gVNxG5b8nUZK8ryTbMTrIWH5L28FJaQetRSxDxIhHOB/gjkKaUFaTya66W5E
N0MFhU+7Bzn05OQoMcl2mZKPkHdPwIfnAOrJuJOjkR4KBqu+/ciydO95AnCZvWOjrvhFeuXCRVdW
flCYdB2Te6emG41hCjPVSFec1ILn3f+Ek0KeAdOWBAqeoI8bvTX9XWcikFxSyZ1n+ptWmovEWkdt
sR2HbUbpU6Y/G/LRxTcYDk96ZVHk+gxhaulS3IfrNMRyl6vtTGTxyu4vWYQnLXxQVMr4ctykDKY7
GxclmyJfdM9dtVV2Nc1qolxfvPjJI/DuFhgQgS7qpX6UlLYDw19AtdnHwtpQaD+fmiQ49Xi4LkRK
awntAPm4y9iwW+JcYmhXZoGVVWf2kZTFLpKeB0y3qnFUg7yZ8ZEfvU+uveDceMt9uLZNdz6oC6qH
ZnZAbili+W9fTdA1SXahrGUAzui35L5L4JsnDMJjtjKTX6EFlq1bFOlTR1zEXAcWTpuG4Wr7LBXX
Ov7QmY+EwRaRcW5onw222Wjc2YyJMUl3AkygvQhKx6qHuUUaqd4PxqY2Wk7D+HT9pa1RLJwcMIkB
x6MeVtUXCSGLBKO2KZ982nvM9qWhBbXJ6nmcndtoRzXTWGKK6Xd2Lm8xYlJdiwXikxHYPC/eVAgm
QnwarjTTTPmtB/dseuI6To9OdWGSbnr6cmyyaxikLxJH3HwYniQKLTuPZzdKdvIgnCxldBY5KQVP
GGvT5EnVz9RiDfnaMOwjaFECKa9tf1LqEls31c1tvqSEfuar+IwyFlKAUP57TB9wNTpJN2xS8xnU
Zj36u8TDCo03oJDFzhZiY4a3BvQR/64AAVHBYqFEeU4Uw/ED25S6xyrbxpw2pXTfG5Q/t+9BfWz8
cusCCKNQ+tGmOYslMnI2LHISPiG7oDdhUqbNDSswcw88anYxg/QZ6meOtXRGLhP5rIS0Kw88ke4B
VEpGElcnJmt+BiBFUlyRb2Z4bCgqMxV0IeU9lc5mg2Y0nYhq40jpHpbM8CGJkdAQNz4OFQqnQy0w
73YXXooimqUGoEcUL6Ol7fa96TdJQBls6c7yAhyO9Zlz787ZYimeavc1v61bb2lOmwfjDsVdrT0W
eLgNFV76bCmF+IpKsFMgPTSJ0wjXS9qv13IEEojjltyuLQ/R5C1nkFbtZJNn02PUOb5r1qFXDrQw
41Agwm1TMpUke6l8FPra4gZYYDjg9IjtcSV354p0a2dsouaQhc8J0pqRYkiKEKr9cRfVL5r6U9X4
Y+NzGDHO1J+NFq9d7EBepxLaws1h+uJJx2WZlTauJ/mdAVvDcWrl+eq1tFGhiWLp3vOQIM1Ig4TJ
Xh1vdkVP8AB/SzfKWaL28BTpoHPp8hEYT+g62pr5k5Wj1bjbzD5XGKktTkMTnW3TRSAwsg8YjeYA
1BfbQdKy199TrtXsDp2MPTOhYc6GtmHMS++mK09i/DHk5P3iKzZbtVfXBrMeHMUSDgS2xwFnBOts
U0wUOu+I5ss7ADPqqNLPqDoiUvZju4qoOrRtyCzDXJdIDxANExKgRlr2/KpeuC5hAovmt2ShoeUS
M/Kjc6CepEK/ivbs2jujQFQOlthxeF+4JC2H67ZevNWKo4Euh6Kr2zx66rJ6lfRjD1zShBADKr+m
qCELahQgY1WhhDUUVhgV6+bUEVcX/bmgN6KEqGpgJvaTeqWNwAQBgv0Paee1Gzm2bdkvIpreNC7u
QwQZ3ioUci+EUinRe8+v78E6F92pSEHCOf1QhTKZSQWD3HuvteYcE/+FKq/belFH0tFENVT59bZP
Dn5Y0jBQbERgtm9FswmOMHJPVBrMoXnqBmM3QbDTVabBBAfsjjFMRDot4FN4cdM9dfFMQtqWMEgH
Qtvdy13DQJg7E+n+FKSRM3RlK/BFZ0zNVe7WC72nwu5qW9VftGQXw5BqBtTXiu31hD+pLwmYFgWj
H2vfSK5SU9pgVAp12SCfkQiLku6j7s3syAwO3hmzk3XlSaT22VZyCNRd2bGaQ8CJSEink1CD9/Z7
CI1w5z7c5uwqu4oaOOsPvG0BQKUMYwfd8oyZgqN3uypJ9jpsN7/lJBqdPYvJgdQstXZfybbhPzTD
WzVWjsqwLwFu2R2mdniEoki01sDHBmGbYG3DVTIj86GUlnnd2b52cbsd8UguzZ+CtgaFaCZp84qw
SalP5mGBwD6smXp+DKxRZXAVsq2cZpeIgiPN70RjkbWnsnU3eUELaLTHgt5abQupY5qPxSBvp2it
Tnkp+2Op+9vesl4qQNoh2y7u1lLd+uopTRZtsG3o/0WNeW8AjAQVpz+7rGdAQVFaaWMzn9TwmsZ8
RZDXY7kqmmqHYEqNHEF8KLzUCUJzNoIe111pqUMnI2vaVvq5QvrcUEtr3iwqAvLxEvdqsBMmybp/
kbE5SqH61OoU4jHfct1D8nv16oOWLQM6ECUD5SxN54ZbvUM6shu0Td0F++QwExLjsS0axwQEpUm/
LW7U9129v5uitPR0BYiAqcqKpt00RSuBVGIRkxl2dfcgur3DFGjkde9A+31/pb+l05+vdDO29LC+
Wr2Pn8UFSCaov6lTKHWeJCICaQIMeKi+v570d/+fC+L3lwghYh6jTv//jzbsoKDYKyY+Q22H995K
W0lbBkZzZRmclLm5zeeC/WOmkyJ+oZDmVsJqkCDcyLTZPl81A4mvaiUfMxaLsw6nsSseMIwFVGJa
8axjfE+qqzFemvGlY/iGU8UjEy8y21OIVuAKprhGodsgS/XyU+EdS8w4Soj+kxedJTCuH4P2F41g
aha4inDWxhO46rjYBMWhKq+lu5EszBGF95CNpGfTVtfu2kRgFv9bSI+qTNQJWDijV+foNnGLQRTT
Nnm1iXpyzg2YVEcc9FjsRaQwcozor1H3btbbJV5bdiEdEQFJ4FsVALDG6YajDUOltaEOZ8LQYSqk
1nmUW7DZb7xhttkrB8xKT7637cYYBjnIsrrYDOBKO++tiwltAXbfUyHVAXQQkUiABIEGLZyy5RPS
YX1shhhdcw4ykzg1v9EXSfqqCh91tfar7cjdMYX14IsvSSFdmyY+gpC9GhopifGUXFDH/iPV+pE4
R4rYpYbvZ1hW1a+a0X248dUJyx2y8Rv1Y8EbOy9qVVl1EzrRE1IMManBgZKltDGteFlYiPtA5Ept
gmWk2oYFgcrDUhkOgSKdiuKXYH14iAQA/g4sm6wlQ8P8EZuPRShHJ3wYVf4cT4Vg8rsSW9a/u948
Gi6Kl8H8mGhFbDtDy5FZ5GNYyx51Qg6nSxyU11gBYJAXKbW+tLQkpvw5HA8Oac8+3de4Weoubh/B
ONSJtfUkYaWwPAV19RZMkZcDalaNBp5X8ZO3IvLoCchshdS+Hm5xhJPcK637DZ7tmITxfCQBM20c
yFvgriCB+YKT19XREHDkLayILYQCikRCYJ9W/jwSDeiK8jSbDGLJTnWgsIm3jaO1QSakEVIc+MIK
A0nvl9eKlAS9jdU3odeWRsX5V9HTg2dZ4skkek4ER+UkKfTGkTFn4S6bwd25lDxFcjaKaN5jkTEw
1g4fvUpdMuBWFtet2V3iEKtLp1y7NrtH/LFLom7tjhgEBQP1nTVaFxEn5cwYpVOiWy86duphSn6R
KioVWy2WekJuUXOFYQljmT6NC3e9x2CBRoyxC1ZNMl80nhBSDskpTO8Ccc1Zgm7vusTHRQ9ea33k
Zg7zaYrQ8dqeTDH5LdSw6lTtI+7G7ThMsH60poDdsC8tKkks7Ix6LMz1paziYhcLsPKxMY12hbME
SdECbmZU3arOvA+B4masP0xmAWOK88v1nRa4MkmUYcwppJXutO5BCSQa77GTkTQZi++mRBPMWHdo
4dS9NXKIcOHse0855mviOA3OKT4TlqxZZcK2RX8WDJey2pCsfWhw9+i05bGsSMoFknNJhZkQYakU
u2IYN5Fekyrq1HLxW/RARI9dQdLoILzUo0XHvdl7WbZkFQYMiAAuTsmgtFZ+5T8KRnOHbXvvYw+b
J6MHilIodaYLOGANxAZGSHWaM9EIoraa95n/FHbtxVXlcyRYeDBdBwR9ClO+RGHQ9fLK5AhUdk9G
UyAOBJ+O59CDlypuKlNZuhhRI/okpvBYdSRGuARrQKb3di4l2UgccklWtQGCAJG2sZXJsRT2lNez
WLjGBVpF2icEoUmFqULOJbcnIYpCR/xY83gn5SoybYlnPkz4XmWOUF58CNPmubXaQyQxEAA9QLmi
Uon+ygQQMP6JwVEOE7d/CZJyW2arTDLnE5CdPq7WCcuA6480LDhja7RqfNaqFAVfvS977GN+sixZ
KasGlmf2Qit1K+XKgQ6zFSJfTjlHV2CvByY+yGD3HGxmBM/TnJ/EYJUTS+dOPwqo2kqdI5jobesk
nDH7OuhDSjAzWvwMc9KmMapF3QYLlleMSQ5ugXUtD4uxLWk92EkDO2QT1dhurXOVzPocBU0obHMS
fd2lKLswt4NNFvI00LMYR9aXkf5pDfucRwc+DkfDhUA5GKU4qXFJpYr0RNvqt8pBD7frMYqMSexC
4i+H8QLJi45uxnQLojqm4y4LZKasB+adeWZtpikfH2gU7wPDbsmlrPhFbnsXEeqqPet8PxrPn6tX
HHKnQNJFHxPLiZ5LQqNLOttCcBHBYV4CSkoNobSb0r133Q+ZdjS8c8y4CWo0nxOuUX3kKMgqPJNH
kNS5SlI6p25qmIhmXmxcIznBNoQSaG4N9UsJM1dmkRQaHCHSfUbV11IvQ959IZtpRdh2q+hbg5Bh
VRXue+x38nQerrAy0pcqSiZmexrOS6gjYftAv2Km8chhW0jKJXupxnx+iiXLHlNGvswnaYnRShp/
Ddovz6LD4Doqs+2WL7hIwMpWAvEI6qEpYOuShK4wQ3xN80cNZr6IVLQm67otziiwworWqmt7yu9E
PaDOEDB8Z8Gqs/Z59iwn5masVnq4ZQrInspjtzCD4pLhKYans1Li+iFx392cFB5Ehi3RprG+ldES
1nzvubIesSh17rvAjyXTFWhx41Qg3CYfTYWO2XyIVGOriHdhdejKe4Oo+VG4j2gxeSsT423z2xju
MmsdcVdKnylYjyyLF1jXSUW7iDgicKMRLw77UXnVRg+BpLrMRWZ0tO6sS6w0oONtTtmMEBnr0JvM
FkWOwxXMLPMnFP7TvJeI9vSUjsvWBV4uf5hij7TRnboSj2nKdIwMEdZpxpOIbIC1CL/ZH8Nh4xuH
LryzUE6JRr+oJ/CueApcBrIbD4cPiFF2EJJIYnmdMciU37OeOYm58swNAq0QtwMuwB6nUZU3DHXd
bS5Ye417HyFHhr2j54CApXgbpeFLSlsjLw1shOTNmYsIy8fES896GCUsOai+yCIjJGR4EivmT0hQ
S9r6RtuC9Vyr4yaj5dCK1OIMw3n2ap/3uAK93i9dJJ5Gdc7Ilo8UBSM5ojRibYWEWan8MTba3Bsi
3CIskTXomLK8KsJFZfORG6fL+LmxAGucTFgrAa42pFbqpMwL4VyGBA0XZAVVVUjuaH7Y1YSf63Rb
9A4YTJ3afMzhmVbmXUbXezgC5nRB6lOJk0SJhteSlpRIGs4zAcOTdi6aQeU/CpBdpbnaGWtDEB6L
EYxn8FC49OXwNHhrLPi5RN4RU3QN9QC9Yxd1qQCFUmDvw/sqLQXcW9EmQtyVGPfsL9a7CYzaxEZd
phRhHqGsamNbwOD90K79/rmczhr3om5X+sk3VnrCqUcVl/RUY829+iRxl26z1wwktOmvKPiFAVkL
Pop+C/h2VBYEMp6aqtvK2jrJ2hIK1CHnHQwj+ari0h/UnWrgIlACGDJNtla9gs5Fe+D4vBxQ6TIa
aOp3cFkVxx2xXVcGWJ5zB/XB016NiY/KcIjjiqQ/ZcRhZCXTCqZvSBw66QosbRaJ5M7zkOMaGmgI
gypIsQMKEiJAuiHe1H87FPkk9JXIGZWIhUetgQWO4Gu62Jz95Cv1CO4lxvVjECJnvkSY2QzjKc7P
gvYoJfYAfDm0pJmOzcdfKjQl6CUF5CwJOn0LH4wFe3aN84+EyLy4o8/iomAmbAJne83uV/1zdvSh
r3bZQaUzFRTiL1PrTx33IxL3rj/etam2GBhuhl5/5yOHIAP26gK47OBg5Q3z7Ni3xYCv2LOAcL0k
6isJCrSu6LObMHAU3kXfTfZA3ZcqMdIuR/yxh8ngQx6yKNQ1kvWwcQvYINlINW6XNuI/8F4t6RHm
dsKOVpTNotOxK8W0FB9lmgkd0mrxwTc4ijS7IGH80taoM9laYKlsTZKvurY+DBqZkXqxGzHRh1J/
L5iOQCdE4eX3R7qSEm1FivBNO4qzuNAQHhqXNHRfSKF80xvlqgXVb+bkO11XNXqgWbrUqmo3Ggoy
636OY2Quq3dKj74+K9djUrL5cUTrwDR7U6yYe4j4RKMg2D2RO52cLC3zhJFlnuFRbagwKlncTSk3
fnNpQwrZ8sqZ3RaJ8RUbrJnk9XjGQazJHSueM/k+od9D948L3FEXz2mUsapqM9ZxDvpSIM5D4a4y
sUWHyGCioxKdS/fskxDkN2hbDcZPEfDeeO+bNbY0uzdtWd+N6CTNqyJtTdQmeBCIvc0Iisv08OqG
b5hPsuKVbGEtOkp6v7DKS6RCTB+cUPVtjKLwdwBdWyUSEe3S02P3+uepCJXG+KrJJMo9a6O1BXtc
R7tR3zOGtujpy4zee5Mn7kMnCSTRnCD1nhL6/Yq/6gYnparyYKjndqveyZxXIu5xJp4A26B6oj3c
MNZNOsBy/tWXryItX+HDBC9BWJJn4oYWEsmyyeg28+jejB7EKiCXTbtY7PNSsLaidB4CXiILcT10
zRPLV1YdRVV/5hcEzTJlSSQ0nYeUimoZjxcjRMqBrT7t5AO4NlrshG+JKrB9fYCVMSCdFd0oXUzC
pqCgUa0P3mukgkhICVSQ8zltxATWS46xoXaZyO1a77UmMYVwBn44LBBC4LiVflYbtDGBTPEAb9ta
ph0o6aVMG5eGbNUc/OAwEWdcKnkrZwh8lvAsxEiTNaZ6tBYinN0RtmZJAKRXwg/xnEHfm/24MMPX
wXxx2YmHc98vTd8eaCN3tEN96UmgSSSQwBLXm3ZYK+q6piILoP6IgGEC8Bg5x101K+ZMxyOpniXM
LYrxwBxahOuHRpkRyXtPqLCsHpPKcTVSQVLP6YVd2M89C0Zi87uAC5U95tRwYT5H0bawzJccmgOD
qT7DYNqAIlF9R7eylex7ZGGZq8RNZgVCrtx4NJuTQmqJpS5agot8iPJXVkMvozG8FMOFzuw0SBwi
bhpKcLlZw90Czme18bKnZqM1rncPGiDfAKcMvpoI1BzMr5rYKCvsEGN1Nt0txyrrRdHlbyw8QHYc
EatzxrtsCO4DQY6XviYCrF3nERUku0DsbVzxHlAB/R19nTDmw+Z8wim/5oGVmuLis1a0CKviTPnB
NPaVRBACJRxKC1kvmdyf21++S8mhThkVefmkSzA9wvvv23rG1EC7dQqgFzapuZGNksX9+Qqtjoav
IUJn3oMOrx2BUp3AEsg2tJV6Ts+M2+9jIOSxssoVxqsky8ansWkxt9e7jLZuj1hPiWyvxTWa7GF2
LZUeOFRC3cQcAft20iPlq4jXe7I4saQMqVXNlgyPnhDLHniX1qVIb6WNkD1UhTAfDRJjeoK3qDA5
i/YDRzISNsfunLc78B0L8BCkXVhUGubcyLd59GQqH0HwXNOlCI5jtnQ537r3QUvZQ0RWgF5q6iN/
ZIoTCgtCg3txPwJo0RymJ368EqLoB7P2V71SC5IYt9PSaFvefG1WrYaJULIlY3EiQyaFqi4x/vv+
q/vKK0mqMGHwcNnIobZuOrIRXsa4Hnk4MOHukod6XSw5VmxNXDMzRHx2OeelRQD6+O9fVxYlTP8K
BNgpVP3zI1MVcl23igGpt/OwIohUgaQcFotIRpvHN8aQhfbEIFaLAWVGeTWVcp7Vl9R6cpv373+W
SdF88/TK//wMkqbr/HWjeI4KqVGiCtk9KK61tIqW3WLCn//EJpaML7ybsggSDnIwzhFc+J8/s2HV
UOUzTnVuR8yFshNrA+lRuKRBC6rklKUnYG5IG8QYgDgbvYiuYVBPTeoI/lFnbtOwN4btJCNax5JD
aGikt4tkQmqENKnTLjh506yTsNHxCVtJTcpmOcL1WvbNZDRPlpnnU6F0lHnWLH4rKSGqKfBH7Z7b
0ZoLSIlE9tRSq9Yg03+X49pq3vlBAhpzUzL4FNEepNeqVY8+WSsR3Te6VH5KJGX9ygAppPKJuxbV
zQM/mFe8SDSqfEaeaYPKxgQkQvjFvG1frXiNmGQ2eSAy875js8hTx5BZ5h9UXnqDoE4SfKhlJmrC
Muzvg55Hog6IePoQdGjcRTeP2GaE9kpCCX6K5STPG/T72nr1G3NZSw+Zto6h7+XhoSMJJbpO8/L6
zpQp3GYtMKCwZyOVkSgyuWzyVRCOiwK5lpH6GFDI1OiP7e+Rh5EUWUIsmPvSzFMAmZGyJs+6/k4t
17lY0aQ8VnRGDdekzn6DXSUzayL1Jg5WeXgKA056XY85ydpPQZzSq48SZ1Kn+KBmRt13TChpvias
G+MSU9dkgfTaGKrtAR5Fk8cAc+FzAieQEMd/QhYkECM74lVxBwjhz2q6KcH45tsRdtX3b8VXsxoZ
HBCIRoWgYgYnn59WOYhSwbPo6BB/QgKc4zmIAvwDXySp4CTP2cJ9+ZMP7CudviyBs1ERXBDfezuq
8WJJ0XHcK//DJgd2R89umTscrJw239E7WH7/Mb9YZWVJUhX+BudQNG9e/qr11Eau8Z0hWKj7Yw2M
JPyBgPTlnZS4gKXwd+Uv2nVFf4XgGKAN/wKuU0es0kWyNOaNTagGPg7UgL/+g4+F9oGPBIBatm6W
mtxHER1p+B2A8wXSg1sxbrX/g0v8s29AyVX5xj4/H7oXkZadcueCaB2Xrf2vSMKH7y/yxYRSpunH
5vTPRW6jMPK80rwSj94cmm4hGHbXIDAhCm0ApLdpmsX3V/uHnnm7FQAn5fgmawZ095uBqBm3g9fI
3LYiQqchPrWAgfKGXEOqfPqoEfSkjoFFqdkID3V6OxqRB9o2BvE1nXcUSokEmdkHSSpK9TyGDyN1
s+Rjgl0AvkKmJxDSZfHrvv+5v5gYyzL0J4Aehsop7GYzDQK6raPPBKn17opxA0AtZh8bf/jCv3w5
ZR2zqSpyOfl2RTB9Us1KfaAduYvvZYdLYKEZN4gUeYaBnP1wva9ezT8vdzO2LYxM68VA4rXBpdiM
BAn5G8Hffn/rpGkZ++sr/+ND3XzlDcIz3cpDTOXLfJ04/UrZA0Sfo3yyAWT+8JGmP+y7i918UQNG
oSawuIOlz5QEH4OW/PAoTC/2d1eYHpU/JuyZGgksCTULKIVeK01a5bVmPeYvjaT8tK599WnYG7C7
aTID23/Kgj+uNcRmJ+DvYofYB4d2J2NQ6x/pHzsQxbx5Pqdu/uG4+tVRDXDRdFQlwko1bwxxFYf/
uik4qk2sYmVFkNbCXzFscn54KL569KiWDEmVOZKxin6+ixLTusSdnvTcJogTmOohtglKW/cbBDOz
6lQvvWPx75dpssa6QyMIIIN+ezdbSywaLR3JUhlXonXXhz896V/IILiAzrsrWZKEM+zzhzI6JUTl
N13AGRwYM4sGQu+8sxVnIMn4hydd+uqw++fVpvfuj4cjcNvKG3reK23W2iggVuVqchHK25+cdl9f
SVdhMoLBwwp3+2UxR+5qi8cw3UmLfAHTaj0lY7Ak//BufbkA8tzpuO04EnGC//yZhKhX5Lj2lLna
2vmOGzkPHAFDy6Ky/xV5kz1+/yB+tbDzAIri5MiV5L+edzm3ag3CLe1ZMA9E0WnufJrEgtn9/kJf
f7Q/rnTzdbW5rGQaXVYakbPKMZeqE9oC+8lMPXY2toTFj+/Y9CferlQG5ZYE6oNX+vbk1ZeM/Wni
0GtcB6vi7J7QlijL3iHFeqUfAumHd/qrV/qPy92mQpWp5Fk+xjOYxCtPvZj9IR+fvr+JX1wCxDj7
r0UvUDO1m8fDzcfRk5KEe9iBLkDAGa8S/d+MH5ueO0ln+aMzwHVunwh9kIKIwppr4E2o84vPBFH8
6d39+4PgsLPoU9N4mNjpNx8kYo4seqE8ncKx59kcWB1zTbllzRlUGEtquk0JpuqH1+unq940PGpU
+XnXWgpGWXMZP4u4H6IfviHp7zWQ500SiZ8xZMXgOP75DRbNCFOJNUzuZmWhz8NF+ivYtQ4cR5gE
/8Hn+fNaN6/UlH6D9CxXKKDmoc+QIjpFzcP3jxyO4r9eIxYiDe+vQo6Ubt2e/XJprNSBrAeSUJr1
IDiQEEl012jPtrMImYKgrzPiBZpmW4HFGWR5Q3U9UxJA5Xp5Ekl/STOTsd6w5nYBT1WIvGKMJVSE
LYwHKVjgIjvLvbiuPNQr+lscmSBQq4XelgvX5WICF9KH4Cj6HWkFFSyx4uBFwbPb9ve+Xp8rjFPN
gCu1jlBbp1wjii9hdFEwRmERjJRDZK5MM1mhlqPJ05RnrYXGJ/4Sx43VgiT2UY1786Izs7lp/Eap
nJbPYnQR9XBH5/sYed5BkRYDw4fe09YSiZkx6mPgNaa/CpkXyuzjPhYjs/c2lg82vsE6hxbFe5El
5qfauslsrztFFar7Y0nmI8c0ojEChiWjxzRNbrqdZjLCLOu30HyQkNQEhosA6zW3hl1IpV7ye119
jyp9LeVoaAmUlpHm9XbbnmSNG7+vtI1bOHVORv0qmHrvCLoz0bZgX0XMOgFgoClrjdZxpbVlHuOA
ZvZwpJdaxfJxTPtFnPE2BImddaBq83tL+RUxh6ssyxG1e85F27IVH0q9veMTknQXd6lD/kctLBWQ
EkzbsIHIIFDGTR1uyZHslDVTfvzGUbVTRrhgVrRFnszvAxvLjEdbWt1S6y+kassw8YDQCwA1+C2y
zNAVwKD/5mdQES++fDfQVAo6mJwNs0UBEK8vZJgX3DlC+dHUn9LefDBF1YcE2u1lr3A8c2e0CmGy
D73k5oiH5ZOSE3WMvWuTAr7Mc8J8Swj6sgxoGj5/YKR7L01/tRgmO+EpMfxLmUbID1EvJaj1wl3T
kjRJfmRgEkCJTTtG0xic3DB86LvQxwJSXeOKYw4axCRfiGTHegKabZFDnYKdCuEQY2YLqBB50PF4
JXG7JwKgaFfJgIoZmUvW4Bk8aFJh85osG3zllb9RgSs1CLT6zjubtGikkomtIZ6VBlSiiK+B6Ji8
46nTCEXhNWFiEEc+jb52rmgbQc2uCSf0sDR4ORjRMwZM0qvuwmzFy69caDFjW/bEQyfgVZqP/BLi
kRV51cF+GazFWAI77XbjMCxgn+gZSpFlXX3o1tElslzEHBsjrlJb9D7BBR1alwDU1behmj+Uw29D
vBoc+wz5XE1z3skZKL7raXHq4IDnxUeJARjhP/2FmSff5dBxevQJfu8hHMgOXnuaEmFQYfThCXgi
ke8q7SAOYjbogRfwInNFzc9tymBOJHu57XHWW6sG4YT/e6AKxh9LOCOBkJtcfg2kcBUzRiqNai8k
760MGpSUlzZX161cLrtgi0fY7FGJvpL0VJd22f8e0cCIj755b8YOT3TQEHo989p9Pq58/cGPzzW+
Gn2j4E9JGOQzZcbfWdhV9SD1L101gdDeOjqEgAJ0YBA5buJwYxkrFGZgHyu0DXQJG+r5UYUg/qZg
douIYH2it2LnEeMtg96eLp0hHYOiYcpZfsRp6yT4TGCVNtP4F09i2vzS6aCS2CMP5N9Uxkbu2HeK
3ybJCR6Xx5Az9KIjCLBTlfvUpaKOaztNQQILUIiSdmYkAaHlgUMPQtcKezSfTMxSCr3JmuefqVXK
9NMAc2ktanQi/sAA5YCWdKHEj2Hn6Aago98thiWSq9H4YcoNHkcZ4Pw6S1eQkrOSbBsVIDoU/BoA
J/14npmBAFAh5/V4LzE4WvrMMpkyyuZ9DjAhDC5NhAOBWZw8LnxEQ3m90sqjL+Urb5IPFRe1fGSD
IWItx2kJ9HSTwQLLPmRg3HW8LXG7+VPwej1XIhFx0BPPWJFvRl56/WxkGD4CxiproXXijphacaH2
Ly5yJQ1O/8QXrD+6CoL5eI8wQ0EBIPcSc8WdD3YYUw5kMEY8WLi85y7ehmG0iHtSE3y7GRZlAJ5R
0LYRsyeDXOmBQKwsWWDVUvIjnuoVruddg3qEmPtAhl7HkUf8KJ6Neu/i//WxLSvoTBnCojGZuxka
FW2jE08PmQE/+CKb/hEws1lFH0EFnhX7RGHkv3DC1OT3QWGKCvkFw/leNfGzWlm2LuLoLR82Q/cm
m4grkpx2POzKGsEc718NKcJcoFO2rT4/dDXebHNcc6gYCFgngRfF+1WZRvvu4F/COL5rKuwSQmdN
y53dhZh6Cl3aG/W1AOhj1KTDu8mvulszTSceodd7jLgYRkxoIegAMyHin8drqAxHHYwSEwQNAh75
ddWVDdNRjbukcx0jyWA6gfVjVzs1GnqeSwHcPuwFJxWSRdcCpWD+Lgjp1vT0swiTvx63qqg+RgUy
NfmtEa+q+cvvjm6DzNON8G3e1253luS9Yr2XeXZkR5gJ4j+LW0+cqyKEp1K5lHUY2GN4KniGi4IX
z5U4+MjgTJThNeAnw1+i9BuDG80g5YTSgeCEBpjB0DMvCEjDYIfGQpQACMjTpdE5YUq1rSPg3Ahi
/5bhT4cUMFnd4AqkMWsiROP3ahAPulmtPMO/r8TBLsxgpQ4uMPSAkQrcCw1THil2UVNVM2Fsz0Po
nnX+2cgXNWIqxd+PyIC8wtYGba+HCyXw7AzSbk4WObls+IprlNFt+WoWjE2x+lTpWRabZVyMT2a5
0DlGWT3OeuDGpIRlviOn+5gQWWbx91Yz7HumMt8fLr8oCvVPaP2bE2yZ0B1vBXwJOETnSMPmoW2E
/BQz9Q1CptOteH1+uOT0R36uCj9f8qbpp2q9y8rGJT3X0ZfGInAQ8x5yVqgFE68fMT1fcOe4Hj0s
VRctU2U497kgaI3aTBvXZVXMHrR2UaHK1sd9odldThDER+qtYgsx6FIHwoHcgEfq0nl0JDsnrQEO
gEDoeV305GCYWL6cUsgZzdjobRLY+t/fmy/qo08/6tSO+6OjYgRTkFfC+UqtTAbi8CAyu+9+6LD9
dJHp//9xEbAo6hhO9z9VqhmvgWpwngt/GG2DRfzqa/7jtk+Njz8uo6BkjEeTpA0ZZxX3PIXo1636
GsNxcifxOhmWvyalIWRQifnAcjcip1O9sQtNPJIhZsNIrZuVCUYsXIaorwd3nlct/y16LLAQjyH5
S4g962QXyvB98Dmk8qpgwW7S15BCiGwBDWcdCDvr3kxeVWRTGdvYwFaCzLlGQkAlT6wOjwOhK6Tz
FaVH+cZLap0TGcwrt8Y11sjWUhwyYkCMQHu10Iqb+UsNEUJlI+fnT6CWxi0pC/2lNfe5AnOfiish
uryrYLy1q6ZaEDdhR6QxpQTG1WSZo1hvpHOta9s6P/ilMU+LN6Jf7Na3zqm0d/uTm2+aejNMbqKA
kKRYe4Hj7GSImxvOX5m4MNJr4K51jqSGfq+E2TO6SjClAQF4dW1i13YSFKhA1JtBmO54MMa/NdbD
oC5sIX5X6jvMqYVMBhAJgDz54whWBJcngYsJ1IOCQ172kbYjil3bw/hUN8ohGbZtK8xkfEMFucLx
ThrElWhC33tp2LTjQiCxfVGDSdWqWcLBTDy2RWxTIa/NcmsAnbIQ/+Hb6MKNmG1NkA04pRtVn9W4
/j0grjLYk4i1EgT8ZOHE2mHmq6FDDwYmypCjtYzklLO13iJzB/QiB47ud8sYukcaP2qNtWu85ElQ
noWYLJVs2/YrPQ84WZAtn1wjKvW6fBgZ0gwwpsKnga9Q4misN1QT1TarObRWxVYoZpJ5LCt7JFxV
7xiZE8NkNuiLDp5QsrW4d7Fw9JJ3wCtph/ZK3LZFuso74xXY5jhLvfc22sHvI2RIdUY0YypCX9Ew
5mrJKBCxrSlyctFRdo6biQMAsY/RkY4FabhLhCctwhMZDXx77VUdTaIJ3VU/HrTkLqu6XVBDd/Tz
/8+l56YhFDRD00f/ZKzIO5XSj7Ki+WGa8NPCc9P98fVCN2OR1W3Mz7FxBl4Ld/L7BfTr/eyPVedm
ZJki1ocgwTXKN+xKR3fJoeZizXPDntqORMT90EibVrG/NjONkTVQd4mx2c3+WWsDNlqV6w0qFoEU
o222cFOSWdqfduovtk3JNJhhI2pkO7ttpip+1HWl3Cpz7/VfQYemDSeln8N2J8URF9UPd/KrPhrd
YhJgJAWL6u2cnpUnHaRJENHNWzqE1ZyZxdpYKk66/GkuIk0P181dRKL0/651s++x1Gr4L7lW/aYv
RQdXAn8lG/NZtVuHPIRNse73gv1TNPsXY3u+tz+ue7sVtqU+qi6jtIKgbxrw9Tpnao8CYxmdqrXk
1MtgUa2+v7E/fdabfbFz80APRj6rYR5HRGdaCL2Bo55gp4wLv7/WdN9u7qsMO3jSPdDtVW/nQVYo
4GGYOuKW/CB6b255+Q/+fAlNIP1qJM+3nckKDERfwPsF5Y7qKCWE9idi6d/jQF1WJNIpDUVBUnUb
hllaPs7CSOduBda10/FqwdobJagkkZMStNc0h9F4+P5TffVYAF4mf5MJmqYiYPt8dBmrQJRJ4lGQ
i2mLaimw8s7ybXBVjwi555HdkQ/jzZKf9DjT+nf7bU1ETtrGzFSxM3++rGqkqiwxbp034hnel04P
A5haBqVjQv/d/fMh/9db/7+99+z0rz+3+u//4t/fsnwoA8+vb/71v/fBW5lV2Uf9X9Nv+7+/7PNv
+u9j/p5e6vL9vd6/5re/8tNv5M//n+vbr/Xrp3/hrBzUw7l5L4e796qJ/w9jZ7JcKbJ22Ve5lnNu
gdMPcnJ6HfVtKGKCKSQFODgOOJ3D0//rpP1lVbfKrKxmaaYMhUIH3L9m77WHf/4SftLL//n/+8V/
ff/zXV6W9vvvvz6bUQ+X75bLRv/131+6+vr7r3/I0v/jf//+//3Fu4+aP/damQ+pv/+vP/H90Q9/
/xW4/0beymfvE7SVpuxR//rX/H35ihD/Ru6PdpA1eMCu0edl0xSxxd9/heLffAUhDrvdyA/iiHe6
b8bLl4Lg39j8hYjFZaGdgoL/63/+ZP/xGf2vz+xfeqwfGqmH/u+//vO2QafFd/nnLUhZ3Pi8F//5
hHSTyfA5LXqXZ8hXHfHZNeaBLn5vfPH5/34JROT95/MYs0kmgTYmqddLWam47v95Knse3MLwMjwj
k/lRTH2f77mFEMdmgXtJqzFrSuHI4HzAUKoYba9wJeRWyULc5M2MWaNvbNHieU8kFZMMbhMTMDGj
iAbKk/rYE+baxONJmsJf924TRfLsy1J3z07RCFAtQbecPRHV7n0bBZioAzVgjXH4f5Dsqbn5gHLf
3Gtbuc9UMI0AtzHPr4ZATxdjzRr0x1TZirSCpgsOIIq6dZ+JEvZyt+qoQBrpLKSithIMEl8Nr4K4
QYya5e4SvnaejgcI/HPNmspt4vEjH1Vw9orkuSq0PjnN2A/w+DqdjQ9u5bXNg2rU4F477qgpTYMM
Eeecq9ac8zTKo23j2obQGnMRYs4atvsNsbfya1S2TU9xO8sWAFgeEFIgg4Hk3LFMgxZrxEo6bDiQ
HLCTbQFNcTGeo67qIsvf1OqzycEjM107smsBb1u8R4FKoOBMednh8s36sfJenbVrnfe8DKL6ieHu
kN6XwulaJjWFz6IAExrTNcdGGsactpGEI2rmEkl1M7v5b18PKtzauBtdHLIyHrHxJvx3N1yMRFPX
y88i7OtgY+E6gjAcqYq3ZW1bdR5FkQQfmn9Q/9YXcZNChamLN8LOM//L60QfHPu5LXFvFkp60TOD
zwm6ZQ56+W4lyqnZCeJkXXhhauXRMdnMX6DU6OMpqE2Ptxn1+3w7jxNTIPZeCho6cMOBWPMVP+Xc
mMRbiFFwTXoK+qpr1EZo4vSusxqA91k3Mswe1spOnOlrW8ZAb5d5WZ/mfuhjwlXLOMrPozcs3r4Z
rcHPmuBF0M9xXcT0X91UsOeKGyc5q8oX9h49aEGghWx5NbLSmTGwulWQMzMcIjgz//y3iDCCbKAi
QhI3qzcyfJ3HdT2N7DeQXUZOIq/MOGJvNF23kkeiNGY4jhlAZ2yLViZ5sIv6bZ9WxJT5mYtDo+u8
D9yFnXhAR0HobSUK/ZQYF1DtUmSXbMI46nz2E6qAcjN23qdbsVWRlRqrX162KMgcjUCHt7GyywEg
LMH7zJNcYNruv8dITce8cM3Jdm59yuQiFgiGILL7FHXVTjiTPide2NyqcsqfJ1JLw+16SZxkBtff
ErABJ1V78ENtE4zkq0becDN7lrmprX0U0VPzRd/f30XOiNWkZG5wML780L1RE88lEUasMUJS6XBP
2bNx4vIrnypDoEqAOU5KeZJumxElQbI84/R1xlmP3TFoJxx9Y+O/BEq4Dxqv9q0dcYu7ZtCfOvL7
FFt5U++yiBPt2BA3dE7iGd7h2GTsafy7PEYfG0wy3s9xtgJiTdJbA/d5M7BZ97bVkqa36SL5gDMS
I4OZeXmeh8EuW8oZi2RhqreiAxDqBh2ttRfVzldm3RBQSZChd0/m4tXPwaRiuDZAOKv4OR9XfZfm
809ob+Mhb+2jPycBaxnz6tSjh2baRylZevqHkiB5up45fLZW003Dig2n0KW/ripGjlWDhT7s145E
GlYGQ6pN+R3PRIeOjlfkx4645X67dGv+6Hp1STapW2BlaQUYFJsB+upT0T+qgPd3CComMn3ufUMi
ZVDLlIpfXOiFFX8+dG4lVRTsvAkgljeb9V76EFRJqix+CcibAv/nAp1DLfm5iMqwP4pxGc4y8iHd
0tJucZiXyy9MhSwhCm2Zh68iD27ztYwkS1Q2ghuV1TMFZt+PNz44v3sEmQZLv2PcD5On5PSA9BuT
K3ERCpEDig/ilYN+gGIW94SkUiOnLz1HPIGQXV/+mZyKeKFsGsSVWTMScaw3iXkXiXWUd3VCp4Wi
s5UIzqPVvOUzLo296FoR876hYgAt2xKkRPfnMO2tgnR6DRsizk80TMRXzG3IYsVQSC6/XesQNBRi
h3orBcpjzFo4HWOVkh/cxRCqjo7huN62VYABX9cp63nkysuPQqwmvut9tweGQsGiMBc6LW41XRbk
sqgpffQLb4BL2uRZcUXkUBD8qMMMUX6uHAB9madNuOcNSZ+gK2kIZVHWcUbXcZkQbdGyEok7BqOc
QZX6dPTq2C/BydB8j40agcaFs8nDs9tGxPTYVQCiMMWgO0xQrWCNP6OhugKatgbPJq5rQjDTKmoO
SRaXL42stf8yTBOAJ4gKkaH6RIwHOzCexkPfL2OEZVIQUJEGaz0dJWRy72Nuk/q58/LkdvBWJoUs
C+rvNrEtm0ul6pvedfLvVJXaYktMzY/GxgWhq0I8r2HH612o6RK4njo8RkU0Y4n0lfPiLD4JUMrY
xzaO4Vu2C66MyFbVm+fOGX9pLdgTlCoiWBn/88R79KsaOn2nTOmzYySGASA4YaH1VI7FXjVdt/XT
8YLkvqR+9G28703OwDIcoK0EKsDdVuE2DaEsnNTYsy0Ssh6YKNZDvJNOGhzrcNaY2+ZqYbO84P5M
m3mI8MvRdWOghmDYKOn+ROjSAqrzU1xMIz6zjQ5T5e5tGlt9XcweZqoyKyDZEAjogdjqwqx+VlKp
t9i4043XFcF9rAi5WBoUApHLvLOOpqzfu049kLcUF4dQZNHeFimgJlQoxzFR9R+W80TrjnkqOYdG
QX5mhX4kWoBHQC3zoUhy6JfbitvyFFVwFDblwOBll/ndBU/dssF2BtTofTlOzYlhYGTA+Uzxspt5
yK5sZLhmVbAGd62TxDcpc+Ly1IZ5/2nStj1w2LsnTcrUS9lHeNr8WL+n1ks2oN3YXkXJ6u2MFtF2
JRfsMKyyeyvtJL/lMKzEbUUe+Mu0yLDM2JhPeh1i8c3j1O+7Ko1ZtUVtTc7UMnEc18K/9hfEx12X
e38GE4dXs0rIDjUtCFigBs3ZUV1yHauqZ4uvcMv3Gd0gjo/+XAPq+NmOanb2yDoJt48bYG4jPoBz
GF0iGmGyzmcW37/mYfZOq3TAoyuOR9Qg4Lfn0fdOjurVm4uFFLVX3JN/6TTnqRwEbGLZ30uWjV0g
w+tQNNFBmGY5tybNesyjkm2YAUfYk4ZoT64wQQwwB4iME5b+L+mrDLqY33Ynb+zHn+4AExHcoNPc
I7BMC6ahLQw1sQSPcFNc1j69YuThlxlE5MHOzxDV76KhQMbSd/7t1E6YJZN5xrmYUfyzKspa4L6j
bo9VunBIK9vH931BgKxTkHOzCacVh18yh/V2IbEVql/o/NDGC16HDCt72Ls4gIO4JnfKxzOs0hVT
NqbC0Socvrk2p1iH+YMwmmWqE+vnXKbqIS2oM3atl2IkllFxJwA6kgnkpsMp4Q+9dV4SgkBp6/0S
592r1Aue2okTGPuSmZZslwy1xG0MsWAzzJeLJ7WgVFjFqqfBj1QInor5zKZhPvzddklNtx+1GYy2
oEmKq3D062EXp1N1t4zL9Nr6fX0vaxw8jSgbAShzEY9WzRF54sEs30gCy49JagcI8BE7X9zlvfh2
G0yJ4+INxYOgpAUtnOXeNkYj8hyvfApThdtniQXtDpQfptFTCEab4mw3Vmmyd/OkvI7jjvevkVdT
ttzrriX42PFuEkjgrJ4d9keJq7fYfmD6F4ZzcVm+tCN4cLEb5dDa+wqc/5isFIeruUlNRaOQFrVE
kzM6+6QdsafZhayluO6dBzUnydG4s3vn4m47OHP13g24klLA/B+5iqOHQeQSxU+Kqzjqzb2pJ8K1
k3xR38sAOj8ffUD9aZWdmlrOj5RZeCQ0u2vERmTkTrGElpCUbnFuVxPxSFo4EgtvwHvTkVHn5FkJ
vFpjQXH8FKB3OiJAqBLzmKka7LFdsVINHalmRViQ7S2j28CzuFRNmUJj84LltiO8Kz6VQ6XIjpMC
TYgy3afKsuymjENNXGhnCA6fpvFZdCnnXGMDAqKKaO9j99kObpoeTeB0v5e57kJ2V76vt35ZwSXp
+qljhULObxgs4hbmOwbvfG5AXIm5UeueLLPxfgClda1qJ3nuGXaSmWtt/0MvWlKtWb+TzP5hTmR5
PO4ilFZESIT61bjKOQ+rae4JWjDhgRFw9QEVIWKfPJJAR6yUrB95ntYZ3rteftPtDJjPLNFYadgl
Hzi/i4bGN4edsnqyuRXcWw99ZlCf+WmQn6Pah67mVi1eAm5jD+p/O0K1zhTMkoDPfLP62v1qcqyN
O4K7vHk7RqI5DkbgvfV5QJuDJpb6Oo0ujLBVtw0rFSuGkYWfdD5aT9vllNHi2Z032uC+Byb5ADc0
xI/l9MNFPQXApknS6TAlobyKrbs+DLZFJygTjXJPxzHs7jVQH7Wa/Dv8yaDRNE3d77BxMxAuqzc8
AoKy2WaIlvkl5napt43vGBqk3qA+S6K8J2CKYc6tFLB8u8GNwR8VxfIU67ntSRDj/tHaBzkBUWc+
zcwynkk6DLANxsHtMrs0FVkQ5Qebltm6EVMt7h3XWa6doCK1kQgNjdco2FdNpV7izpt2Evbby8rl
yWo5BBaQYAocCQrYcvzaQ6HSBvYe3O2Cp8uyAgsvGAcKiD2s7eVZFQoKq9M4tXOOORluRgKcmUFe
trZxMLNdMwVpUhvEBaNFOuAqlDx0OlObYHskEKA/hHnpn3nI6cOczLw3wTL1R01Zcxxy2dc/eHId
jBx1Oma7YGLfSpwZgQBbilV1rNxp+AiUy7JrxO56yJlowJWYGOEcirpdxi1R4C5cWMAAp6St+QG1
Bh5c+5dsEsfpw6d88OMDCVekpLMTdeM7kaCgQUZa2s8x6ammS5GeK+j0HzKWw9bt06K8iUP60DQf
wAEPRXpdFa5/jvLEm0lLcPhX+rnlha/nOTiFhAt3OwKOnf63lUXbHTvXT+Wx6CgnjnUbeg99MVom
GbPMGlgaSGyiDdWqBIyyBMMlNadFs5JHOTnplBwpFIW57VygqnNdOlSQMjvroqfRzuNGHnVdJU8p
M4ASsVgzP6z8kn4OEcxHW3fyMQKG/TREHENXBlQzkSBRdutA2SdV242e+MnjiJJ8GL579KUPEvzW
WzdR35QVkKEgukCWo86FIQyJwo+TnOiZ+oGmc997QJilYMPa+9Nb31xEit4fLRTMN3xqNfmmXQ0e
dSI6YENALcogl315oTuIxwgp53nBfeuVr4VEW7MEGXSxONpNg4HuTRoJkS1QNBCWWl+yI18KpFLL
/Iw8/Dlz45PbBhjwTXhqRHZ/+duDhFQeMT37hmANJ/+a/PakXN4zNzj07vor4qPfM8/gHStZhQtl
qIJZopKWnoAfCtv62issNahzV7rTc1HWgPf0R2Kr35lMYAoUDEeKYV827cM0RuM2cPhe9OfnNiaj
OQqGW+4Cc62n4m503U+si6/My0BSeOYw1NnROhqORHrIE4MM0/RfTgDdGxjM7y7xzgIIz7acAYiV
EMSMVx6XNcpvV+iKWVD9jp2L4NnesBTnNYNV0BUDYe8eIqDJrz8D3x65r/Zgnv5QxrIXhqqxo5kC
qJ6b35VBkRDhZMtcyLcNfOik+m26ctcL/7WvWrAv8J4SRG9LvMDxL37A7zxeOu7eNNFmSlEzj7o/
UMU+rsl0W0LbDRP/ZmqmU5mXltOk/YL6+JO5FTH3DcolT2dYFMlFxbxykzXjbl6zKybwiFr5IAVq
ZGfZDd78xMBpRxWwiQZUh9Vw05vixTPFbai8zwtVK6/Ku0C4IJIVXKaF8a2TBxroIqKZcUw3WRyf
Y5uhGi/G/YLkcYglPGKW8537KtLw7NXtrc2nu06LG29dvsMm/lMPF7bM+uaXwXMrAdFwQz0tbcZx
Z1+RT966VX9a/PEJa/ptjVTgCK7yHPmoSIX8RP29X9zicZbmqXfEzzJAT9kFIVCzdri3vkWq4EES
LU1G/IZzM9UDaLlAXteDeINAd6JhvJ5IYgW3S2NlPvQA8yyaInMshHNdVQhPwulhCqmGsvyEZQvf
dgdizp8PY+Dv+sZ9X1eeCDERa+MORMhEYicpg2u07pvVpvss4wZvAFSVhKYQ5GDltvEgdlcZaoXI
/wfH3x7ipNvptfV3lU8LCCETDliSHhiMkUxghHvm1HL2mY5uOSwUfNmcsS6CQZnlv4DEfnYKMz2b
WgHTBR2BP5WHaQxdghxmA+oIJHXqv+s5vG20GgBqEsycZl8lk7ByP/VDvumS7LnlKiE0QcVbLBKH
1i3LnWrEYxc0pHP0RbmXMCSdwfmM6uDsrqDQ4SalzlofGlnt437ljEHZeDOW+f0k0VbyPDaLuXUw
cpL0aK701P1oI/eoRsz0hf7RBCQdqhoaG2htBpr36Tj8DNFjE1FSl7tW5Fc0mNvQ4OTv+TwnsBBl
5r1xOJJ24t/AbiwYhlhyBBTgMK0J9WSQXs+UGmk7uuc69+xxTpAZO9GyyxtlUGnTRpVu/dq2+mEY
8vx+rmAJNFVSPDKyAHno/i5N+N7SojNjD8oLk9db773cf2wm6JqLisSmn2HJdbP6zRCNDiE0/CjP
ftompEqW/ksYU/8ACGzWR0w0WXVjcwRjMET7DBkgal6byPJelzx0vXT8U1J2S8EcV6X9ZuT741FY
nfJXSsjgukU300APi4YK8buRg4J+F/PP6aKlA3lXdCCkPJ6fKMagQ6b2s3YtKqPe3lDfImFLcfCk
8jPtHWYz7exUx2C9SIjHIn/Saymi0+CnLGibwuF0Wqu8vM7nrh8RmbYSoSYzh4dO58TpeiuBK2vH
Kz5HxGxE9eJlO4/2hNQi6sHcOgiil5HgEpu35b7VqoYjzhj+zemi4cIfpyutTWvxDxUQiUQXc/Dm
mWjeWm1RaMblNL20gTtcCMf2iVsEXeQ0hOvNZNv26HoSLa5P+OJ95aZAcVUVfCU2Wf8IGy8/qG7B
hltSpBdIhC8BA548ZQFxsVIht1e3kfSTzWLJVOj8+YuchHJTO+W7SWR4FYXivM6IrRcx/h6L8ie2
jh53NzzNrLpL+vJqzS2Ew/Vj1s62re2VNzKCrMsD2xSSgELnm/kdWNELhjTtiQoZ9auT2WtSSLZr
P7z4bBSAzZBUYCHps5O/a9hvHGrg7KhyX3gFZnhDKyj51F4l6XweDbCHaoUGr7zXZlH09lDCJiiD
sjqEdUcfNvwhhOGYE9sQt8u7F43PiSTiuDAhv5Zs39Y+xGFosGm3XQ1bcS6eYjU/BppzNAZ/Wjt8
F4X5XfYxWUXW22thf3hj/uTJ5QZV+zEf8g+xtNe+ECe1qB0LkMcQse5FCR6I6ZSJ+Behx4xH4+4P
i8c/AH+oJ2ETt+1NIKQ6Te5y9rP1apzWq6Yd78j72zaNOfcZQLE0QnngAZcgG2FBWqlT782sYAsl
MSkMghBf+wOcO0vsTFxTrmQLRgJT5vsoS7AwkdbAQmq7xNggCt/ab39lIl9D+WzkTEQEw/Y6cDha
BkJZ1uw1RzyVDt101AGoZq9NwCtX9i5qi6/U76BKUeVtomChdCn964676kGtUPt18IuK7o+P1YXI
w1eEkdWnnRHoZwPDNWYX8JyI+FhGF7a161geQqKByplwPWfJ/f1gTP/IyD3dcF8/i2okTwSRwhC6
4007Bs2hUrK68+b2OqOxOaz4Zvcm6/yfvJfyPAHyPZe6zm4YSgFMQ57nQs45hF4vn23c1gcx2qP2
KiaI6jMsYkJu3QXaoQydx3Gdf2t/xYORmasumK6sdUosM57zyhT8obYKWLdcIhamVKjVWxSHdqMT
naJ7po0sWhRl2pAXplT0FpRtB6S2eI+a9DWkRU03Td3EGJXMT7+O7WOwAI3F4NycEk0x0CBAchek
gqP7TvPFlNZzpk+K12FvO3YJfTKRpTSrT4nHZ9v5wRJhI4gJn8iJFujckjCTNXZHUjTy9Z28kJUt
l7T3Ogyys2+U8w2XhiAMvJh3vLrlcWI3te0b8dFDRdv62ezfxuwjrly9JF8Wc9SR0/vc60S+mBgQ
1cpIj6VL8tVH6Z4fl8JaAfxsPCw/MZmI+YpC0DC/f6hnkFFhwovEw0iucRHdVjZ8DGHpMJshZwpq
WkgyIaGMdllfxzXcFxq3k2uDH3HlXuVpjsyVoCSmpB+iklRh+lAKAqxtkr4JxVFUiL7eM3yGi1bF
n8bJH1XLT6XMfEhdFPMyb8x7Idf8eoTe/qRQKbB5Wv7wGrCtC13uxnIYHhPD2xC2nNTuHJX7JU0Q
CUeXXBvZiGf2UXxebJyuWUV077YlYmAbxFX4pw3nhVSNZiEIyO+ugyki8chPly33EavTxIYg/3oe
toWtkpWgOr0U/aeKgxKh3jydnZGDAHkCwbvEuudjeCpZQB6dabxNVPuzzfV6wg8VHrWC6aY6bbZp
quN7VQ9PI8vOq057xY5CJd8IE/q3/rjcz8OlPixqfDp0MDVTazL8LrZUXtWNZX6LV56dq3AgphLu
BEBxve0D+VXkBnUnYpkHxxsrEDn9YQI2sxegClsHYHvI1IfujXWJv3SHdGAiMpUtotzUfzVtuT6G
hS/3XtDuKdf5GZbSU5gkOIFncIcsN3pxnTHyOha6Wo5u0jMq7wSZj55DNz8AxF0K0pttfCXrjLBm
MXzangTCnAHb9TCUmvVn5OATKXx11RLIMxAnQlzsWm/dGkkiWbXbyV/KezAu8lg5nCfM89v3Jiau
TKMzdyhsiZvu8IRLNplJQ14FJD8cDIzpamvq28kwiGnYECREzE0aJ0bqvtaRrm/HbGqPzVTF11Yo
nFmt+DEQ8rmNYZrkypLGp6Q91K6OT3XO4y4FdWrQIzP1gGBviU3limdRAJzZr80uirqjN41/VgEd
agxhNhVMtONNVEfzuXMXb2NGbHe8ApQlCfDDvCb1JTM6v8W4ehUAjsZjqnbDPEe3JAv0z5WT/Ixd
o4+i0d05hxfEQW4YiJrgTscZYDJF4xVPBLTX2e0yLCxfBvL4vMGqexusLOCcAtmwQbk9MCQGtGQ1
2Tt5uZ7nvgO41aXlQc6Qopc5araFVzxXTXZTlP23LKPpxslgbtlIsRzNHDnDm6kc3Gii92joSjBI
iAc2gqacC0iK2044rwWjkL0EDnOK2a0z5hihOam+6H8l2FNM6T5dwjZYLGFYySEP8yOjjzk2tLJn
bhYCl+K6OiUVUS9j3QH8VFwkM+OEn3pZ2x1t5rKH1Pbi06psMeGF9JcoKRjTCvuAu9X5bgJ+kQmz
MAwKNVDe5HlN4/e6bT+ZtzmgytNyt8r0rqF6IVI2iZPrZBFs0mubilPTG/2NzmAPgYo9a5tN3ZeZ
0ujY23xhRZ/BqB+ml7waYDItpn5nkxrvHBZTV+lKJkKY9Pe+1y63o+cEwSVQBClFzInODI1LskAo
57vz+1DVw3keY/VW68k7hNlgflgdu0djZupGsKNPAbVLsU2rxH8Y0tVelSmztvPINh4UlnRhpOtm
3LbzXFMh1ixSGMdzHRZR82b9HBi59svHZWiJ3+rYNdC/vLkxU5PBmm7LerCFl+prxjRimq4ho5uv
oS2Q6iytupPT5QZJ2PY9YIEvMed4TcbbRTm+EzoszwzqmcYC1EsRyi8dG+vJ6fAp9SHZHKOKh+/A
HRu2hBTblBnfYUp/MOj8IQ/wIK7FJYrNVOUuSrkAs0mfqFAh1YuWXC0brdu0Lp/CwfvhN/YWG0b5
4ht7Wuvyj02L1yVWMOXxR6dshJsJmhpSoJcoxJAY9ByQbIMfRFFf8yRcpzmX1eIM/a7VA+83zKG5
S14cmT/qHgSn17CL7caPpvAeQzdnHXYxCHY8/GmfE+jRimvGriu1XnH22UNvFuA/Vz3RkBLt1h1V
/3U8sHsOC3muVClP0mv1Cq86TOkMXM6KrkgfMmd1z0UeS3J1JPdI0ozlax5j8MXhqPlXpFkSnzyT
TD9HPZrDXNTg5uWQOeRYR/pqHcp5VzqL+5qPme2xac/UAwuhTAhUUssi18u5+RL6p3duJ+87wb32
SKRmfFSFIFU5WdqF/txgRxCqR0cUDYNLCMdk3BOLo/Ar96B3jLX8GRNdhUdA8j3zJGEmkjH7JFM8
Icwyj07GdCiY8hBvyk70ITxx0NT1Lz2ycLyWBdmhUXcu/LG6gXSdBUfhdlWwc/0GpKGfFc1TE3rA
PyHwz8FubUod3WRZDN3f8dv5zXEWRkR9Hue/xtxP9maU8nkoLluhNbXhsDHQEAj+NNM4bv14LQ+m
Mi4lMjKPioVbOJJI2KJ8e3TaoLpeEaT98bGx/5inhMxRr8ndp6b2mgN3m/tUE4t4l3VG7DoivT9X
X0xX/Jr6a4g+NbHTxGJ4jEqCwxDm2VeoQgKCk7i1PY2vxXG6Ur7tkpW8ZYbUG03wxIEFI7NkL+uX
uwohziZ1wuoiPZseGJTwiyH3h5gWP+8IaFm6a5UW8b0HH/LgwI9GqTGsl9FuDI9arU1WMGZxsCNa
FnA4aUKMZpET5Xuf/BdSkSIHddfa/oCRX6O40wuqBwz/DtIhft85TWg0vk/NXD83gUNwR9FghOn6
nhhyU7D9H2J26pHDQ7NpKMS8fRiE5c++Kql9RaR4AX39q/IHteCWdJFABIsksDbg2ANs2kT2lTS9
BqOQSlPo2MvidHge2xSIKV6yrRc56i6fi55giqXyvno7VzdtYu5kOBGXHRVrtp1Zcnh8LtL/EXbV
/DtRZFI7SeWSRl2E7jYZDdZAiONsVpe8LY6ogohBbtEeP1uD9oRhMftf7Key6ohPCKcSemxXnRnf
oT72y4kAT4RQ9bFMI6hWhBjiC/AMzUFmPSQ7ft8iJgsYcm75oee9z4z+BCZPHKdCVdTcbaD3ojLF
ybP20vfbOqfE7EZ5M0odPqaXEQCuzYhnL6yvW8btya4zqf/ZdoXJT+M8Q1jxq48QDvfOiAwBYdDQ
/2crDn02rxzUSjWntHWqfZmOKR8xopJm5hml3uC0lslprdyStuUSUBm4fU3Yx6X51bHTPpcy8e+i
WS13qW7FunGble0nrdMWYhiJfbrnNMU5YLHWTLiNZCLdu1I4ALnbUuD4j8hPbxuuAY9EhmgWz6JN
hns3a0rOT41vNJXBTbDYBP1aWL6MMG5v3Ah2MONfBCFjNWPp8KnTVmMJVnDttxdyuHpzQyoL3er9
PAYeiolZ3QtyVD8CbXPLwpyVdJJkLdCI2Sf0IqyXiKcud8+yBNBZKLN4h6RX/ib0l8SQGz6zDEvj
sLzPCpf5Z8hv0mtLWvBeF+uvvp1pjx1HVE+91FBAp3Zg2F2K0lF7njxmZiGhDtQNaxPshcxR0C2L
UH+AkYbfLYSE5RDKDsqi6y2vVC4jlTTNZuROL6uPO0rEXUdDMRFME42EUa1td9cODhnn0xCnz3Vm
3yWlEovqOGAboLFIEzakL8xKOd3TJ2fkvFfDgV3LsslbpJ4bn32f3k6Mkm7mJv0eSa+59SU45MKL
tTl6fbfeIPZHQ9GFzY9UYAnddKUQV2IAzFFPEVPWFDgOUigbFMVhYdG2HhcK+PENEVecveX90tm9
TOGMsl91DBt1Duof4eUKlwNMj7pnf4JfrTRin5cRaSAGf14zsf84sVsiGtp0zNIwcymgJH7iHAcn
ppysazctj5q+maHpKjRBRQ2p5dwyJAAt/0XdeS03crRp+oZUiswsfwoQlgAJenNSQdNd3leWu/p9
0PpnR01p1KOz3VBHKEKGhMnKzO+1hIZ1i1Zi2qXbDZ2kNEZMdUVtOSuf4fRzhPOfN56eyLitpaLf
WY/udzeyqn2GadpEmmdhtLYKN1vFVVPQ8JS0o7VTmI7bCz1Y1QPSw6kgl8QI9wiXspfGAb7MGtff
wgFJaH/YA2Q84/BpWTramh3pCGFbpuso4PfCdzRvoVt7Tx2l3CHQcrnoGafXSHuL73aKfFpE8tV0
K+lsC1yBqzppvFvmtgCBr8jWUDH5emLU4TmLrHlcuAPeSCPhekGoar/s4wDLeBe1zYm5AFhY99OF
bVYIh2cZogXSXR7uHMNrYR4Ll0tS336gOXnykX9u4tkMNkDNAOGTWWd47c1taWsOkvkM0OTumYtT
xDDYQE9AUKMrL+zYbbdZkap8kaqOKBOTDIXnNvSQJ5vFdKFMNsGoiuqtKqxwI4RCkNI3PuW0muS3
uzjLeXT6kczpWFmadNXELwEM45o0fjKxaF4prKi5HWKj5/sYYpe0FKObnu3WLoOlA8pK+7AzIFmz
hSjsw/kyOe+dDDyY0Ak/lIt+UtCq5E14U3AKI88zTmwuJOTKlhMOxjgunHZfzhMXOdh7OHIzKLjo
2obpJPu+S1rq3lQVba2E/X/VpeVwOww9qZiUL12Qds+2yoRzkXpIzFeNo/tzyZqa96rOql2dTPgd
o5m5fjeUkuL4ksP8cmqSaNqiUuV4kLyYy8SMSncbDRohsEMnCvRgWcIGYF5s8JWFXniTzOFATYAy
LLIcLJqUKj9CHN8UseCLYYEYa9Q0Si891VblbehANi96sskv6yQSd9qmNEOkdTsRa+xnw6aqq3IR
VwmbZVb2NCSPib6BaTUWMgmLta69alUmHvhVZjttwqFgti3hvkMVLCPvXE9sMhbn8BxRl145Tc4/
r2Wt240dYQ9Z9IMl+/shaBlBdCKVuWPHHyg0nt2kPsCDmM+JSKzmrofCJcigraW/6HOzmVeTnYTz
C7ls+gYxrn4GZa2pZGnDUTwDKvAJK3tOSUDqQdsDPVOKLqykr0gLii08pYIgG1icoSkQ4UITJyef
W2p6QASIyj2YWnTgYyvNcA1DOzt3Q+0Tl7eb+bD8HfuuPR3beXbQNHOVyuT3pqf0dZd6OT7PPKC2
hRgN4aytIC3dtZv1jFsZ/NKhp5RF7oxIFPFOUW2JE6Ebx0sU6u3GOgs93GkgMmUMqhunN5QGt6BO
iZ2LvokiAL4AyKvIq0hGquv6FkYp76IXPx1gmQMmXnt5BuQbeD+RfNZ+Re2FOQCQ9SUdGUXRUMYS
g7fdMlUSdTAyUaLtRrj31E6x4KTzRyo1QieNKXrJDGdvV6l3KmcaYiA6psNoluJuygllyktImY3v
CIZBPXVqr0ekL8uq8uc7nQpAdCJck48i9etVGtWJIHy+h3rERGohnY3kuV7NInAKbcPlZJbUQvMj
yWmQZaK3TteghtKVT3Y2W5y6C0E96XdEzn6TTHV57TnyoAJhmJdpiVxqHYTOZGI/QWibKoeCBZTy
JGXnqte7Ielv0pktIe9Nb2acN4hwWcyTrS4VPWPXvcpXfdi0axWXcuUG/XSXkrmT7TghXxE8J595
Rny1sIAq3MRpuouaiznpV8WMxx3hyZKisHidMJJS0VhHb2zo07eQB4nwJHuSelVUsmZWk/Oa1B/4
TXpuDfZqSdUhnNx8SZfZkF4DMGmarcc0eray1IvXsnOTh4Jw9uSCj5EyEjuK6u+49qZnq47yce0O
QBuCNIs14o2KVZiUXnHd1m3ZbKrASYOLAi3dYSZaZV8UfvOc+ZlD60oPJe80qhXrxNDEnrRQlkRq
5JkLIxpP1Fp1BM+IqewezAqgGTEy1YoK1RsncyrjF0t7Hudny3hKSo49JxcgdTg87NyXGirPSTae
F8tzaUN9TRRevfr3Brj7MufPV0/bT164/51HbvOtPLvL2q8/6v9Be5yUJDX8z/a43ce37K34/LM9
7sf/8Yc9zpDm75aFJQwzqWsqPHL/ZY8zlPU7R4lLLqLn+djFzj0E//HHOc7vjuTU9kjf98ivM/Ea
/8cf55i/K4I5PN83MTUTMGv9G3+cJHL7JxMlbk3HMSU+PAFW7xI8+cW7SQ3sjCSByi4UNOF1hHQZ
P7Y7HGTZg3XU1VCtZynSI+GBwW6yRmjEICg+msqt6fGyBudKEUgA0FLm2ZVrVpZxjUQ6m66hZZyY
4C7ynmE+scX1DQJj0dC3nMY1NYSWQYW61UXaIgiwG0h910Me6Ldz1qLxISF5g+shTP3iqLJeTQTd
ZwBVSg2ckABGzhssF/h4TEmysauYubnUGGkzb6s+KTwKiy1Ov20Z+G38apkWakyXtvv0wS3LkbSL
0Rru08mpiOWNFP0G5xhihFsp+SZwLPx3EY1G+WXnlRbB/YPTUJvT1bHdcOTVod5zJc+7nR1Y7tEP
iupBpM0wkPzDTHeIdF9fJbUZVccuZ9a9TARhGQgX7ajZGZ131sInzghhkPseAvu0XbuTH9x7pqr2
SdMQpgC2RmteHR/AigAvU99IbgVUEJSp9Kt4owIv20bjGB2jybM3DfpZFOtpVD4YlVd/Tzs/uvL6
lH4bzzDrzWzRxI7PBlJxTHq1paXT9YClcvlhxH37GY1tS36eLG+FNbXfWyOZ7tOyH+/g+ySaGW2R
7RM6LYE/WbSbUKk+jQPd3PC34YvV6QLjDbYzJtqwOAQUmVDYzbXzpW7cZt+rkZT8ORtuYr/UzkVH
eOJDqXVzlUS9fRM72rjl+K8eWVnGKzM52mwjgnOBVRe801Zfh3VlrgNvzPdxanQUxwzZaTQoAVhI
vxhuCxPVLH6d+i2bdfhq8rO3fW3al0M4qhfbEfOTnSG0tW1EcQIK4M4cvfq2t8zhra4mmC8ZmaCl
Whm3kh1/ncQwvZjjzGPZ+Om+Lntx1VVn4SIUxjMWEwdIPJ3fcmrJULvnBGX39as5zw9Ba6f5Cg92
9IggmOM8M511EE0ciClLibZGM+2WGrHisS7aYRfVefPKw2ltgbvzt6Dr+Zg4kh4K4ZqXaNKifaew
iUz56NIlFkzPE8KYS1GTI8WPcesTbcfzlgtFV100oivvaM7slzkCdoDyishDG2z/CqzQJFlsgggG
UiA45Wx0zEKOUCkTarI8O/g2cq96rWWirxKj9G4iqw3Rwnr1tY4G58XqTRbiWRLsgGUQ8LPEdjPu
NL5bi6c5ao9eEfsvao7AZsIS/4Yu+rtymCw6g+rZX0+eYa+cyZ7MBdCIBsgLI/gEb0K5viCdzX8N
DMPYRjnC5kWRIcFcZqZX3/HFdUQkZo5zKEOujItWnMXevhFxPlMbT8pU6RrPrQYKp4qmopohUhVc
fRpTUgHpu0uw+j9W9F0TUEyvGhK1xKIYIzI+dNRb3aJmUsQOkBQy3091omkBzMOeFt00pTrdi3Pv
Ms7i9uEsZ93QKWhTzFRb79Jox72fhP1lF3VeuLHdcYQZI44fDmlwogenwq1HQJKIbpn4eBbVPBhv
cQNKhlTOthFmTPSFadu1t7VTZgdPVKTIDnF46hxDPTYeyKwnBKLMqSIEJtFue1uHzfCg+ZkGkmGr
fTOUiaLL1LamyEj0GO/FPBx0mwLczmyu740e7ioghPdqCOyrycrmE3LbnASYnnhK0WW8p7AaLrk8
TldVRoifsrgbh5YXfyIic+HsS5/cy47JHXZh2E0uxCcZSAQE5qHRP9cTX9vkJ+OennobDYJAwS/n
dLpV8JUPXQ8LsfBmKoAxAlsbcuJC3Dh1e+NZZuAsakT5y1lYw+UU56jVa4NVBPl4Y8Vtcdbzdsdc
h84zuZXVBY4C/WqGNuLQqFNiZeNR2XVBSiRnFjcnkdiabtyQri9VEM7oJAHAoMZeQYM4F7OFU6WM
fiAvr8DChKiWRtV9K7JoOGV9Mx6hCGcS3HysO4nJk2gQeLDx7UxsK87yj6TX4V56nbhCijSsgYTS
/WxC+0d1j1PW9OLhu00h7hXFf7TccoS6i9Eq5ofchQy4mPqoju79sKdBM27p9d5DKRqviJWLT7ea
+++hPSkUKmP2ybQSY4OzZpMJMkpGkh1rsc2GlGumU3b4Mx1nOZUQ3BS50YAN7SXr68GwrbsEOvt7
EVVqXzCYLtkrpxeTF/69QPW5xw2WfJvSdHoIchXkdNsRI7EglRIpl2g6FOzaaGNiNtXwSi7bcGXJ
rNlnhmG+kXjDJbou4+AAoB89jMFk3DlNH5w6/Nk7OWoYK6PK0yc/wGdFWSmy9haByaNfJhIHezDq
t8wO4204BS+R75+EbqlYhSKPNgXip8/GiorTqNxSXMac+UCLArvlIkoyCaTHTLSVMlKPVR6x8yee
MDZzPLZUT4VT/WDr3LqPUdi+ICEzc3KpXAt7LlPUE/V4RGGyd3AE9CZmes+LPOSjoZve1UYb3dtk
nH80yo72SlXuN86v7DbLGxLz8syhF0f3bYEEJajusqoMn+y2a+/zJiNGhnNUUBs5ledcyrqNmgUG
tWJcEtlsnvwms7batwe2Oe8sdXLnsuQWr1uy74zOPSY19GY3zrRkF21Q33d2k8QIomyfmEHdOLue
ULVbG2T7vct7/8ktquJAGK95IYqghhSshLUZz6KouvTsb1YlMV4B4lBX6cf1foAlRgeJ1eAtcgeH
Sns/O1S+Vst+4nJWSQKdgGDKY4Cg66azXZx9YWzad16TiYPhpNUnrdfmhXmWHcRGRQX52DdbzxnG
VZHE5U3uWvhfPIxWON9JdM7DjhS8lPDbhasH96pI+mCDGnC4E17TfeSp3W1VGH62JCFugDXEU0MI
CsL7mZ0Uq+e+zjmsF2hYAXWtqIcr7y2UlSowTTqGlU0PkIFrioVjoCCOSg9ZbgFMmEh9X4wm3Fqh
ho+sqEgpjCdiq2wQPaiPrHkYIP25I7kdYQNFYttrkRXUbDkNjr7YB4mk+ddzrwxhk7HslLo5trHf
XgrcItuhCcpt2tLe6oMxYzWou4MYEv9ot1Z6imCSHu22KCDCW1OvznfOGzNzk3mb5FF+QKvEZucH
8pYyrzJaTJ2v37QyxdELDGdekCfUXzfmgCY5quYNBYAYVGvPcdkxs6l8sKJJ3oyGmay4jXrM3BKv
KEomYomByD5yjjeQr9LL51UaYnZkmSXVHtGic5dnOaTiMPjEUiKJwKwVtD5Bdl4R1YduwIm9Mojw
fy/Yvm+8KIzvFZKVS0vN/c4nIeJUDom9K4p8OiH0TfFrBqJ8xbNZfpo+Td2iT8J86UWm9UCllXWp
jY6RtRYGepQqNal1dkoQZlemOxAZ+9lP7JHyrrL9wNPZ3HQehbSiQbl14TXxSF9LTxde2fTOdRhO
LU22oTpWTOwJWYNmcjdBBtwMlhGvqaxXT004jt+T/pxnJpFnPA7Uer2EbkInat0W8fexJHJ3ZQ9u
/WgqIgUWcTrpe3dMulOCiX9X4/vdJEXqrAqR67t0LOoDkxoYndVZ5r5Wnn4K3FTvzt5wPFROOYfL
gFvBTZfM9TUqJeqPMUe8WIYtbpFEhTtIs/AARGfsgxSf8oKWUWLbEm0/ZbIX96ZKppOZy+KO0p1p
wztnHSbOQJoA0dnR4FsHo2rJrKqpNouamVjTfughMUNE6CXNsOvZbSkAE/hHDeGBhLg42J4wtwKV
oFiz361e5K/CwGvcJV2zN2xpFABVPXRjOCYDOXZkE8i09q/RmBfXmcrK3ZjxvgxtDydAt/xE4g5t
asFQDFtj5sNbGhYaHlSzdnHjonm8QnBQv9ZzAivQzcKm2z52b4y2Ebe2MMBd6i7OicBWjsb0ZlmI
vKrmukILclM49bRSldaffWtbB6jDmttilt8PtbbuyYRGnI8OcqZMy/S6+MJ0MYgkrerXpeFXD2NU
pteIEe13qX0f6tMnYWA1GxWp0Vpy1UOYS9RtO5ePoSJ0LpZtdhDjbGzqeCyPJkgTZUVmyc1RBBkl
hdDjD3U9JW8AqRxZGMgqVBfeyJ4fxLG+TYxgvo4qwRBUaWkkm9nucDFn8HobK2sr3JFl5j/OCRKk
rm/Dj7yCR1lLENkr6ZfkZZoJCcFMypx/ae9dGT0DFCYIkiOacjbvcM2MV9Q3Zu+RM9IFR3BifFvx
FLOLnNW9sra7R4Xb8sSV0t0VqOoBVltj+OAwTo6wJuJEdaPtkw+aqU2GQQ2TM976JcC1fxnjjHzv
3TTXgP/sU4vB9htoOr+nbQ01+3uWjPZtnPlcYrJapLjC6Mm6Hgio2WqusleNy5PykusuezKhT/kC
m2Fb0PB2OU8J2jmiSPLDxDVwP2beIxZAuPl06upvCDAtNucRZWlsRd6tQkC7H+pRbJF+E3Uz+MEm
K/V005Zzt9eJi25NEq/xXGRV5y6yxBsuG7fO20s5slDhDGYEVqSIIBjLvTnWK9st3tG/FNuSVqxb
WQfynfnIP2vgpLhKhzoh45zDcqvdXELLzliCSHbAIlXa87Ufh+7Z8to/mtzyj2lfT8gM/Nx6DD3b
BRJPpbOq7XmMDmGK+J/14EEwiJlYyzDsrbvYwB+waPNUvXVlmKKLJ08/WyawMEdom+TExIsfOiQG
w2FZojcLmu5TIN46BkWHXD6eg8dRQS2OPkc/wTHFJitUcx25s7/thBKvKuzjdxUNJSi665bfPbOy
mV4y53rSUlDnF9nXChf/zZTaVkb6NSBNXSpafMvQ3A+zmN9ctCxbJe3oFPna3qdKuZ/DOCdPNfPc
2g0MDBFFlzZXFvzeWlqBfHG1bneV0aWPBcKSHcI2cQsZybUJSyE1g+MwvmvLGDZpHjfXSWuV14TV
Dx8BAUj7yO9DsjQIyv2e1iO+P0zt+4yqnQ1yy5ohGh07gQzDfVzb01Wkc/etD73iOJ/d37gU5uow
AE6c6rpjG0MDq7AyFe177HYGmfN2jHBOcQ21qs4/FGY+42rW/rNljLhN0snGrktMXPcW2tF4tDgM
49VZIrObiBmNNim2xRP7qEV1oy3Mhyojo6V1HRdWrWi3c8NgMLpNvq3SsXvp1RzuOqvpXwiMSpgD
XBrVQxlRlm4VJ+kOPKmJN74gb2guZ625sccBNhWa4ATjbTBW9+NUwSwJbX2gEWO/J+zpoWA2FJjT
SuwOEkzsThSQIouo9crXOnLUS4opc1UMw3OpuOgQtdniorTLzGZccyv3IxKqXnTRNNwoN4s++8IA
MWHYHG/atHEJhkJNc64F9l7Negqv6sDsH9IoyzG3Gz7XEzar48DY/oGR0uURIXDngok2Z53OlrEp
JdlU4cTuV6ZG/9bz/aBuCNq9obPsGV+LgUvc49XC8pnZgekjIQV2nL0jID4JMSKzvGs2gmZJpEle
X1Taa7az7fB9ClPiuWATZr817LeQWYIOn3Dmc610e+tDHeNNdobuNEurIxrJw/p2kVQROnpH5sF3
nBreqWBSty44c1P/dugTKul80IAXtzmLHJ0pcl7r1M6Ieo3MBt7aCeYGXUFSFysOR05eM5RXc9M4
FJNHNalKef4AmodYXQJhYFCwvM0Ad/wxEdnwbY4SFB4Nc7AsO5ZhKE+FYwz3QzkUZMBa4z0iIXLM
mya6ZF34uFo57LLYGrZ2SyZRHA1ogihrOls9LU4zKHv/nn8/H0srCwEvZL2aCRm+ShI6ghf0AxHE
6VO5bmi2kmUFoX8aRyu9Say230nkzA9dxzTBce+CxblOcJmec7Tg6vUt/qDxyYc+Yswey+8tZuin
Cej0kcXKJ9JmI3YlPEMnFNHkVEpZHufe5TY2ecOJ/Kzpo0vhSypm9idGLaRoZt2eXLuVq4TU8rsJ
hcmwDBsOz0U49dYGTMtBUTIn+GGKpmUPnRsNQFL6Iw5/4cfPXtVGO3fo83Zph1mxbhGcHRuRipEc
jIgOYo1O65L4TO0tgjFEXdQBw26kmYUNRwnz3Mj39Mh/md6301giGKJZmZHL1YSlW95D5JcxeYqo
sN6NFgdcmdNr7sHO7MMqdR6w2JNIkUOr+6kpnQtBp+YGZ2Tx0HaFZJH6rLILvL/ck8SMBSWCUD84
gaXwc+j4GZVnyvbk4BIMZHOvSxl85EpNHA7Q22yHhtjJQXvvQdJDvw+WmL/5rs+XbgJdvY1ExQH0
ZIm87ct6jpcmqqZw3bmdPApPZS+8Jw8trB+RtxT3d1CgbMmJjSMSx6Ul5dZX8FwY1q2cMbIjEvrC
UmlyXwWRBcXfuuN+EHmTLmv89wCME3fFBaD+wDjWDhKvKnkFz6WuUDPjNhudu3MaxqkOEsk2iI4m
6G+RaHLo0U3Q8AUW+VgeeiI8Dn4eZRzuoVhjJjMfJqz737KmKHcmApN9J6fhW+dLdVflInwwPFUi
OCfU4zeOGwgpLakp5cPf571Hd4UKE/WQEcFcLH7zSK4pDdRrq7nPg1suRt1DEOH4+W0uijAGrm5W
phuq5dyzhxOxFutrFxwKIGVUuz4em0/RFvKZOIb+MPe8NjcfSar2G8KKqtyzy+VvhpenrtuU5cqD
EFjzUSO3CUS75bYYLX6LSLe2/FbhzcQH9C3NgvaiZIZDGOd3uz7Vyfa3yA5qDUkdrnTvoVRtzyFj
CjLzro7JCuKX/SogV/6cd/qDkHFRFziWKwVaSnHOCf9zDngT9PNQpnpF55qxzo0++FbSTX8YcjM4
uWbaPnMUh5QtjP11UrKSyT/3b+aJnghj0NTsFmP+4GJ3/xznTB1Q8g57PBTFL7rzfvRC/Xf6ps1I
idTzHHSoLKqj5NeY+NoiZZ+Y8YiDgmaTaNbyqCLOCDOziyNw9nleVNldWTv+pTFkaOsoneVUnDhO
tiJy2EXdJGY7qyn9KWrzuwcmsPYLKhEK6RSvZCsb70lfn0/qQk+/ePlndq36+eX7AtLNUpaCRMPH
9PPHXCOe9S2IposOYOZupszxpU8GeexbrLNhhA8AiXvVnnwRR3fhbE7rIHXBqUujx8mrQjPh0txX
d2XLHLEwyfijmoIMl39Puv7vGNX/31JHpSA+83+mVZdN+dbFbz/Rquf/4w9aVfq/W+pcQ+mTEApn
c26C/yN19My3IghRvkWABAb6c3X5f1hVy/ndNs8VmaaJ8E78CCT9r9RRAkk91/fOs6hkbcKC/ovU
0TNB/Ke1hfvVQu4O3+s5liQBVX15hEEVR85UDBHDWQqDWZvTyTYD90k3umc+L8yN7TPF6Zi8nLJm
nFa2ufvTx3X6YyX/Ofr0522E12CbdB8InzJ5xd+sc1jpn7cR02/gWnGOkeQy7lSMraTp25e2DO2V
HRbRJeY26xeB5eef+d/P1B+/E4kyBDUh0Q5xOT//TrccRgt3iLHwIuO1KZqOBPGMWyLTrb8MQsRJ
NpDwg1cN8/pfv1sTrhyq3XOEY38tvOxLnYa90IRQMAsstet4j21SBKu+t9pnw5k6jDmGefHPv/S8
RXx5u/gNFQHjvuIXf81aLmabPJqzRVib5HjZlVlvSxTush+DTz3WGMByx8mYRmAt+iz/Y2tATPH3
2bb2z8z9j0/bkjZdHRbPAB2LX6LUAzj9WRQO/DUa6KXrF+ZxcrDFwizN3o7T97NIPCburMi22WTI
fmPZvdhreywvDV2OV8RNtk8BKi7ivLo22Rq1Sm5dbn4I6CAXHN+FPXBpeEYnSLoO7n0E3RBo2Guy
RPEPdCnmo6G6diQRx+y2plvdc0DN/DyDgBRvIH2Pq3uzNUO8HTVIwVEQNo8Rs5myVydDwJhyqX/L
MZ68Vb44x2R0/o2Q1NIZZJddQgelK+JDx3Uf9OeO69y8mHwdpUun7oIX8Ffw6riMSHX456/2b54e
NhhSpRFZeMpRX56eZtRJBBAdLs2SnKhGq2AftUI82x0FQ3k1I81hfP6Xbap/fKU+PYyWSa41f85f
+Z8eWhrnXbRviP2IkjPJDDMRhoOnQXmSQhk+BGWA9NJgY+mBtgEz3cm4HxBW7Jw26FYQSM3TpGSw
/+cPg0f4ryud8m90KDxkrLivWfqYI7SH38tYpHhRb7ieYeqEVWou2xRF40Xf5+ilCpRgiONgvhET
s0AuBGL7F9gE2ub82PBYLim4qhG66H0lUz2Y8J171v6Bd6o16JBzyKxJvE8Wkj5CkWJ/06d+sitj
XLB5Q+eEh6XwVhdSHqJU4ZRnesDcDirnvVA2BGKsIDFksJFFbz2wmoNDLZtgPyJ9RlGXGPe45p0n
0CdB1UdYdwnrz/vggge81OFxue38pl5F9RC8mGM3nkykxst5nrsX13Yfe1B9RppIProocuMFcK48
kGw13oti7F4nMY6nOK4o21LoHas27jCzF9H1iC/0kkt5eXId2zhi15O3OUibswmCFlOrssY9llXn
vRVklOAgaS9ENkenYJrdx7DXCChy9LdulIoLqElnDXbfvcjKD3YIjvMNqHCwDIBg6UwRL44ejxJx
7wVtWxn2XtKgLDv/ZLwjoqYv6od+ciyUtylfXAnyDbAG41HgIjcZUBp2MjJYjXuvNXjM6QF6mXTB
99qIKfhVtP/Pd7A/zgvEmwJ00qFryPm6gznBWCAENkhzjJJ9V4fjt9Jo1HYyZiJFnGL65UL+6zrm
SMZP7fkcy395rO2zFXgwc2NRkFkM7CMuutF+YJmOz0PU9EcHNnhbTl2DNrsrmx1aB6Pc/uJp+puH
yZHcdZX5o9na+hITjtBalobiYfI9l2yUNi03MkmRsI7Rkx48UjwdKKJCYhIpYrISPc5QHNCROPzi
hfzNx++cmSHQrfOJ7X75+BEXkK4UU1BTqmY8WcKmSkZyQ6FLpqQF0fPMRWYE3vkMn7ZnLPoA20ha
WSnU2kzpjesKAoU45O5EQHqcJj3qF61If3OhcBxUbo5rw657zpdtOD/jtPG56tToZ/HeuD1Kk6nJ
cBP6Irz0rXPirAKxg/jN2l8cAX/36Tg/MuiVJ89//bwX4yFs2rE2+d2xWx8zjDZL142i17qxX6Yg
7knM/7/X27+5r/24LXy5TXCTEIJLrc2F7cdc+Ke9H/+EgZtRh8tx8IellF0LOD0kW1VWh7oaZb4x
MREUeEvn8cpQlAh6vfWMu3W+m8D4ylzQ2dO2HaV+SfuU6/gslvixiUXeeJrp4HtvZ07lmLCuy04n
9fcJEGHZjqZFyZM99RwykfZPaUECk9fRBqWJgP3V2HVeU1/epUdHs4+4UVgMt18aRIImy8IYPQt5
uqm/+bHdF6jZ22XRZPbJc9jkFqUXqz0hZv7CZXpdKLN0/QuSRxv01lU72ct//uR/XEt/fk0Wd3Tl
0ZpByohwvn7TlZGQZsDlsfO7y4FPZjHGVrqGOTVXiljsi9mrLit8r8+Ii8qLJhnsUzrbI3hP6mw6
s0VVRHTFsnbGeK15O/RNtfoNHqj+SNu0pqASYP6Gbbq/hHcB6lQQVKvJUMW9GDDFFEXprgotiW1O
7Yiop46A0/nCnyyyGSrjEZa63OhoFsB34kVnqHGUQWxzMxb9dd0VnyEZjmsNlkp2XEEbZM79BXFI
GazKukmMbR0OZEEqJ5dPPzb3uTebakkmni9WGnSJwF1HEwWXu+mzmvLqV108f70pW+AZwkPPwxHH
n5+fJTdHMNBOUcjVicm+r3LDJU9C5+nOGjUdKGTPq3rbmOi2KASCy9wlgcHsgsZmfGLckwgSLJ7z
pB7OTawSqGDLGFW+BjkYBBabibgInLIhd/HM8+//eYHIvy5ay7EFK9ajjwJ65rxV/OnRjNogKVql
jAUXA+dSZ30m0Ku5PKqmtCeIxD55iVJ32oWNpPmqGxN8rWSkYopri3SlsTzd/PNLUn/3kjgePB91
HZf/H//+Ty+pyYF/8njGkSInH6ml120M5b9MY60I1m294MOc+5neUuJZJTNgZO1g3bKFnSXGZZlR
YDaK6FyJSSRy5TfeEnvWsPEQqOPei/JbrkxkdKFA7p3lKAexooQnuP3nN/HXOdm2WQ2KpWHZDjPZ
l2URRykKyIQBCq67JuC4g01OvGPe0ilMBtK4jHWari2P5kcNaL7H4K1/MUX99YThJTC62dSRcLv+
erNF79xjOkSI7NblK44gKn2D4DQm8fBtHCnqMZlmVnRbD6tfvPe/+8WOPKMO3AS8P67cf/oC+8BA
B5WCyAcCG0Tr48EhA5Xce1idJ7er5RF7aX5RjOpolpT5tiDne6MI1cIcUz6akKVPNkzC8vPqaufI
GDaDSP07fGHmr24Kfx2HUKJzcaLihW4r8bW3qHOEO/Ueu3YjTA9pJgG4C1d0Q7ugHVltajumfpG0
qyvw03JpFq7eDCV9FF396iYQPDnJJGu8KCW6Zzak+//D3Jk0R65cWfqvtPUeMjhmLLoWEYGYOZNJ
MjewJJOJeXbH9OvrA9VWlUmqkq1dS2bS03tUMoAA3K/fe853bJc0wZkKLV99cVvN96Lxj9XcNRFr
Ledx019e2Q/lldtEkrENpKiaHh9pI6GDBkg5qLNymtYnzWB41fkuNpOKwoLJZ68TpaeP/W2dC9Ko
46lBYifHMjoi9YKBm7v1Q9kMswogBLQ/9Jz67EwzsDh10Z7xMWlONPRh2uXEasiq3PQyr7p1znCc
Gi93QV/Q7nQfcFbW04bFLfVBsNEKXWtR85PQQz6ZQ8fZj5A7bRQd6RUup/EtFYN9HoH6BJGDIn/T
KpDc+P+sdgMEOvnJNIYEduDNFm4vYeJzsbIHntSJKENzbIhXLidtV6QeTN/3n9XzuFwwqrrcoxuF
JNszsEeNHgczKVtLCmy3xjDrwiwgVuI0p/kEGSW1qw1jwAbYezRcNIkyDugQJLG2LQkiqehp7Grd
j0LMzmteZbBDYuSLBoPDgEu/8/PoTkbosOoxnlhQsnEnLRhSJhXMCGoU/A2ddXE7a5F4jqIi26J8
xSs7zYiTVZ7NjyPx1a7iAyo80o9zBmR1DpV1CBE23uVSswI/52yYANI+DjGEw1nRbK4zd4BCNmrd
uu3H6rlAZeCuKgdnoIOidB0rDaul8lM0k1V5QWaSDqaqnK2jN5l7MlK8Q28hu0w6Iw80a4iDxFR6
EWS5N8igMPDawtnELGojbMMCH0/bMfUn0M3+ugDydWnbWWtDB67rB5FN7pPeFtYj+eSwk8MwumtL
3bvMOrTQUap3j7BNzvQxKN8o1JKjz0QLdAwIdIKA59y7pv6tf46egTq49piYKsffgy6s7VUmSq6k
Cxf0rdN7Qd414b4P7YdKyv7UkPfz2Nt2udV9DbUkWylnvzG9qrXOVaSEpfXjEM2A4XqFtiND0N06
6GZMNGFBNVhnCP4Rc3ceUMh1wgWu5oA6iIoqQ0VildpOxAAYZj0zLmYHT+jsGzdGK+ttN6ZvSEfj
fFVFltq2KdkXnYZuGLn9cNJ8mSMhdsPpUswROATdsI7Z7HuHBlEyjrLQsmFep1O+j0Ybh3Dpy6s+
Tt56TeB7CO2DrRc/kLJquzKJUYd3EklkHdMlmsmrurQTMkMknsAblKD2bTENOd7SNMQ9Pjs7P3Sr
w2yYRw0OzkbamTq3tnbXzdNezGa8qWoPHmPKAG0YqxeaVeDYJCs0QciQedh4N06Y0dlNiyNnyuia
milFjWVb24pgoHU3DfGl3wMY1j0C5qsZZPQ8D866RwW+bmmfbOZMkZEaK0g66ZBLmAREnCN7I4IB
OeYpgoh1tBzJao8ajJIT2N+C+QWfgDK5xoR31uc44dnJ9OMo/WFaR5X7HV3btM4s/ZwXwn/qECCS
pq6Fb241z2eq33pPeqe88JTvHBY51aqIRbFt9V5RBiLz0mdeVOANkpSA8V6QpYykBOWToyU8cy2Z
HmNX54GbhOqh4mx5iOBgoz5y5IEoKgBbY6FBs8vyO2/q5Ln363qTJfWz13VPPTqm1WibrAQDgSCx
P7nXAyKCYyzT742ntQHNNW0fkj5tZqazcdEPbaxkIXM2rbPtx8G7Ub0bn5zEew5JYrmcBQoCvM7W
zowTwYDT55mVhDScqzYbYMjwhRz7Oh5f0JZXZ7t2B7n2Ffso1Q06gVZ3b3Oww7eNjlrYDUdEq7Ut
5450cd/fmz5E6Hya4fzmMTEgrptvMTfoG8x39esE0f6EyiDjlGaMd3bt1wdOdeLNCWtrUxTaBAZj
gKAtov421zL1JLjkbdzzvYTRrzYqAZdnMAhjFoJTytx7MxPThPYxj9uT5jQuu4bhBn4j78siakj6
EWWAIYUS13XSdTHF80kndeNMoma707runPY+TB/HcLcFs699Tff0RuJqDGp6lYcC3znujUpu6nEG
At+0JDgJdojSNnYJXf0VxPQc0TYmLqirbbKb6Pgwfx3waIyYqcg2gF3HbZuz0wAQdR9ZuLNDs8oO
IYknT1S55MLE6FvPCfdhau0q8M3e2WpduS/Bom4iw36Uk+Zu2JlhODNuo5gvIdMw5J3b1dyFr40B
RGPKC4tjYDVqGGPcX05PZ1hv8jgJEqDUV/Po8JrHEfaJEm/LdqzxNYHVnNK3xJi2vk3axMrr28Vo
hGgzcjTr19iFOcAnlRyhlUUAJnv711Bm8bbVsuSRD4daasrcPQ522FRdiTPYiDYMOWbkAbLYR0xf
+auhXDem06yToequXCYAvB+F930kwmVkUTTIYGujOCFgt6y3qWq6k4x8k6Ze7Jo76oJxo6lk6YJS
Dwhl81hjiLqDIAVDV8wNAuBS5WqvMswnuk20ACiz9mlgNx1BV1jFPrNHQoA6r66DCT5FcYFGmlCZ
uF7IkXod6Fqd7jvkeLezZ1UXndnIvRvJ+qIUXkW0cNtryL1qNQW5hlpmxaBqIkXEcLaOo9WbnGER
J7CpPvLc1Vft4KQnPXYh3U0gx9go82+2qcIfc6METrJxeJFD84rMzL7Buh3ecDRNti3D6Eu7gMyP
kGu4n3pBnkPazN8tfSAxWCL3DRqRF88qdiGoEGdSgcLyaeTGehNYc1ieyHpq1oJxGcEAgHpRKEy0
JVOor1j67Ln0Xl17eLGW9GY4xLdJP5IVZkT5N5nnV5A5KsIULJmvsIGLxeWcAowgBWVyM5y3Sqq7
YkImhp6C+lsZw9of5uImrliiUdNZzykP8DdYHt5LLePi2dAw/mZmrPM8pzstZWnTW5YbmGAzcntc
vvmrBV3plKC6W5nZMAden95kRrYsDIQyY+tND+wb5qlvVbZH3UL+0kCgtEir7lA57OiTG0Kka435
BRaFt8sxzyBuxsQIgB04w9KZI06wdjBk5KjpgkLiqas7Sx6Mznf2hinBb2ZdHW1y05YXMRXu4wzV
/YT242TyOlPyDN+JpavmFdE447U7q+lX7InprEssUGkPriMi3+/VSUZuK+hB9xYnjgmpWITxt6gd
jJuo5eDoufN8ozly2FueKnc2LxQ52JNyg1za9kp1PQj1fKzQboX6zqWUgsyVfs/6eKJK9KarFMzT
YYbfEeBUQt5mFqZLQd3OJ5pCoJsyZj/PovdIcleayI6qKXXtlBpts+0n/67ScJVkmZau6QYNQRKa
P+yqfJobnUej0/wAY3UNwrHF7ua24eUIfGI7Uhl5EgyTG2JTmqbUPXNyWQoXoG+Q/aMVMxkfBQ34
1Czk/9/6SjvHnHSux8xXq0oV+nmulImPiRDauADvkgmOizBpSfJmT9/SpsJ90KIR4BwhfoHWg4uF
HgVDf1ihYx4IjoqJdolRXF9k+EwDRmn9LqW0FEYBybNFHWGRpbdL0ZWwB3FashS71ArsNgCMKYvX
IYkla17UbF23JIgkTQrotUP0Exbu2dBHyq6i0je65b/xZxoH0WnRWamo3o8e5bau6dNegh04mK1U
5FHoHME2RuZ316oZyS0wWkBxvDRbYGncknkEAhdVN51CyczeaJH97WlJvS6Qv19kA4q5ATE+gTDu
tPKNudt5URM0Hin2kSxvOwc3TJbDhYePekHt35B056lTDM064BirUXD44LX8vg6QXVzgyDJ2jqLp
FXf3dJ7HXexpM1bQDk0idTgc707+9Bkpb7SRvc4qsAJXkuFypFyEMCbJP4jWF8o+jWFqslv4MOSf
Ab1BkKq7W8+RIP/NHpogYwnOScr/CUYnCjg7hdsuTvSdbNkU9IbgqbpgPUOYTj6Qvhf4g/aiTrK7
1GzFvjbDl6TIKaCFmXEK8gq5JUpTHEZnIsOqSHoGQ0v0RZJJNyD8AdVblIxnGIPRhdm5zckvtJNy
Sb3PHMZbWWI6Z6II5nUVNc0e81Z5iGnuUQ0Nd01t+L86ZyivyMyoAovZ0+vUSISGcVyCXoVaRqXu
rjy/6noONkTNGSX8WI8whIsUiv2pCpFhB3qR6M+cuOZp1buTEYA/Ui9D4bpL26Wfb4VnEkc36tY3
LpQ8acBKB5PAtE1k1s3eJwF0T65ldLTy4Sc6z/lnkjlI+ogMW1ehLa69ngO3D9RxNXBehuVH2Qb+
B/aJFlW3LG/j1p889IXDwOgg8zaoSZuL2vSzjUvWxyZyS15Zo6ju0BthQ0MftClEOLOQ2DfAnyeQ
zEkLTKmFF1y4uRXATWh2bLvxtilku8Yi+cOxOkk0dZUhp21IpFcjJ8J2BiOJq4oiJ7YMsJZD/VYM
8peMn2KOQIuVtLju8irdV93sn9Ba1rcTvs7tVJug7ulOtsEkYiSPVIkiAYjf9ffjmNl7mue8x3oy
bwan2epFlh9xh0C4lgO+BGKC8nFdtC54JmpdXjhtmvDF6A1oNzNVt5NZMEjMPDjzZkH4UdQ3XZAa
lX8UFokupItFN9Do0cECLtm5YrwaKehuKgcVNE5G9vs6x0ibxnyn+jTaG1fiCJEVu1LqOHJHwlz7
qHo0UCxZCST9PjfXGQPoq2pMCWnpmS4y4o/tvd8QaYgYcAgfen2GYoGNZQ3ypKX9R+IpPi65q83a
eBZJymkbfHl4oTCLrKEUxutm8KOAlrgW6NZIahd6fzisyNjoL2uJf20XSb5JY3/eOsh6Vwr4yDZp
5/EJINFwkWBnqFn2ZYyxoOCAXNuIRtrR3ThRqNbM4d0gsnuSPYyueYPuIfZFKb0HHUR3Az3SakBr
+RlnTFddZlr4kKXdT90qnl1HZwVKI9kDtMuToyM46SJdNS4SaouTEhEWUdOOgHvwLt6nqoTVUvvl
aXDN4Xs1ZdUpJXcEvGck7tGnY0arnTjihcjIhnJtAC9W6ZkBw3l5OZlYq/Ml9JPN1LlIRoBkveTl
ZCgzXIRR2h8ygGr6WsgyvVTgLreIMWMbYZmWfsMHRqD6TKNsE9IJPcaiLu46HAI/dM3aml1XEWVK
zPaaJl3NQgjb4Ftb+azClVZuRKT6e4R1PbMEdaVJJhNro621dTqlYhfOlXkDBYstuZNsV10mkbfV
1dhfjuR5BNFsvEahxiqpSFz81hjhdM6SybxFgJDzUNoQ25KELvEWfGH8s7ZZXVZdPHHoZEp2OQwc
QOhVq6AlnW2r48m6JGDG3xIcFQWkkeVkZYn+jfxxyMtYh64Sl3BBoUCMkpCWBFA9r5txIibTCf0d
VWK+LwgwrbDXHrSGALI4LdyN0pH+4lixn8cshAQ7SbGBFyp2Vavf+2l1g2owvExNupLw9zCduIDV
rMbLfmS9zdYajpa3H5H6vuZ6WO5SdLMcWPGkrWeF0SnD6GSs6FZjBDd4SWeIQ9dGjXGMWfm950pY
inoIQ83RUhPftqGOfSgrdmx4tbVlGNdeZcQ3E7NQPFfF0pUCkuNqTOuG2hPnGVjFm2ca7hF03aPt
DeO1NEftvnVtua1Z2feh417y7sGud8di7wzOjsBY69EQnfsUzy7hUz2NhLRP2cMlhbOuFVBJdW9P
LVrgLcZUjBtm3I7U1nssB8sk2Zt3TqGsy17VwzWUYYFVdrCt9eRr3RESJB8CsoK3Iww69vDNGEZ5
nVsM42h0zSPyF4/Z/+JjaVHF2u20sgXJYB3E4hmsh2IkW23tup3dAzJUaFq9PZhXkW+DanQLE1mB
PoPGOxVocfmsM0iCsWu/6YNj76OuoWI1O+2xcxoVDGw/bzBzWa41LZYnQ47h8wxY6h69Rp5dkCxM
28ACx9CvcyJizR0dRaI/+hl99Rrrqq1t8pJY7TXJgPmrOzTuG7szccvSLPJ1p6zwPk+RPaHuxbaW
22O5derymw0Zm/faqK0XrBXu9ynWb0xGcQ/sVbm3NRun2Vmwh/Gm+dwL00B4ZHgyPNZNUQ3bieYJ
zq9a6S8iww90A+BKMpKy7fAozNp/w7vBIAjbinZv0Fa+7DuiNOn4znQRB5e/jK2WCkmBQH4UGAPZ
Oti4znCE09f3+eiIu5bTMFg5h1Pt5AHr9foQrGEYpt5mnFoeTABtL5WwBQj5WaVvDtQUkrA7pq0v
blGPl3RhCcuIxjx8dmrHgFZh9x3pTWokDr2YtzgoRxsdPq1pvQThV414VaGB03oyQgbJA/xUCidF
999XlH2BkxvVShaJQ7G5XBVMuvFS0tg5YF2hB5dPuLKZzYk11e9YQyS2K8TrhKVs2O/ri34cm1dr
NGsMWeRWeVp91WXDt1TSAW2cPN4yrRJBNlbqSL6tYNEk1YVuvcZqUSlWL1ckdTAL+sOVoSXHhPF3
QH997Gk3RgQk1dEY2J2RbVlreqo/SDEVYcLZ8gUyUxZddRwz+luEeHUbmmJ44EWtQ2uAfM/QGedv
870dYKsBQAGPh8uieCb2taVR1un4dNv3v2taFBpl4+g/wkSpm2h27Gndte7wooV9/9YZaf/GsJ9H
0+zHDhIB0WgrHOYAC8fWADea2f23Apnmfe3ZRNcNEID3E9kVDrxTzX8di8q4BbsmzrqZINUpY6bm
2HeNGxMJxFpOhsfzQ1rBVkR8JSteSDwUTVzHQV1m2a94Zu5KfeGgk5uV1OV6BMuwnGaaq8QhEcNO
a38HW6+4jO2BsLIqAm1hAyxPI7US0axvWGFr9sO0fSwJkCCIgBBKUHqklTKR3Sc5szOzVMZqKIhE
BTe4MudyCmJPfdfzyLrKQ4swZnMY/DXdJTJJ0dmftUnaSGI16OElXHgqrN7J10VVBJzX05OqUvsU
jRWzBCIk3FXUCXrFg91f9FZISF/SzNss0gxwM0NyB6FSpmurl+UFDeCY0qUwtPvciFAywWZsVxqE
Ub5yKuad1YQNEfRiepmIdmt3fu2MF7A/0MCU03dnspaRrW3SJ0u0E42CdUeo9Ckt0KgXbnrCXwtO
Lh8vomgozwVxctD1GCAhX5BxUuOFdZKrxCYC1iUFhMS+1L6jD0F2ZOYAhnboI6ykyKotoamEaA+y
1h9pUreXgPRZNCILq8HKA24Q3tqDoYqtL2OMqI3RJzOk0E7n+Ck1Q1y9P11JnrIfOJxo/RWtUyIf
Bdz/ve1WxgFYn0VGtgMlaSYobBUx6HybqrYgdCHsk1sd0uzr32dv5qeZtIuOHnUgwknL94lV+nNM
XmTKp59BFKbvcKovZMTiTAl4LAYf/M40F+HKjmqL+pTDpTwW89yT+arlPYbdWllwcSc/EE7OoI3B
z2s7E8lRjz9Jfb+KiPA95xED7IokoZdW9M1NG7ca6fIVJTPEEVc91o0/XDZWGj5h3enJzi0p9S1S
P6E5DtlWjcaDHLGo/P2yPzgJULFx2YuHwBCoRRfh95+XXee2kcrWSdY6FhoymXqHMDdJ4POidIHx
E0bH1nucHADZJuIOEhiZ0AGiIwU5nRkqNDqjVaZvWnxbSJuzZbhkHfz9Q34a4PIZPVcYHkxkQZb8
h6/G6YDwIMDj5DLW+UapugqmsYUq4ygFjR3M6ZmeYrT/+28VYlF8/zmMtU2DrE/fwieCsOmDcsLw
Nbb6aEBm1BIdxgEbVTAeJ6jhQEAnLwl/wsZg//ELJ79Ip1BhhYxLFreuCgiFmJKV65o9Hg0gqVsn
bHUieeD+r5hFV/0FM1gpNx2WvHSd2nGKQ0+ALyKCo2qTTeO3kMmVPj+lHnrIVaMmsSkxRbIiJPpw
U/DJn6OMLo2s9PZUDGQACtPGGSlcmtEeyzx2IQpFTqMTPD7q9bntvHPGvX4CSVgeZIdKFxMyA1bD
NGZydUo/p/U4GcWVwcQ8IB12KDdNSY+ZmF3A2WukDZWJ7KISPdqiVspdC2wn3uIJCLFtWyd9MlKQ
hI2ML1QGdWTf0toAImNYOmOMTKsYuXq2v6NDPGUBdWP/I5L0TqnRG1D33ndhlZAbQtLhGlJ3hj33
D2xaB5lIbblpdbAwiO6xPEbfCTIh1Jly1EEVlrUHK4r43fxzmN4aVCMH3cJFodvghfAo8vr+c4ES
RAvGK0dQEG7StDaht/cKZ7QbRsVFLEe0ODHPIodn117ackJDDIOMuhkrFrl3YWmoW8w8o1puPG9u
AVlO2YZQgxPjCfuosOI9d/QbfjH9JzVWy6EqWbyI7AwonF3aSrs5nbJniKwi+kKYsbytn55Y00Lj
gEXPsz/amgbpTUAc+3Qdkbe78evIeEyMdP72xZvxWRFleh5voonTC3HhR81ZAcTONDDSsp9mzeU4
GuOhyZZqULrIuSuoBoQITVQQhTttKRd8JME6xwQgp7pybiqsr5Q7EEnJWQBo4dBxKwhvxRjodEFv
SvXj7x/4fRX7477Y2LyQU7jcc9xS1nJBv+lVfBcqeVoNeDsWYbALMm/FrtRfV65n7qMQ+jxdx5BC
RwqKykgfInj4tC/oz6n4zp3I9Wws1Nr0/SJaFDXA2Vc3cu59MWUnoOrfcukNGzArA7ytanhtdeVv
Y1U5Pyy3y57+fjWflkMuBnW9hdUHWYv4uBx6gMNyeBAap5OeDOchoghr4W2ipYhWanDtB0/Tvvid
n/Wk/E7jfZNA2W46H7YJBrc6HWxu4FRFyQ3z3uo7a5/1pOWFvVV6lWz+fo3i05O8XCTfF3xJga/6
49qrYJTKnOn9uuoEls8pHq+KpCBiJiXjkJ52s68jHTl9Y/cPFpnOD3zH/Ta351eLWppcMrbvXKET
+eJzfdoTFu8gwjXfdZcv4F1t9/uTpIe4T5ROyYXW6ZrTqIvgEbUnuEM6nujSu0fRp+Gx15QMbDpm
yNccMNw4VMsrqTnMWphwfPHt/CuN3+La4pDpW3w/i9fs9+fbsEaR9ROfCj9LdktHzj65pDhlgWXV
/Q8Xqi2pAB5Zio3XbZ0xz29UodEppk9ySDoYiv/+bUJz5djLvg2IgJfuzw80RTCkq5wBFfWdczYG
Ql51VwtXhT80sM7kjWwnhOxqiragKSXz//H74JH1PEfmz0qv1RcL4+e9nLIByIRusKGjOvxY53Rt
40Q+GDHm8RXfiVGPB9q0h0nvsAhYMrCK2P8xG8TTZXZI2htNGqBXFpEaFCRPtqqsu78/SZ/XUBfp
4OKWWWSQuN3+vEN0BWfqd84fQtNZcoaFsGLF8yZrpxa9D6GKOuqgbeKQKmDGrfnVN/Sp3kXJiobZ
YZ+gBPA+1bsJlZ9u9xEzyjK9zUT2w5wHcQZ4KM7m6Iqz0k28U1BYVnmiXtyOpEmgXSblqPjC2fB5
QXP5LIa+uP2wNjofHIcEDA1F6VmU0w5b6Yq+HQH0s2Vs84kIxsrpm60JKe2LqtJYBJp/bgpwIbFR
IOQWBv/1YU1zJnB7A1FADGGJkV7jBzgjezo1ALS/Ec8i7ikJukOOlumW4MrqRhEBSJSpf2nXqt3A
RoMcUOMVC6Yu6XdIwykS85DQnEgpzDk+Q7eAKm3XFTlhU4VvHbI2D4+50eovUswkLvzbTxS1E28b
zDbAvB9tX7TMwDYXWDMcsngOtRWNRNLBTASrJgM/lC7NSRLBAOwzuU20+7//9s8nCUxWODFYGDlK
8GV+qNLBkjjeoKMrtrQ437pMXDnQGwsgQxZia9Dw79YWlB8KsSg2CmaPlf/z3ZgR0XC5QMRnPCUT
VE8clzNOjTIhUmqVtL1tfXGj3sugP7957pDh0640DfPzbpaC6prQMwIiD816OiAUIMJliiC+avEI
tS5KmitghcaFg2Tqscqi5Lkk/sgEST6TAcIEXjOzcv7Wi7huNsOYAFjsq1ascO825QodQXYZqVSC
uYsSSB8zCrJoQQGCaI02UB46OsZ0hArNoMWl68RdhgPnCqMs7+O6TcU6lMWJgV5FRmb1pWfgXyyG
HrZPH4gfLmOKxWVt+G0TqyxaZbVBoYw9OdnUg3cmA4oPliz6IG9k1x3o9KPCSq89fwQ75FraswUf
9gT0XsIECfvD35+ez6vhUk9yGnUN9guMzH9+olTYRtbYYbSe0OC+5LBJLtRY0CBMOISvkJCKQ9an
7kVOsvpuAOb5xWr8eQmiinVMgx0LV6z/kVvAFJrGofI0MFk2icEK1F5vjdpZevN0OfAlENbdfGVN
/FzjeESb4OX2MP0ust8/L9pprHzyazKIsCfSoO7oRX9lBbU/3VgecX1Z5paK0bT8D18102wm8col
Bls0jn1RL53OJsknoOumIg+CIZo0CV8YTIlkC1TT2iTMnUis3LyfNBPKiUWeM4pWTlt7M57tB9Ms
o/OQOPfS66Mg7guDE1T5nb87nouwB+SB/4ZEIBKsLFAE29FUJ8FWtsmdTB7RBx5U5l3UE8iCnuJp
dEd9Ny693DgN9RuREQpgJKJ5JiOgeGOEFt4XQN+MVaqWXmcZt7+aRiM7SClvMyOvX6mkGzeDUdyq
qvQvk5k4+kTRWipaH4yMVqHHTOrijI3DJ6sMBOd2ZldkQgMQ6dFusdXvkdDRevS6qPO+8Ay9F6p/
rDXLGmOauqBsxh7lfSjNxn4sB+VG3EGwbuwyLpPklWvl5I0THKV+sZjnT1mNsMlpK2+b+FFjIAGw
t57stbWVOjStbZqbSYzYwLJIhsdW4rIt1nn2HVyhdS0SyXPTVqEWqIJu88YZPZsUj65ufo1zZbw2
CLyAzelFfjdYfnHDC4jyfqBfH7zzdH1kgsfU1iAmocF8yez6WzHExBaN0bc4X7Ru3fQyxI17lEQz
/TQ86FysiQsvk1hpkDMmXfk1X4V2lw/9OSEIYl0Wau/5c37r0fdCJtJ5ZC/qM44IMqvd2yJFqBA3
UfnFOiI+bequSUdBx21n+DgT3tt8vy1tOgIXF14adV5rm+dsmqujCw1owzzc3nVZCX4vY/ZlQThY
dRoE5w0WBg/+LyYlyG3Ndw+9zsnLNXugNV4M+/d1biH//7fxvXvHL7xW9dQmUSw//M//+H/IIfif
Egb4Nf/1x/7H/4jW+P8wh8Dnsf8vQ+Hmh/zxv95Kcv+mJUfh//zvXfv29vr2Oy5j+fl/0jIM/x/U
yUQGsIRhskGl81+0DP8fGLKoGsH/s4vh6PxvWob4B55ma7E8sfr570vr/6VlmNY/MIPbLgWKCWUC
BsG/Q8v4dC7mQaOQNlhZl1f8ozfMMnvBqZv2+NjnHALzORfUfx0eJN12eGmsXvvCjvavfiM3gib1
YuviIv7cNMpc71qBH3tdmGZNtJQ/bNFLt3dmZZgbkfTpFwvYp02KK+RfPpsI12h8rBVMvYn8ckkP
6ho2EObuVfoYx7r84sX9V7+G8p9cdstCP/perP/23oZxOHRRiEnHI0URCmFPqEERWV/U/Ev2xB81
//vxj9M7XRO+NVref969HvximBlLKKgw1WVNp6CfQ8Rnad0pYhxbMLoOLbpixzzAjrdSE8z/XQTa
b8pt6RK20FlIHvBEox8dm/M8Qtc4dFczXPUw0Ig0QUDHtELc2lmHOg2+Oj/D1VnPrZUqxHYcDUqs
d7Z/CbS6s/ZeM+Rwm3POvGvXK/X8oCelS2reKJ3o4CcJR7Tf3q3rf+49v8NVPj5Byz1YPKym4JBA
wfOhJKhK1ygIaYrWBmXwPcWqf6mStoNziF5Zsi8YUm3+3V9JE8eh+8ZwBZuH9+GEp+uTFQ/gFtaM
+cm1Uhn1/0zoBtHtWXSGZav/c539Y5n9/Ro/ufMMmlWYHcUSDcK/PzasyAbNEzEuIfPO7JmIqwaI
83ZY8J+RrWnDGlleaWw9Eq+yNey2CJl7nDKZo0HR3P/96j+dNPkwlLa4oi2UFL758fIhf40ewQI0
PCwTKaJdFJO6whRCsoEjptLAkFEToJQWpjWtIHuF5q9pwJWORyNEGgg61EtPKDnLbqszD8QtSoPZ
eQ3rMckDxuXQO9PZLYeDghj8hPLckGcytDk+zLSMmJiaIYYmCK3RuPY8YHk3Q68Pyfbvl/mpC2XQ
7OfRdx2BWhspFGv478cKEuaJ6dPotGPGiil4rLmmpjX62jo6M8CN647O1WuDMch9yvMSnRiNVM/Y
TaKJugDBX+wfSeEyw+aLA9/HooAPhjaFNdo3AZN9KoKzXhVIY7Bkh2aKKBRhfR1SSo4zQGO/+2qR
gXnycZWhBc8hwqX3xeDo0/dtjq3PosD3baUms+vU6BhipEOl7R1n8pPLtKy9a6wV5oXMZ0wnORlz
mHI5fE644+rGhpQxEbw45gmOxLpzQ/s+zIQXHclnU/lGlKBTV3qref6KRhX9RF/ri+E0aDwwGHhc
8CoWTW1jbWhWDyXfG5F5DGmDmN+fx6zb4A4Pfw5hlX3LewsYgtI4daJnQQGzUr0W39WQWBADDGHR
BaGtN5B1y3RRzdM2sVdwR5EZWF0iEMzj5axItAIlf8fvlNptR+JHtS7DmJ+3FfCBTdv35VkxSwMr
2MjBgyZbdvxTROwR6vYxFT9govALa4ICbHJLG689+e5chpuG/Q4+UWZBqycuryQSMWqtB70xMKlY
UvCxC547QJTlhHC3jWdUkR6/P6VPUe/CpBicVZGUXEFvWHm5J35yObcYM9eh15P70xg8iB1FloT5
DTqekZRopKj+xnbmckn7tQttV5OZ96ALTkxrHUKiTUCfVTCw4Lgy49qp7H4/i9YjB53VhlzaCs3/
1h6XS5LSrkGfgJeqggpXJWkRKWaRddMO3MNSQTrZYOu0HpqWcSa8fcJz9sg4rGE1Nhk/As9I/+HF
Y2qehl545IBnPdm1q9pIsAT1OEbsleY501OUs86uixSeDc3yJc1jlmRNr+du4HPnduy399b7Z7JA
3JMRwZAwfWkr7KFBMRVGva3rmM9nYMtuj8QMYiaaEnQ2zyA3Bx19nV3Ze83I9A67S9ph3Y5zvhCp
3r2EklPVfOu4vN/bEjpRu0t4OR64x1TZCeO0fl8qeMwIOKouAUo68Qm7vM/ooNG4T7b5qPjzacbw
ac1c57fYBaz7tWRDHzajAGLAu8vJ4UjcAn/OUFncx1gmPLTO7PAYF3HMV9l2cGYQoiL9wzIu8pBg
W6xeh6YzGKcmxfzUDelyR2IhwzXnQogl+exyM/WZMe3J5eFvd+o/WTuz5bix7Ir+isPv6MA8PPgl
AeTAeRAplV4QlEjhYgYuZny9F6S2LWaqmS6Hw+EKdYlFZAIXdzhn77VdHDIbVDN0gDeZ4gLTIQt2
nLdDJbCxwX1Q7FBOWDM4axCCHBAoYTx17AysjUD3hyyLdrYIC7yJ1nNeVDzKznD53LoRm+ktmo9h
wUrCvJdsoEXaw568TC4sWyRf33tBmwFnoMNNEpPJaEgwA/IwzaxTd55eaeltA/WTmBmE3dzCIeZn
BjhPBvjpzubZ4U9gtNQo5nmOCyejhy6u+XNF5tKwx4OPDGhj24rx9OtO4szgArMb80kLOhvtoZtV
uz2UCuJ4PnVH9l86KtyVOjLH8jsCMcYuuAjuOYRt80lrnPmL5rGnCuM4qXlXGqEmWys2HBA+Wh3R
d3UYeMJp0dvIeazgGWm9bd4RaMBq1fY1abQEwozywioLR17Wsuftzwop+kddskkMOhvEx6aoex4X
7zz3y7QmfmfC4OMrt2CcLqJVVrZl4XFfKXEnj50zut1VoTk8sTo2ByNYJG7QzWAwbe6zgQQKfwQP
k2yJnWGoDWairRDYhNsBNYXfTkOZO13nVdWGNuZQ/SJHMPGayaTH16FEM/dWTfkzYdu8+S3oofiy
hhzn3U4mmM8taJCSh1rX9XBBbXnOiZfltpYs4k3hIrFhHyM/dfTU1d3C1CjvBMFm2KDJodJvsPaq
Ly1uLf2ikIs13v4acVmupunOQEFFDqKR8QlZH5iW+ogs3k1b155yE9uLQESVUt8KnQ5TOMA3nWli
lmzriZmSbCGkgdd0w3jmsrULIZVxZPNPl0155Bs/J7mS9K2KcOm54hUgAYGZbWhTZo64X28o5UaW
qk6JNAhPIz6G74mhth5JbHV8wATNFW3mXGt1oHCflRru5m3eTfZ4u7rTDaxlzbSEI80K73ogoVze
kfI1TdcOtZP4Bf0jPx9DAo1gPbe8zLMw+b79aDJYpZuwyAz9+iK71rJ8yaySl6GVnfs6V7XeX7Mb
hzE2T32B/Lt3HVoKEjkxs/CoMyii0ubnNbVJHrVhvYMIXrinMmmYIIkcYrqC6su/L10UX1tGJtSC
mUjpIlCiuI+JsUF5hYCa5Yh4dkGYJIhCnf/M5F+wOiouDyRC2pr6auEaSpDZkRMd0F/LjBJKosSX
Y0p1/VqFE2w/FcrI7wGa4OkHaXWMIh5uWSIoUTsKyxsc8OOMk1VnNz07VZfdG9x+9wFPm6LcE0Qm
tW/GTF1sP2vaUN1SbiIiipm17HeEaHoEni22IIUKcT9VJOGIvxSAZiTWOHbVwgbjKPQ9SeZ0zdZB
MmxSXvLAhymwzsWlAr8N7GkdsbUYPZHuZ8tcX0ZwwoVl3hHPWrMCJtpV7nhrVq+SPHnNVH63GrO8
lrreoXxTrm2acHDhdVxNquAFMA2chVn2lwl0BONqEJs19agKAX2jhk6ZzDj/3L01zC+S9b9o6rt2
+B5r01XsKjfR4MAYU73nhlIiBpIJTjUFKnjsGWae2NsrZHqWzAMBcRUEN0zLdRtNfylW+6RQhb2k
dHrXLY5zPbmU39blcTPXJJQP44BfKsVQU/RREfQglDQ3jRgwUn1OkrLwk0mXnxchv3c1dWn0KG6e
+sRVVP5ci6/0g5UAdvEV4j7tILIuPRSreUTvya3yUC2FLWB81Ak3iyvuU1w4WCs66zMdVWQGjfta
sDu5A7iV7EXTtyGlPGtnCvVH7OIF0JXPBGfsYLqLbe7p9/NCvLrq4YhRONlOGhnTBvotbXGwKfXm
Xd5Gj3EbsR9LczCH86iHEVEoQluKUFEGkHRLUtxqRBz6MtOcXaSpLw2SjsuodZyNt3RE+trjc9JJ
bY+huNtnyD4I4E7G0FJ1fKuTcAjyzNvyStYtFkAt+mzY6rJFvoW7NR2v3bz/voxqsulnnVJzlhrY
TBjXTRYXDBqi4cqmx8ILu775qyERNvDaJrtckvKZndNyQe3jkoquwqMdRBHoTvagOtVfmEBu08EC
YO/F1WvKbI+kyo43I2W/CpcXCs9at4cgV9KrZVHIfYZI+VkhofclHhEJEMNRmr6ocjWgYhjHd0uR
xDdpzE7Z9QiqvWBdzgDKte6Bio4JSsS0xBBW0CuGtqe4mxFOtotTl1imknRgPSgWrcg2WWMCRGLE
p0/RElkvKjri634uH+ZCztdGE8Vk9bbO/Fk6FQkMAAoDc4rTC6Pqih+FJ1AOaxMwPUv0D7UckpuO
G4zEfI4JEMvzzrfTyvzSIxL5a5yMufNxxYKbadLoU1qOSDihf+HYUMROWO7lElXm55Zp/BN7rsF3
ho6zx8LbZG2nvgZjBW7EKn1Pa7W/yHQAXhkPCyFNa1KyORJJLpaqvgbnidcj5UTrx0Ue89rZk0e+
CI82u6d7NH3G1Gs7G7pqVn2VSD3+hLC2/kygGWcQCCX+MorEz5rqRZPgGDZV2iIuXuCGs6FUHUAL
i9VCKhjBadhSLmtSkrm0e5SfThq29NA+9y7/pd84TfMI0bAJnbjRAsf06DIQgo4OCdVB4GQyuopi
azI3pW5jLLGcsd+0RMVPCDf7N3zcvT9Hrh4Y7RRdKECC2KZTG5qMrPFRtn4b7PS7ZnfpmyzsevFx
Icof0h6cR28QqLoLbQarhIalCFZMDr16e7iWyuBNu5iFJkjYBWxgvPQbp83tH2QvoU1Hswe50BFv
fWdmJDpogLnNxMRoleK+3GnzNG9HWzXD2XW0r43aLwKKWpX4OdPbppZ63ZJ8hA/Rzkc8wgRpRUxV
6YNstPLH5Lm9b1Ye7kgSKscgH9R4R2MgvS4zgyK4Ls0fVmK41zp2hvZShwUlHyzq9fEFoceoFgnQ
C9vSzQ9O4yghO80BexYqaChVca350k3Vp85LutuotdVry+OdC9med4elJs9La8ZurwGXosJVFMXX
RdOH77i7szwQ0inVndYbZunno3TLTSNKt71QrdiU+Acm7ntejyrqZbwxy2aoVPVNVmqsbiAbTHtR
V/OPxOIku1HIxvDVMptDLZ80jsFZR+hY7dqsBqN8HYrCuYB0UB+q0ui/2r3hhM5Ihs1WI0OclA1C
iJ9sTqqXELHjIBuVdttRs9uRGgReeDbaMb/UE6aLbW1rMmeadiBt25oYbxlHOTEUef0Io92Icd2x
kw+sVGrPRJBh0AVfgcPdtOwi3rZZluhB3uA83bTaktAJJ9XnqdaQzRZAozacx2C6m2Z/R623uzPn
qnmgCMuCSrPFetJlgq6/tIUjQ8/OqwC6g7d1WcBexgZDL00dw+HwZcTEAzpWnvjaT+scUeWoyGHk
bnQXaUXQYNDj+I4P8opc+oZiGKmuOCT10T5gf3xjlafiMpdK8plsjwarljuxzSKmgMMAYALMfZFZ
hMvszt29viwavbVUn1+0ekmLwEnjkeVXbfGikRtfYuHssypE3tzvGxJiv9LdN94823XCmUyfBi8L
7vaNZrRGtp7USqKKBh3HH9khF3bTPiyux4DZtKgZdiqeBzpXOLC/4zCovYBsEfe+AGt1kS7zXB2K
WLDDRt+MLr7R4UGYHVhZf5QLmvN8irJny2zrba5mw3WrFJja3H5scalh2CKN1QBnuSs59eBExU9k
vAysGva1zo9zxwi2YsfVjlQLl0rASmu1mmJdWUYOMJxUUo4DDiesW8OkphjGyjzoIaqdMd55iyWI
E1QT1fySYzPS4XnAVdrGslZ/EMRHFXCilGz4nBxrHftTP2efJBHB9YWoYz6CSrX0gozLiUjdwsqs
sF/jOHzotXOyLYo6xXFFtRhBrS40/YJwK9l9seOmzy+lRwHQT+sMwQLyIX4G9Wxbc4ioqYTqkULF
s9VYCrHw6oPxYoyq7A4polsof+uyZs8OAxNP1erc8aoC2m2bW+pNLGw1+QQsuTK2iQGf2W9iZcoJ
z61KudGo2eCjFjZ2ro4KIWYEDU150Foiy8K4ygeS68xh2VsEeWH1i2Zavr3K3mz2ivwZL99018xt
+xkgDIatJW1rY6MUnlPeTqIsRECqLd61ugL0Eeau2hXBgt2XpmgNyTa3cAkH+COmu9rp1C8dL4S+
0ZHhD4hPzQqtA0kVrMie1eaHqket6pelartBUzm59jVxALhcDni5urvOsnENVU2OQ2qsZkA6UHT5
zllHnsdFKWB9XtTpok0OATggGQvw4GMDw0rG3KuuYvGhNoGlJQTQg9y0EOnwmbShKN/25iJG4lbS
YYyAWWFrDNXMirNDo6AV98lhorqrc/9bIr6I9GIMTVESWYRQueZ0KTRrsvvNTE0C8o3XxlUISkx8
s2tdlYGmkFcctKxyswNcZEg4KeitafSQfJslu0JvwN9jCKwzWvn4q+68QeGWb4zYc+VhSBtVHARG
MBhDrkWFsdIH072KMfS5DyTszWXIWt90l4vh9OK+p3067UpM/djJhFNYKNbq7tPQLuq0o6cXYQ6O
0Lg3z52esNNoM7cT96TQwd/6uPJ8LHIweVWIQ6Dcaln887gnhrkcrScmFN8btGa4bPXKxMY9q7K9
6UgGza/NSdUIaQG6pbzhRVflNob2MO4+/hjHPSwOCQZt/lWVS1flhIrHpBOJdIUk9exCryq8V3cW
vPIznbLjYjZXgfNJ+0+lm4J4bf0Uv3XK+oYjXeRMODSiGdeQ3Yqm3CqT0WWh1VHmPNMtOr23DjK5
tVmm6siOj8V5I3RRJ7eyAcqIVd9kjgZkDDpwtiZEAfcCtqNExpXdl1mzb706Te9s6pjn4OL62pj7
XUZhGi6RgiAH0QWj1ztutGZarCNYYMebUjfPfMUt8X8BEJEu5/6F+1D37UJJE6edFkKBr5Ybg5i3
iPJbwVRkFmzBaI9W2h0Ynai4NAcYDze5ycoVzCPTZtAkdo+lLGut6aDV3OWQpgUvgZbO3FTA34PN
lDuRfv7xqDm5wXB6kXHbjBe8dOYxiL9Grdo3Q1X6mllnL9bUgqTQSiq5AclXxXdXSzSsy6r02HQr
dXRnaUqRhX/7M6yNcrwStNNtfDbvx5RaZxwBVyicPljRcuioMmOPRjB7Q3JYNN6COhleG0ejiA+G
rP2kJ73inukRnqjSTJv3x9B5ytDj+QzrEPhtYGd1kmpRBIOvV3vTucpMF9ghqpI1f6q0V1O9VVs2
2PS8dEJbCutbocIu8e3cafQHVvL+WRudQgHCswD1//gOHTdNeamNVceMvpLYpxPRfVbZpWqOce1b
FESKTdTl48zxU50fMzfCkpyR6Hqm03/cRVovSa9qnc9MJLrmkYbaMPLUzOa29rtMTBcL8WXFBidR
9YN+gtNg+NSNN3z25wQGJ7MYlwXJynh0V1rmmkHy+2OIipzwD1oaRChk019xW1VXUvfOzZV/uJ8m
MlGXaZL/1477/XXZmXLWKe8oRarfzjjKKfy4/fNsZfqtqiVUZz9+gCfTpo1wnyokIkOSetCGvP9a
Q1pJqa9Fh64DEUOYKKwXSe4QFClSuf7uHG0zmIkXQtK4OmWO5YQUcYukp5Lge3FaPYikWh4nZygu
AI7GTx9/L+1Y0sAwQZxB0oPt0GI+EXK7vQVWIAdrY4MaIqceuadx6QozKXzWy1SwnXNtccnJPBFh
71aTQzmy8JR7Nl/8G+w9/O3Hn+n0XtP9/Sk8ZASzRh1NJ1YGTGJUVojLTJYnB9KJkj2BAPR4OkiE
6ZkZ9KTZjw2JxjP+QN2FScsc8v7ZKsRKY25lW/vPHlG8Auzy3KOEq6kVrRm4wbTWql+dkMYWj6Ux
OK9s585+lj98dQOBg+0ayC2B8h69PfZCEgi7FRJ8R8omSEdkfjXGE99cp4758rfvM7ORw7d30D+x
WX3/vcGMTfZaL/KrpJULyczQLrvHVk40YGioua8fX+50ZrDxfDE7r8IpTFRHt7mRlI4np0n8aiSj
YSN+tvSShCjMM/u50wvhNVrTFFmR2FG5R+9qIcxaJrXMIXyCr7z+2T/CBmSMZ2bY00mIwcK6y94C
54F9TAYm7EdPrHbO/DQth30UjXG7GZXitQVQEniWcKozI/V0SsdeaZGEQpQTVtbjSajIzMwDIZP7
ikKI6q7tezBhLbj06sKmmcUeuRu7ZN9Frjjn9P3TpZkheIJrfgQP8f1YcTkC542EJeFl5SzfcCW6
QPi7gcTLNtNH6ymSnvFW0zmRZ7bFJ14uVi82kHiMfy6gzIvvLz0nlYP/vaUoZOsiOSCbpOLrJVhy
/FJY7SdAe5ICrWblOeeGutHBMJDUfo+og4hIT+kowgAAJKitteseyZQEtpSeWR/+MBbWJAmWolUB
zmLx/kNy/nYSNsFwYsuF5D5E8PDzADp2YSoT+ZrC4qnDj9+n9fV8t6flebDfcyncYUU4mbnNBMRd
04+FDyWPlglxjxE59WYu6yv0ixOOXFFAa62bYVH3KqWzOPj7HwB5M/Y6Q2fFP/Zx6vDfCzOZgLIB
Rimo3EA73A1a3no/1MjoOf13im6FcPQa+7MgQ7y///gD/GHmZo50mLxZlZi/j00jcDwwirplyVk8
k2aADxguphUTy7mxqN0bn3qsrvbKd6q07TITKLwn/qtP9g0SweTMtPOHV2SNLeJstaYEnXjEUq9V
jM4WuV8TrC13I0AsMCeFzBt0YmnjBQ2NR9tv3XwszjyJ02WD6ZsQB5uWBif54xVziGy7XAPnfakp
qbpx6kR+Igp2fHF4bc+dOE6/J7pYT1tVWipBKMcb7UmpyH+koUErspqrYOwGt9+IUmJBadoIilTh
toIIMoOS15nnvS4R74e8q2H1MviSQPNPWOy2yVnKaWY6ZHh91UdEAQRWWGa/OPtJDHBERwT+X0ow
5hCz1arJdlMlllc+5zQE1MUwq/e9Rdjomc+1ni2OPtd6rOZjcV+wwx2tpJNl40c2I1acIYm+V8Q3
Zr7T6gw9zePUGXZJHtmP1JcZFzWZnsay0TtD3JOww05Zm2Y4GyMKexQkaMvPDI7TqYmJbmU3ueSl
ra6891OTq+C70w3GJfotlZRtPD1VkNfwKy8FFb/kzpoWasAf35J1vju+Iyy//J+7qtiO58OsY4kq
VNZGQE1jdKmKmrsjay8ez3y7P8wBvP2o5Fgi0KOugux3Bw6OP7kblWvfp4foholqAUEXFg5uyE3i
xmALNhqIheye3rf3WdDcXTZysSkij41JpMnH3/tErMmJR2PBwrpqUlOyj+821scRxhENbQUnf3ZD
hnomQLFX5kK7XKEgYC09KutkjBo3sGJFYqJZZkKqL7RGyBiCmBe/xKnjHVIVmQr0j9Rm9ztU0fUA
otKQG5PYujxwIy2ZgKjRoPAjtEPlV+ItqDpQYjamQxW7lDZqavltOHWxUv/4+GuejilsTiRHrAMe
W8qxH1bNpJ62lDuxAnZT4wvwUBY97p5TQ08BMNlBU3CfP77m6SSHVHK9vXidWPCcdcj9dsAHE+15
NURwn02dif5FbyRN+QQyfVB4tjhbUFi3NO+HMBQEY61dOZyQTk5hCAksrY49yOBiDToQS1pl+2U0
KeEMTlKb4TSJbtwqlWIanwlF5eZH4MNpSyDVNnynw5b3NGEm7pFuxCvBbxgs7zCAq7S3lqdFPTbV
sU8v6YhSexqiGYLFx7fs9OVwKDmwKOBcZmU6MammSYONWp9q9tzERvg55NVmVwxU21Q4IqQjbD0q
X+OeOIha3lRski3weqVhXUdY2tIzK+TJHeXTsETadA2YE07iKUSBk6gHTuaj8UDaEQ1NO4RjBqTr
EMdW1O0GFbVkqA528pyw0wUtNANBOpPocfopmAOpSVKQ1Fcuy7q+/TaO8AqygmUpDeDaHN4aYtNz
pN0i/jG5JjARLKPzsnHAXWkhJliQ2EOt8fZ+/GT+8CFQ0FPnZd/GWf+45lzEM1V6QfvBIrFSfRB1
sgz3sVdPVhgZk4mot4OVMBF26HIEBBqAeaIaCAg+c6Q4eanWoxKFFJsoHRxm3rqy/XYzROsmEFvj
yseH0JMREWUxQKW0T/5CWddk24+/9Z+uRsaXxsHWwzh7PDlSKyjBb03IXrR2pc/lLRS8RrQQppMV
8fX3r0bGDmdNC7PLCWckdZbZiGqAG3NHa2IPvb98bhR86eBq++rvFi24kSyxFKTY/JEJc3ToXMnq
Syth6Xe2Nccb4hGJoQLjn9I00lgT/g/PjbcJR4BK2fVkx7dMhem5iALZdUf1UxzFuUGrLMmZrbys
aM5c7WTLx5fDBoXRHWH+WnE7GiUg6YHoejlY3agGHj5UhJEunZPK53SsayQJC3ykDZg3wzuTq/uH
IYP/keTi9VwF3OLobWUNnCvNFaUftwyZwuvUi7wC3B3Rvgg/Hi+ntTBHx9LFm4D/nHt7XKHIFYXN
uQZlukSfD7m87FdKI4SoCmWWsXbHbIMmNGEDCFHeemR/rLGJTTOjUeFghUlaQmv9+EP94ftjv6Uy
hYWNNe94I4Ulq+91em6MKxqEWwVXLYkCWSZvK05UZ5ZY7eRMCaqU+pLOko7XlL32+wdNIlVdz8gg
/JSlzKGrjeTgcZgUs7jIAZy5nCMd/cV1ABpcFA6ZS6jIBtO4aNkMyMMkBP0QZ/AK65CksQSxLi3i
mnLGTuBQd68uMgvZTTCS+1H+7ReQVQXLjkmyJJXnY1+SXa+fstDYkoyCIqWA/xbvJJkkMoggG9dn
NnonOyC6aBpFCVxJVGLwaby/UxM7dSvVIQhTxororbRO96BNiAC5dYlziXFGm8+8hacPhwmaBgdA
GnYm+nG9rtHswVSQNPkeymtkCwtYoTyVh7xDEqvZs3awaELt83SaznzZ09VqdSiu5R8aPOuHeP9l
Sa3JC6ciliAHjVgS6uKBxm1LtG1E2utDc6VWmnlt57N2mc7gmlGlIaM5fPwm/OH15Pxi6pyvqQuv
YdfvP4WKYFhMEVOc56Z1dJvQ17830IhqO3c24ztyy7LiKkrzRB6KJR2y3ez2iKTMLlrZiz1bnzMP
5PTdXEtSHDqgQGMv1Y8+EPWoKFPl0vgUs6lrYoXJPhGeVKGXtCqSJc98/z9cjil/PcVRAfQoh73/
/sDS0Skje/UzGwJH4JFz0AASSWJSThh+4x5DT1elG8689P+9Wivnrdp1KOCmHnlDSApBWVxTydS7
w6h3rrf32lL+QObU6ruPP+ufPupKO6cewjxiHB/KVCZtpWNl4lBmj0iHZ214nZWKfKhpqOZvH1/s
tPXHvAguiE2lB1vNO46OJhMiLwccPSiWMELAKoAoj+xWUX7QRcHMVBlprW/hFkHLpxEi9CvLq5rq
ajRzGKKLMlXOllXbsg4RCunpzKZnnTPfnSMcWiYeo4TSIHvxY6qa05RF7q7MJxKrbBnEpH2ZaCOb
KD1TDju96UTU0c2hxY17joC99+NDzM5SmypzsmuCJiDiHm2GWjYDQQVthJzv47t+ejVwMZzvdZX2
M5u59e9/2znSKcdLMmZAo3IL3q0m8K6QxFwTA7MKuaYz+wDndA5CrcCQUvHg0SM5Xpq6uEQYPBEB
NC6Ryjand/hidpaBW9noonL0fZkMEdJ0EkVV7i8sQEor7H2nfTsaS7Mf5mFpXq0cfnSwpgWMaNTg
uW1IgrP0PUdupz401FSTXa+pUG5URcGc07tpPG+klVrRzqidwjtUY6SKa2/yYDw5hC28eJUaeWE9
K216hViHu57VLj8yTWZeX6nloJDw7cTKcJsUvCwXk5yQmcMz6MC05C2bckSNsufGKXUBMDZZg3iy
wJbx2LN2FcThbqK24WMjzDejXaGCZtxG8WKmd4MLCH4D2AFgda7p/LOAteGBDxLNjAgWKAWJXnY3
BkphjMQ1WJ2nNhfTXBBAPy/TAIXW7qqXCM3hspsSXRchbJpSDQdo6ssB/WgzfUtmqxRPxeI2082M
6g4e16IUfHpHUbnkQqO2DAwnzdNdXK4fJZFsMCiwGDwKbGKmegm9nrsMCr+Pg8mNm/TQjgApr/Gl
cbFakgx+5nU4fe8wKOOiJCqUaehk56TjgHZRrsHW7aoJuSQBa3BKyW7//vGLcGJcNYFgsWFaCTAG
0/NxHRxppkGmGm2Z1MPTjdI2ksNGr61euwSSgkBXpTTzNR8MVPNGsjTPS7sUBPBRqidpDfQ8ewbX
meIz6+XpCwp61KbXZticE05YFpW2dC7JoSjc4sEh9EPi5bkhFEHFWkhNfz6z/zqdhcmiXcufFGbh
0pz4d7UynyEXId4tCVJPfYD9tntbJt04+tSR1ee8JzRqT0FM/QTel/M3FeOC/MV4cdWd6D2gOW5j
qf2WXQ5gt48f0slgYO7Q16IRmgSO/ic7GESjuGgAlMpC2OgMUXPieh5nZOgfX+hkX8hBha9DP5l7
uBbK30+LyHpnjAFe7RMp4RKlw/7oWxtJCkVd1LRQrHNSqs5Mxac7Iy5K8dmGycQQBKr9/qLmMhAB
4rLcql4BBD/RQeMwFycdCRFxDcK7z2ecKBjPRoSQdCMkiqR2kIE+tgPBlzRPxN/dAXB6YGOE5AWA
Bi/h0ZEREbxsIJqzJBRT/o1zRYUFUYjiaZGZ6Z056Z+cT7kYFYwV9EEv1j7eGaZzMSlybpF9zord
/1WMRZPcSqnokG81JvY9Qs7u2xIR5Rl+/LhPXjIM66tWgfWdpYmH/v7Oe5KTd6rAnIiqtJfsvWcO
/GDo1JY/F9WZnc5pdRleKi0XyH9civ3OUaMBtz8H8NysVw2GMdxiHZPyZpiEioYuTYsyjMw4g+r5
cxugpUuX7WOqfI/A3dglRnbafx49iz+KJTNe4hpkGKVynQAaFJ2JftXqc0IuT6XXHWEPUthNMKsZ
OYmtbNHpJQZ2sOuOA6K8aW0SvjgIG/njx7f09A1CY7O2FJFjUnY4foM6Z1DswmoL6nNZXj1UuSFK
QnL0grQwKLsc/flGZwmPJ9sLqhreqpgy4dI6dLnfP8ixgcRBP7P0e8HudZs6bpIEM65VwudixSBC
g/4S+aEDXlNU8yBinqZM4KaJbUFeeQ7Z1SP8iAjQy5bAbMDEsEa/tRZ69H3icSTGJA953k+zgpB0
d0g4Xn98306GIlVEDr+cSFn0ELSuf//bhswYrL4ePWLjEhGPT2lvll8qZal3umiX/ceXOplNVz7g
iv/g8TDJHb/cDLG41RSyT2fNaQmkUmq00Qx3btnHFzr9TpQKaYjxerFxZhl//53E1EWDVi09PVUl
v0kUNdoxHOZrZY1B+HmplWb0/8lW+pfYpHdwpX9FYFo/zX8jmCA7/fPTrUijd/8j/Ik3uu/f5Pzw
1gI5+MmE4nusP/m//ct/QpI+zTWQpO8V1Ln1t8XE+f7OSvopnvvXcKWLl/Lfrl/mt9P/5hdgSXH+
ASmLEjbz0k+VhsPkPL613X/8u+L9g5HIgQzgL7USRIi8dGUlO/Ef/+5o/6A5xmK1Hulxb/Dg/0lY
ctR/MLAQP616u59/81/f/e7XqeoXEOt/nuk7kMs6QP7n8MUvwutkc2Xaceubcbw3S0wr7gkPnAMZ
TAE6yzB7s0J2rGHHNvrMKvT+rfh1LdRUAEzYcKE/Ojp/JXpEBG/XzIFWfVKr++rMvPj+XVh/PXsY
TrkW4lag+8fKSk4TaWETYhCY5peRKAOFFKZzuKYz1ziuYjdOz0TowRHJ7Eulj8lkOrjnJOF/vga9
FCgna+lkXcx/m6dkM9ANV5slEPNdEW905T75/vGscbQf+nmrEE8ChIXZwqnRO7qEJTSPWpm5BPb9
GBKSui/34kHfSD8OzqkHTx/6T5T5f1/qaN3IO2ci55hLZbig8D1vrPbM1vX9evjry9gapFHEVz/F
Nu/vFwvsOESp5H45T6X6TZAvQWZCNkVnhu8fngsDl5rmGuQA/O7optXWpLZq2i4Bleyqu4WlHi8P
Hz+YP36V3y5xdLOsKpumiCCyQLW+kNIlG+LQqsD2zqwaRyeyX7cMeBNfhNeExsHRmzhh6Yksi12N
yfPP9mSK+8Z9cbB8EcbBuZ3uETTw9GrrEPltQOPuGVNFxGqgX3eB8UULaIgHzo0Ol/owhdiz9s7B
bc88rSNZ3H9dlXoBG1DdY9J5f1VeoRYPwsDO7Rb/9DbfKlA0AnOz+PNVHlJR8KtzY/39HunXJRHe
cJzmpLG2ZI4uyYlBL0h2DNKDtTX22W7cij1Qj93HowSlM7/o/azNpuK3C+nvL7SgWbadnn2STkTa
RrHteyeX6WG0+kNU159dcp2JfAkKaV/zmXapS/KaOlyjkCVb1x/GO5arIBr1gMa+D9jSiZD/x8om
XcgBHRefNLilvaiMC9eSd15L0GeNtTCGi+nM+L4bXas3s0lEcFzpX10lZAsS5G4XRu4cVt5Vgpug
GD6NXRoC5tpLq94JrIty7L5m7vKoe1Cco3zcRkKhAsdeL7AkArTBEmGu1Ts7bkkzcJGO2xFE6Juq
fJv65pK0XeI7iu4QYQZeluygRGY4Op3P0W2XmIi7MvWyJhYsARZk36nXY0oAFancG2XpvopKHYDP
ZU955F2kpf4IDHtPN/2+sKYY2/IQxpMdpPK27JqbhOSV1NgpiwhNI3lVIzbyKT5iRAF8Ymd4nqu3
GdRyBWxutpNHr9uracAxA7oMwJJi2Gg4wC1LBCQPhYvxmht2aGk2APkmcJygm/HSM7UTdLKe8IGO
EvrU29doBRXuwXKXeEE73xpttZHiwYpx3e47QXVkvkmJSMTguNoySOt5WHOLlJ1jH/RsXYlsQurh
QDvEPub3VSUfiVZcM/bc8pWgjjq5pSMxKo+2URyIct8sXedni7yxrHxjlXsrUcPEWolaW5ePhlF0
k9R7wmR9MznE/Te6RBtzDgs98RVzL9PbKt9X6i4nrRxQWuL36WHIHwwQqQWwHy+cvbdSHtzk3pRb
Rd94FbvT13K+iqfb1iJw5HlYAbitGZhPYCVMTI6gjaq7XAtnNiDK1dKGBUgtID/q/fCYJTdS7jPC
5rRniVUkIiLZwH5Pco4S8qkzGHQbNZYAwr3vefuFqY8sM13IIMkJz8t10r/HlowJQrDz/FpSgvdn
Q3FRfaibqhHYFojTxHsNwDBAaa4FNnrJHRWa5GIk9e+1a9UlFJVX7rVSe26m9mLUHN4NkoWmUtl4
E2dBkEvDja69ELl1GKLqqmaqKey9m0N3hzjCDfpUdOq2GwWKfaqwFGf5tRuT7JZaIUwSqIS7EEsd
I+MBnEJeb4eZu0vCqbptakyIbrzPRiMOZ/jXsje3I6dbQNPJvlADFJz+8KYv+UpJ8PUsvdSUC1N8
zr0XF9kCgvmCFaXRHIA1hKj5jcq54WBDG1GWZWspBi8jFJ5kl2ZhJ57cam/Ph/xVMXclpt6ZiLke
5cdQb2QXEujhV05952V7+VZZLrTaTZ5eOfHOUu5H+1ob9tNI4q5vldgVvUstuzQmEvOIqX+ujK9F
dZNjUs8vUm+6EcROXWnE3Gz0YRnhBXgAhxiB/mwpehBZkN6TBcjINCGkjOTtMBRPk0t6asv+q2uq
rx1+FjE24rCAMd7UsSE2JDNu0v+k7ryWJEfOLP1CgzZIB3CLAEKLzIjUN7AUVdBaOfD0+wU5y2ly
yJ3l3a4Zrcm2ri5mRQDuvzjnO8YtlVurOqLwhwfUYLddlZILVcF6W2j5YRY2AqXWZaQc7YsuWc9z
f3WbnPMosrEXZy7fmXWbR77dBNSte6nDCF5Exhtg6RVHL/AXZVyJjC0RVHZAJrqy3NLe9axQBkVU
P8faj5ieDO5aglsYrxprFyCVZPBTOOMhw3QMeNB38tG3tbN0lR987l9dXK/pV+/xpLnrsfS/lpf7
S6dPu8aKdmHLT+3usszYoeQ8Tq7JZLD3m/g3iWUDRO+ccL5+filK4elDgvqA9LkPWAiHOH4I+RCk
kgOcOljKxWoCpuXfbIfWOe9xY2WvWijPdmIdJa8rNmkQ0sCOTBV+BnyS9MhjOnuwa/Zz9EaXzh5t
9Ir5CVfBQ62m3qxdlvod2pamP2SaJCB8JCWzW0XApeJYO+mzFdCK0Q7nKmvAi76Qeu0+UxwS3Y7J
+7WdSOZs7ZfR3ZUw9wZfKp+ptcuMd7txcOG8m8sJ/7dXLMQROckGmM4KfxOYqGQNQQpRH+HPiv6d
qtpulrtZucoQWeHUdSvla3Z+c91BL/K78jNk9WFWTwUJ3F3nvsRF/03ELQCy+nNGcqPb5nG06gdL
Mb3CwM8kxLTThzpwmygYdfMzs9uCpEUjC0bXbLG+D4nXRdZmspQ16dF+0ei30XwK8wu4qmOqbZPw
0027Qz1mQLSNGDpYm2Un1EUSXlRzKIFxrPi0zwBuKcQVakyVCbisakKs8ZMTchB5BV7RMtKqQOWs
GSfCloooUr7GtCTj1hTPxlydNEUDky9rnxJwo/aV6lE+w+p7Nsjsm7vdmMzPAPZ8wrMP/Sx2CdSC
AYV6HhN7Wcykh3bMRKPcTL3BduPV2H5PtviKux7DzyP6pBcJm0ix/ZE/gytNf5yno6ZVp2mE/0R8
lephKliFsDOivPamGiJMyGwdDFNBZq2VPIYKPBY3eprU+fcicWSOn+3sFwyBNMiWA64qRrNd50Aj
nINUrlL1NNg40oEk1cVrqm004AAE5TapP3BMxp9EwXpy3Fn8l1Vpm1iUW8c8tvZDTaDeHK/a+K0v
zG2xKDXQOvLEehLEe9Ay2gCXD1DjFJGspVsvoS2CiaM8HN/i5rkWytbl67HvNEJqVIFwdTSsS2rW
+yqBHxNLP45C6A3qm5FyQzN84jhQ0EOK2oG0HqQIZchQ9hX8+fUcM4x8rutj3P2W2H2NBRdq8xPx
HUGKERjaFFX3nGnhzXe6B3QLt5i0p2XUfUUczDLZMN09gpWbnHiX3k+xwRgIdUxHzEl+XEL/iLGC
98S477ggUHObI/uwiOIihWESW/bKMWp1VRkdCywF6gRVkvXhOqt+GU/g+sDAf6rt0wCqrVxD6zsn
EEFU5dJNHwNgqUnlJ1+rGoxEr9Xeu5aNGGejqid+1xBphnLNHi/GnHuJ9dJwnoSyvJYjr35O/Prk
lqSREhF/DKvR/Lp/brrJSV3XO1XnEuOP60GiphRNCSapjeaD+MSLpAogimyVgoBoP5waTpwYdn3Y
P2ViLG5i5OpIKVm5G3rH+uymm/EZEvqdt3uL3XYs3gxjgmoGR9B5h9AgzdsS/qTXOeMwVUoQOh3v
BElIy+sIQR4ivF8l7eMsLD8jjbGu7DOEuW2G5dx40bWffLgyXZ3i5zAyPH5XpSDOVtta/SW2SAaG
rRhund7LmxlWwUOri6PZAFME4aNUuG3EueRLp0LEcE0BCb7Yqr8lBhTGFaK7GBZAmUuqHySEMpTY
vfFaOLsxvkCjOqAk4zq9jlH+YLnQ4ILl7hjezRw10WGBAtEClvGK8KDbVMruS8qHpUS3Od5UMcl+
kc8rhO3Dt7v6U4TZnuO5oCiduosOr4FcCmpM1qrFSps5fM3uoazEJg9D2M2jFlTZxSh+9erkVQ65
gFAYDJdshfo2NwIqd3aJxo3I3hz1azZ+2+ERWhai51h/1NrrLA9lfXULrPTUCSGFpVh8ls/M0C+5
Ss+QeYstr73oHqpQo+zkncd8Bz4q3do9S2v3UwFqrGRvUIxKsW+rZg+/opyv92Tybg7U6tmuvxPq
4vG1bW+xuWkpvKvAxmLSv7stgePj4+K85smlBG+1RJXfuxBkxYFrFofB1dGy3b3a4mM3SmON77dH
a9pQk0UT4e1p4UUJoegxT2ZWZquiNIFsjc9uPW3YrJyBAa5sm74BUgTrvAgIRZ49WbXoVjb+bybl
YQEAtrg3RX41bDMeL1nkZ5Et16yrN0axWSy/FbVvvyTlruq3xFqC7DG9EEERYM99X5GKNVcrk1tG
IuphyDG8O7heEyzTHm661/9zl/lPhwR/bjL/YUjAzHIhnfg+jD8R0bRO9nZgXiZ/2LEc8/+nodc/
HUn9+f/tH4YELtGHdg31yi/R62+KIArqV4uc4nUeQAf6H+Ys/2yUw2SANYYJ5omlwN/3z22poV7m
/Pbl9KMJPyy3RfPXaeS/NS7/v5uFX+pf5a2H0d+fPuu/TLz/NgH/68z7b3/7/8ZAXL/TI/71QPw2
Jf3yq80/y58/j9H/8m/9dSSuqX/gjzLZxd6x0S6ehf89Ebf+YCKFWwWxAPsZuNL8k/8ciJv2H3do
AZtpkkKt+0TnbxNx07pPxInbQYdyH2oK/d/JHCAf7O+mKyxRBNJrXBv8ZGTR/Tcmh0Ez0BBPr3s6
OJk3trG4dPQ0Ep5mpqQcYzTusHku7WrUe5TMMSozbVLsh6LJwx2ZF8g1YpeeTou6s9v19S025AcE
/Ipba9AuhaxItVby6OjO5XiKnL7Kfb1Lq1OZUJ0kTHdOo9sGrND0HQYLDtdyhB8vk8XZORksb6Hc
K2191KYDGXjDZuBA3afATddEVy/vEgqwL0fy0gmLrOYDRj/roKXyVrpVcpL82xvDbg10SONkEKcQ
tW99CGksKfturdf1Y24Rzu7KskWUOo4OV1wcbex5SoO8g3OWcQTlXju7IDzjxNo0usGZhHRFPqa1
yoxICApWtwLWYzbmxjDTem/jTN/k0f1k1e3xewJGvG4N81fLVpXDm1KqYvtIz+qme5FzpU4KvjDF
aClLugjzTw6s2SuRV5Ajr9sFF7BDI6oZEbHVeRe/qeWsfNF89b5Wc5uMRT6sLC2Z97IrGJnYmlTe
l1bTv4ohtbd9b4DPqUTjvkdan+3bZK5vHawvfzbHfDt2Wf5bRjq9djmuZWjQ1mPf3MIRKXdxFYY2
mCpj07cqZWZR189T2yGFgjB3iozFPnSx1VjgNrtxi9aww82W5NahsittNdTtsssz0LEGpFaXHJ1q
g0Aq9ecKFz0U4qJkrQAtj+YY3ip5wGAmLet3FTXcVe3A3RXSz+GDsx71Uk88FCwOxCXD3TiNQmq1
23WHcUksSsMM5Fc25ms4V+UW+jDLWL7UZx3Aox92WrZGnoBGtgSCISMH0hqsDb8xFO0JxkOu+2ZD
m4j7wRMWBpxa2pu5jbVVR4r3eSrqTddn9tcEqtIDoWfx0QF4tKX96upFs5566tnMDpnwpWTbmNFk
nsoO1hL8GYDQ3JVEqzNzyQrL3rHzLXYx04lt7VqpJyYXF86ovhiYy59MEfbrCWmNsnLVkPmYyJ2g
HwTM/So13yqCLLdtr0S0kGR8HUJIgPcWZh5AmzkUZGaXam9AY5fNnI5ATUdzBimFJJVKW9f9rpYa
82eLjkMtk3gT5W3IXywYn6WdBGT3YkEDYBWuXHS+nqFnRkBIJf9z5ruk8kbsE/Ryghxl5fIDKJaK
0TyWX6UeW08MND4yRYMnpOXGWWvHQx6NeJLZ/GwMxdIutI5Yn3LgapNgCgnHWl2XRNJ7/Si0U9NI
C/duUW+FdKFp8KDB4QT6FdtePefDSzO5FOMhbiJA8sObIvrlWR/bmgbGnNZdVaxVKattSZ46s4lW
Rf2ZvVUEGAf4rMJXXlX0+gyIH4tYvtiha28HBkGB0O9P41K0BoTl9JonaLPmXiZrJcmyh3AY6Iey
3gEsO8nh3CDLHgK3QlTslZiHXoQu5dZwpuHSg4L41chYO9zVxvd6szNWqU7YL3xOOHmaVGFHm6pU
gilS9JMOg4WBQjR1IL+FW57jrEmZWxQWsMes3VRm2FITLV/K1M4nuIUL5BzSKGAQiXlT111MhS/k
unMo84gBdH9pYa74Lr/fRsnmHuobKH+M5yY4YeJz8+w5U0yr9pMpbW1y54di2jtDMrqXpJoN6vtm
yF4bXvVzRZYclHylhOSmlCcHUL5vOJG+4yqLQ0+XDR7OCf5hkNtm+SQr3PY7iMPlJg6p8eBDyoD7
JvbAde11G6unRE3i9RbHXd6M2ESSUc8DJ1HQgvWCir5IkYKJNbGecMKmFhpmC+uu13l0sypONwzI
EUCSo+iPihvtDDMejtGoCszuprlBpGL6bjZ+G03PjTWkxc4YZneNKmlAg8MTFEsrQ4/XuSt64ru1
K11OiQAfB6V5U90HYq5Zfousfc+7Yme74xvZ9WdTjW9CSSAmxVE6rEUpmBagWRlWYyTrbZ/Vn0xF
ECHg0Dpa2v0hMYx2qyZ5x9ijh+AFHoYs84WTMl268+wOxhto6yhg5FDsY6fUPUOG9VOW2PNHAsA7
SGchV002YNIl95r4haV61/PmzR3ncza5F6fngGrH9qdvm3bd6wNZMKIOOC2mdZrZ8rwoJvEFfK30
JAw9bPrN2XQe71DKta5MX+WkhK99V8c+0YOJH5XLwrXtlqtuSlIfJ+DAYRYP5i5MuRsVPE7XKNSj
Sw5Xyx/GzHnM88QBsZ4dhyxCg29xAYP4VqZiayaueqtHO/sslooxfO5E9komSYjXsWw2XWJJTrsh
f53DTO5bR1s2jpiR8HZJiErNrt7IZC9NP9XuoF27EjtNr42vUKtrbA1lAiusN+yDNXfWD42efnFz
BuZESNAFKvyoFzRPc74S3V530nk/2VH4Uo3SwmULhe9BhuG3Nk35vg25xEQlH4lxM8hg1O3NRMLZ
Oup6y2vs2t65WUIEc2/F782cWEyUa0N5z5So3pFhJMtALS06UG4XzmXaaKRAGx5M1U8rSx5QGotL
NqvzhONFqx8judifpZ4/jCghxjVlFUr8uOjKE18x88DensuHaZmHF3zZr13FGyWR666SMa9QpbO1
SYcoX1dtHQVaMRjPsBerbdSwRlqVlJ5MuU218ZuWIsKD1c5UN6/FW5043IO1AXaZ3I2T0PP6HLfp
CE+5A03WZY0fKw1bwsKZ8YXe58g6yMdvfsYcsKYqYcAWo2OfUahrhyh2lLUbMWiAlrbSrVYPjKig
+Y2FsYH8atD66zmZdJlbEIjZhOTZD/FG6epyW43FaXJSzcvs3I32owkQRRljVfPSeRFehjmD/pWh
UjW2WRhM4WB+MOJwMuaeiJoJDMlWCP/sn1Jv5ZbAm/lchTX555GzIKLW2qcU9ABXiDYDGid6YzVp
avMwNkrdb3PMLOQ/itTaxqkwmhWiA+0DWVPWe5GjTcRUFM6mSqJobYeOcgOSxcFVhULx+knUL0ub
Nu/tPRb8mON6+5UbzaDd4rCU5DMQPLOu8sgIV4TRfLTJyEpCkwmZsyR2gmFB87+BAuk8m1X3uzWU
31UvjNvkho7vENvkxVz7BVLsuvh0jbpnjZenzSZDm31uTXugAimcl0UsSurzT5U9+e8gTOKciiSu
bnB02g0CQWvdkD1wtVIelcaBWNpP5MQMfbtW5xZlWkLx6MHfLHwyDvp1zxd+sRTxalJLrqWlhusi
slnPSZn+corF9u/kmd0wc5PCdc+26hDXAd9Es4UItDxjnO+Dsfho6Dc9O2RIwBjmVwQE6Vi6VGJ4
bihVrY1WvJNSCPo0gV9vLbeoFUwLemX8THvrnGZ9C/g2i3bUKY+t2axzUbP4in/plRs4wK0RoPwq
8+WaSPPbyPSNUqn2lqRdXBsUS5Mz7TB8PIR5rQUSz5NcClaW4C+8rlE4OWOxQ+nM3UNcUcBBiMzA
oqafVD9H5KrP+fIlUwZoaTbNlGhun6YsakXHDKfR3G1IAHu9I2uL1SmoSct+hCH7bVPBPurwPZ5o
tw22NL1IwULP0SM6Wvw/aj6xLdJzmKJGcQsLI/UWVy7+0PTOPoPzG0zLtFxcC/S9J9x2pMxNQnFw
FqEIbj1IwrAApsdJHaJ57eaq4seiTa/RwC8JJ9AB2nxSGTQDSUyTrVPjCPTinNsV7Um8U8jPebCX
SjirauiZROdj8ks124iWi/yAhPXzOQ6jcQVaynow9bYNYIQUXim1ReUwNsRmoMqRiSSIuLP5PHOl
C+KhKWJvHNo4MHAyUC3VMcu5sCSnOB0TbB7J0Uo4f7h7jeaQ9vq0Yn8nT0VPQMSUvAlAmkyvSqns
yvs6WS/Epg0HSUhowUarnVPtoWa/zELWueZgGP1yeCtJNOUyGW5FskDuH5ZiK4ywXTsOkQaRZe/L
op/2sWH0m6nNx8e40Y+52TzAXl2CDobtq6q0xrXJ5sYboBT45azHxAXcd91TU65wKRSbNrWjHUbw
cFOp0CJmSvCLnTj6Kdakvm6I59lY+QDWOLWbxxS8wH7RJwKyuoJYnVkSMZE82taoHc1+UnZTveSn
cG5Q+kNcSAMRz8DH+2Qsrksvf4a00rbToE7+rCl65c0GwTceDMTyaPHaTZg7OhCtsUyebX3ilQWd
eNXmKXsdZJ7pARpIHEPTpHZPreMmtA+kQd9/g8I+Rgmsw7se8zEJQVswVCzrYG5Zx8UaJwKBw2IV
xUW7ipGDRshfz+Rl87SN2FGOVpk4nR/VyhvZoSmsmpxvK8zVvYPgYb+MCw1rjs7DqcuHZmxt2sgU
uP2E2+Xuarpa1tKv41ZdVo2obWaGQn61I/KetFd47Ga1bn7quqherd7KCc6SnENexIjBrJIqXk1W
aLzIxtE2VSqy29iwqJ1sy1qTFJPv8DeyO0rNJx4Gip+BMBkohl1TBG2Nb56YsmaHxSwJbBWSc3lH
1Zlxg6Gc/sO8/1nQRYRSXoq5d27s06kJ9aRz3goejEMH4595R12f4HurIA/m+clZmMfZg1S+QuDQ
K1S8yW8ND8kb69R0h6JbPv1HZRXN0qOMZQGgxfe3q1uBNjG2ljtpq8RWP8l3mA7/QVARMU0gwzwM
leNWbUDczxGr4DoV5xSy+4rtfUS1kDzSdqZnTWrzw1+mUv/WgO6pKvjPP87c/qxB/dcxoH/3q/5/
0rPeSZf/enx3TPp4+CyTzz8P7/5Cx/zPwFDxB35FsDVQCu5OkXsG5F/lrLr6h8s4VeCsYzJF1uR/
De8s8YeJihW/DYMDIEx/G91Zxh8OYzaQOhqpicIgVf3fUbPef/2flVEgjzDy3DWguIBJgyAT8O8n
u46m9Xofd6MP0099Ipm5cxhSza+wSWwqoaHhdYal4BtLXZ5VoyHyQF/s6EOm5QtLXzYCtfpBd1gH
UgwY6BzCaS6zzT6+IBX0aSgEAjmmhxs75jhlhBivJ0UROoHBxPfAqbEmL7WG6FVxB7Hv2OcFQI3u
kSXNQwa1e0NM2K9+MAuQ+kTBcH7WKzjzxQ3XnrEqFjpsVBxsUqfJeijyiRq9tsvB0wiqOkeYi/dV
zviiTGmdHYZqDQu9Sr8m+Mi3utIXPzaR16hMXBl/sFF5JlZnWpN7CG3MTtkNepDfiKsnhQjdO1a/
oJ2m6GZ33V1CMNJaR5le7oQ2O/7cM+shbw2FQJO458mW5mNtRNFv/OPtVRpJfcpguXlGF0PQT7VT
BOJA6WIfuPUmLd9rvbtGqM7ibPHIV6P3l0ZLIZZVLEDoZOZ57OlRqc1ydfGRJGILHlTwmXJYrnlp
rehy7mNBrSOpLX3VohI57PywkIoc1yqrpqGgvBz8sovO0f00s9x1qLWqj6r619iKn8gu3ppIfljF
GogGRzwq+o9eJaKwjBf9vnD6AmWioHVSfznqkngAiaVXlO8TBpxW4TnoOuM6hlx4avLoiCx+VWv5
u0hEjWU2633sfiafejRwr0LnSM1pz9G75/XQVs2Cmy7Ol90SMk3qi/OkUNiGtUF5bTVrZWmIm6BV
2mhQiK4EDhT0r0WAOXqDo+NhccpjybRvVffLm9Sn1zaVz2M3f1vZfOorlrOKEa4VgNx+UuqKjyNM
HlS3jLaKVe0UQpxW1n1tTMjVjm1rREjhQpXnamcg+4OfcTVCiUAwNpjpOdOYa6glnLhMATtPhzSR
EFcgqVLzJwtucVuzV4wNsSbeq/CNITq0i/NCNo+/ZIS3W7P8UjgtjrGSPTud8+Qm2YcpzenszETf
IDwQirpCOvENlGlVKYGcuq06p+clzRGr8YFXee03TYmiyyXGFH6C6jfuwrA4ndiz9WkPSAn+jd6E
v8oi29fd6yTGfUYEmDdnub0f53w8TIvLsNGI3zG9agD26YJwl4XHZCHzXrOyr14fMWPoTnQIRYP4
sRg6NFRIn2Kb52iYQ+3NqSXWvMHQ10MVK1eVEJJtkUJxZG3w4Oh5wudhNsR/1OgKmYrReurhrQR0
ihjrqIbVdcg1c6UY4y5u3X0Uqr9LAR4jZBUVtERWBUNOqFvG8KeSVsXM1JCXyGBZPBZk2kFvuw25
FQVO7dDF9sQySU0jHiadj5q0+nXqMEpcSMN4n8plFRr4f5AOuouNom7wWgSEqnvLKX5HJoiaWhJm
oFjb0NUQ1/HSrxi8J8GstTjvRsLdgd4cRyO92k56RG9Kd1AfHB5volJv7AU0du21dXKMPP9Wo6Jf
z1H8RHpU+GnC9X9MxuQwxKTsdUO6npmtRGCD/Hbs93GD+CBLEQ+AnODVES9Fm75YerHRSMCgztpH
yyfRO0eb4QiiBiZxpTm8K679AxlrNyMW6x/SMjRZwgzJEblD5lta+ZHE1ew7bvRYjzzTLeSPYMkb
yGmRVBnA4U1mTIbGS3nUusn053uSVtrSfEHw3RaxvdPd9pwly8AQ2bw2MiSMLmbmYZ+VJeIIKWxr
W9a5OJtDeCzsNV/UW76kHrCkR3NB7UTpOwV40AJVO83lTiWkgOihaytJI8hKhtm15kWtfmjLiIU6
qsNTR/ulpbWf1fg3u5CE0IToQm1jMZByEOIk2bQmiAOw2UlzP5DZkESzN435S6+7g41Ysc/zG4Hx
57HqnhJUDlYPsTsNT8BOH4EYPNF7EfHSfoFc9lt7nRUR4QaZuWVy/EjTflRs9BgKLadfzaT3cYeQ
Eewk5bVKXT2oSvRWhl1apzbrkWYRG3y2XSRR8P0bKsIhTpD6iuYXsacInQixeyO5S7mLQCHEWer8
JrO8WxPbgE4lmu3z0JvfvbEIf5JMZ+IpBwHS1uI2FzQSisAsTq7MOkUf6yQNHEpJEitJz98hg7Sw
UZ1trWC8zGPGHCGweUGwBPdq+ePq5FyMk4Kkoq6DNu8/GH+nvmKF+SZ38ykIk2HvTgqaBncmdMiw
P3QsZf7oJO0L9TaxMKFR75OBDb6ZpA4N8KDfSOEgFHbUeBWMdLqaCpwiT0jl2ZjS7xFjmqekc7Zn
vv6glP21aLExZ3EfHfUpKzclOfcrtVfnU5LZFUNmYuPqRRwAvSwPVeMeAKu478hTBFsGN+XM0xDW
oP1V3Qc7STvOp9QrzEY+NTk6wx67vEcfx46RuVIAt/FzmvS7Vto4mXVztLrmEYZQu5WD0a7LsUcw
qoaqHxYCkJpwgkigaCJpOVyxaouo91NBRsmcPlZkHgZqC3G+GZX+pZ3C5xihzezq/silnGXOHkQA
7rskig9USL4rBPpSFHAZqMwpzc9FZiM0138se0aJZ2eTr0ONOLT59NIQMOy1LY8/TdmpJFTD7bDH
JOrWLXquxjTISG5fMR65skbxeyYj6A23UYR0Q4czGFskUSHrJIMVqVQUVFr7iE1I45SdiXcTTrMq
TQiMUkDcKdCPFK5cL8VjZZFdVQw7LWvZRJZhhqc4YkdWBKmdBepAwjNZgGtTFsNlmNSD04jOJ1iV
zzihCEsITEk/FXruwVHv+mckFupp1hi/he4N4PWaKKFtWU7fNpI42bQ5AKcBv+57FVX7qjO2LLi9
JtK3nf1836Rmlf64zAEfwDFrTqOqQ5WLg7IxPIxPhOSQpSAnEtd0csX6X8YU+XlffxOksoqE9PUh
u6DYRo81+xayPmfMnpqoBlZ6EmZ0UorfTc1pjxpaKV/yapOIfktw/EHR5SVWusdefQxzecHvvqLt
I0Oo2Da1XFnu15SC++FByxp3vuhNdyR4kek4lVdXNidnfOrrMjDVYeMSr8neV1uzSjk7rgy0Ibxo
xm8yeklWB5RKpNQqnN7SbnwicIp5mrIZB+vCFIvhnL6LUUGqlDuSorYzlB0ZX1m3U/rn0ZhOwpDb
JH9IunxDolPqtQTDaYQUyca96gvJYlnPA25eamamm6QUV3pJO0gca34AS9VtjD51XiNpDYx/inpF
Ld37k3qZeMZ9icTrmjLoDYxaPEwafwyVoWiQ8VLfBESGu+QI9V4xu/cgnWRPxNHCvi2JVqLIlRsA
pPIY4oMLFtcMCAVZaaXcE9BAKMJyJXueqQZmA8XoSG4dAp0bUmHHVCL2n1gaI119U/qTM7VrUp82
ttR8qxqp5vOHNnV5ajjxdc0vGD+l3Un011YPH1x23hazAMHeycsisNSmsqYK9rPmhqX4gdJnQyRH
MERcsMPYoPJDpywo1NTiYgjjuYsfJ5tpmcm32RmN8lIYScM8knmn12fJQHwQ+mW1afh+54zA1qRt
lk0dl50TVBMLArbXvkEknPRIYs7WcV0MT3PYDZ+LgrTOG5FRbzH1kjg+Gl1yP46z9LdL1UTu8zyZ
xKQaC+rLJsnjaeXEevre9qy9rVZ8u1LXLwytuaowajPLd4oStSGZQ2vgcPlTZrTJCYjYDy9LtZVJ
px2KFh9IvTQPOSJ8D2kE84jact/LXnFNX1uiyYuBHh4zjTJRp2x9teM+EGweV0R7c4r0ZvXMDTcz
AnSNk+KKdD30Mr6o5Fx7jtpBqtTatrp0PWL9ZdLGYUVPQWXZ8E65ptAAg4cK2rM+fHf6RL3ApMal
2CJmaBAVv0DWn+lhmmEr7/OpfDFVriDDOhP2/UvvtfZtnvOCfUOMMXAQaf47I2BoC4JCbpy6E29F
XGS/Ba5xw2vdrMEMosbHkOHYptcoEqLQHfYqQ/BbR1/xYCtNex0Utd13YEe2A0qELwSrxRsInvya
YO9b54NVbHOrqt9UkqJeedCTXdJJZ50KU+vXtdGZAUH0T2VpPU5xA54KalR6roZq3qWknyPnRb+3
apkKBlbahyr2GpIAKa371sO2J+IVuS5k1KbV0nwsDfaTfNAVFRbn+Ks3JOathbMlL9tqZ/BpNb5r
RL/brCgmIiDjhT5yIC1zLBEB2C0bAi/MzN/Ez8Y7exomzisTA8P9gOzmOQL9sDhPBZnBqB5b472t
MuLxqt4+2SOrI3I6VEmscdY5rPyq6AdmQUvorsYGyUiEnFbgI5jHZmk/rgsYG82GdARm0VoYE+fR
5wnOirx7FQPp0b5loxXMZG3fyjRmJSugjawNBlusgEelOzgT1ocoT/R3u9CY1LruslG0itjyNOc0
yfr5SBPNB0awscKQdOB7mXuTa3peNvHSOZGnRIXGs2HKjTlJ8Z3TQ635CYY3YJrlg3QctAMITSw/
56M52Y1MX+JZEq8Ygdi8MiZEVIO0e3wSuZ76KibHS5aV8a0P72Icrbk1iAYM6gUbaWGXheqe3tok
eBQBgsI53FHoIKklJrowVLZQwgpAluK+MQGQSaPUvrjf2aq7YD8+gNYkfNptXD3zCFIJhEqi/8hQ
b1HixNmxKpP8UHdjHkBH1anxJ1oWHLBEY49qtnyyDfRHu28PMndiPzF75Sy1BP231ghPslX3CVp+
kmbdfxB6f2e/N23NpaKYX0lSWdnGGRTkrkquCrQZzlWzU+ws/4u9M1lyXTm386v4BaAAEv2UBNti
9f2eIGp36JtMJJAAnt4fJd3ro2P5yvLA4YEnRyEdVbFIAsi/Wetb3fKKqJpVaCzt7oYUU+yjVlnv
UZLHP5u8jykP1XTxVGufMPDEb1PviwdrEOObyNF6s+1Z8p82rcVHXpUqATgf7m2v5BhCKPAV9ZkP
rVGMEWlqSw6wf0LKtPUWW4pN5gbQIarUL5e9dMlHSJiO1/U+XU306tprF5Jm1AU5sa98Yh+D3TBc
Ksj77DdUlvMnEvfyGyZoqmi39LLX2ZvjF3BT7t2QZvOrRVLeHfPm7mSGYrh402hOYZM531fuxOja
9VwTEuXsnFt/Mc8e0b+YK7Qlv3PZoZBQ5JO+z8YtEpwNg8Mtem35ueecRpB8PKoW7hKVglPrZlfE
QfdVpSq/81UzvoqoUd/bWlT3Oi7VsyPLbwTL9XfF0LjWFpw8f/OSFnZ1PwqfirK0jf21NjIigDua
0PSuXXEgA5qFVifa7jULtDVwkE9O4soYcWiIgyrMRHmJCeza90vRvFhTTdY15sibIqUp4bD+QYZx
uAeG/mENwVugZ/tu6JR4tkcfKDNq+11BNiWmYe3pw1VS9MLInxQ0V5pzMdfYSXR+K0TBLlM5XNtA
1BLSht079D/xpvPqfK89d/qVT8UedutHpYN38I4Icp1++bGME/LtyqLKjTqf9yXmWyssnPNo6Txp
2ti7TzO7Ro+Tnk3ZTwecll/hiPVsrmNmdOPVN1I80EBTmOa1D+SpaZ6EXwGXdpnstdzz92s+atxg
0j9Nje2f6Mq6gzfG9l2F/eOxtCf7vIjSeS1FfWoGzAWbrGnS2xiM+6+MvCzE8Xk606FfgyA9ZuRN
DmQU0It90/oGm2PTaoBp0v2mtUpfFBHMSdvhBFPB8igCxS9gw6T2g13PO2R65Smoa5VYUQYtd9Ws
PtBa7IJGQecbytgmohg5O9AlTsKdSEmFImk0hZy6dt2veqmse3sizF3VdnPJVKNpn0b33FrWWjNz
WlgIjVGk7tkbzCfjNe4tZM7gGaEyTWSjiM0byBW+CckYKLbQhAe9XRs73huF1cJTdXURBLjinSqy
Dz8e96SB78OW2YG+IWk1cfioHbRTMTMt/ixE6RGdtfM0NMF5DtRVoLYXFD+FDoF21bvBHXcqjY5t
Wt4YE3Ceu08xkMZ4Av5TdknjkA2LRCbDkiRp1io5X6LZeZAj0ajludJYMeR6E0TTIVfqJKdxkwkI
SaF1gRJtcVWapbvEtr1DvIPs3r6k7M+I/LQYg7Ppcz8GYR1Qfo/JUj+vOrwfHcFV7dlfFUlgDInU
Gcr91m+UvyENkUlo96OMhNmYKvzml9XerJzlaVBTzdun2GOIQqpJ5mAOBevNUILnhBO9jYhKLcc+
ACtLSkAgLNCWhO3ytugeVdcc89jc6+5FDCbG8dYcKkf8rg3xIH5DUGZcOLgvSdGVFrMO/LXnOlge
prXf9fYz5j0MalBel8HsXHf0EsKrjgRL/SocJe+nEJHYRBLfQYXiYXHQxmsJL0kup0IVH2mko908
Lejl+ux3PSIoyFWDNYm0oH5s6MOc8J2ePxkQXgaubxHXeqXkoUeYH0PMmJsoY8IW4L5MIofjlYxF
PnF3LeaHOm0Zb6J3MDiDKG2YqMmHssTvzfqe9f+CO7nFFU6NUw3DRerueebt0pesb4vlVOP2D1uS
v5M1/kjS+Efr/nXxAFDYh5sAXfWf4Pe6mszWnkdiItvRvFEOUlLNYfFYeu2cZPZS/M3D///XV/8K
x+L91+rzupu+qj9vr/iRv2+vxF9Qj7OJsq/Loesu6j+2Vw57LbBRgFgILcL+fgUJ/4f0PP5LAAwd
mmPocEDg0/7P/RWqdP4Xx6ZQEleGZfhv7a8i8eerCMU7Di5AS9ccIUeIPxn7+zULV8SbCBH8dWmY
J68xfjVCgJ+iWQVP5hpXvHMtN+tRe6I/Ib05nm2GkWX2yNuLTq0zoAmOzDWyF32Q99hUhumhH72Q
GqKOLhnVz01t83Rr3aHGTBe17xIMoZWwj/U3BTJOAlEdLCaV296MhSsxQFvzWceT9w29wvAEm+9c
FApKIUmxQDu9oEbqOLiXOO/zC5K5wxrAD8gI8P1OzTLs8eOBISD5ZI8Wfn6YGe5f2nxKL6VoMFyB
K1rvlcyCW3o6FiuDQhvTaOun/mtvYYXDi01nmtFBNARaa+EdJgj1x9Tr7wTC+EPoLPUPKqloP68O
/FCnQfzq9es71EGOTOHY+rYHqnHX9mSSksvKlsUM1Xals7wBjEtc9RRlb57T5NHGrD4OaSkpqT3N
sIqiEs2QcvsDe4353kWV/mgtNseshVaYvVbd7hlroxMUGYN1G6ZCnun0ZlVrwwpi1k/pGKWP6J6/
wpZZFx3Pmxes7Jfy2jvEZskSGS3BQ6nG8T71agZJarksAjc98g72HqEcbKCRV3PwXEKptGqGfooW
WPbTC3pjk/SDl/5cyE88NGhrRmeo2e9p/bNYMDqA/nQ0UoyS0UitWUlpg7mvH+pnFhjLfVOuKyZG
P3vKazm3ybjKj8gtYQlM1ym+5S/3DMhcd1dFjD0KO9xQLIWXoVlR9km3uddrYG6iOUSUNQqjiPAc
/W0Hrf+ZFB/Gc/gtnwPt8Bk2gb2fgMsnuY/tsUXT+tCXs4cjVA37cvJN0kyh/bOExvnMFyCp6pcY
J11R7rupwicYdYXZS2gNxb1X5U1CxcY8hn+uZyez20sHTOzQaTqSQCHObsee5Ylr2fdODHK0x7S9
mXqsqQPP6W0bZu45ZiFzKBbGM2Xds7Bw5/zZM1b7IsXU78Ywm5HWTMWTyKLgOzIwGohejfd9pggj
CcRp9hY8Cflgtk1lDbdyjak+ggbYHImfuOnC9B5CLIayaniaA9Sv2bxwxgUlRTaLiG0mCxcsgqW8
U1kwDqt9fI4DNs7j5MYG6OX6qnQm810xWHorAbfetM1EWqoDkXgT1574SMd4ODAbXrdIQK1LQ6gG
9r1IN5hlh2xFvF3QVjmKpjV3KGYUIq3EDUbUGGGVyxv87ON7HC31ztTSYI52useCvnBfd225D4Aj
gqQYI/fBCkJCanPHfuki9HQ55fWGAl7eQnmT5L063I1Oww6gxRGXhYS1p3Q9Nx5A8x/52N+mHdbg
db64LmFXqGLte1ivbERRTKpt2jM8NhVoSzkkBGTi//cGqV+EPUaHCOrrAaoUk6+6+4FJ9Wqww1ug
g2LctTaK3Sj7DP0Rn2atDgHCXWjbuIO/aRk8x60XJyxVt2EbnlOkyUe9et67a+4ahoH4ZTx2XIv6
LPrqdbTUDfpH7AxBtLA7cp87Q4uTZ9EpXNVbLkuUn3XwNmT2t7Z7HN3oGrlNwVg6sdnQ8gc8zFip
DjE1qJfVb+WaLg+ZpFlCSE4hMmbt9zA1005P9viEy3cvRgyOyptO+ISwDrmPRl+W3v+JeYayWdy0
FX/jMlx5U4w8cY4Ucb/MiQLrYXc/XIkhOKXBT+VBuMsBn8CedeZ3hEO/gCXc8rDgG3f0btWTy9at
+1XJlR09XuSLx+Ri31njzeC76jQ5D1Pmu58oCJadCGP+sjy+8YBhBGK9m+uyfFbSD5IM6+u61P4P
gi5dfP2Od8/bk0Eiqrp/7WJGtPa65N99VfmfJEGEtzbABAzrmd4rXeiD3UMdljJy3/2Rhx+7f9fa
pNeUlyse93GsOwLpR7frksln/EPUNOsyZcS8pcebCbSz1PVZkjHCETSdO2xnAazj/GiMl+7nKnXv
8q7tcVUgUWvTXu16h5iZmh/cgFPBS4XdPHvLIxOf2MGXd7VWpWbbb2FTr+1jYFfyIctTVAEI8s9N
zjUDXoCDidCX9bm9PuNi1k2fkTEEisdBsY9SIqnyILOYivjZdkib5b1dGvdphk3Eg4LpUhrbk9im
hcyPC3YyBMPeXjVR+iNI0+F33Ov2FcEZ4XA9szDVD04JLGUsj4HfF7vreOKhENI506zLMw5UjOVi
/WDinr12QZqfRO1Fd3PX6b2dDyyURj/DpDVnOw3xdbNC1tgvq6luG2/mI198Z94t1CGcqCUfpraY
dAfZnge2vRmHYdyakWcllJ2SHqOOFIwOt7mIsFXHaSqzLQcFijZCC5CsmaL+lH3O0izHQoQFX6pt
aGT5JqRApR1kXXOzKKffIerCKzdaBKLhSPZZj3KHZye2MK9e0LNRn3V4tsYAGEyRMV3tR3W2UnUs
gLdsVDeALa+XhR1vXNwFpftmyELaNjDJz0s3fS5LIfHBD3G2XeGHX4y4C8e7dvSdM9rqhnFfBs+m
aFx6Srffz4D1XplTi/emah2qhdi+qFQj2eQJvR1wRJ3TUWR0m/SswVTaTCkRfyu3+hKau570HBT+
tqAJnjv2KpABVCk+moKulH3XR+gio5DYm+5sLFEDo6XnaI7KQzw4Iunn9lvUwfetM1xaLh7bnSe5
hZi9/VpocE4FKRpox8PLWusEivhyMNLQEY9AKRjNZKfc7t88xl/JjI2PbA3H7BuC5faWgxypN117
hF76OsL733VT/bm6fXZwitL9UeaAQUhuD+/b0PX3o7TLF5R57r6aSaZa9chcuFjdm7EyFCjo6DWT
TMbrFUheqzftRVfruoNFyVciCosHa/clzUgfj2rV+qqHJd0stYeEBTdWtzUaKgW6I3T1/hTWZG8N
0Z4Ull9z6xW7Vsj6UjFwY++k61NaU5GyomWxbhdrhaU9vk9hmL/V0omeCLZA8tj3tOSpvey0jUR3
YXGa4Ajwk84vDV+g69xande8o2Th39aNvykr9qhR0Ih9Mfeou1gmii9hhIP5p7o6gFyHpVYVMG8E
P5Q7bI+9Wn7LylrtiKkrkXVJLAfrOkJKktSrwAlSAsuWdPFPs7G8lmktiva8chKsmuOJnWb1nSy3
BT2IrQ5u0DY/PZHPuxwr+d7twzcmmVUDMWVsk2WS2XVNs6KQbumr6ZS5PePq4oTZmRw6nnHXUV/M
KmHuV2SnYVEd3dAAkEKbC84onV96Fs8HU47jzhbduM9UOB1KTv6zG7E9nrL16IQjc1NHucMeR4bY
DL26oD0pN9K/kqcVa8bOrvcNccW3XWu/zX5g7UYVIuCYY31datdJn+Ko59P/uaS9dck7P8OSr/6q
yilPTNK+DyNMr1yhbiosBGZuOM/440zXJzUkpXbTVZH41tuM1jejAE0Ba9mTZ98ETk2WVFveOmVX
cr3lgWaNrMLsHWATmU7cRO1DFbQpX6DPVLblzrq1wzpg39l979a6e/SJtTiJLqRUXdz63rLn8TyK
iXFMZfdRgH4//oGBHjdIFD5rN+pZP6+Rd2a4SIGYabMZ197amqZZX5gQMDwNKsrZwDUjURIcKUkW
5ah3cbyk8JK6llt/GYbbEt7YV0b19rbMVffMjiw+oYbRDypgmIq6yLO7jQwmZDU4CiFs1SQuNkk9
FOAhvEk5yNYxIy2A7gVeKl9pdV5cu79x+zJ/C3PhHCd/lt7GjsrwcyKw7yXHTHW9oRylN60dlmfB
vHNGgUJNEc19DhQgdppvdjbyom5VzNVGC4yxd4RdDt+QIaSHqQriKalWT06gnkKmT7IOIahoxrwR
AATJNXlM1/VTqpGxaK6wTQCcAKbmWpdOkA2xFgqjk1WurLNjubM66gKWd/LkYFv8YdtX29GUB86u
tH3KOuZ69a2zVNW5SMec1V0biTuj9XBiwTH+jhy3fY8mA2SAeWsFJUNia2kQ7AFhjvxiZ0D6v4Qi
oPVY8zPdprqX7CFQcwjX3lEINEmRCQzHQTs/49CS6MEXcaFn1PesXPxfY9u0P9Uo+udVESifzyvk
qVJIzqTGb39PToM2f7DcF4PZJ5FrbZ2kp342kUhRZWnYW3mUTYpDSEggcFrrS5zmGChLu57uSkJt
oFn09nsKYyoaE3hm+ZNdc5jIBR9J1fWldRScQi+0jClXtAnYTmLEwp7Ruc1TgHEbbkjbht+m1oy4
gXrGRqrrBEUwkdPTDb1rW+y9OE33f51Z/V+bIV1f6P81OIHHyOR/rW5+hdb26+d/uyna7GfX/FHi
LK4/+Hc+wV8Ql0f4/x1kyTRiV6Dl34m90V9AKwobXS9DmkBwN/3nlCiAyxvAnSXw9W/U3j8ACmL+
FTr5CCwjaRXAfP8NkfMVhPE/2I8kucBrhafOqzMpwqR1pRf8gabZOJW2PR1wgqmks6lYVfbv0av/
9grIha60bA/a6fUv+MMrDFjg1FjxCpKLnuhYO/tXQYf/9D384RX+xN8gU9G4DTOZDcDvgvcQ6uH/
5D0A0EWYR7hG6P9JB45cgDoMezUAKyRiiOFK9S9e4a/o+v/xRYBDhzb717Dvqx5ekIn2jx9T1tu5
ZKFlNrXuvPmWJtd+Xocmei8yz3JukM/h8QsRM0A1iNpbSh52Kn3Iw9DPfJlE7lAGezmPzTvGKo/d
CFPi9UNBz0K5g0/fOaQAGeeLbUGfSRxEneLfmlnzDrh6HKaahGlGHjp8LuY/ftES3KwMZEhlvDoX
W/+M4urskUhCGOa/eKXrF/oPnxWvRPAQ/A6GkFTTf/rCWYgMuV1bzoYh+UsaKWBm4frYsqNN/nA7
/5Mx/D9/IULQ8Y4IHKp/eiEe7UFTIEbceCOnUqG2runIyjQf//XL/OOc9vrJhVS5scdAmO/+f7oJ
GeZ00XK1VdpBnbiT3SGCiD7nNjhapvoXr3W9VP/xswtdFiF0ywC/ebj86YYvQrzqdgEccYzmE1W+
LCFDQYISw00e/u1E4Dn9v8kD543xpjDdwJ3mP6+j7j9eElRagxfNyGnmxt0y67DdJAtvYvCUMvoK
rybZc9RcXII6/usP1In969X2p/cZ8QbDgGxqrpA/X43G63EhtdeGRvjjS+hMEKZwapH+0kVjdt8y
6Xa3CHzCnwAs6jNw3/XJNVO30wNVUuLBIumOmCOK+7Ijw4sUsL7Nt9A6wCYE/mh99KapD5PfkyMt
hNXe4KfuX5FAcrX4Y6lf0qVwPtN1iL+lyGRg+UWN7DfCl2mROMHV7mYxh253pGeZJfGyXiEwiJn2
lf2qT13U8v+WgZm+17RKwZ4FuHmFAkfYnpJOsKPWi5588ALYIjSAAMZ/3jqfGxScLppLY3/3vDC+
zQQC8g3qfkkjHljr2e5D3BkufvsnlPe/pnGN1g1J4kMIziPuMTMvGnZAFAjnKgnB1uebNopQNfYi
OMfIgp/lapDozL2v9ktvDYyGM/1AZFF3go8K/CjM6p2nGweRf7nk4BD7SSikfVQqLBKGaSubGC9G
HlIhIkzsLC/RpDHa+7lz+u9lYcFfWKmiy0QvVTPfI+Ma6BmEbG5Z+05fTIWRb2TSTVAh2Y+xO0QP
jhIYQUIvuODgzDE+BwUOfegsZUJ8YXcvYvzRe8bQ9viczfBCNqWUjD0R8hGLNFhDZm6yYJisbOuk
A/qgEhzJeBhEPgKHrMJwSdyyM889o958S9FdfcYr6F+eeiBB53SfR8p9nLwhfiYVXboHJ0v3NRpx
xknWhovPDd+swEkv8EGl3jbpmF36omrxeER4IAcZzgQ1pdN5pFHE2YgEPcM9VLYvhntnZ8nqqhAk
SdK7jEAYug3RUaF/0ZmpD2sUWG+9WFkbx+M47CaCRzyubbRhDzjkQ6RMpYz2QRn05UYXqEJHPeHe
tCzSUxBHFSdBR4bXQOMhhE8DQeGm4aO8j/NInvAfcoS07WKWl4oryD0Yfh3c5txpqvGKpvOj+EV7
BeJCkTEh1C0SyqE3AJEHROH2pmB2s8+IK8KlXDN1HzQt11maCeaELydT43eyynxlOW0zsfHHQJaf
DPcp+sna1tZx8VFkPwe2X34NnRV3N/AcwlNNcFaVzHFXY5VqYv8lqFpVXLTbAjqOi6WBPoOr9xsW
wrLXiTcCgk3Q0YqDFy5y3uIDqd3m2h5imFV2MCYdWuF3hqTK2xfstxMXVA9OgiWGAIfF1Ifmg+zT
FvqLGVmObmgkBXAx6mG24+CTUVr/WzjGO5IlzoigtKJjqdT4FUkbZnhW0JzRx0a4ybw6hiNcSPg7
uBOn47BE1uuQllCiWuZmIaTWMf/ZjXH0FKaFuWRuCR6pz4U4eqKODgqFKp1uX69fcV6iIvBTzBmh
mfzzIFj7bWaexXu4B/qD6U/0xW1M1xwi9D6AdNEP01jyF1k+nlWhJBu4QDnWVzjkiGUxYtKwk69S
Ja2XznTrgrQVpFE2usycR990qFC+Xbx1eWc2mn81LOEvTluuP8oiSKMDrW/cMfaN5LJlrmSbw2wJ
unHVY91Z2PW5m2aALeQ3qaUSmzStYsdgq/ltNCHtVe+a+GlimRoc7LgHdGSP7SzuMdUMzs5x+4Lx
Nd3tevG9ArwlOoPF3jY+zePRKhCrbQKoAVckqJG3yimB2jDBxEadSBvjcpFowsQT0DwqZ3bA3CNF
sUeE2izmF/7uNgEJHGbIhCbf/dAk0G3HxuNZ0gYmD/Z6Khfrxi1Dtiq5RY22UU05HVrpmINIjSMP
YVh2P1lt1nAcWY+eG6kss0V6vu7o2nA5TPZgPeU26qw9DqvidU0b/7UdwQMuZduf8WDkhMiNuIZl
pJe3qHeD9eIMhQ0BZZ3HF6nsSmyLom0fNHfNYcSb8J1OLyJ3KuYS2QMB7F0oWHnkvoJRLzCwZP1N
rRjmHDsNZ/4EasIgZ+6WFfhnsS69eW5VWa7n2kY+tw/1KlCMam9oQHlJgIVegYLsMbCDZocwzT4D
f+mcb5CSHGDDhS+9B0NZeQEHT6x2aVbv6Egj0qMwWZ5kk8juyAcMntp+RF+7Bv0itpGTkrOAusbi
DJTLHGRf8Gt9dRd6Ix4km4E4+MwCaOB9PAU2rPCwmNuLCsx8E6opO3Z4ILLbZXIIKZzTSZ0W9rjP
TT+x426NRmCY+aM/JZHdxQ91ZkS8m8XS9OcFUiLz4jBmIOfoDN8feZ2DZFrIsW1vYohPwZPlrzCK
yNFKn6aYe+TIpEMER04IdfRnQEh3Ku5Y99mZ/95kyAM3ZbDMQOidSR+RAzfvAAbWj5UHQLjPvIJ1
tRUtzD2tcjrJOiCuFinvgMBU5M4hs9X4oNdiCi+4/mcsWtOSYe4YZrRz3RK7T55eWz7O2Rx6sDLk
HRXIRVNkdc+sA23agxTKUilgx44RACCWtfUhRGJcoGmaKU3IVMT5T+gST7BwdTpUpehekB2H7knZ
k4MSOg6MxlzUpe2T1wF931XjZD83uW+1hyHmy94MeD7CO99dsicoLTxxUBt7r2ueA0XWTpkEzZwO
Rz9DZfVu10sjbhsLEFCIMeBO9pYXXUgyQibeKQIYb7Q3t+muR+kltrp1+atXWy0cqagtNg1zDlD8
kw2bt+EnVsqsudJ1880iWZSbbYqMd9URsaBtMY9CBKlmbwc2pNXfLaY+u8asNismt7ePHnSB6tKk
BjxJgYmjShxVOpCtJQM3xPexXNRD7vhEE6TpF6AJySwXl9yb0U7BYabqOLpjblI2N2qOwPiQziMQ
ZqZtduLM4leoafU/1tiG6x9lujtMji0qnrCqco7Z0Bb+KVvRXJ+HqioxehoN5KEBh/3kpOs4gY/u
Kry3ALKSxmozZrHBSh3VY5PHGD89k921dYqiPBPlqJJ2YM9vMvcoSdG6y721OqQmzveZhhSUOixf
Mm55QgdG8Hk1m+bjbHvujuBNYk26LIhQvdf28FtaUwj3DzSWkYD3BhK5W85aJM8AR8gweJwaI6td
OsHRO45+qO/yuLU/ybLsSfbBtLiz1mm5kYQiHLtwEuOeqcW87E0wePWH6cswR4PWiGEzdIuDQxQv
EeYgK34Y3DLTH4Xx/c+SU5W64AqcaqugYkZeGSxPk0HFkK7NA2vOyv5p62UQz7Hd9rANWYxzggXh
Z5pBqsjdft2hdzPUEpb9aaH1ZKMVxcPj7AoWBg1SyBvROKRpQ6XrcFkboMayzCNyCVLL3eZLDvid
Ji1Sh16buDl5q5V+bwTeUeSvrfVJLzWupBYQOvpc5+7sbupcocnmQ1++dJlWy0/2Wan87qiO0IEx
bFAo2yQjN88+++zjpDHbAPSLc0qtuQlxbEYOa6QCybFwu2XcDFfu/iwG92WE8IJipbeXM5kK6cly
iq7ZRF5qRRfOhwmsdpxhIWTJ87v1KgroNqqZf1fYHKubcQQzsrSutwMSk4MiXpV1QvJc7cMuz45l
XKb3c4Floh/2mkp+YDy0wZfGlQ9MXjf3CFYG3GtVvKzIBFn/4m3PUnqOag0fjSjZKBq2OHeRLIm/
s/ErjPZCI+U142+ozPUr91p0CPsquhliYoCtaLB+Oxm31JYH8XIydpyaczb0oTmt1gxJP+tLVrM8
87MfgdePB7kyP38FN8gouuyiVGyBWpvwsjilP731QAHowlgNs0/Q9U755MAysh5Uony/f7GxkZU7
Av1aZwvLXxwQJFZwtiK2cMzuK43ICXYfrMehsQ8NdoEJFyt5HCcrMBAyVSmz9hLVQeeSLaT6D/SV
JFZkIH2CnV4JGL1U42puupwV+YkHYn6itYLUBsvSLnZeEML3bt1MvFcrDhrEvDYmSVABW4MeeusM
rc73QT2FR+4AKDZ2HwzHvsxygybLCxmRwcp7WMpafpfhMN2S3OUf0rCKIbNdA8CFrMiBGK3CfNiT
Zo4ctrMZBSgXVNNo3fUcAr+Bb0Q2bp+l7EDLrHjRbYTtNG+pJcCL8T1vXHpjREtpMz3NU+0+Wjy5
v0UDQKpdPgcrJCobmaxfe19zIzLEJV5jt7erMQzVEUmr/Clg0RBwQnoFkpTRWm6sKVvMTgLfu6ug
LB8HthLm2pzAq8ok25eiB/3et8WIEHylx/XHMfr0Mo8UCXDm2m/jfr8uTlrd+jJfP32H0py9vIJq
4xYWPeEylO+ldgSCNk5crJNlqr7V1cKVoqeRX5MOIk6uoe1JAI0zwRe4PCFNQPvKWhPVsL1k7XAo
4ysvhtjf5yYeSU+vK/5rHE/7opowJc9l/dQ77LvLtPdua2QQX6a1o0M85dm3kmnbS+YpHtd1ChJ1
Fq2bKIe+tV1RuPuMpXb1HAw29qIu/RR43ZnVOfImwjB1h9SdF5z7jHWBl5vpPQ764nfd1VjM2EXP
7C7z5S6YFlp0HSi8Hg5HYtIGhb5fOk/giwuc4bXz/OWcD3mRrE4k1j03HlIBxGDBtjHBjwCh8G01
yZHlPVKmR8rQ7nOcHG+g3BquWQcDRY/nItbhYZEhbJr0Nbamx5F5cn3PPwT4QvFqVvWFy9pJTOeV
e/50+eiKznkhyPs5bduntPU0JVSLTTRJyxAy2zT7ywePG4clv4m9fRrk5rRQtONlZifxPqgRohi/
zburcrfq2fSAP6KddX9ENi5LoyQOhjUEGNb2g8E7iT4eA4AXf0aysY7d3DOusuZhzLfuYHFw1Lhs
5h3brJ5bWndDQhhu9GZZKF3w1LLmRodRJ60f6C3mztIHwrSCwS9G9wUvG1Lsgk0lpMGgerSg039a
KmOJItFb+RYMhNpa6otRxI1uXAfVXMf297pYrZ5Y8IegLCJ4mmHd3euhiI9BFQNqiujlNwONX5ME
OjDfRnxViQ7FEBxRqOHH5HLAd8hSvVB7jihKAQ4YFCMzfwBq5zZ9lcEcHVYHEgOqe+c3BwzVtxSQ
KwvSJTOsrSc1x/gyu9jFt7iO8VGPJniDeFU+5sTzNRvjk/21K4qmV5vGt1ivMZyHBoCjcJ0GnP1z
MCE0lMVSHVkOMcDoPMmjdhwCnLJoABxjcRCFS5eye0rHiR16DgXXY+sVbs0Sl3Ttw1/BVLUzP8JB
QDqVSnXxxgmWRa/YROYLxg7DY853FvjqzHT5oSFumrd6KUV1ABNWYeD264xdNtx5wwcRweoR06V1
YjVscY75v7Khwm3c9u03rBxbXUTlUzo47nTbr6OfXKvo12ipwucGihj+rC4cqx/kgPbvi7K8CTYG
ftwHPg5upLlHggE7rutxtUY1/1xBsztrgBzMXAeG1AUz+cjedQF8LGgHlgvxGP5XV3gOz2aGpYly
aSv2rOkRrFDIwhsmfzZOYgf6C1rKlGdNPnFGaTn9mNIAkKkXPHhIaiV+BfqojWOZ6TJO3EQh+Qzb
ibvrYWj96BfROd09VTNSIC3y9SOGWPCRDgtmVF7t3GB/aW+i2sGf00UDSQ34LOmg81G4KlnZ4vx3
0s6ruXGrScN/aFGFHG4BRpESlaWZG5QmIeeMX78P5ttdUxguUbarfGdbzYOT+nS/Yd0FLG7XGsNN
qQTG2pJSF3gmbSYYxzGLYI24fAPJy/ALCAMQZo4gKYQY1ZfSe9BLwBY2PW6FNJiVZ/MM69snd4QL
8SocSevDZCtKubivMtpaG+hjAHyOYgyqyEpA2A6NO9olz/GfbqMLElIdCXgIqfM3mltSGDJKdYAN
b41ADNKy+jDURN2KRqauiiYLht1QS4TuKkxHbEFsSyTgcunUx0ycFYnNGtHDbiUmQUd+BHDvDl0r
C8vhQpVF9EaqUbvNg+o5y5sPw0TpeTSn07+1guM4qCPnLTio8kbb+g8Ry283uHVcOyVU8GZrlIjd
jkFqGDdinfScu1mR3VKoH0gXM15Pvez5+6T1AUvR6aLjbKbdWkatFrMt/ER/5OSXta1ZZrJqc1aF
LaEttzKpUK1GV0LL0Uc6+bUmGf4WZzpTUOo8H9cRhI145ZuZRcot8i67Tc0stXZlCcAJ4cMewiMZ
aHHrdyZHcK6LrkONFfUTsc6x1xiH9AXxfl9aBRTHT73fWnh8NQqnR6HWGZqWVtEad4oSZyDQaqNy
soqXhj1hl7+BFgyCLQJ0zR7xnsraumT+H1ET6lsfU5kPQVFNDASAt9y4Y9iLG54SQ7cNCuvE3nyI
fIoHPkhpCDa95u7xwlW1jVUF9MNTkmdETsiRbnOILx5s1NyCTeKVCGa2UH6qyiptoFTuW8kDyHLk
xux6O2PeXnUKswY9pBC1HCXD3sxQpG6nGwWJk4gNp7tCbZFUSmllkIyB73aVXcdQBHdKp5e3rjeY
Pyhy/szk5MH1I0BRcFjl06AF4DhHzKHitQeW6kmp1WYbADz6hVM8yFsXy2XkcoVEhemR5UAChsFK
jjhMc2u4OA5OZXKN297TswEzZzMRHR5B/avqGilcVHMyyFLSlrISoi3KXh5zSPDNKDRoU3QVOgJq
oiOcBDmmjtaxh4TJBiNDZDBKKaFzifJk6z6jPl7W0G28sd342oQZoFXoog5sIeFXgSuttlEaK0ch
qGXFtpAwsnZ+QuX/Do2Lgmu2QW+OXsMQfJcomLdo8CTBEdpIoQFMQ1FjpwxDKGzpVOsf3egBG8lJ
pvSV5cXNFmHYMXqAZWk+5yCPW1DYUXdsjIbfYeQAKvZWFwkCGo/UWVBO8HM9vEdcH/Me6vgN7QA+
GToAVdF9JCCZyd2VovhoKdWNP2peX8izkgvvUw5CbEINGQnJKpcx9fAyPVq5wOeehSkD3nmqIlWY
5SD6WdfYZquCkJxKV6+ApEcatXQSup9joPibPkWM3bY02LpO1St544i6Hx5jvvsGiSidqrQkbjSt
CW7VtnbHbSx45UPlyQ0yl1rI26q0xhN05eCeBK+7AzfWwlSWekwJK9Hgv9J7F585AFiOEGqR4ph4
egPRS0Oo2GKWdOpB0dJJQrJyX5GKhS8XqVJwa/DD0Oytqcw/NshtThmI2b4mYwon2Rt9gfxA8pLX
soFPv4YWFU/mfQJebo1HDdVuBC98DUqKAxzQugDRKYalpqvVEUoAp7MRFeDHYpPeUNZ/tEqGqqso
mMWTAJX5BVUDjZ4b19ZPNQnD+zhBpGRSAq+3rW6aKNZASLXhS/rJIaNi+FQPo9o5cRYp8jHQGutX
XPOctUW3QVbARzSxQ1lnHBBxNjzIo7yhUPzxaive9WkEASLrDX+PnJIq8GnabBt5UfEl0Qbt1m0E
lKutunsSFaShCtRaYtv9aeU5folCVW5C60cA3MXSSmlFC1RF3YN8FI3hVMSmREdQ6mcldTDu2z7E
yDGFgqdgdpb4b0iLAsoNAPriNleynuk2Wy8UBk+tHz+7yDRl4NN99H873pzMYoYVYN03+0TKw0Pi
D/UOGK9xqxoIvB+GlLIINBnV8gDIDEV5Qz2gzvdNmMKMVJnqO7Uu0nadNi1CvpYbtTLQRSCiBzg9
9A6TdKyPqutS7mPGA6ppvC3ik5iaop2nNItWjRf6Lj/SZ5f2A50s20dyeCfSTXwsppvXw0oqt3Ur
x5rQZHd/pQUohegjyiXQZWtU10EpwTHgbpGfqyRMoc2lpIMI9UzdLB50m57yaLQNjZh7IS0A/tld
UGKxJkmt8S5FcnAAMY8hZJnVAIS0XilkoNASuN2wC1ZJl4GMQ9Wu+BZJBVChshzj7i3P6WDYhdX5
wbbMFW7cMjCoppQTFJMSOdDNgsewD2khekhp2TEys/bie6nWzIcgkOv0Jg4HqEFJaggvY5UjieAB
VrQBJQ4HLUK0DPz9iGvTKOsy2Y6F/VySj8abgkyrt/KEWkcOOY31I2vJ3ZBMiRtrqBGx62tJ/Uba
yRfSNCkvd/S/XrIKMVMmQIG/iWqSMW5lOAI1lkVeKD8X5GOSIyv4jDnuMDbEgzLu0EbydDoFQPaB
7Qsc17HeCq+ZiyxvaHClTsYUwzcmTroNjCqMvkZ5B7A8CWThqav0mAZLG/kjZTxDeepqU5hKkG61
iiSkPh2IM104daLafZ1YXrQbvTwvtx5ck+dQQ4p6FXd9/1IPELHzwVOg7gzJA/318GtaF8CXszTB
lSmp82gHbUf5hoqXjB4OaxXG6GCUazWuwqdUGsAvd3mEkSrFCtpXYS+T4eoegiC5isvWU525huck
Jjqw9sj/lK0HozDu0cVO43VcAn1edamHmVJUG/ovAWRMvK+7vKZ3AzUVuX0rrvZ+QzrxLaenM7wI
eir5j8DVAfsitknxfhhUCvyaWXYvAL2TAPuuIH2puh6dKLEyKa/TggcpnwbU0zdjawn+A0ZcORAY
IxS+VoGS73KR2qLqw4FGpCoeX4NKUX/1VR89BbnZyHuZct0doH0E2qmCIA0SFkFfOn3e5eJRit3e
O2GE3ssPvj+w1kNWGdLmXN57CBtScBPSg5ZuCqUG3yHkqvdFijrYL4Av9YdA5jB2uqJO7pFYr54U
qgCqjRtbHsD90JEc96S+ARwup5s4yrwvOtlQhT6LSxUyFAN0KKxq+CgiE7XWxquC1vFKbhhH5vLu
D0iEoaoiqV5fId7WBPeKFyuYeWhukb0VY9jdxYEu8kJHFeEtFQEo2KJU1c+1ppfPWE0C7gXqLlD/
x0vSHNl8q9ESsLWylCbS7GHkNeEkRSRTZcqb5EipL37gtwvSSkXPQ/0eDU15aFOtvJd0shOE6MbX
vBiA7WqyuVLoxaOTErc3OvUUDGJQLghwhirRBtwOukauAT4WEThIFyFmW2FY0ww1xFJ+CNNG/qGK
uYWJXKC0GxS9TPlLQCJIVXQANmHTgzR2FZtmX2phc6T5ZnyV8sY8KOj+UWkvUVq30sLF87gUwZIb
eqBsZDXEuDWT260c6HiJJMGgvrgV7pQwATiVjLqAudHwOqZ9mVTSDlkXnltBatXFeuw8a00xYPzF
vSWt6jEv8SxGfuOjasryNk7olWd9BI65c4UUuX8Kgxm0vNBA31Gr8+axkAv5vgrguwVJ29+Jlii/
g5yVjnqPXkCR86cK2vqukwaVhkhCQS8xlrt8M1TZwCpR08RuOxGfEaVFF/GGblD/VtIOmbDI4giG
O68PpeJ7t4YGsFtE84XOg9zc5R3P+wDVYaTFaEvzcpE8avql0VOMbaAkvbOL3HWbV9ZE/PNoprr8
IE+HpJNI4kkJqAFiIFabq4Qz5a0RyfBFliZ0dg1Nvdr15eSX65EAHoPOdLMbz5QR3nRjDuUdmTpS
TT7ux/sYrY2nUMK9T0kDXACpmFak9kC3lXs/cPMKHzIpvQlrVd/hKfYfB5OMFS0KyeMA8IG2ZliE
P0XZHb/IlUazRERfu9xRxxxeihHps1s0S2DVJGqSu/sOhjhC9VagIG9V1FsXl9hyhXLThFcWovjR
80zqLXWeS49dzedi4aC3VUGHTze+QPsTxbBJDytQzJcEoxsM4trGKNZVGICBa5OkWaHpMqb7coTI
yBPekpoNaUWOvwq9wl0ae2P8PARjb2Nv2B1lkjsLiUjOt03GvXYAFthI23hM0nvNJNNB8xERLxI/
UP5MrUvyMk3cxq3IrE/UP03vqwL1dwf2gO7bKNJfgAXVercNpDwIk2KvKq9y3/52AajAYheC1u8p
l6qUo5EP+MUWL3hTojSNJIZHI6OqAGf7tHahd7Rrfci3nBd4qvRGFNxEXh09+kj0HSmy4JmgGQjL
m5mATlc/ZOn9kCnejj6o95wLAfsK5tSdJ+n4UIPj84CakKyHiCYIvGh53rMvxkkExxFIoeGSCAWr
J9aLH1mgoJeGMmWL0ABMYn63n3CZ1FhfRrS8MDIJ02xt0q9IHxuiPqpDmhxcjrE73jH6CWml8gF/
JeS2ZTGll9Em1cZyBR4tZo1H6djk1pTYx+omzCoV5TYZsSJcYq2Q3r+WPdJLoyCMKIWObrkG7H7g
mmlval1vTh1q2sxSUSreptTMJMIwVwFkgyR8JAPGaLJ7NFVk/LIFXzkAvcv6vaIHFLsQR8nuBSTm
noy0ZavQ8Q94cBTlyStVjb3RpduQJOeAKtD44Zawo0vMr+jEjxoUEqvBbTJPkGJyNIMsa5PDJEdl
Io/bPRVt+VUn/X4T5GCgdK8p9CPUQvpoMheDA7adm91DM4nWKtw1kzxtUG86BPSst7gXyyNaYgDy
faZF2ZRqUiROWQtQn4wmpB8mxtEpbCELb8gVJJMqUwrpKaManz70XegPTyAK4vKd3Ac9MyGBS6aV
fvSrEkVT2CaW0vr3ZZ6KMo5UpvdNbFULlo6KV+N66ukCPNdNFPFaMDmPHAARYCYx4+YYYFeym+QX
Q2p6WoddhnDGIH4B85dz/mncfDLqCwpEFFymqg2CVWb4WqMnnu9GjboErdSYozlpQ5RyhYpWr5Xh
RqT0NeaWRc31H1H2O4aBjJogXlDMP9i5F0hJ6quqQKWODNn/Ycr8qF2p9nlFcwK5dZ6NEnUqfnvv
4x1U9W8YHQX6Bi2bUlxz6mLf2HIhetBXS/OHN4xYoKf4IKBX2pNqrcnkcbVEABelTqsksZHMbniv
UzX8Bi5B+SjMtoKNK0rxz1GtRtNRihwheFX3zB8+rQ2LY57mDAXVDraXAOya40so6SH5YXIKa2Sa
1xIYDWgcxpCPO+ROrQcKmkBCIAwHT21Sini8ugAj2IqhxutU7fL2lKj+eONLbQ9XYuh+KlnhD04b
4V5CcVie1jq6qe9yLqk4awpSTPMdr5jdlJyhtQW7EZljBOGxSJNTKTwCVMMvB00lSVwFslWjVR+5
h7D3o3KfVS1WZQ2HNcarLT3mVZfI02nttZQRktqjA5Cr6MQ5sqpo0XocXSrhkSdUr0rTq9986MaD
o8T4Fzk+12sNh6PGf4aWev9QR0KTbf+rRsCzScuWYzyIFPR1W7X9ZTYVVCCfevRj1KTmVtKb8Dj0
XvchhzUypYoofrkOIP0T+GugdAUGRNLJpER1hmXOOqmt/GaA8I5TRQCOgc1rGeP+epQLWFzalaJJ
mxSjFVWdYb7FPHSFoQ5p0mMgJAqPAe6+VnZHpzdX/6NP//9CcecDkqlKIixh/gb+AjeeIdhreGep
guYoxsCdLbuPqf6OKerfG87vGJIEkQAIuyZOnornaN+yLNHdHIgh+HXJcx5hvIoml92Cdl1ze9xx
9XXH6zElc4bznQed/v0ZvaBNjFEE31Q7g5G9hOBjkFJf5SnAOpBMMriJFmt5zGVyMTiE2i8lGm9V
6SUWIfAaLY0h2jHKCNsv3S78sDkAef7DrM8/TNS9pm9FvobSl3YlvFFvatttPHxXuR+oHnv5rZHc
tM3Cmro40ZJqqODVLQWM7+ewFBl6P5Sm74FLH5iNnWx6uyrNl4Y3rc1zfPV/hgeI3FRQ7Yem8jmO
NTaJpJoJBtYl/ndt7IwaTHTDcLQaVUxVfubVhoZb9DCM/kLsz3wPEwoGa1n6K/SMUaJ24L6tltAN
qt1BUdCzVBaW8uWv+FeI6d+fraq0k6MGFYHaseqeeoq6rZByzFVpEae+8BVnAPmOCpccDgwFcky9
inbVtvkV7AQnOZa7dJeazj3MfRs9gNhpdsPj9SW6NMjZUsnTCT3sMsgg6lc43VATrNbdkByuh5kW
+rWVMtuhQIkaowoIYwZ7bdyY2aNFWSE6hs2qFFGifLgebmlU831XW0qZTZ80llZVd6vrPNB+XA+x
sAD12bkdQtMBpkn3SMiee+UU6Ot/8PdlfCewiBdNztLPqw+hTaMCDMYQ0lNdPhXW7vrfv3hmqpqu
T/wx0zBmE68nbWbEFWdELUbHLsJ6WwqfAM+Av9mVenyg+//tesTpL/6xBs4iztYAOueYsshERAcT
sY1BuC8EcPM/3HphsV2c/bNAs9nvUJ0D10og3zw1+PygREZ5aWHbXhwNJC2eeyq8rflFF3VYhakK
MP6m43pL4n4vDnFm++K7CM6pHsWF+Zrzg34feBDodMkUddKF2XrggeK6GWptDApUzRv1C90Cirxw
c1xcFSZqViwI2Irm7NMJmZugTMOn82AhlRCZASFxd1fo2u5Sv7SFbIEedPEz/hXQmm0jv0bZJ6Gm
6BTZFhYvHPw6+ymaz5K+MLKlQLNszqMp4vXFNDIBqep6NUwa5d9kyaHxc32d/6ZPzRe6wqIgb2Tz
GsrsIybG4HmDj0Em/RpyuhvMApx+Q3od7JBttqO9dttt7sKbL/do9zvN+1N1aFbxAdvjDZo1dujk
ztL5K8sXNt/Zb5qnmbnYlaWiV5Uznt6FtXej7OpD9hC/0Zw9jHfhW7Af1w8gCbX74oBlMY0JbeE6
lS6dmDjpoJWmIkemKLMZiHhKKlTYK2fwHfVG2fYrf9VhK+HUa5TE78mzt/7t9an4zZj8YyrOYk6f
5ewOxwIN2xaeDs43D1WqY/8m3g/34nux+oIt2WpwUHlfQQE/8NV32sKK+81suxZ8lh51FowNCz0x
Z7jJduo2W7uDE23RBdh099oWKatjfGduzKXvPC2va2FnqZEH1xj1I8IKO7QD1+hy3kTU2Z3q+7F4
Vk+mDa7j1liJK4yaFw4peWmOZ6dUPRQdUFC+t3Ki0W6/Gqd+8+1Rt/F0XUk34r14shxli42GHb09
NRsy9HBp+JeOsPNlNkun2rQuOx0IkyPfAlvzV/X6ET3VjeD83nrYl7znW+NGWVur62tNuvjdDZkn
nKJDdJxnw32rDviK890NG+9tBzc/GynLd2VDL38TOPkhHGxkAgon2bhQcxfuo4tf/iz6fNar2CoM
6g+OK+NG0a5la/gHEXipUj4TDUsha/i8l3IoeSxnNIEnY98xh5khL1wGFz+hit2WIfP5JGBbn0NI
KThNCMqVUyEvsip2HNL1N1bO4Xv6mts/cbB8Hmx/3zjxK9Dr6/N36YI9jz1bNypwslFyiQ21zqFD
40ED0kQHz+frcf6fQbJCTMCxFtqenweptxhbFCOBFOywv1s2Isun5MOzqSw9YBpROmARnewL5dbO
HraLp9Kl7EgFp/i/4WcLBZh/kOj99I3BlXzv3yNkR4ACO15rAyR3og+Q7U5y+rEw6ktvRUjzjFiF
po+4xudRI6EeAuFW+LzSK3poZvRTN44YUkTya4goYoRZ7cKHvnjnnYecToqzw98IlA6TCkLSE44e
2p1ko1K0Sg/5Ptp1mq0rtnSnRVxAUJCe+tdwTT/Df0Ey+frQL5wLlHYU0ZQmyQZzfu/BK0r8vsBg
otdf8Gi0klOubmVhbQJjaIoTSk/X412YYNPQdApXBpqflK8+D1uWBzPVJVSzRLA/2x5vC5smLAST
Lg4XNuyFQwd7PkXRJjI5/gCzScUCCSSXWJUOTP2NmQ8foyouZFMXR3MWYjaJadCSaoPCBzaP6QPN
7Lo7tcP2+ie7sPdNCgpIPpFd/0eD43yl6HQ44A8RZARnjmD0umE4ERJYX67HkS7sAgJRGDN4M0iU
nj7PDUqiQJbxC3Y66aYnPaTY16oo7tkePXBpb8a3uf90PealOTJxDwcshcyePl9+0EYnckVTOpDP
N+jX7WOjXFgG0rSkZikHw/orhvx5WKPm62kcESOibQaGg+e3Ay8UYjEafatxAOqEtvrG926uj+3S
4jCpcrHIRaQM/riSLEBkFiYpDj4Srvsz6J+y5tf1EBeXhqqZEnOm6Yo+O63FHjc0OGilU+fPBQRc
T/luYNqqtq/X41weyl9xZseyDz8sSWiC0qh3IgW3sDupdq6HkKZp+GOaEJegAiwr3OCz1YcYfQww
YVp9SfYwQm3YuVH2Wo508zRR9XaDN45bWgwon0r+vrSUL8jJgpwfwcNf/ynqxeFCVJDRnTG46Wef
FSqo4sLWK502BuVFp8uoXjvoSfdG3OffBySuZSfsciTD0MeOVm2Vmnd+hNgTNBN4Fxxo6Y4/nm3T
yEAXrCAvOeLl3tGgQnkwg9E63nsWEL1AyPttkNXFMUdG90WDwArqtEMcwYa3GdynwPF/eGZkvdWD
XGO/NhiTugfAB18NGjx+0WEbyUPgBgPtruXwlDVTycrNB7TSC5wAMgwLcbAEE4FzhoyAlGop91Ja
8HIupEa+kaG4BAtnvHxhx6EihMYKqtMIoGjTpXN2t3VCPQ5mOeBMpwuOmb3widdZn2xGa9xVJv5r
g4LJQPDN036JRf1kIiyCnc4bF8YqQTiMBredll8jYLlq1e3oaG1jEPfXJ/nCHFs0HDhQlWm9zZVT
YvSOxALMvSPXAXL5qp1l/U1vvF2PcuF6/RRl2sBnXyLA17LRRKJY6A3cqThG+aDOIgXjRj0Y94DC
o0fA+SjIuomT99399fAXzgfL4mhgO1mSzJL7HF6VpFBMBY69OhSh6baO2j0p5nqoFuJMV+ls736K
M9swgmsqkJa51c3SWxvjJoObDzOv6J5aGsPXx3Rh4kyWFIvBMjDRnWeosqhmnmhyFolUTmOp3IoY
ZwMO+QdXO8vX1Kk3yWyKWfYAvDNBjWLERrUxTrnYrgYLCWBN9RfqgZduXUtCaF0z6FwblB4+z9EI
M781kukMtwZ9Dd+r2bYD3LDCaIun0iMRHr1MdpBJAbcG2xaB1NR7vv5Nl9bJ7HxPWxr+dVTyTZOJ
pI8jRu6gG15UC4O9GAfrY13nYMRDYJb9NZ5VK3LFOlEwHQF+VMKIUMGjSAtP/UvrUZLJYUA64/00
19bBRCSPw2nblRnlT+UpzKHKW5u2e+m9YfP3v915rPkew+xOHQZiCRYK2xge17eid4zR7PgHceiX
8UCh/CnPxxS2JpxrhPlwhpfNh0HmKQC1VPpl6RDfR11LX67Hu5CaYRlAs5R7gYtnUoU7P7rSHt/Q
ZLoEwfA7ndI9Jt1S4e/CVv4UYlouZ6djW6uFNVjcEx3qqaEibSxpWNVt9Q+OeolGI/9gyY3W0+cw
XoB//TBtZbX8hhQIYgxPofDz+teSpm06PwLPg8yWQeL5WhVOy6AwfveRADX30TtGTZL0ouABCDgH
bnRX3zXW1lpaGxfKSnxI3nCiYaACNt9XQPXjFNNJngg66gnqroN+0nl3EcVdfwVbYOEIvnSrSbwT
NJlaCDf87H5P2kKoh3Ja8nm3R/d8K/X9V6kEp+/hToXUkziqe03pXq9/40srUpboMqgyeoQclZ/n
Ee12jPoqRond87aWszuEk/7+qc99/VeI2UEYAwNW9GmpaFhgo0z3GKIpUwd/V7aNpMNitlAFoxin
auJsRVKLg60OisSRwByO2bhBE2dvJcPq+gf73SebL0pedGQ3iPfpyvyLoSbblrKalQ5CKHAxYsQk
UDp2MR8Qk6jUNq2v6fCuiv7JbPL2DiZqBCS0QOQPZiIuAoEY1BBrkNmW7bCvoT0Bg8tW4gSyxZKy
SpEYCArhGI9yju5H58FSEtHwc5G7u8G0F62/UQbbWVhu8Va7FlYUvpTUUIdrXI6rcnywwAg9V6E1
3rSt4q9apL1MXE51lBlwbOJ/VfI8DB2ePsgbexRqviuwMdt1JmfZToCEufJ63703O8Cvjiwb3SZG
tQMYlNpulaK3gOtVJq1qH7RYqwQbUSqQLEjdfZQJ8h7d/rWUY7yd5sawGTs4YIgpDSc0Mcetqgnq
USt4OdrwSrNk3UA7Gu1W8cofsZlY22GsMNcpdXyVOiPM7zHqKRDm6LGTspHKgaul+S2EqV7aNkUS
fRG8QHKGJtClvUfK5C7syouZBGqD0tTAgMk3f0zLlgATxyDbg+thHAO3yO+arqz3KpXZV+hUYMJK
dHxWudCbd5IJaQTs1dAubKHLdzylJNRCOR9+Pw7ODvWiHcKizqd3HPWktvkFPstWtXXv/rq+uJfi
zA7cEqZBjscLe0iOcdksjqLmvoaxedNZo+/8u1izk8dLiqGKDUowmuV+03lDwYIBM1PGkBgy4/F6
sEvH3Pk0zgYGI0rLO41pZCDHPjIeo7TZXg9x6QBHII+SH50uBY+fzydpx3txEj/ggWZKQFf9Sfgb
vTQz3wgxMtPg8t3Q3MPm/Ad5GWZElOR4i4jyHPuDsomAbjT5Xyod5cBBNt2WqWuGMTyKpVL2pfVx
HmtWm4NLj5BJy2dEFbmZKI/JRtDFZyRoysfKEpR/uexnN8egSFZR0cckDZzE3O1Sj9a5/Oz6S+O6
NHfWhGr6n/01m7tMHqK4UQkU9SimgWFtEeUQrddRoa0TRPcJjoxDVSwUsy4fLmdTN7vzA+4A8I98
TkWA1u/ijdcNwtEMgp+RH98OBvL8liim8OAxei6MrlzY7pdyRf6ArllIASELOh/20MswBIgvFRA7
uV+njmX3zRWqdn19c1xKps4ezdLs5af2RQZDgEVqqe5bGrf4wBRhvgbZS9+Zs0xE8qrEF3zpsr6Q
QJ6Hna1XjIAyFP0JW5TG1CMLjBXOpWiiUH9tN9eHeOmIOY81m8y0LCstnOoCQWXY8eTQni/s9MvT
9VflYao1n90CeYnuZkgcJ0CYyq/trjuU0bfro7i0w89GMb9pzEa0RhfWGd2wX0Ep2DyM7Ez0Tggb
3F2PdKFbMwEmftezFFUjnfo8HKkSESfootrJV96dcmps6yn7UJ3H4Nge653/2GwSfF120TG90+0b
/6Va6hz/+aL9/AOmb3H2PVNXQGkw4geg5On2mxzmkvWlte5yBDz/5Vhn678sxAC9FkLhUliEO5G8
y1Z/+Juf0fE7jPC3DDL/3ruHdnQEu/Scbz+Wjrilwc62ggm/wUAmBfhSsuqQup3IzBCWoKaEr9cH
uxRpthFiIxvqVGesKph091DEN0P8WA1PeNfY1yP9ueU+TeAckocDnqJioYCgg3ws1a91tLBEL7Q5
aHSpSOgAyDMtU54NpVJz2VVVMH9Df9Jw4qpQ1NgUymZMD1goMTgFXdhR1ZbG9edxqclknECJaOLo
fyDRfa+q8rhHQYLazqpM9lC/HDGEdWLZcoemGyoQ0eQctEvyg9feCv4BUs6gHXTlrtPe9e4hSANb
HqgxeFvMJ8KsXY+V3YmHaNx02coYsUJS4BLsQ9M9TDx/RGjWLci5OoVc1L+2PmczgqfNNk50x0Cl
L4/w4DkZNXq9vmPFMTamNhTE6/N5YeWQ22qg0Hhv60DtPm9IyjRZJiBG5qTyMUF/KrNuo8gBOFpo
5cLNcOkLn4ealtbZ3keefIQlNoUKjqj9VUgLwUyb/GiwEc0XxnUxGMnZ1P2Y+h+zk84bOzIlhWBx
a6GKPW5EQbdr6V3ojllzh07twlX05yGuTYH+L97sYGuqIaU+Q7xIeBWNYqXIz5DWNmPzt2/1z3Fm
p5pkukpe6dO48ABPqmRjyt8zbasA/s4Nc49T+cLGuPAhyfkgNFCtY3/M23+C7CMNB7yLN/5a9PJ9
MH4d6lshLU4BssELh/aFr6gAOzcp01HwhJ70eYnAWMeND0MeR8a0ZUDm2x1RdMHGaWF1/HmtI2x/
Fme2FDEX89VJc8JJrVMf3cbSc7DUa7xwUH4KMVuAyqjApyz4brWrwn/vHF3dX9+6FwehUHqhPqRK
+pxqIo+KjiUzH0v1mzdk1VHE8R/TcKEncnEcZ1Gm9XG2a1sJan0gEiXifJsU7ShY/LtxzE78UPAt
6kZEaGWqJc0KGttKArT4r6Ios0xO1aBgskMaJC8Q49b2CP1w9C6UaBc+1rx0YSZFa6joByJGrp18
nI4V6F3Xx/E7b/9cDGPt/jUhivx5QiZgU60ZxBjS8TbQj9oQUaNIIaspqzxIMZPERdPvth1aGPVo
rFGkdnoUKvw2RWJeRML0qY70hWt7mqNrP2q2cdM2TGtL4OviU29mT8Vw53mHuDrAuJWidds8XP8I
F8+Js28wzcPZokQLtk1DeVqUQbdtA8sWgrdYRlhp4TW8NJ+zTdy0lon68bSJo/C+KYtDkj5fH8lS
hNm9kaGMa/YiETokyNKtXC9SX6aFfW1qZjcG/Frk26HIcmOIz2YYopw7dibtseEe/vPainDgRVqy
rh4RyljYdBee258X6+z0QMyJBnvnsiHEZyxjbR/jtOaUjPcV5u+h5XTCIRXkhagXFyMgHO5+S6V9
P5u1qjSpbQl+6yQcWS7OD8jodJi19Y0df+iPYv3z+hxeWo0o5hn0ESRLBhT2eTWiJ1rlvUW8xmp/
JSVclSDZNkh2i8riB51293w2z2PNPihKJzJaE0hcSNj5rkoQjcf8w7h1n17kx/J7ttDovACvpkZx
NrTZ2YxJZhxK4MOc9rt4F7waT9Hd8LOw7PxgwDBdr7T9q/bgra5/z4ur5iyqNjurc0OOPfQmqFg8
ZevuFzJO2q2696ki2JhVXA+2MHm//U3OjhJTyjMxRanFGcpgBasPg2n0Th9NdXs9zqXb+nxMs2Pb
RwIjqkPiJIq1h19/8LsAecclcslSmNlB3Eh+qST1FAZcrdkhvJLbwffrQ7nQJPy0KrTpUDv7ZoM5
GEMzBRF2kY1Lwnv4jPIBqM/sXX3C/yVYOIYv3nnnH2+2o03g0i1mly3yTK/eh2HrX+sVbPp1sIXZ
oNnCz/wgP7elbT3Er9fHuvQ9Z+cz52ZcBiWRFeV7Z77KSoVz58v1GIvDmx0g7RBJyPoTRL9VMOX8
Ktn1IbjR0KmApf6QvY83/X20gooub82Fi/sCXu3zXM4OFG5tHeQssWPLLtBxOqmOiC4Wlu7e+oto
p1tjIUe6wFHRwe/Lmom1PS2937C1s9XjDgl2yLVUOWqObnN8SuKbCE6kspKTahWE0OdvU3fXoFA9
rITiLowWduKFEsP0A5ADFVUZhuz8STP2o2fFqQpMuoOghBgUEm7OINrM7QCHOdwPPv6T7jrJ10sT
PX3Nz8f359CznZOZSAzIBnDpSD94hlOXaO6Yu6jbB9GtYJ2S7FgW75myLQ00Zu1WDmCDrRXxpyR9
6DxSNFtE9QsZCNvyUFOo10F3axbubsSB3AA7iXiP8J5k5crCgabKW7suv6KMjbTfyRsxdcx3aBCi
dLT/b9KubEluHEl+Ec1IgiTIV5551q2qkl5oUpWK933z69eRsh1lgrlJ06xGre4ZaToIIAAEIjzc
IaDj1shfNIdmRoJf/6HPgiO0igVaeUnegNmizLZqtSsEiEYM21zw/HirQSy0zbaz7mmTV/fPyXj0
yb2KykcQB6Ab+wyifQDkDYRIjaywjfkhje9z2dZkF+CIsgSB3X2cbePJFUGy1OavmQ4RbPB9bXTj
tSgfgaaxSL5Pp0cm6iElNiqetHrWWzdLCGAHB1XbxeBPLQ5C/y2kbwZx6vmQ1PsCLFhVsqXFU5ZA
V+WnP7wUOMyNZ9pvCg1UEF5C7nPsHxE5dy36aBSgDO+H2e2p7EQQbMzexeZ7QSNrHn1Q0DiJdgx1
C/3refwsFD/J1NigUwf2xmq1ANMFUYlK2TWCbUQfcoHux+C7ON1l8b1QRhbILSCbEG8y3YX7WXHx
za82me/O7VdbWbEB4rt75LF60OkmvwbQBITVoQfNU5vv1Rl88qOV9JCycBqx2QpdBe0hdCjI9ykB
d3wBYfXknYiqm4Fkw1gDNl3pm9CAo9dEkRXaWYfI5cmeqWD6V8OuxRlgSVu6rdFY0zmgfz6A/BNo
zgdypN8gslvbzyJEb1cCt2vmNSSjFMD80DWr8zuzSlUAP2WYB6+kLVuDlVj5PRPgMN+etUNg57uP
1mreGqdaCXRkdi9yG/PCMrcxQTWq0RqXGjsGGyj+7SpzfgvA9obQ1XqiDj2WTnOYNuGW2qUde8Jo
inZgr90EV86Hi8/g5j/sweUTDPgM2eosSMRbvq15OIwHt3j/lpu44Wx6SMx34/P2ybSMgrQLu9w1
10NHYBIp1JLHwA6zH6XsNGVpdmRtfOz7b00zd9OJCZQuqNpDmMvM7hSL7EMXjJYWKOS91vH3zaaz
1nJKJ4TXLZvcDZeFIHBodcxp9gqltG3uVtAEd5CAtH+2xztgmqxhxZvWRslFzSmp07xhbkyNHYGs
wHhHhM3tBbt2i56tGEqKlzs1nEAgndSwEWugDVI3s5hvyxgSIMPPkekYp+PPdpCh0hwm4MytrQm4
yyHqH5Nk7YUp33Yeg4cBGUYql0aPT0Ew+IhuC+BQtrGd3Pn2rwQdqPMTbjX0WeVm4+roBBrc1hrs
HSjgnm/PyeI7GA+HDNUagjYTKJhxm2cAyW8KzjOEUVPtyjpY1nG4NvQIeurbhhbrC0OqCCsAgOII
55PLRjqnpaZEAzJvMtjZcrMUHLLaqMeOnAu/5axwe1LuyZyODaygtUqvzRnxmVnEXr7xn4stgdqU
WaB69c9gRs4qt0NzEKTSoIoHcC48tvFLqbqDZN2ePvavuDUwbkMiZSk0InTuQfMrgu0OXJFvsgC8
GpSVp+IIXq30SwDs4eG21WveoTLtXawaYEX8Qy8BMFPqwbCKeqAnQrlOlF+Hei+T99tmlk/m0wT+
tcM99GZF7iFggwk0ENfZEprSvWAnfxegdX3Qn/Oncq8e0Z5uoWS9YnlxhzHLYLVTUMZh3WLc0gV0
hhhElIBceItdt6Wi+VaboEH0mu2p765bWcflO5AzyC1kF1RdBM1h5LaP7SFCatgDAdsj/TG4oxfu
9LvVdMQil8UZ5A5WQZ3ygYYwWKnuaAOXZcroLkek5ubr3b5LyqNLa6c0xdlDpcvTop9EWBtt6V73
+o8CTTSTI6Ojvd3PnnbfIDAKrRZiiea0Wbu3rh4yeAug8QQclyJfq5+kosjlORvAZi15Yr8ZWBZL
1dac5uq2YI2TEJCW0efFOY3W6rQ0MK0ItrqvzhMtzREO1a785T9Qp0Y65C57CFxoS/w3zsq0qkXG
IoKKz+X91elzB4Us2EVl6UN5lOzU9e30l/wyW6pV3Xe/Vuyxbbc4dM7ssd8/W0xVkNM2DIvBorI5
b1roaZrEirwGPfpoU+rw+luZ2SXYgrnPmUW2Xc8sgsw91aAyNlj6j2AyK+Sp3dwVejNmffqT2dxP
NvWEbQyGgK/Roj/KnXCIV8gZrt4hGhTORYB0RUXnVrdOy0YvCDuM0oMigeDt9+1pvT7IMwPcEUCh
w5lBJA/oYmi5Zjqk3pTYikX9CQhNyFaUhiWAT2VCo3U8KUhBh6Y/oso9hBvoUVkSUU0AOqFCUN2j
XWyb6OgXHupnXQXYG1SZaw+MZZjP1uTsc7kDpE/0pAITFK4ebav9GH7OZqG54XO5eSrNZqN/oLlr
sOMd2Y2WBEE6a7Kf/xkCc/kJPBsLERTo3KmYsWzeVuIPoXvUI8vQAdFay4NfXXwkWCB8jX2NzttL
B4x7tYriBufXjFpXPpd34yh6t9f/+m1HgeHTJQkcIDrn5GMOqfSJnchzZ0K3Pbvr7lx1D7nX6Xtr
Bi/qrvXqyAK5uXvb8NVj68wuG/vZ5oIgFWR9Wtg1QG6slPMBZWorKCYnDD9uW7o+i39HyEWVECJV
5zaAJd14i6JXiKje/vezHcIfTIC5APMC9ACCVu4gpJCZDIaggksG0AZE0sN/MMYnEJ6CqeEuW8N7
XBvNuTXuGEQz2Bw2KaxNxlsHdl3QD90ezpoBziE0GqmjxAxo+rMifbb95va/nzntYroIXqt4/QCp
wzdtSPJECOgdBqunvxrVLlqviSDg6RiBddvQ8oWFjYrM8v9a0rkXVjESXM4JLEUECh2A3iPjnMTH
LPgMID4UyMSq8rS18954GyD0Dmmc9lXs1R4EwsWdnzYrHr/M1OJ7wBkFZDxua0Sx3MxOEHAjfY7v
Sb4kEx0DLVBFjVkc7oBSQkKkFVdesde2mKEDAYTOUoO1EF9uMSXC9IQAA1uB39kTPZQE3TiSA+2v
2xPNewzE6xGyUiD9gR5DIyu3ARTo4qZNBkmkGZlKUfRfksJfqRfzsRQzQUUNuwyIWx3IssuhqAS9
Al0CE6R8LOlLPjtQwbo9Cn62IFspKiJoaRTQybF++UsTSVhAVTZEagGNzXYlEDNKPBHi83O4Fljw
BwazxIgNgJymgBQtOtoqsGH5UQFVViZNBEmcIRLNSd9o40em7yIjX9nRi3IcMwg2SANqq+jK0vjG
s6Kck1oMJsVs0tnqcTOL0i6vvcg4xtExCJwe8onaircvV8wQVZBromkPzo7e38vplAMoAxqCAumv
/kkuQOmZty5ZA1MtWMQkzWBEb+jEAsYJRzAXDoxUKMDVAur50h5AJqR5vT3agimYII5yCgvc7CAP
g2YPS1CBQmtE3kKyMOkmZEYswYZ+l0Nt1V57WC13BD4LEChc23hHLgrYpZ7iXaXhsyTAk7rXVl8p
wZwwIueH6GncmFlA/3CxqfyKCmkAhScddJeVw8bd2z2yrbIFHRUTEdF/xk1Bk9OwKMgd7D+jhla5
Fdg+eL10YIhv76BF9pcR5iCDA7YTkYCNka+jA/MDqcdMGk192kaQ9grs2jDjxtKeG1e68zdCtgfL
FVbgW2g+f65N+iKNxZvnQtlejPvCj2Ee6rk+FEAfdWrl2x/3hYVIBmpEuRltfbfcfKBWhmRWad5N
5hejkluLEBfvarRFSDioGD0TiAgX7DINJKvoWGsaeAOAl5BEqy/eYlWz6gnamrISomERtLr9T7l5
baBFAjmnbRTTlafD4pihOMVAZIFOTE0HipI7/qUiM+TQmKEXRNT7An0Rndg+TbHWALQhPchVbItt
tlaNXJyizCgeg3iwoD4IN73c9lpqQPI+lKBLFht3dfVWDuBeb5ThsRGKw5TLDtQX73JI86F1oYa8
vNI+jDqxGgLIegVWhiA4lsH4tOKY7Oy+2C6nr0IzGhh4ZKjRcWd73UxQC6wxFX77qyiVvQjGezVW
wNpYHHWts4IRhG95982Q03tBZbJs5Bfaut9vf8bVBUHbCOoiYLKW+bcclaGSGIwiRZkWr2YVxScD
9FVVYPe6tEmgegMV5o/bJvlgC46I+uhfk9yWkOsJEqo5TNZwfBXKMmLIegTNrh42Rbhy5C9OPc4Y
t/ajGhgQaIWxHvyooEaHgCRV116Ai3sFRrCzgNVBbCdjMS8dDDL0U9zlhJripDrQafPKRIayClk5
y5Z+DKoFVt3G+W3ohsbFNAEV2lZoGeeQqj9Mufil6SqUaLLm2zzT4vX2Ki3HZCgigkIEBBpYXvi8
d5kRNDKr1AcKDjLuoKUPSP8KL15JoC79D2YMcNqAZwT9vpSN+ezJhcKU3Lez4aM0+9rGLipjCvqk
KhGYv3eKCvrtQS1dD5TtErrcQQ6NsI0P2dBhF7ZGxSibYNUETcy293snGbPHxJidPp9X7F1ZMcRU
ClwCuRI4B3fcRZEOSSVJRjG4+NVr0l06tk/5lJpKHvxjXA2pYAk+gUGh/w0MEtymEpgwYB5r1Awb
+og/WWxAhwDRw5joIHBaw4uyXXNxduGSB3kTi0sJUsM826yI/vYOiujYwp3VKM+S+jWgCzoXIbhI
nax/z/vBub1yC3dkFhUKFwG7CbIt3BZDj3CWgCCTolihWGpUO53625/WkHBXrADEocLfsZUZE8el
N0LUZ5KNHPxy9Xg3lt/V2ocCysoVuPAJnTFN6lgrBcEvGvYubUA7sNSVgCKWZy2CIKSqdzR9m7qV
/bt42cEjMBCI8iECRTcrj3frWzLpUgpOSRCXSQfwwLdoPazGbTqSeD916pdPhtasAnTZl32+SSaU
nWoI5jly7I8r3rnYd8gCSwCpIDBEZyvQjJdjHpoqNUYwq5mxrIDkv4bEqZ4p5IUofbqdQVdgBkq3
hpvG/lq6KevkldFqh0sWnd+XZitoZfekAnbMtu29bR/t/RH/5LKfrmu6261p4m9H13XxT+bW9Fpz
63nmk4df/vcH6uT5L/PJ9PDbW/z9CX8Of9Zhv49fLPbTwg+b/WJZpm09Ptob/NxvYMtmv+AvCz/Z
H2F/lP0X+3P/+vi6/9yXKPzj4/b4+bln/xd85/5f7w08gkWKByqjRgE/EDcNSgcRIajsQfAVfUdJ
/YEGftdPDr72cnuPLlcZbU4a9g5exqzAwO3RYFKruW6hK1/A63oGFIrUfQbBX+BXSuPrtrHlNsKd
xHYSoLEK7HKDykg/RJIRUTNJy4cmFLcjiK9bCPf08lpZfOlGIL0wNABX0Oco6TzdURKQuJ+DnIIs
PLEL/7WpKjtsoM8mN07efkCQ8vbQlqcQUOhYLQ20deA1PKVHz+7EUEpISeKQmnOv1HvRz1IbipUF
eAeztX7e5UEOU2hkAqUcwhZEZZc7JGoAalabBMS3vZ5sJchOmVE/ZfY4aUVoQgdP2wV06vdQZX2l
EGVdyQKwfX95jxAVnsKOQ/AsLDxmBEgRArkdxbvDAMIrM8V/7s3Gel2YYH50NpkluByoVPdYvEjK
N0UvTLY6Fd22huq4VU3Q/SRS/pkIfWUNeXpPOrGybi/nFU9lOw8vEJDI4c3DfUGW+n6o9PgCCeRt
VtZLhwIs+ko+vafo6fp3W+B1AnQVRAJ4XnEh4pyRCQpSCHdRl7IlYScaxwwsovlaeu3amM7tyJez
Wgu9WoyQrMHlAuV36ehDUTVqdKtKV27Lax4CrgyVgEMN94fIxTWVnyZBJ0EFtCqkx6oMPmIqrMzZ
le0Gunfc9xKexRLOx8uxDGECofUUz8MaauhmQ3pLBQWEGaprba4LjCh88cIS5wmjmod6WGDWOgXw
s+hhhuOFv1tBMSU1Q00Leb7uZ9PYlSasbLRF2fmPaRUXANq6gJPlBhl3wdQ2g4yHNxCfwT1aPhVx
UzUPg+yJ0HRUokPR78TRKzW3rZ/CGhQU+85w0dY0Fz9v++gCO8V/CzcNCuTz/Ig5D75lKrygvSvE
Hz6gkEQ99OpOUz3wgab+Hty30OZ0tMSdppVk1RW3QmikyUh+s/5U/kqUeo0UWo3pKGsRnItdiQuL
rFUtrmwSTVJwY6BnBGkXPtnRtZ1OugCyYcCnfQHR6YKx8ncxzU6lrbFOXTEFWhSN4JiREfwr3H6s
gqFSyoRopkDrtz6aHstG3UNr/MNPym7Fl5b7BSEymKCheYU+nAWhlgA6oaoQmRcTwasq/YMk8q4r
jO+33WQ5JJjBixCkhTjHQIpyuS2nHiLVkwoztO0P4ZhB+FRzIhTj8AxfyRCdOMAu7yF2tIA9DrRd
IF5WmLucXRKGIjRV2Yc6brxJ/DlE7fBKY1mwQVSU7ZTagBA5WNTHLeozwvAGqo0qdkkMOT8HIm36
m0LaMYb25IwbTABWZrKQ2Y62tTBorymopdFKU5fD71T0wVpThfMYmFQr0GpTZCpeAC0gWaHrozvl
a4KkHqQw50h9lauhehDr1NjBjcYWQfrQv5RhXXbeSLQcebwyTz2FgMoFN0tUf6OgwHtpojb+Dk29
dhvnY/fbp3G7bWRjXOtwWW4gBPMEUk0KpWASFLnVkdUabeZxYph58Z0o+1hbOZSv/fvxmEV2DMuJ
2IQL70ojhbhuEeuQwi1+tRAKnQf6+s8Ohh7kvya4RRdioa8DCKubYu/bEHg044FatLPbbG3HnCJE
zr8AHoSL4e0K+SuDu8V6NczFMc2gA2kWJjoxWD6c3ENewJyAg0bDiQuGITuzfg9uZenE8Z/nXeoN
ULfozNfSFs2vT90KXAhf7NZuvysTjToFUn/QAcPTQOYuhjkSkBduCvTuEQgfyOCwIWvDv7KTL0yw
3z/bXe3cD0M25LqpBwL6IpIxAH5dHDYz+MScphDHl9sLe+WCgVgkWAE0eA8ef3zQABnsOen03DAh
Q25qpNyV0NFAGtASeogDC9K+FquXBiKOCmT09HA0oZwNfr7QphrgI3K8UihcvotQgQdiAolPCDBQ
vhhv1HOcRlTwTSlXnhQFiPMGbe9Fg46I8F2fpZXnw/K5cqrjobiKlxiCam661TKdSBVBQzyrfkWQ
WI31zyqCfgy6XuItlVcCtOXgWIZLRzVNprh6eDwb3psEytotctX6vCHEf4TCqyl1/VFB4EnmNQDb
FV8CCBFriwoecnk6t2nBgVSjy8fQkeeS0PjpqGRwQYMh+flK1L7cF/AeCFmgXIj0wUK2KUhKTZA7
KA1WWuQf4oZ+DXM7r1w8y6uUVafwVEYaiBUo2OSe7QzUH33QQkK9VOl/RoX4mITUFUixsh+WSwQr
DJ6KHJqOq5Q7SxPI90RjFAZW2UgfbZl7oMB+GQVqmIA85JbU6N7tDXhtWARXN3JcOPUQ/lwOa+5A
vC5ISWDR4iUv27swokA+ra3QAibEyowUTV+suIOuLz4nmMpjnRUCwJL798xMzAC5Ge/jzXKsx5X0
1QK1AUuoWQHzRMFzRGDrckAhojsfMrChJXu1jXyR5x0aOzWRyrk9caeZubwoLg1x7j0QeUymyA+B
es9O9eMaNeQY8Em0KtkEg2R/oc3B3L+/20fDOd675nZkA/cePhTzoJiVrTqlozof5oNiIscNSOKb
5zxbm8fPz/1avnS5Gy8/l7s8ZD1MgjrAvAi0j62oyyMvR++rIwfJE1UHaSVqX/gV2gBkCLri/QIl
KtC8XS7DOChdG2tFZNWxXDmaWiQbHKOREwwIRG6vxEKASoIthscHvlHDAcBzqoUxwN59I0XWFLiz
hOs5F518fvXTftMkr1062nFw6KmwD9MebWpWBq3x0dOy2C0TES1Wd7X/m9KtOqyc7vLiYGIfpitA
dWkiCN/43TzX05BUioa2shwpYGSGYpx9Rt4QJFElLTuC1D7SLE2rExCMCVrXbopCVh/CFMolIpDV
/iaL9CDc1fD4ycSJTWxIxcuPA8iJervup1J0JWEU9roY5YolJWkrWMUwIGitsoq8dzSCgjoKlZCA
vD3nV5ZXNeBQGhIXbHVZsursNJT90EACGkLNQ3NQwdQnz4klRCtb7Mr04VGGmFXCM3hJeFwlVSmS
fEBrY9dtVEFg1P+bfx4HhgCEEzvYgQvl3LSbg46kNcYx+/1rGIpug9KPmNKVU2k5XaAxxRsJLzFC
EWBwQSWoaCET7/do30R6RPE/K9yIeZetzNeyjsDYUs/McKsi6gV6J3zI7gzQlXjKZ0k0k2lQ96MK
KuDSMFqzK+bUSnwZc5pnodN1fmfGXTxAPDzS17q2F0cO+xwNPK7QHsSpz+M5evDalbk0qmZaPWay
G9ZboqCHH40C1LA7450W30XSmEbJ/vqpjoUjGt+H+pCkL7dX+fR8vziruS/h5h9JPLAcNPiSpp+h
DrbpEPjkSbXX5Z3hy0jn2BJaSAX5XmyeRNEN5rtx+qYIvh3Em65K0BM8mXK3q2kMhRcnU9F1FRET
bGHIM79TLTKnYlX4l928y29m9VyNAR35R7WQpAOFNIiK8Ondlz1KvwskNOtG8Ubsdb+frRZnAJ72
0pqY0lVvxZIxxBwAZnwyJNB7reijWTW7dCjMrm0KOxP6T6UV0hWPve4hfy1x6xLovq+QGpYIEMq6
gMRa6LbquNW6tT6HNUvc1pAzLJqfwFJARNsXsOFBSEnSB6VzV3yNffNy3f4zpgXRUF7pdApBNxhV
vq0D1SjjH9Nd2c12Fj12QuzIc43z35qFO0n0ZLJD27RiQKDhNTXeSflKdZBedT+G6ZiIaPns7nMj
g7I2uKJf2/JtMlaePMsnGNscOMNZdh+FVL6GoZHUpxTMkHhu+XdgfbZpTR8DiaZWOxI3kRV3FGcr
mKidGcaPxP+oawEBqh95s9EDgLtW6FjmXrkP4kLtOVSqEXGkauYaNDgmdCKLUKU3Dk0oW6D+tuZo
34gPQ4vO7uif7zW8+9GRAngNi4pPELWzey2TM2GIMhwUeRs6RiwcobjttGm5Eh1dGyLsQCoKICfg
DfjIQGgSPGcoLoRRFWIgv0GvG0/AWGVTi8DRbwQX/1/f81FQshC25WaWTL2Z93q6MuBlvIxWOLw9
dZQdVZzTfHEuJf4UhxmOmbhufo4BsQtDeiWtZssjdNQK9dkPhq0O/WIDIOhMCR+1QbqPFMVV+3/m
fsRNASfE4xsJfjzk+PJLAaqZtEyxSeNEbu7lGMxWVdF+EAOJUfxGgu6SLHoNgjjfh9McQTdQvNfD
bo3y7jT73BamrAwPqBVCA6CFLqMb2hWSr4SSCpr4MnNC3ahsmdTiQfJRaeuBUwLZ7IDuTyN+DtMs
s7QBVN1JpMpYug4pPuo/3T5UrvvL2SqxUOnML7vEAHuTCr/sWtnKVa+vt6J2LABJM4J7ghZRMdtR
9dBlK4fDlavgwjvY75/Z9SsUjXJ0QJjIVULUbHCjOXeKNlvxQvb53ISryB1igLh2pIVKTQrRKQl9
A6qZxDtNCsDB+eO/mcAzC9xNI0HcJBJzDCQz7gL6NpJtk6E/842Mj+ixQCyuyAfQdK5Y5fsV4dAX
4+JuHT8BWamiY1wq/SbNb77ge6m4E/KHOvpKW08Akb+yFjVfXTI0QKObBBACZEYul0xtlTjXJoxU
0XBi+MomE1qzyI0VCsUr1xwAqn/NcBNai3UIFiCYgcKQVQ5emDig2iLjU4HSxtStBNDXtuSFOW4m
p8mXW6HE0ZAUDxIo0ONjnbtR8DsN0RZNnCxHzAA5vE9IwaCG869JEraM/xkrBI4upzSNs1RqU1xI
pAkdWRceyjzb9qn+32y2MzMsIjzbbHOaoI7Ljr9SfWra+1h7n9cOkqsb7cwEVwsowH8udiNWLZkF
UwQpWi+sHFW33Q9YnstBJEULWQ0fFrow9MiI5tkx2BlF49zeWsyL+RMDiUyU61AHQtqP8/KgAsJC
R9cs1AuIE1UxOA6OUtWiprMHPf5KmHrt/XBxMXHHYKDopdrEWJlK2vXTlxrKm7zdVMVoaeDTC417
cQZQGw2PNWRXBeqJtPH08dnoNp36aSh3Ivks6KdAbEV+MNrcborCVoa9QH/qGhjw27XOvyuzc/G9
3OwUaUV7scD3htWUm7LWinj1dP02AbIc2L++hPBDvAY0YFuQW5ILo9yJEGSyHrXgEjYzsNiAdWLI
J7OOcgd831YXK6ZIvul0tTmFbYqFVdajxXB68qIfTEGbVq6NcAR1gJTFDsoZ8GnLCG39LoUU7VR/
KVr2VGtrWkXXHts4Xv9jmG8PC3qSpphl9rp96YbvkvwVGKJd6i9FvW3BFS3MaDXaV91odurK2Xtl
j13EJ9xMh3LXjH0H0xqwCFn/fUD2pc9XNvJC/vAUjZ1FQdyRi7RW1fsTrMQ40fuk8aLpFSVxHO42
0X/WOkqZuemDq7po4VPWnIT2nEOCY3ou49ZOINrYvsvGpgJKfZ7fb2//awERpgDkjgjUGVEQd1Y2
eV5m5YQQrei+jdM+JVuSuj2p7XHeBNNn4+8zBZS129tmF+3Of+bkr1nu/EzmmQhGjhfdYPSWnDgJ
AkLQzDstslN1Y0MsySr8n30MGHaNMtYRb3hLALfTFHip8JTJtkwtIPVjKTRbfd+sfR9b+MVmAH8T
bn70NQGCi98/u0GKmNAqFDArmoI25gmSzG1vGt2DT7dN8n2aV1xkCVVhAfuZPc4RhSJIi6jBdMTR
uEEyRYrAZiW5JQRwhV1Ufuv1Z1U9tsMmHDtTUKCvAQG74Hc82pH0qJWrqB02/bfGz7msNmuZ1Mds
edT3vJu3dTq7Eo68LvomC1bSvU6KjKzGSwUip3HlRlq2yV1OBuWiBEDL0fmKqq0pIOAq1UPql67m
H30xNjM8l8pPIwQkaiXd8H9YNSAhiUYhiCZxG0HAJVTTFn30c/rdSEVTzd8D6G3Q6pumbytIkFP6
LCjCymB5R5MhII97V0HGADA5kQfl9OKgD5WgUzMQt2o8WYN8CNQDkV7r/qlY61levFFRhkdN3kAJ
GPUEPJm56xcYczC3CEVovbu/3O3vhw/n7jlY7bpbeDMzA20MdB1RlNkXxd9AKEkXzllkvaomKkem
eUCtxrSczUowa/DJKGbIYDMIwARrAWBR2tk2lX05LdDhGFnAOR/d9+OfHy7gzUegnNnPP4hlhlpm
0GWPAZm3+N/ZX6cfjmM6uXk4WMAvP26+Hjf2/hEo5c/Xze0Db9GTh08lrNqJjg+m2ChyOyqrWlXx
iw5UpVZjAX0dnaDT1mYNFbUo4pwMoUMBuF0cXfCryzkRhyJLMlBDWgxWDdA3Bu2YK3HctRUm6KxU
UMM1UCTk30Y1MbIM9fYINbv9/nVvH3+43huKcW/OyhIv7qfTcM4scSejmAeSb4SwtD8esWyodP4X
CwNVS9YGDMkKQJAv5ysqjCJuIiRBGFD+/ej+Nj24g7VZecKemofOj1Q2kHM73ECkPivCpICd448f
v15eXgIgYl5QxmS4mBn/jP8G087BsTbPX6X1/PUMnjH852sCPWDI/vZ4e+QnBZDlF6GJC83paE7k
YTA12k5yQArgKWy7bO/RGwCwPhD7mw0Q+yvG+FDrz/D/GmNb+WyrDhRoILVixtCHgA6EJ7QbYKgb
1ilw29SioHwyBXABEPmn0jV3kotjA+Cn0TBTx1Pbw5Zte7b/WS/CqS9hzeb1uTyzycUzgZGMXVO1
sAkEiIlfEhSvM/MVo03Q/Pvbe/MeDg+Hg7OyiIukMz9Y7pnYVSD7FxMYxglYmK774n237tYOlav7
XTobHnfQ0kCSyzpiw7OPSJXh9Hzw4Knf1txk8Rjgh8PdUCBZryWITMLQu+1uPfNuzcKiVf1kAX05
CHfRaLBojiZxkQvJ9Gel9tR8793OsV1ACUrn43RUWhu2B1ZeGte3/5lZbvsnxM+yWYJZ5h8gnuys
99cGTeMgELHAwYzWcSDj3CcTNyXDMDBaJdN7S83x1C6fmho6pXPsTnvlYjq1OyxOgbMP4+4LHRIH
M8SD/+wWOJF9PP2CjcM2D7tRcVWyzcp+wa/4ccDfT5vp1AWE2cI2XtnDfADKrRLfySVUftUBYnX2
VezL8EF/bm/2FexbWDeSc7pJ176AMJfm5wVqtuCFABQXcQw3L0WBTLFSQ5WQGT41TLGeKdYO9YbR
31k7dkzaj+5aULOIaZAKZJh1A0VudDTwIAxSNyHpddjtu6k2Ow0FUwP6YonqkDRYeXeceiMuBskZ
407lNs6FONQJLr/CvA/MwMQz2OrN3/in2Rzxa8AiNwfjNTFs7/BgPW2fvK3jYPhfX4+fiO62Ls45
dHbt0QD2+Pq6f9x05ldgD+bnGvKGT8aw+JhNCgIpcI8sOkvVZMhylJoS9GeLPhSWpqSonFkieYOU
ETpqvJnOUCKr83TlkL2yJBoYtID+1qFrBfjs5d2l+0I1zQrwEyPAeSZejZ2N+v+7OqnxLsnrNR5Q
dhRwi6IB6oMnDjAOgIRwi2IkhCR1j3GCw9yA8nqrQIPEokhRgKOAGit4PObHt6xx8U9h5Imq1iIG
Nz8Mg6kYd5p2GHMvKu2k3aG8entnLznambbT2ei4g7ASNDXuBNgDVnV+978ak2zmX+mvYFtsY7CH
1V7yMtnDL3XlSFkEILBLRMAoIZSBPlSR288aqdLaL4zEKsvHaPgZxChLrqULV2zwwNBOTqRs6GGj
SnxAVBJgHTYDCj23p/CaO56NhH+pyijsD1oFK1lKXuSBOF1ri/2QmBJZib6vWcIrDreDqisgUeEi
qboraN3PQPX0wg+lChmHuiJWlqSvjOhUGl84IQV6iBUJIYXNJvYsOgzAvEN8ZkiqVVPSrE4erSiH
jn1w8IkbCu+B/63J3TF/k6kHgrwC2enR0TXv9swuH8jMOc++g9t6bTIaYufjO7TYN3XZd1PDpdkD
kkBKeQS82M8PIDfPJKfKe1OPDoawshuv7v2zD+B2YzND13ECIBKc6QCvDnpgQi3czFUIy+Ri4mSB
79SyujL9Vw7Wi1FzWxJKaJ0agyAEOIXQictdjfaKNATF4kYYv9+e4aumkG9EFysAhouerMY3Orky
cLYZQoFyvQeCbOhC2HJv+/5KyMV8ZuFT6NJg6gQUPF+c8+pJQZWgBkJrNO7ndpv1b/NaNfS6CcJ2
CDodgPu9dNtYVPq8YpC9cKqgs2hP0lcavN+esWVIfDow/xrhnhZhHfpzraGELzZUbIB6ExtHIEH3
nvVG6mh6rGyCZBaf8zGN3bQsh4NkTFnh0KHJdwmkO1cOheubxPj7QdyTowrluYwUnOChbFPRqkMF
RSNb9fe0f/bDRyPaVoYbdYat0WOkQq5x7QOYgeXK/r0guWmX20SZaYYPoCA1aiUrA2u0stXEo9pY
hRqZBShdaouiZFZ9KOp2ZT34WvRJnPDsAuPWQ5iUSZ0quHAhemF7N4MvRI5+6bizhjdRd9PabeqV
EV/3s78D5mbcAPoVhHUYMPF/pMnTVB4z5ev2sK5uzLNRcS+8ohJnCY2BwHNFP8T6Q492mX7fz14P
9uPbltYGw37/7KxXskLU04KFN/F0V3Q/BEN05TBfue6vHKQ6Amlg75DVBGKYO0jHsprA7D6kFlW+
ZOr0tV2q276ANDb96P21jqIrs6ezTCe0dQCoMngSDbkZi2amYgq1IAggRYKLxoQXRRs3OOb2WaCt
hYiLxwnY2ZHxRDyKdgMdZACXczhL9dgR0qbWLGrOoOmOH/z7KqF1AhQ/moFmjUWGL2+adKpJn1qh
8KMM7rJphCz7v7v1hQ3u3lHSSKRQ+sMoUHLM9R8JFQ6SPrq3/e1KEHNhhQv8hihRoVgIT6jjAsAD
K622EXlm/dX/HzuAQXNrEvSIPf+HtC9ZkltXlvwimnEetuCQY82TVBuaqqTiPIIESXz9c5ZZtzKR
fMnW6Xu1OouKBBgIBCLC3TlWg1sButN3cbLr09pdzaC/cctC+APlEvCoIDoFWFCEBKiKDALLdsK2
tSCtBYfUVGckBnrACxVgXjww4cSVX/SN44dA4eziYRx2I1VaDEhq5RYUQI6bQaYjd3MAwT1uN8OG
x3EawFr/B2mGnJA2bsp7u3PCws/aVM4PCcR+gOqdsnDwO5w6awv2pxzSWBXVfPBRqASK2ONbOHD5
ZxrR6OiAvP19jHIrfMh6Vfup9xh8rGIJ/TxwU0UbO1fM32GS8XsrV9HQA/et4VuS1XNijtGQQkIG
g/ubNuwsdoRSj9QEGs2UeKNEUfzWGmx4k9pGA39/VcU/axC/QOMnCgFLsDuVbcNaLYMhbVPnPwQW
UJcBNwi2bWgWCJcPr0ESXCh67oZlB/KNTTsAtaJvx+ZY635hP153qoVgiQG6v9bUc6eK0j6ZQCCD
MNYAGFkjBe9iAsJB97qZpTNyakaIJzTjcJ8JZhTttwJmqPCR9Z/N6hjXvDei56JZA/Csib+HWaDz
1bShETtabOYubT7rWadqo+l3WZy6Wn2Q0o1V3TnNvWk+XF/cZQ9h1rI4MTuv/uTGGbo4ykExlrtM
+80wK1oVjznNiMl8Ayyzsn5HJR+lJmmN1OSyODsXkCBtgfA5s8SI/Ta74Z3k6F3hAkDyqVfvnI2B
AZ0/9tJndG9Gk2/3lESZsRuRSGTGA/hRdjyu9pNmba5vwsINdfZThD3oWjuXOgU/RR8Uk2iV4UlG
7QHFHbl9le3Uam0UcQ6rwrfGwnFDgc8aQ9wiv3BohmWiF0Ph5pX5VOWVb9t15hpFeNtL1VcEJAqd
6FOt27+vL/SyVo2eqgbyI+AzYRaP/vOvbUWGRUcHoBBzejEA7ImV4tUZSsLS/MmhMYls2c0lCD/S
FpMX433CItIZyVOnPul9ehMqz6MFUlJtLXG8/ALA4OCFCwQ5PAHcg+e/yzD6BKILculKSr2h4y+p
AOrHNoMkBoI+H1dO9KK1mQMLsLF5tkYIU4ZtpXHWQrK2GytvApGPYUokmSpPjV5Lae1kX/LBY3ZM
BfZHAfEMELEijokXYaXbCUZ4g/SpuAGlp7s9PBy8L8fbrlFMfPelrniWODBkFEoG5kyGQmXFd6E8
E5zaBTTgJL27KUcrgbJVR6EHwKlV7bNYCg+ylScoqNY0/gonTZYgQ2sqQEMV7F5Wp3SbFrZSER1Q
ERVTOWH3M84MKMlHE4R/Uj1u9vEAko5JlvN7OUXGVUbV/YrXLoRGB2O1yPFRoELLXAiNacRpF7Ox
cBWJMTe0+xvZhqi91eg/0YPNfMgVP9t1dG/kG95AxU0Z+6/rP+Eip5x7xmBPB18LiGzRDT33TxSj
gQsAZpu09XMOiuq2fr9u4OIuEwwIB8DMuokX1WxgfML3UpSH1dmRtTUIuV5nTKCo6GDCjqPA6EPC
9bXny4oJkT6qUlIEtXmbaAw+iuhVdlYemMvbBKF4FQwFMx77/DuEo2oyTHBgDSklmBRv20fV/Pe0
AqBDkApawExg5EWIkXpscUlL5ALZffGmafHGodarqawBAOafenFSHdTz5hkBzLkJQYgP6WgaDU7q
NCCrUwOGB3ofb4r+3xuUc1vgm3DSxGyFJZJAUWVQwIA5FW6j/hwVpOA/WOW1ilfwPZNfAE4CPi+O
t1ozkjyC5Jx2lye7ONrKmqviv/2joyMF/24bYeQfqZtITCnnKZcQK3J3Hius4m0/le5qgF8Ig/hy
SAgArsE43AXBoJQ7eJTFgCGifX+HgYLn57mnjsbM00QwVrL998YUxhcMYIRlDIeCn0SIUH3MLG1s
kEXNCphK4o3Gu6q+jms1tYvzhev71Izg/njyaA2tYKbAqNug307Ov/eRZgt4q4MaHCVnMdAZ+ZQo
hQELFYjQJ/ml5B5ogzY5x+D9ylleWsxM9IpJmZme7Hts4CTzNE0ewhWQi2RO2t13ZUKPQweSiOv+
tpDgoj0FfQEQys1kk+LlYZehpoPfo3Cj0gFkWQO2JbH4HQhoCZA2fs0xtjx9jKwIcvoZNsbTiv3L
kti5feGbpZFkMHPWYO1Q+WMNI80kAWetxLc8/GqhKzFJOjqKeIOPa5yIC3mOBs7PGRirgMb4sk0b
KhovKbI9jMwm7EYtvPlBATpPnvGVfb4MZ1jmX1uq8MJPBvTr4gS2NN65/TyiOh605GCv9cgW1wSG
LmiQgWwIPFrnNwBAPGlUm8jVC8grKXJFrDzop9u8e4d+7Mqnu8w7sKYTW7MHn3joCAHbPrNgCwUf
vGP/yAresVszBFuf9cEj7KkeVFrA1ghrFtaI8oVjzxzIGD0Se6oQSUiopVelOxRfUSkRtUSyg9n2
dG85qX99kYu2vmWvEbkw2SlcQ9LQFmXa16AMUMHMr29UEMCBZzmmPenWRCUWfAQiCJgXQBqngiZY
iJJ1NzVqNDWwRTemcsPB0kBHsB/1z9fXtFCFR0PuxJBw5mptas18hKG+OGTxDa9BkfVbtf0xd0ur
J6w8DNSV1deq2tnU77OH6/Yvn3cwP7Pb4tYFQEqsr5aGA2n5iZZuaAyeVKAODwYGyLcAtPdU0tpV
td+ZseKsi3t7YlNIIDVEU7XQYZPreeCkgVKEW0vbG2Di+f9bnJBG1hjWTOuxLV1NSwmgYVjURPrs
UzFCr9OZm8hBYv+8bnP+8ee50tmG6kJwAfvPBFoGLK60UKfed9Tj+junuifZ7pi2KxfTkrXTx+h8
ZE6O/TTKrGWAiaJ+l/gauldZe5RQHc+aMWiglj7Wa4xYmCy5WOH8RsQLBzVLA1Bd4fPxrIu50iuz
6kKpDBuW1+EPHtEeyo5Va9nBMOUUSLtacqTNlOXOAfBoQOazNlZeFYybBrZU6zswylnJLR8i+6us
FPWjb6VwLyVmtJvyyQrGwkqe7Wio/ZFWefvEOR83VtnU97JkmwdzUvUf5dC0m8qp9YwYXR2GaBpN
8nsydsm7qaRo8A61ZL6hvF7OwPNSlYk6jg3zmjxrIUCX2EzbmIOkPw1Z2jt3mVNWkGlFKsb3kQYS
4J0TFaYCse3U/qH2tlQC3K0y8HfnE+8xyl44f+oqNIdtFxlR5YehpGu+M8nKuGkzObXciaKijcYZ
HUq/ZE3dBFEDMPVOsnRmP6pOTBNwaSrjuNNB7w91EUaLbC9bUo6Ng5qkNxTauElj3enuwPMZdTsz
b6Jt55jga2mdsfgZg7/ibmhQ+SfTYKPTW9o5+LJUewoBvZGglw5UCLspDDtM3YFHeebmRT5am0LT
Qz9U2zh2yyGyjmnVWBWYjmaY+xgyJPkGrhT0d3N9+t1x2QgJNF4nY1MzDBPcx0OodLsplTu01EvL
aUEJPuVP1eCYd6paj4k/llUGpVkJyiFGnI9KgH4xxP7MRC9/Ms1I0J526gE685wrAaWT9oGqlmk/
5OB4gMp2nOIHG5R2fu5gkUEyFiUkwbO4vrO4XvbPvBqr3i2cumx8x4L0966rO/lDVvpp47CpBAcF
amUoK4Mjbji0aWv/jMFdDu4KALg3MqdTBM4vYLBwhWS1W5lx9siGGoiZvjKTZ6ezMBBkqVL5OdTG
8JvFJoTop0G+0VGE2DZGZB16KSsk0kfMsjzgX+yCxLLJd05eS8+ZQ4tHZ2RN7w1TYnlaETcHvYcw
PPAxlvpU50UbhI0KSs1uqqD9S4coe62UtrlvId9uktAZIMCXMlsmNEoHwNQ4C38ZRTJ+Vo0EvlrH
pnzTV5UM3garLZiXjo7Z+H0KyIvbFEroOr1moRmgaBEBgH16aiITcUjr9eEPuFASx3X0kIEttio4
2r+D9SuKDZW7IIyqHpLWqDcYsYRgewFv/5pA1jOCuyE3vRaVm5SwxEGtpZcjK/IxctpHLqqH2S9b
UtR+0/ZwUPg4Inpm9uUQcDuBTEY6hNMxpIYzEDxAho5wOUI7z8Qz4UYCe5QclDiyH+YEAi6SgW64
XqmmXYRLlC4geAXRkvkVi5Wfh8twUAfW94oEUJYrUXcGbMWmCn3GGzt9QBnz+lVw8WqYrZnIZVE8
RUNRzP/ixChpHsKa5PyiBcZA9JVKzHemenbZCBaErA/kzF1Tge2TmBv+mWzzXcC3f7SNtK9fE/eD
EQzAQJYdxcMgXuHOu8gbvotA87AEqILwMpoviZOLh1XUSpoc5ZMSuvdoYLLullav6ZSSbBxJQbc1
VESvb+eaSeHj5cWA8p2Kgko0vefpNgIZSIVjkQe18ovZhuuEK5frcgXn7xqF3VV73rESzUwyjre2
Gmjg+leSf82FhH0U8syQR7ywYtiIkXOFUeAMAIaNXqOvrOUCMA4dZBTwZ8J5qOVcamgNZmxKJki/
iPmibn4wL3vNd8OwUTbZrtzQbbO9/rEuR8EEe0Je25RGL6s17LFAeVJ+sB+q+5i5IfXU++NwVI+W
J28sb8XoRWoiGBXSIb0D6NI255pblHlRg6GV1uPOgfVuqlvEtO5iqSVNDxwgdG6blU+5dNxn/hLA
zgw0TESwoRJlZgaqGIlY4U1T3Nl0pc1+kTZ/L+7v3xfyrogxlvYF/r40ma6uMX8C/yu/ydcmLNfW
MZ/Dk6PdmFpkgGEeQRIqtYWyDeVuJQz/L87xf5ciQgNbHbQ/yDokguKaFXnvyQM/su0nxZjCV3nA
lHxQBPVLs7KBq2aFB2QSOgkfB5h1VHd6fCi+ZBcJEp4Bh+Hn2+QVuxfHK4yVsHUJGZu/G/5BVw7g
XAwPnO9nL2NMFk136Vuxfm98qptpY980X533fJ/mZLqLcRag7UbSF/lgrryZL/CQ3+f+xLoQqBuH
8kYPcSRAQcBjv3oFKKElY+hLG/UtXjkCl1PB32s1vgt/YDoVZQorKBUgI8Va02Pz1byqGEPPD+ZO
2YAH48e4b0nuNocMqMy1k39RuoJhCwP3UJjC/y4gkXbKRz6MWOYIVhzT8Gr0Y9PbVnO1aVcbXhre
NmuDIouLBeAKQRXANpTthNhNwWDX1xIWWxR+74NjsYeqdXkwHiFDdpwCO3Aehi3yd39NEG8pEpwa
FmKrCYRSw/BMIJlzCyoDcNHrYLtvjJUYvhQITs0I0RTfEqmuCjOy+tPCXLLJ/lyP14v5y6kFIaRJ
VhiqoQ4LKH83RN3XgX7fERIdaeSZxCYvdFtuHrSdcb92Lha2EPhNjNiABBzVK0tYmzrWMUgAJ3Dk
0hcFTe3Gm/Td6LxeX+DsAUJ+Biu4DOaZMhOp4PnR19ICBCYtR5zT/RJNyLjNMOcTr4TThe+EAhLk
GSALoKiINedWAKKwNMjk4NA5L471IMcrw8wXHPMqyt4gwzKgNwBaCd0RMi+mNAbFKwFstSN0LqOt
c6cRe5N6YdCQLkgOmd8digfdjaAI2rn89X7YGLcmsk/wdN3TO8SaQ+jrt7d8U7rVTiWR97LGnHex
08JPnPfo5NKKZ6oNiKDEri7dZsMhA+1s+K/HASbwDWfYgYz/i4hcFoHZEaTDsVunRzl/1LWVvz+7
3JmzzH8fpX+oLnzL5Am7LDE5SooBqO5O+1Lap6HbDzEeRF6crBi68H3BkLBXkRPiXEQ1KIErToZw
n1jveu7L7YpbqvPpFRf0nQsBxjxzUQtnLOeoRWtVjwV55utILL8+Zr52+14DIocex6Y7JntwqO2g
1nNrPOSPzq7wkAFspOfKX5vauDgj4HMDakRDqwiS4mh9nfuHVpRy0ZZDDI70ry7xerY2yrmwqWcG
5s04ccCiSxVzSmDAsO54CEWFXV2jvLWypws+glYvfA9AeXBHG8JRz0K8641uttLc5CGFGOC2Y5UL
Grxx7UpdOFGnpkyxkDk6laaMMAVAkV5terpn9kpCtrQavJBB369BIA8t1vM9y6tYH/pOw0fRP/Wa
2OUhpA2ZZ3qyFZdf+vynluavd/J1StVECcuEpcrAAFGJaRB9Lc27eHvAw05NCB7mlKBfghgq9iuw
VCgKEdVHDc6n0WZSiYS4yX9fv1wun3SCRcHlIgfDoPkIi60UJK+SQ3S3cctDdGyQaumfxv+DJPHa
Pgr+BzojXBE6TPb7Urqp0ad3/zju6Mo/ksI1JqIUnuRNm+sLXfBEtCfg7xj/xhSe2LHuhoFlOjUg
QIWqTfYCLZW0vb9u4hL4DSEv+KEKPU+weCBqnTuIJpmclaMZuygP30LjhNh76654HAmqyEH6ZXoR
8P0dgazu7ZfmD+QW88HEvi3Ir4FEH9d/zOWLQfgxgrfabUGNrrJiYIpRBCUgb9In0nn8qLvxR+eH
QUnGxq2gO60SsyLhyn2/EMrO9kLwZKB+QrsLsRe59gdASZToIMb5WNG12fTL0QdhnYIDp1mlNpTD
0ASS+ILQ2zYAjugZ8nSP3VbZ8s0Lc/UgJ5qve92ts4GezBYduRXy0cXlQit2nvFEJi8y5Nv24FRW
PTPBQzVHc1OknvYdpyvxYeHkYEQBjI5omahgaRBu9z7R1MTkIA4BWbIiPSfFy4rTLATTMwPzDzgJ
cW2Eya+kg4HukyLIgZNzlxwi397FH/xWvjM2kQuGa9/ZrYl2fI8lCPf8meWLs5M0asNgmfpVTtgP
/avf8DsUlhXXuJHemyNNcK+vZfBrGyocEqb2ZVwosFpnAS3uu/rr+oZeugVm+DDnCR9FgfMi3Uvi
wdFoG2E8P1W7rRN2t7bO0WWogDhoxnhtzvYyyKEyPQ8ZwwFnLhbhqcCKtHXspp7n0e85Jlmah36t
gLoQV2ADhC+zOqMxK5Gcu4jVNVLNZFRZzPfxDiiKBuo9SOHZNtpYDpTtue8P3gQF98Jbaxsu28Zb
CEOloLBXxUcKeP1GJbFRKc62aU/GpzIAxbMLonU37lzJbTznDzddfhMFIyf0sKZmv+CkWPtf+2LJ
SU6TWtNH2O/d8MHamS1uS9vjbrUZ/B13B2gOuk/XPeiyQIC6/6lN4ZsmIwp2sT5XtSqS7lB13Fs/
pIp8AFj8OWLxXuyPfvhW36wVCC7BhvO4CQIaYOc6yCDFWmStVn1tTxHAbcmbFboysHxsO0YbA0jU
SrpnfeaBHLI0QYhPV27ry0c9Vo3bGkRYyHhwYQteJk/MTCUeg9XtqHnprvAH3/FxgaFwT7RN+hU9
WzfMdidieeNn7/ZrdO0Ld/n5DxAiQ+KYhRZa+AHg6AikLU+IcrS/uuOP33Yw7UcvOowHoMl8YG4A
xz1kzyBBS115f9txtwkJZoJWYv9iKDnZEeFCxZtv5E6aoMYx+SbUV602SJCxR9I/vw4wMm/Nit3Q
Pp/l4M7PN8059Av6EEw1450SU8AzgqG+71Ua1MOv6749J3rnMR+mwI5uYvwUuBZxOj9rDAxU6zAF
jQXnIQMr0MOQ0wOfshZKpSDtUafhQ6PTeMjQsbxu+zLyI4bIYCWDyB64DkXxnCHSRqm1sZ0GCPhD
q/SpsrK6OfEQVwdZPRiZWckBQzjfyChtzLw0U4wWGj3ATEjBrO6Q1clbZ00uw9SYhf7yf1gU2oQ4
uEhAsbRzk6nWJ3HdoR6eNPepXZNuDTmyeC7nRuT/sSAcizznddYzWIg1xF1tRivgZT784sSGcJzf
kilIyWv2jJp05P6WMTuyssQln8GwGJKg+QYAcvx8iSB+ljLAd9AsTJDNzum0fhfdgyFxJQJdzlRh
maeGhJU2eprnagJDxlN+xEADxOQxFHdIdoX7pn6qge2QNXGvxfvl1KZw9rKi5AY1YRMwsmd5L7v6
zx77+ce+g+YP+L+KjzURqaXtRClDBipppgMUPYZZapFaYIhHLQDk1ik4Zr3RuQcYSU4xqDJggsC7
7qKXYez8UhHS9bobQXyk4VJRrXE3Kj4QSP7IHnm3YmfhYXtuSHxlJipE0TgM1UftdxvwH1Cy3Gk3
LR5Dvh6gUdpvr69s4WycWRSzg7Sj8BkZFuXJ1d+rLSSS7qab6JFt0QK7GV1ksm75gHGxFwX31n5V
3GT2jvOAc25fyBTKVAkhWA378U66c54iNGebVwwjHe3nKfL5Fjyhpds8q7eoJV9f+nzorllWzw+l
kncDBNZjAMZt9N2yt7isg25tPPXSVc+XJ8TTNkyGdB5wcbmiQuiHEqrWj9QZCdixXyMFsjHtgAkY
Z+U+vGz4nadB1nyTnLyJRqwrC2ePlTfsKKdbcKO7yZ/JIRiNU+8Gb9yrB7RpPO35P2zqXKaDghyA
3eJjrx5oJnMdmxrmEVHTTVu9hv88RTmvDcASB/+A9BETarWJmMRmG41jsu1gOH8yrtx10lRvEYKD
/7Cgv8bE88EcLUP9DMZi7Y8h+xzXX6Svhe2LHt75ikTwhxUbaO5pMKJLx1D3mHlMLeaXhRa06p4q
Pq8/VenH9YUtxrSThQnuH6fcmZQQNp1ELb02T28MNulorFWSX2ngM7lubvG0nZgTDkIhh0C2VWDD
lrWHOLxvGFCb/8qXIuyi4POxk8bcihJ8KvsD1RtM1RMrWomXywdrJksBRGcGqgtXucHBhDtARNc1
nBsJ0j3NTQW6O7zrtG2Y74zk2YIkTiQTLQoa407PvdQkardSp/runF/ErpNfIdzzTqnVkzXgV4yQ
/9CICjlUFdRa2a94vCt6sB6HngnZGrb2kF50mhO7wl0ftyDNrSnsTumTaoL3egsmFQ9Tg9ed5bJ3
j08JMw4QBDP6U8RZU96nRhnCjqRjZkXHOhSz3YYh0J8hiBziGSclK55EtX28VhFdupFQ+kBrFOK6
eEYKd3CThMYEPdnMzRp7jxatl2MMZBi1d7OydtHaBbz4Kf+a00XWhdGym2pSwYyf491i/alHxYtC
otPH2k5JW7ZeXAVFOezwTr++yRdX07y2We4JipyYa1YFH5LNJDZCnbZuk+6HHIT15rFJM/TU3REp
slYHcVcE101ebK1gUnAfOQZ8OGcwqTPVqyuFJEr/lJWNJxuAtFb55rq5C28VzAlpW9K3DFIBMJej
QK+FO5M9NHRytTWC/EU7KjZRB2k08MrCsoapKpVp6lvXdKpDHFquwQpfAqeFWTYrF/viDp6YEpZU
mJnDDNa1AH+7pf0LBC1JNrr6WLqtGf+Xr4X2FB7VJkDfIvarV+2hLsqmdQ2th6Z39QuVhX2jqhC9
Tuptq49rsXXO9c6i2vy9/hoUBdMMS+pLJteti8C7k2t9byb0QEEsXvY/uri5Q3UPgHe4aSETq893
173l4oaaraM6qIDJfhYSFb5iM+ZVmDf4irlUe2kD5Bn/CIGXuG5l0VdOrAgfsCpQoOpSWJHjxJOg
xCGDt6TH6E5urN2Hl1H0e0WgfEQlDJrIYtXTpvUAsXTYkjpfZbmXYSo+zQGg9+pWx6QgCjEa0Sv/
+goX9xEJC+QKgebDv/PUU+3NpsiHAXFlCoPRHGqiaKlnSt1K92Ixfv21IzKsTrE0hFAjBI9m5qBh
805Lf8AgEsN8Rshco/0ENG1lafPHuXDQE5PCY2W0AfKSNJicFcjQnMLsEbDBtHkHEIXI5ko+s2ZN
yNC4Xc809dhIHTl7+BRJj6ZzE+tPcelH+r9ONc+ucrIyIT0bzNLUSxm2TAZKUnQyy6DjRJdfS+Y2
uJIyzOFfd5O1zydka1ktKRiThEVlSoPOwBS/E/kDx+2Hkx2OxUuOWp7Z17+vm53/7LVPOHvvycNI
KZWE2RXMRi0qFk3uxfrq3OPih4N295zEmPpFEU0tMV5gJdMs5XuM2Wvb/OjoQYs8Rd2i99CWW6hA
cJ6TMH2w5ZhApWg0Dla/02q3jf5VBQyTlwDb//0xwj63SUHZlGPBzHws+smvM7BJWCvX0uKunhgR
djXXhtQYGqw4y/ZaO/rNtFYaWYybQF+hhAYJeZQnz78baLbyvGNQr5WwhQr7TXUQlJbEbtb0Qec/
dOEgJ4bmH3LiIJmuhXXawNBQQy0NCtmR9qqYK7Hr0ggSPeCpAR8AJy8aUudG2lxRc8uZA4k+uBJL
NlUPlKqzhsO9/CznZoQIIllJpGUavj3QWHhP2nLoT0m3phx5+WnOrQixQwJxUcc6LMbmqlekr22e
kCb8GIwV0MeyHXBZAzaKLEHkjLPH2khzoLRdvTM3IDLeto5VE23oNoOpshWPvgxPWNRMHwdnwwNE
ZMlS7YzXoz62bg83iKcnLXVty4sl0CenPsUgDTpI/xqZzi0KH6uINTOLcgyjVSa/tWhLOid6uG5i
0e3QN8A0CV6uKJ2cux2zRkDYJixK0vKPshz0t0y3IC4KcP/K9l3mqXi+6XPPEzN96MQJyRSAYHxU
Jr11MeqwV+Mt67Rbnaqk+amuDVNcPskhWQpI0zxg8I3FFg5TTys1swsTaePkKj8C+QmP4YfKrQ+m
B+oFYAl/gCLqQ1kr6n9TAp1HinO7wgdTaJLZk2mAqJM82/v8yO+pz+9Y8KC4GO4nPSk3Pf6zFUFv
4NnAhCh7oxvJB9Oo3/rdNn1VvkFKjlsdK6/zIUH5+/rn/sYiXfuFwsm0q6rta23+hXfxJn6u3yw/
Ru/X8fELDjVa3gCi7W2iPpZkD40+wowVN7i8Cc+3SLh8uNzQvh/xAxJl37ZvivmspDu9uJ803BQr
zr2Q7p4bE66IRFajCqpz8IPcU/QbzfAjKSFgNGUAHNZPbYg62kpIWnTzE9cTDtQ0YKQuSeB6Rs4I
GlmEW76J3JAB1712Ay7tJcacoRVs4PxejFRHsh2ySrJwpCoyShAdd0IyscblEfP69lC8XXeey8IE
jtWpPcG9y8TS69SCvTJ76XSSy7dFDcKUGFrANyDHGMfA7l261mpZirsAatkQRNKhZCUK84z1KMVZ
DnZ8ZH9hupMSjPMAZwlxz6zeqvKLvYYPW4qJEJNC4x6jSRYmmc9jopNQnk0NDHZZMLTvVvU6hivn
8LKtg608sfHdhDnJKRpDrdWulXBztQB0g66l73+xLHnXi4i0k3Kv1PqhNnJPtodNY0Z+xt+gp7ly
Fi9HI4RfIcTJNEefVe2w0mGo3dr4aMLyoRirAC0nN1FfgUjHU+YoScmmZT3hY3533aOWDsvpLggO
lVWKUTgldgH0UH5T1+C2euPK0UjvrXFlqnHJi05NCYGvKlndWBRLlVuLtDVU1gFE7n9rNECyndGt
xf5L8Dm1KES6ytBSi3JYzKbntNmABy2q0Gi2aq9jLxRQ4RhIY5kF17d0/qtigD+1KoS8sUVCwmer
o/VS6ZiDXcu51jZSCHB2oQCKXsMALTmYB3VKpIERWiZHplW+poXg4isJL43H6wtbCnanCxPyB4mG
dW0DXe8mGiPG+KRnHbE6y63jPykGiv69KjMfUNRIwEUFylkxteRdk9JchmtGxdfQMRRjSAlEnPJy
fVXLseavGcFJ1CZkijWfgI6n25BON3qn+7LarLwu5o9y6RV/zQheYSRdJFMNZmT6WA7zpaQFZQ2y
cXN7fT3/S0j5a0lwD62BZnwkwVILmY8x73wjeTO5B40DSJFzA+QFKNq5PPbAE0RWbM/h6nKV86TX
TDoItfDzwG1jBrziekTdITeGP0Wmjxsz4+murC27J30RskfQbdA3zvTGY5CC2OtGPfhtWkgrp3Ax
sCmYPnIUHVqI8uzMJ+EdpAV9YrUo3xdM9+L0uc64i1eCrvsg+ri+6svJ4TmIn9gSrqtwNFiSUaza
ansvGThswhhPX5rMdFvnZ6FNHpZ56Ixs06jmTwuUuyBGdNk4HGX2JdlFAPcHCcmnAyITqAZtMFO0
SZPwsWnTQ4cZrdxRd9d/9JLbY+7SgZ/MTwKxDgkjkewYHXUd1JOS1k9kELhGbMUZ176CEPOluM4y
O8POSPKfsdwNbVBLhwqlYuD0r69nzZJwjCHOoqVxAUu2E7mV5Zf1cyX/iBqATMEQe93WYgA++d7C
WY5QJtNBm4xqfx507ZMEdWl9ckuzJoUxM/6+KcnrdYuLefSpiwmHGjmSZHETh9qwNik4W4Dw1ImU
mm7Yeqx/cCZUsdYGBZdTpJN1CgHfacKk7yzsqVY/WKBXlI1DTt9yrmDGLQrKtiP9XJh8APS7dfbZ
tHKEv33wIpooYA7FlDqmCkRETqNNoUW7hLqGcsS16g5mT/R4y9NbBJO6fbcjStj4qEDoe3genL0p
v1kYory+9eqyZ/39FcLW69nU14OKX2Hd3Zk/J0DCWgySUtLKGNrtkCOSwZN3lftZz4qKLQCqQeZJ
Qe47Hv95/bcs3sAnGyJ8EKXhrEVco+4omdABGt5RKkmIVk5eLzc7Q6fe2BtryOLFF6t+YlUIpXkU
gRtIgdUWULkyiGPy5925BVnQ7xiPVZCWYAM6YpIWTfYAvrldndVbClanv0AIsIlaZFUOkjwQShEN
hDLou1b1GsGmpi5dXn/XeUHCijJ7mhuwIm8oMNRbdZMQc/fResWHQbTfExCl9VsIOgcv2ZV75nfQ
0Rt+ao+figs57V2OEepsfVT9u8N25RSIVa+edprN5p9Fo67APieFClI7k2/DDJiGKmrHF4nZyqMS
D+UAgZK421OMb1KSFkn/R1dmdFkWTs4HZvfSA6OKcyN3hd0R8Drq0wMfQU1csaw5RpqcpBCFM6Nj
DsLrLlCHzMFGF5lNIkh5WG4cN2EEPvq82Uep0W0Li2mHysKYstxIysMo92DlbnvoCimWpW/DuLbf
CgpQZ9ZGE2a9h7D3cJpQUtcGfgumpnxTFtm0HQduu40kqWSw+/JYpBQcRqnRelPRdi+tBIZ3MulD
vXdqWt5Xemv9AjLLvil6Dkoxatlq6vG4QLepq63mrbfjirpJl/X3FRy38JwxguJZxUuPd0X8LKXM
hBZRYd93OZsskgGOg6rLFGqbrraN0lW7yfyUsTOHuInKDlVGUAu5g1NjrqNxYqhpO2hdY+DXGhCE
m27fO87/kHZlu5HjyvKLBGgX9SqpVpd3t7cXottuU7tE7dLX35DPOdNVLKGInouZAebJWaSSyWRm
ZET1TKZufLII4XdkGMLbsjXYFcPQhh/npgKx8U79wmxKd48KkPrWNbq76/IQf5FixGoN7Agf/WkE
kVWFhtaeJaZ6r1LAiwN0uMiPTu2a65CPdhlwruafdHKUNQ3tlvoM495bjWRlhms1rcx9G48aEC5h
4+ZrlMPM1qsotTI0rBII3qOlpI/gAda1hxGqpvcm1UMUOMuU3tSurd/hsR8ans1J9u5UDGOdBYgj
I+xypYBAiTvuVjVz806lUHILM0O5du0mbfxSJfGqsun4ZZSmi9G4sTc2l8Pfdwn+0lGYT/BRUmdO
qDZCSKL29evoAfnkexzcJXsafORetNFvi10UvPRXzm5cQ9NAVls8h2V+p3n/XATi4HkW1oXbzXGQ
bH61KMxtw8cetIH3uae/TSuyiu+73HcOzi29ceaoKKOYXUw7MBZmgmMZjVwRBz6mOK8mS7D6ZsY3
jfzaNieotLT9zywmH0nVHpwcH80qxt3ljT/HMGPpx9micAcOjZv0NpD0PlE+AKzizgE0cB6hHLzz
eAsaXuU82lWgxis9fGfgPrYKR9J5nU2I3/74Jwh332CEaRqH+AkOzwI1tNaJ+TCaw13VysoGi48Y
CEmgXQFiz7NB4IgbTlYOYJ9MtXpNoQ/iF8T9mYTcXEO8BpecrSBLV1DHVlMOfRANlbeiyCWVmaX1
otr2z68QttxpqoKoaBT6aOLdUAUMZspuyjY87oPLH3cxvzkyJGxshzFEBd1IkGjztvWMMf1ZDsmX
pSpvbUS8bpKdo8VcFqQshguhbzAUiY9EJU1cazBnla3+ysDdOZIA7qM5q6ZheAoG3XAdO6u/X6Q1
A8igEYL/RDSn2Yw6iBJhU61+5Q4yFuvFriyPtC+WDHm0vD5ULkFgSsBtJRYuWOioTV1hQ231iQ2+
MVyBUW5Q2oAkqecAMs6DSNMkC1xKkUDuhlEDwwCqRGzudG7Eyq6BailuOc9q46uwiVYlyhmX93HR
zDwkj+kCGBKxxKwdoa1E8SQopm0FGlpbudabr8s2lgpoM/H0/2wITznUCgzX0GGDOSCp1Kqm2/EE
GoWXrSydr2Mr80qP7hI6jkbLNVjpoBNVJtzDXLff60E1MMlzcdkhwDoBHBMQqugVnJqK7LyMFdCO
4ihXq6nHgwH3JXRcfHCS7yzeQIYZdUkAOSEIaciO29IXs7FhLtwC5C8iMhtUk0luze2eQjnUA1R4
rnMmuR6WPtiRCRGPzdqcF20LEzyHqjzKq33KJa8wySrE8wuiiR5yJjBhxapXJUXAxqsw/H3ZJZYu
WISlf76TEHInzU1a3uNdnygHRIzAGJNXC6ScsZK+axSRKjW9spG1ZZfdAxSQOjCEc8N0/llHnmgl
eLyVNmJTCTgtdLy1TeeuTR3Eqb49DR4H86eU3X1pPwEtguqxikzC/n70HtmEbpaSz5Svvms8WHD6
bPRsQ+IWizaAUrRnMiDMBAnFnyHjk1uUWFdqsyuub/Su3Jal5JsttsQgxvePFSFaxA2pMDUCK1EB
pakxxFWcPHA63NYm8TVagdMFvHtm1wd9ZT25Vf7XMn3IjY5/wLwNR1tJS5CtgWoM11kyvtoDaq5T
9KEYGHxouVc1snrEYtw6Wq/gpKA77fqOYr15uGm652h4aaLnTgqBXio1AC+IEu6sa2ycKS1lGGcv
ICjlT23yOankM9PHlYXJHwMybJ350XGw7LZAoLVGtDf1zCNZEnk5r3vPtcPYK4fPkmjXUQSoeCPL
jSQ/ThTryR27iRjFlkMBhEdXEwH1rO9CByTGtBkYti+HhWU/dtCJxCg8ccTpUt1tasrmrcjJ6IFl
OqiUYmfmuaRDsBh97D9mBEceTK23iAkzcffSlLftFIMFbE1SDCcX23iadUlX/7+FCZ47NhrlYQeL
ajb5DWGpR4A0L5rh30RvsEj9s4OCz7LQLk2tnnfQ+ZFYN1Di88pYRpK/uH9A1KpA0APwLV50poOR
WK1GwkyBdaqTlz6+YWMc1PTnFG1wy3o13s6XN3DxLEKaE1IpNlg0xEw2LdvWpvpca7DWhJNNX29M
93ps/3rgaQ4xgEBjthnAb1xQpyEGGkf6VCSwYwEqP0F8ESVY8D1L3GHpIXBsRfhKGUFdJZ6wgdwq
D3k9pmvWKG9OQyZP19v7gsUy1ozFqw+KkzPTzVywEVNllWlppBBc62kSvuH/N1pFtpVTrmI6XeeW
ARTZfQ6SOVRrCknXRrZa4dlTGFTvhhIJM0oo66J9wwy5X4OaIG/ZHpMmkrtwMWIdfUGhhgrp6thu
Oax1fKdoP+Jqb/Xh/VT1QQHaYIPImHxlq5sPy9GllGdTF0cV7KX1sM4c4660ofJM0lXUxDdDof+1
KNOph4oRGeqYqeNE8NBOa6CT8lTVX9z5HJSHywdu0WGOfJQIDcaG0Cguc9hpXP29TuLQy1hXXGnQ
E/VBXQ8VNTIUvlqCBLPR0VpryuRfnfl/ziIRalB1hBipzSsFz5VOgtLR/TYF+seRoW4WP+HMWwFl
A/CRfXdnjj4hpLYy3R3xCUMoM/P1kNxr8/hK9RLKuAQXnfPIknDz9Irj5tMAS67+3GCsa1gDsz/l
FdQpUPntR0kuvxg1gT/UwchKoDQlRDNTwfMnAme330AXIo+gp5WDtXvSr+20l3C6yUwJIS2uklIt
DZgqHe2R6P1bbKFR19u7Str7nn+1WJ+aUZX/W5UQT+pYyXN9foCbzL03QX7vDe0vU8q7vJzvHtkR
Iklsspz2YYm7lK2MKchRgtTDMsjhGzx9agj0fe5QTbdkUDfZVgoRJXHCoS0qbCU3UHzUXUzHVK2X
9EXQ55YsnCy2/qxZ4w0ERCD8FKkFeVaUIJSBNSsefqclxNd0dksGtmuy6JXmwGjpdfsVWxqGY/ND
CF2CMK4xIUSDzE5fTKD/LgceMbnQCM4b+gh4K9k64A3C102pgnuQ0xBzrFA4oK/tBA3jut9O7bA1
5jqIlWqeHf4t7SHanhgyRg0QetmgUhEpW/nQ5G1sOBifbdxAa/dTAzY4qMJfXpz4aUUrQkgb3QkS
0zGsdGPlVTOfHphTwUar/bVM+7clzHHZOAAYyxMVPUs100ZSgizFsZOd4g6BOcVr2shuPzGg/ccM
SGjBlAXIovjyNCrw+DYNOHeoWRleDWlqQET2o9u60GZxA0jxAO33dXkTxXAteohwLgcoN2k9hrf9
uB32pMrXQ9PsDbe4L41xhYaJ5LUghhuYs1AFg+gc6KWRfArmylbP86gNQbA2tPsaHSEPDZerUlck
qL0FO8C3zpOGqCnO19BpImFSq+ba7BMxgbDNLEiiHpL09fLenX2vWd71yIjggFlZjWPKQb03RH3i
a6zcteCpMnu8Pg1lk9KvcKgeL5s8i6PYQGjc6+CjmuWEwUR2urAuKnt09gdQ4OnRfdjra9OJMbqt
fmgaux+SDreS+qJBVYRD+iYyZRiSM3fBKUBVBOgkx8IdL56EtnXTtAtNEDqqHXiLe+fDzR3rJzda
DYx8Vh6kKKb9uLzms22eowmIioyZAN7ALPXpkgEzpSObqajcaFxF3SHrd6V2XxWIaNkdeNAvW1uI
Kkha0FS2QVo0azSdWkvn/FpRkZeVU2YcOCdTUPa09NWpU7daxGTAt0V7mNqGH4GQFgzsp/aSauq0
2uax72IkVm/eWKSvWb5WZWN5ZycC8QRfzXbm+a15TPvUTpQmnc6iGusa+Q0c5aOhfMMU8vT324fR
Klw6M8moKRZgKqwntHot9tP4XbMgMb62jc8ylJy8pU0Dcy8Y0uYRFIylCouJVC1sIx0TVequmT6n
NvPYrF79eXkxS3uGGTGoqM4FR8SSUzNx2uACheCBr3GmbNwSGssZN1EbcqNY9rA76xIj+gPY5jgI
jCgEGCITfjxavHCiJEZe1KvP0O5yIQAWxtr9MKp54Y0Kz3VPVXT1Vw3t7HXejC0GG9mE8xCrzl01
pKCS7aYoZBuTOCr3HLWmn0AuD08TRN8/HKe2tg7Ja+aHGPx+aRjN/8V+oaL+XTdFM0ekO+atiT6f
SiO/NceAhswz3QKsj7InxtLXPzYjHJkcgADDcmAGz+v1OGxZo/pWkgQTfb78/RcN4Sq2kM9hekuc
43ZNrpeTqWA9mYPpynwwzReNJPzBmKjxAdJVWzZieR7fgRhD/xasICgIzbfLqctVFlWTMQeHQ1xt
Y0MLgKyc7B2U0rtp7YBdhbel51arMJckUwuuDrszqBJhD9xiwp5OPMypUkLajOE+MRIrKGolYI6s
37fk5aCDm2e5MKoI2hPhSNn14FogEUfShtcn+NM9Jbp3yQ+zwqTCqsIUNPp/nO4NtumKZ5CrDeSx
UuGwP8vyCvPlxFwN7e0gIw41savHryCcPXDSq6A1NzXXsEX6WjvpuBX1QFwmxYYCIqDhDr/sSmcl
ANHE/BOO3sXtwBGUa5goP2LTNzEngdme/fja/xreUkm7c+GWRmlfhf98d3PFx7478YGnM4CUIDCO
7aGvbxvd9Io6qBOJqSW/QZqPersKyAHkWU6XxTBexCKXg5WKlduGTgFLrB0pVMn2LZuxMWmI/MOw
xNtrwriAQQaYYcWE0hfAGwm0LQwJeGFh32aOGFtHZwQ3i3j4ajfGxHE6xH4+JRhyVTvlGqHzF2oM
jRcnKlgBWP+3CHtsHGYaUS7RUGp2zpRtFEoUjv4a+GJ74xDz3s9U6MyQbEv7TJIUL4SzE1NCvkom
I8YWYkAzKZ5LEnqQVPTt4jU0/z6WnNgRYlikqo1l5LADLcmA1fXKaaJtO5l/7xPIgfGPDqoPJKNC
RqNGamVWGiQOs54ErVbd0KL0AQpfXz65C7HBdBGLod5h4mEmQhTA0VDEcTvDaeKXHpS3lvF42cCS
bwO0TvBKAecoSnSnR6ikJVSO0bTy7bD/isCUU0BpNaa65KQuODfaC5CaAwQLhJxioqlaNQmVmR7P
SYvDFFmg11f3bf5p1YkXRaPk4yxYszFOgax2fvFB9OR0UZhgsuzCSFIfYJMrNVF3WecEdov1gSvZ
kQ0vLWwhrOHagsLKzOYm3F6ckj7TrWzWYyf7WWcTo8QrvZbU3hfOD8iPgVUBq8v8qBTW1Fp9Aj1W
kEWqhb2Z38txVno9AHZe3ks+1uKCjkzNP+XotohMJUZ4hymjcp/SqjTAvWlNY1DZYyUZPF3wb6wK
a0KjEPeySIGJkmaERX9TYCo7Mjq3oybrcclMCKsZrbBjJYWJqhzch4lVUDgcGXu4fI6WP8+fhQjx
IByhVTS5sEJ6iCEhdJtrZ3owFNlVvujaiDqY70Jp66xj11eOOuUjWMYjbj52nQOeeLqd9BBUFcm1
oRDZm3vp/TtHuf/aE3EqIwGGkFHABAAjHry6Cgu/6JjjMZ2/UUrWLGKbsEjWl3dz0SrmkObSIV7D
YkrUp8yqGeQp/alI9y7xyvS3rg1ead5lQL+1RGJuKT9Cbe2PvdmHjjxe73OnVjjssQ7CctAWVsDA
r5mqz8bH3rrNUMC0xpVUD/1s7gz374ld4VCbWslUNYRdjU4bI1yb/H40nnpz02C1Y7Ep5t5llK/b
emfLsuFFTzpas3AubKpkLQMdCaZ/XHiObXnqoNyNKbvWrN6brEyS3yxGlSN7wgkxBxfRqpjXqh+Y
lkG3K1zbUjqexXN4ZGX2rKMvOZUxa6vZc0bXXQ1W897XLehPGNAV0RRc9tIzxobvz4dqGMTBkMFD
zOXUWNqkrKtnevjGAnQ6bAGK485HnqVPY0Sf4i3Gi8zxkFeYNwERmLUJ45/Utv2OvXaFJP4s7i5x
IY2Ef0H4J3hSp2uNA4oPvFmi+ndGoj2yBualhEnuhsX9PbIjeI1BuIM6HJas6FrQA26lNDoy1vcI
D9XLu7sYt8GNipItyvigNDvdXMaRmZZDC/9UwPdqFC73MreQGFnatrk2BS4CQMTPKpqoxQ0Z6Pwg
KgD1NcLKg5XSQ9uQ58trWdo11A/njj0QhWd0sk7ZKaEG6m4/ie38yVbHdFcBH3MI0eR/trLk5bK5
pYc8hCiAfIArgA5LfBiFXYT6cDSm4IBLgq7ZoVhVdG82ivvjvlVSgNExWwGYx/qy3bOOD8IZnmNz
7oVvBpbU009W9LndtUzF5aREB9KU5iapRwwuFlZ9RzD5kD7P/TDPKX5etqud3xdEBcwDqTgKP8j7
BMPcnUYQW4MwlNUuShRT4xyUcHgFr6a+SsJU97KWvABa3e8a12kBGmwxzx6Ppl8n0QMzjPdeY88G
qZIbxR6nTdKpsceg+ClprZ67NH4ktsdEB2KmSxJ+ZqqotaLjSeZx46kpX/r89fI+LGzDyd8Xgl+e
1aGZhRoe21AFVp4d/WlI79MMohFByWSCHOdH53QxwuPbxITOVKJy6VEQPrDQS0EVCyo9yQjDwhUJ
L0ZIQ+NrZuARhTD0uunQEkABAXz0nuk8W8m7YfxQcoA8rUOi/+D9Vd2tVXqtJzIQ29kIB4S/53I8
CDHxQJ4r16f+nDtdkXKjsTxde9OSIKU4Od3KMb8cyw/bVVX3vmVBHKP/QROMPbjX0qLAN8vgaXFo
/gkg9EDPCqAG0WUUu7DJ0MGznbFcaWWQUA743h7z9qEO5Rzltg1B3jdDtmx/4JqfF+tBX03tSpmC
3rzTS78Otxx570i9RO/9Jt50zlM+PPZVYKihryrgn7bCdU9Mf6QUg0uPZrUdQQ89kMrL659mzoJE
uW7K98z8XVePLrk13U08qhvGMDnnrNPssXX2eS57mS4kZadLF7w5ihw65SmWzqEFHdqpN+DdyICW
Nm+HFjQYZTDGDxaGuf76EJ3suPDR42FQlLSH2W5ctz3aW9jHRzRm4WzsgL6rpOVzHjNPVimShU59
n5CawVwx5hhQGjEgs58V2JsO9KEg1Rs/VSLD4C0c3eMlig3KqGw6W8k7C4wUts9KYNWUzIsm2Xz5
2RTsf84P5CKQ5IKChwhXOOYFqA3FCssbpwHz+Blm6h7z9Ldr7bX23nFm+dtgSoJyfOmrJLC1tW58
otaCSROM4mWYE0Q1tDSu+2FTq4mnKOXq8qf+Hr04P11/fqCQ99OMmVahYfMths0n+3iCz5sZzOHM
O0Aq/E5HzatSfeWwuyl6L8qrJM+8Rs2DfHD9EUoGqnvfGjWGOW9JBxYc50avbdn1tvi9Zjgjmp4O
ypDCvYGShTqONfaRgZlOcXw3+RGFOwz16uD1A99kYDoPBHV5ND1cjHKWXjt8mgWR7NZ3x+F4txBh
AULAK2lGVeDRLnzOIeygS59A6dcqzYcqB1pnLIIkCj3LIYHhfLaAdIb5Q2t3q8R9GyIIsrUvhZo/
ATQIATpIKJn9j8tfUEysxJ8kfEAFM6ZWyfCTurgHyuOxLNdV+lDJ5A/Ei3s2M+v/GkgVNYBrhJiQ
lU3WFQ3yp0YPohHw+GmSRJ2ze04wIdLA5lbESBFC64TdJKsBvBIehVjFtGnXySdmJNGau7xzUoNC
2coumMrUHAbjQ/uV7+i+uwJSZqi86Uv1wG4nYxdZ+lRHe2gJBWCXJXaVRQR72L0MajA495rzipfm
5WXJrAg+SmO4g8GxqjH9PYASjqGpM7w37tdlM+KJ/P5aYFUE8eUsJywCp+2+qFHOxmIy7oPT07PA
hPr36OzZ6/4YEWsvRC/VUK9ghGdQuWePLjTWQLVaeXV8VRdxUGKy8/KyxARSWJbYiANgzO1THRZt
vjbBNqjjjOvemB/6T9CbS4xJ9tARHIK4bQeNKRhTiqekDYbuh/F2eTlnD/Tv9eDhhdDpArsh4kGb
RjGrscWr2KrqJ8fm9XYY9bXDp1e30BIg8UBUNtTVGEQo/OyJnb72Bedgkl+50cy7fLCyfm0MUyN5
CMwBW4ykto4hEfw0RFRxn129NUO1wHuQdAounAjzsRRqTj8hstDIxjiXtvnYlrDNFStUBdy5qV/y
HvA0zEhVH2YvgVYtHbtjI8Kxq3uVkXF+4OaYJuqZFhRpd5MpiTcZ+vryR12Kxd/jVwZUFSz0Tk+T
cjCqkrBmA2qDWmANiRfmkut28ePM813/NTCv9aiEpMaEuU4GAwxIpl43/JkQkXbPhbnScPn//Wpm
SBWYAjGCCnXrU2MtMUc1GkwIlQ3vZf/Be8luLX39478vLIaHrekwaqB+O4WgAK6D0HlqwOp2eRVL
W3ZsRUhQcnBH0yyeVxHvOmtD1ZWpdX5K7izz8bKlxfVYUEaEch2AUqpwE6d9VhBS4CYezRizoGsD
kwi6I4kbSy4GAoj/Gfl+mRx5QG7RTq9VGKEc1MzOJkSadXkZ87aLAcCxkFPM6FjiiEilvFL7Yohx
TRl8OwFEngPf8RD/m6NyZEWcMAA4jmm9jnXobJ1pXwMNJd579kKeAywqdDMyFYyeZx34eYKVFSMs
2HWKQLbTOPpst9GwSdSA0F1ZveCEJs2mZJHX47xmk+QXLG/kPz9ARP1gRhjTuqYF/wZYpSIetX8U
9evQ7S5/r2W3+2NGSJaYGmkFkHIoXuNNRnA3pI+uLHVZPETg3EKSD/wtEcVi6GjUyOc1xFD92aoe
rQjIm11Rr2JZIr90yztHhsSYoBcji0MdaNHR1/vrvv8xKluzea2yrZlvL2/c2Rvw20OOjAmhwSzc
tnI5jDWYj1g7j64XeWMM3Ld3d/BeXibfWx1WK9vbSqe4F0/xkWWhftAXcZ6ODizHbupNGZiUI8k1
rstMCNEoBvrNZQNMGLdtFtQPiq/cQAp3w66dFQ/4rvRX3rBij32Q/zAPDBryl3d38Ul29ClF988J
5FImBT5D3rVHdlM8a0EJuMjjb+W9vtPu920AdPq1bAZN4kC2cBoKfTDrkcCqngHIAYI+yNy1ByDE
zeQ9tSXAkSVjePjaBCVePH5FXMzEXDNt52A8JMU60jE65Fi7dqq2YGUCHzMqJVUpaVUthjUCpDjG
KABjgnrS6a1sNDSKaIrUtIh8aqjgOvAMA5qXyi0FZxjxIvobubIX85tEPzhJ0AwbyYdVFy6I418w
e97RFaSQCrQ5HX4BK270IZhYYPXrMr0O2XUF/4ofKB68/8YmEIdoh6DQeNZ1tdywaSKArP2Mrqre
9LP8LirvlOoqtDEhaqNlVyQzY5nE7LyZ4l3ozjpkFib5bcwLny41JSTPchtmIQemfIJ0st7GaBZe
oSWT7fI65uCSmtINd8oBA72xgQeJ3uORSiYVv6whm67tE8nJXor3ENEBYYeO4WVXHCJpY8yOVjrL
wBX4UBsvKUYiIvrXY+m4PI+N6KcL13N0LTIaZpDLW5FwD9F6pEtxL9nfpRh1bEXw5XScnE5RsRS8
MzyHG54jm4VbuoOPLQi+SlUtU3MNFqzkvs82QwkbqNyFcXDZU5YuSFTh0W2F+CykM4RomxC14CV4
T32FVc+x495VmnJj2MMVsdtNDY33y+YWN+6POTG2JlkUWxONgGu22s2gDfcTAs9lE4tuhoIe+nSz
COQ3YPXolNsatTqWwURdfhjQZEhCoPze/oUNdIURPJGGA05+6mW8nUmwJqBZbRVi2c0rJ18ll6ng
LO7VHyNixjyg12j2LsU9VLd+BeAEsvPLyzjr8c2JBFhyQXGORvssQny6joL1FGN8WEcIWY7My76U
2wg64OU6v8IbLTo4qx433rSyb8K97DudNVS/jQMJiT4xohR0tU6Na6j3EF7DxYvQ71wP9+whueb9
Y7JLgnjTyirni57+J/yI9UYrATENa+AXYwpyDvbRKhy18s+8vOPV/zPSzRfRkQtq5kj6KMLKBpYG
UTwdoiEM9KGX9PHOmeBmlBdKBJqNaxVRVYjyGDGsOpXzzAeh8to9mD7bs9/VNnxh9+UvFB6NB1J6
+ic61ZRhkNYv8p2sLb5w2k5+gpAQtnbNLK5gUEGtR2p6I1XVO0DtYicAM0UarSQOO4dv4V4j2jdu
ExVzFHsEh1WNlBrgbEZ4zwCpVHB5WQeah17rrBIQ108JqLTCrZbeGVWzjjFEfNn+Qt50Yl64XdQO
E/l2UiG2mGuFrs0BxabATblvqLeqrLP9fcAvLVa4Zeo6K5IkgjXDeGhQbpgatEcxeBk+twYudhTg
0Dv7F1fbyRKFi8caMVPQ6NjhsLwtQZAxSZ+XS8+XExOzTx0dD2aQIlNSrEtR7qm1rsnKCNFvUa8t
+pooqyhXvOrTABV3HK7C6CWMW0yErlDVAdLVs6KrHqSY7G3kT6STsXEt77ltYeLJnec1xLaQESUZ
jwb8trZ8zpKvuvtpTeu+JJusejKnAM4XkGKQXMLnY8YmYM8YSwJdOSDxRKRUNCILvLIEmz7u1d/m
GwekdssDy0+eLL+90nZ81auedK0LERHPeBAvOQ5GroCRP/0OYaw0uaLj7A7rcaX/pO9ocn+4Xlas
2e/8xl5nty48exffy+6dhaABw5grQg8exX7x2lFHk3LNrpEJDl5sPNvFddysL5/UxbXhaTPrxGK6
QEQ6ARZiDIbT4qTqxsYZPvR0PYL5bMg3Q7y5bGohVQMxwh9TwonhwMIQwL1xYrQgVQK13br5ZnQk
C1rIBk6sCB+rHHjjQjEn80myGfTbmuSS2Lb4UY6WMS/z6FSC57bQywgGYvB9sR9Rtw5lDPVLV74L
zDoaMEBtzcNxpzbCEEInUZdi7jpSV92IaK2tsuRXQsFEeIAsAECvaQT2XbDRXv5GS+f6xLJwT0HU
CmJHBiyH/L6NvQLcnfEvFAcBwY7KoEKTTlbeWjRpY9zaxudHMBHfYJob09To0ChBlSatnwqAQFu0
5xsgElqQIreeAg6Ivx3VQFKFKaE/RsV1gv12TGbMYj7dFfadqn3Zw8flvVy4BE9MCHkbQHaTAUYA
PKOJr45oz4Odmh2gAkskH+0biCNcgMeWxGZd3TVWr6mwZJT9k9XyfUxHLwa+tS5HbKQRNMZXlb7a
2iPScG4fsiFcaeQ9yoinJrFHrHAXdfYa7M0Bs3/oVPUz/SPSHc8Ee19n5XcDgMgxhKAub9BCQDj5
2WKSEnUhpFHwszGg6+nFuteeXQi65qvLZha/gw7kAmY/1JkO+PQwMTOkINYEbHS0J/M5ct3sncEN
Ky8zjRD5u4XI3uR2VWAzIIAuWeR5PAJ36kyECxIFop6xBYJaMcsbBgqFJH0s1Ks8lazuPBzh7zsz
K+AsDoFlnq4u68qoojH+fo1GrcvBXq0ma1d9vbyH34+MUxeDGfJdKUGfDrZOzSRmO1mFhbGWNHqo
oOWdrFVjM7DAZsyr6a01BbzzHPfQ+PzJAuGI7+ueVa4nWWhcWi4YqICyxpJ1MI6c/o4mLLV41LFc
XvwuEvsA3ovN2OqS0ZCF2qaF2XvbduapIQyoiWbSXONpAyh3MXrWk7rpAvU529ODcw3yK8joXGef
uZ9dpXtHkuIsJH2wDHHTGckK5LEIuptUtVVKFQEYjQVX98Osqe7GQu9m9uKmuakaPnUYoTTq+2JI
QcQzZVplBFoUFXcaqlK3oBSvI9CDu7UdGD3VV31ddYOX2W2We4qessJreBI+Uaetn/qpwGcz1IRs
dRr//VWMcasZ32zOoxTIL06/VUYLHVpnc4x17LVr0oBXEkT4efZyakG4i0eOFn6ZwMJQ3Hf0auof
1fjKTWrPlSECZ/8W/R/NMlxRDsqyYBM4XQtvs9Q24wqAAZOhxFQ67Sp1U813FEI8rmeHsUrx0khj
ukW6KJPDPZsexig24M3o0s4sLMQSCykaTV3ACRDD4p3+Tn8aXnlQUGp3fXNHg+K1Q6V92/cQd9hn
t+ZN+PvvATQn9r/v8KOkR9EGt1Jn6H2RfjH7ikabjr5YmSRDXDzcf1b5nRYdWbGSsoutDlZI/YCx
dq1KPVOmH7XoMqCgA5zMxNSzKDTf1uBlLI0OhWZUNPTWug5dY2PTCZlG4RFFpoq1FP4RlVUwxgGD
SEQUSM0NhWkzO0qVE9+tdND8/7wcms+vt3mocWb+RIVoxtyfemZLoTECdC1cY7rhw1bl0HFY5b1n
ET+UUQ5+/1zxGBwZEzU3OJKaKtdgrOJBpl/34ybjK5KsNLa1zfVgYHr+NouCgm6JIePT/+bIuWRc
CMoYGgJ/twnj/Ka+VwdP+QEY5KrffKbXVnDdhF4YOJsXbeuxHQTTIbdY+qOX+8TvV6Brlv2cJWc9
3gr9dN8hDguw17zvKj9UaGa6WxZK3jJLQefYhFDYKEOXUm2CiTYN2mGnA+0IZHWDpuJaIX5dbC97
0kLraXYlXO8oVcGZxKrRAPoFM49m9Em5rps7dXrV4y2pb8fQd5rfBJJX5nup9ABlYShY/VlbkkLd
0mFBgEMeA0ICvAWEC4NCtzFuDaw3c6EbgK5+p0sizKIFZwaRgh4MHMeCBXUqy0S3gdkMjdrTsms1
MiX53gK2Eacdu4h5fZCbGuJ5rLiicppgEAXE4dS+ysYHzd0qyTVrVoUdsFlOFySWHP9KOodLgeDI
sHg2E6djTdfB8AhyXWWjGb/i5kYbf9TlXpOxyy05/7Et4SjGI0JROS+yZMW6Hn+Wk75XwkiSDMlW
JB4xnqf2GMNKaEDhZLpN8ys8Qqj9S222NJaN1MnWJJy2Foi9OlHnNQF25bzXzT7u3y6fsKXLB9Nk
mKcwnHmGVojVZWlVFW/muTIKQT27in5Hna54fTGNq3BgIAKxa92/bHNpE+cKHXqrQE6fTedBHsaI
3BmDlyWPTeNnBOJuPwrNG919nzxdtrWwhdo8smJibsaeqahPY6LZdlqh2LDVuKj56qb9VDb2tE6d
SEZKuRAaMbFtovWHNx1A9IIlplK8eQlCVYRxEW2MblhxZ6bFjaKV+9K4gU7PGspAst7IQiPIOjYr
IqW1ocUtbyF+RIO7LfLUcwcnYNGzMepbRbH3dflUsfCqC+sACa9PAef2x9r0Yqg8NM4PMw63ZgsW
FE1SazAWvjJ+GNwKI35ItUUsX8XirnByOC8plDpQWpbsQ6tQdYw+RPEznvTTG3FTd4dJtX4bm2MS
VG2DjLHUG3CLNBP1+JSEL3lVqnc51WMaqH1jpVDYTFrMdPVDs88HY4gwKmIbgQMKy8827lgfYHxj
+Ezz2Pwd0ipa1+YwDl4f2fovp6usXd6PydXICCgKkTpMD61baXAKNXmjNY92DJKPa0CM6+yg5K17
nahdIcFwnFcZ5gku08KQP1i5UFA/9UnWqmaXzfCpLIHkndF31pdhoK41EkxWj4XZ/R9pX7YjN840
+0QEtJO61VJLV++r7RvBbXu079T69H+oD76xmqVThD3AwHNRQIdIJpPJZGaE5BDbipHQuIVeheUQ
AEmX4BvR/oi9CK0sV3voXpEm9lE1EEFybr4qd2XvKM/t4fKu2zjUPgEKbhL3crwAfRQxtA86nlep
rOZmawrXIxI8IzdCzgjMx1V1HxmhEg3HQay4yZ8n5SAIhbsiWGaheo+b4+elInVfd/HymM+s2u+6
9LbQoRrVN5KD8sx3LOTHv8lKxcf1ntCiGroPStbCUZXGZQbkaiPLN8sdsbzM9qtWptpzNoXAhEdc
eM4UC654ORlWVxtSZqY+Fg1oYJVycND74Bvl5M1V4+HmILkVn2dUBbDFWazAsp6UrB8RZuT1Se9P
iuUa8fWQeyV9icHNbb9FyOVetsHzBJGAKawdxCM4ReQDPl31qojvco6JXBpdn1Ic3Z1nlDehckgT
v22cgN9M7KAOVxF/pDHOvBPEcCRh2NlJ9PlzDOFpmZBJj/QMn9Oa4bchbX9aWrqvxkCy2c+23gcM
CsNQSQuGGTHFAQ6FUo9LwCQUdRpW8RU5mIfLM3sWMwgQi2WtFtMOdStAMwQmNmmd1ji1YAWfyb2a
vgbK9/8GJRipZXNGuYqN0bSqE+UP4KXYVfQ0p7E7yar2txfo98wJNsrbKMgz1DW46Mp2ldELoSY4
/SnrKijqsesYnB/SJsjACgNKR5vFLcGuS3EGg33czcPgVOmFZInODl8BRhhLE2dlUM8t6E+Lm7F5
tkj7pS1uy4zvLFxTIb0mvWQsZ8inq7CAKOy2WTcKJeFA7IrRjcA1+AuD02+nyrmKiTtPbtcXu78w
Dg38YAtbJ2IN8RAAQT3vRsylEvLrBGUnhA5+xm9t9ZnrEsKh8+aZZXwrsGXfrYx+rFI9h5ItyNSh
4aFoUJyMYZAob60aN6h2fag6ao9C/9fSfqgbSLe8dqqTqTudy3zp5kyvvkQMH4o5Q+4Lw7Ysxw6+
jcZjlIKz2zcISK4rP4AaFTPuWvr18myfPwEKMyBs+4rSiCJ1i72IYg2kgxUIUTbINO6qGu2oWe5U
VuXglV0Fefhl6M2duRqxsGmKvCdJMQG5Qo5T6a9ma9z3MsrnTccJvgGGGB6FiGKQRIZZKUnYQRxx
VryWmxBV4N2XywM5j8Q+5vA3iBAYDXbDqT1CNFu174IKLOhvtr1vyHVu3PZx4dZvtrZv+S0rf3Bb
MombLmE1PmG3kDo1SA8lGleHdlhnKs4cP+MmVjkgdbTsQ0WoLEe8FdWAJRi01SiQQKWC4BLMqkiU
cAYiqZ6n/obbDo13QTWAHKF2On5gpS+Z3rM64WV6fyOKZ2zPtKydCiD2dM813yrvp3RGt1LpFRGH
zDGaBSu8WvxxC8ECuxIhEXzD3OT5jOdKiJCor9UYOXbW48LRHbvgqz58a+v5cHmcmxO7whM8QI1H
ygS3BmiZ2SBKmse9Nih+VYLYw+7vwtraL8JRcaZ6l2E3LWgFKziAfOxHXVlgNZu8kuC9z+rI4foE
lrxvap/7g1ZJyvG2vS6e1T76jVEWKhhtBwYPm8+Y2Vibdpo2vqhzdROr1Z6x+TZRX2J1OlSMuupg
QVqWD8cAEpCOTd4UUOqzNtiXlqyHbNNPgIULzKkLT/RZRgHVnV1issYFtec+07rHMZLpnm0GWP9C
gCjw81nTV9BDmCNA4LIxmLcIj5N0zwz0XkqCxWXFzg7tFdBy1KwONQKt7xz5ApxgVuDGqOnpkLNG
zfmhkCbqN334CkrwfGijLWNlWcmeH3rrgQ1vXJU5nO1rxgpEMJfC4rMycYyH5iGEZHRnQNVdml3F
AVLU0HamvgZqA7WV1a5LgQUPgErcropUAPcK94OlZlP3K+PQo1y/AXeZddDr25pKgjzZlApugPVl
yhIC0ELzKOqlg3BP2/5vri1oxdQXARkoTwogepHlI1vWrcCT7BhXe2OyfKrqktNp0+RXMIJvqTVr
YokFGCTXnK56b9BcEZYoU4G6QzBKwDbNfgUmxBOqzWnZTACrwTIyZbdVD7qX8HtbyhK4MqDFo672
lxWqDaJwAMXFfTLsVQyKQo0tlqQPNg1hNZ6zgxZnQJrAEBSKG3aYP0XKtMvr9umy/9+GQWUlmvLQ
ByISpdRVCYX0GW5JRffPoE/IqT6NmvpXBvcbRXAURVo1IaNAGbl5UO3oearjfVLYkh7tzcMMPaf/
G4zgKrqYZmHHbPhY3CznaG8EhW/GB44LSx16s+x+JJs7wUGwJhiMrgQcOpgiza203kli2QOgbEzC
XkU6ILItMBXhtYpBZBDynAmIbPLvccZmHxlOXNdrcBv7ejZ3z5dtY/t2gKNKgcwN4j0xU2Z0JEL2
NmjchvtmcwLnEo9MENXdVuWVzb2EOl3dQBpANubN4/g37kel/WqLFeFcT32KMc+q5mSoMAtGWRCy
GVWuIIRTcuoJzzIVEKxAMRhGUdGDBUeL6vx0TN2p21nTLgv/uE5riSpXsMJGoEWBqpseJmMSehyr
7nVusv3lVdu0yhWEsAlMK+5aSBPA65Y3Tb4QoT9TWOdlkM1odQUimD7F4xOZJowDSU4HGuTt0jen
QVUHC2aNjzy9msnhMqTMKISNkA1KXnQaIIsAxSg0uwrK4ttliE3XvhqVcGBZegC5OgafW6MmpGhu
iqDcd9ZNDHaEvwECozKSHEsXvrBGCaioA0MnjWtQtPTkSehqBfP7sXBKZrxdxto8ha3fWMJSNXWb
ccuGPeTmCfenUQUtGvd0EKOpf6qH9ZEIW0EJS9Rm6BUpKkCpenethxNy949jjqczpQvf+yY76nh8
HKpAk0zntsn/HqKwboaSjn2SYjo1+PgO5EKomA5HGWn0pidejU6IMCDoNQT6MjpmeDx7rEBqouIR
nJu7qrF9aVnGtjH+HtTyOSsnOHd9Z6s5BpWFfo8Hg77a6+03w+okkyfDEQINNRt6VisYllZzZ1yu
f3WMR4r0qSsTmdfdTHP9O4Vgcvw8poKRPIgZsOzoJR6OUeno4DSMOnceAidLn2b7n1F5Lg1Zo+N5
peWH3/3fZEL/4zPwSKzMmnMAxy1Drfk/bWCHOzYqDkdAUqdkn1fgmp4cu2feEFdO1YN0o48dTY8c
raePo1HfT7liS+b+sknhUfvzZxWcGngzxxrz5IX3J5M98DK6SrJXy/qWNpYEbdtpo80cGlN4phT7
zHV1qqomw5nXZIoTV25fjk6sg15dPY7F9wkCuXYkOSc2jeujk0aFjsCZyP2YBpoWN3DaSOGgVcpv
+ddW/1Vbkjvvdg5uhSN4ANJNSdIGGBoFJUFxzGO3JT+y5pD3D5O6VzWctT+b7qXOHtDt4l12sJuL
uMIW/ILBao1by5kOppPMQuVI+tpCABEc3l2I/hNZS5hsSgW/YFWtmqgccGH+q45vjcqt2V1hSga1
edquBiV4BWh1WOjRAEqfzkfT7H6qnSaJ1i8PBA9bn40/UxK7KmJAxHUD9kt0YOhOQ+6zend5fTZP
B7Yk+lUF/RiiVgKze40nOdqNtLG8IYZ+Y+XKq9XQx8sw29HyCkewQRSNp12gw8fowxseS5ZX7Hin
qw43Q19pUC1xAAVW1Mm6ILdtf4Ur2J82kbbtZuCirMdp+voqmHUHl0cvAIVskYI10f7eFtGPKuEL
e7dTdO01pWCxujz+zeVcfYZglzqoTPWBL74s664qozq10BPOwfOpERklzmZIs4ISjDO3zWrA7auB
cNRPE4bTJLjcoZhweANP4+E/DUtkL03bNChQfoft1uxCKCsCy55cxZCEnptOZDmkQDIEVgxRbcUw
RiuhA4y0nvZG+wtCsRWqR2LFM/lLo7SS3b15EqzQhLWyO5pyOmKtlOGb1rxY/UmzXwfIVBb0VFS7
iXeSPSgDFFYsbQNilOUyvAK805ZbkBsVZcpNeZvrvmn5uiwdtOm/fo9QLFM0owgyJlqETc/QB41M
w5zw58uWsV2MsMIQgoqg1Vo8jGJQSqY82PFgO22G0psy13pPzcbbekjuFN7+aPRhdqkxv7TBfCQs
QP4wvoubhc6pyRK/zPTALXrwSQxTmTuJHRDJKXxeLYqvRJMJFMGW6u2z6jwI1XIlpzGEv3U8HLfh
Hl0eaCMoq4OWoA2rRhlXz/fGIp8FX0yS4Thy+2+SQOuPEPwj1N4svKjiI9TyYSAoTcWjZl7I0nOb
bngNI7hDg+dEz1OsPA6uhu3a9noeXi1iuXH2pU1elPJg1sd6lnj/7UPm3/1ra58PswCNRGZUwxYS
Zb4ieCvKKuM2rNNa4mVlOMLNkTIlqRKKnYu07UEPSr+mKDE2ZFn3bXcEDhOq4KnPEjtB0IVSQkYZ
w6HWS2/NTpt7HUfr1eSDJUSxZN2um4u2tGXq4CLH84t4IQ4HOgapgUWDRF5GJ6fsrnM8KI7R8xjd
DMXBLhOHcLB7mJKtseknVsDL76tbFsTVSFaaMMqJ1nsyDvuBeJfdxOa5uEJYVnSFkEW5idgJUzky
JBXmXWUFXkoPpUElprF5KoINDEX1NmjdxdIJEAfZYznANIro0az9GK/3CsJQA6KusrN+0wpXUMKs
BaPWK0WxQNUPhjo4VquAvjWRHBoyFGHm8jCCnOByrYfWgo1XZkj6ZVJ6ys2TCbzzHyI8qPEVQKIB
5Ud6i+VRQZcaxtcThCQUkHW0d3bmJyn48HXJUb/5APpRuL/onUHnVzgMq6xP8xR1J+gHddIb83G6
t57bW+0+2Cme8qVx0MXbH8N/EMVdtsStTb3CFUMZrUmLRP3IOs1HRn0TQu3JvRaeOhU88w+Xsc57
yT6OHHQn/L9Big8LcQHVR0S+OBz3thOCXdyBXqk7O9Z9fpXvq5M9O2+Kk73UO7DvcwdlzERyv9ja
D+vhii6Zcz22DJjPPO665LQQz3fPrAEL+/fLY918KVwjCU7ZzO1CG0IgackJLrmbQN6vnEwTZQr6
obFQemy5taxt57xKXJhhYRMysLFrPcEMt055MyOuR1uiM4YOXjuiN/4SPJ647qCG3Pse+KHsOfu8
FFxAF/aNhnI9pU/gsUGDtQuerfvkrfWoH/t4dtuHWNCHxGOe4TZH87H2yDeOvvR9+6WCdUOx4YA4
yQZZYHI86F+bnfJATrHsYrSMX3wIX1qWKYRioCon9uChqWNOkzzBGTbeBvGIxmzZsbXloNahhrDu
TZHzTJlweBSLehYKpvJ9MMh6EDbvd2sUYZ2bzIyNeTmicjh0Njo0u0EvuRH91DvUT2RkZ6t+rbzM
yn6wd+ak+Jete+v8WsMLdwVSjaiyRe28a9TkKp3pacj+AR/jWzuRn5eRZNMp+MWmV8qiAPWxS6d7
U32Z+ice/POfIMRrQdJlXUGh0+1q6exqsQbuw3k3ZzK53814ZjVpomLizOzI7IZl0kBNhBs5zuKO
HRvtrjf9Qf2ZqKdS9RQrP/634QkuL4zGXlUiwIbmlwbvZr36YGpvlzG2T5F/7xJiqGYydLbmFVYp
HlC814OTZiBfGBtOjam9J+ypZfHhMuL2Rv6NKGyAyU6bzAiA2NQ3gYIoMAfPvuRs3MRYOjjYQg9y
VpRUtKxVh2WTaV10W9oD0iO2UXY/Lo9kc+7QRrToqkJgXZw7BRVAYJ9fUGrLmyBEq9wE2YTuFt2r
rbsQr3X/DU+YuTycpxQMHbgL1Y+NcReku3S6TtjXPHgYQU1xGWxz+64Gt/y+CnSpEkPE1wLY1M8o
Rz42aYt+WEnN7qY3WoEsv69A0rAf8OQNkGCofbC8uEps4/7N7lDoITE72WIJF0krLBItVQAFRjzd
RsmKz+f3aXzStRORFQBvzp0G2VQL7CHmWWqe8haKlwHOcgoa1Gm4UpkX17LO2+2YbIUimENhaBXJ
lqsxu4numsN8wOvVMb+pCjx7O3i4LZ3Y04+FS27ynZI72Q3zNcn6nQnSLG+E0GH+d6SClfDOAMVA
ii3Q/7iDBEiI3iX288uzZrrMq73eNffUnd3pjfmdq1/Npst3huQbPmL6s8hg9Q2CESE3OuZtiHno
0Lnt5dC4ehxP7b4/JO/1j+hBB3udj2cwmR7ldsS2whUsKiu0yWpr4EIphhGndMYTP2g/g5+dDpUd
R9lpTv2OV9K7CoXK1M9lz2+bm2eFv1j8avMEhpGmdgx88+kGWkXRW3A9JD7WXtlNDnvsTsGjdguS
gvD9smeQ4QoHe2K1lWkVWHMw+sZIIRg3M/Fb2SOQBOUjSl+Njqao/x51jC5u3pPgBMb0NOmduZZc
35aPvWA8H0f/CkYz20BP7GUS0UKWRfSXjjAb3OyOov8zRwoifwV5W1nV7KYz+r10Hxm+FapRzE3U
T0Dtqp8kMLwsBQFDBpanZwt5w7jdXV6xc4KYz9v0Iyhd4YVVbpNuyZ9OLvRfwNHk0i/4X1R59NZs
He5/Vd65qzyS62LP0XHqZg/ketpf/gqJV/xgElh9BNdBs1kR2E0NnYpxUHel4Vq6LG8iQxE8Ugl2
7D5a7KZuCrR9166pv/FUFhLKFnCx3tVYsqZYyhSAoiQ/WtVvO6+OfpipPyFFmMh4hLfjz5W5CJ7G
JCBNpIuXJX3rTNQ1wbNAvbjvvA4CGcgKgTWJ8ld0xPn/bckEF6N1tUJMaHaDZm2P2/AIjaLor/IY
q8EJ7gTV6aWaL27UBjnd/GXIj/m8Z6j1aygo5CxJGkGy38ViNHNq4q5fFi5nPun8uPOUAlswOc5a
Dw3e0yiT4pId0x+/r0ylYrD5uMHiZUeUb2tXOdTJr/nJ9jMnvml3IFzT3cdp95Lt+yswsDgydqjN
WPj3/H74hhU+GhACvGVixCTlfkgp8lQS97KY37kPRcMwuMcX2ibh4tx3BGq1GkIrVr520ZHaJ16/
RplPde+yOcqAhIjHHEld5gGAqmkXQTJuvEUnG4Rhu78qowEFz79DEryI1UP7eUTzJNTrf6D3FpFp
hrfWspRUOmyvzUIRBZZQcEQLG3tKdEXNrBRHKUpcc4ihM+N4ecq2HdVvBGEHT1DkmpkF65vVxJni
GqdL6QbUuO5L4kC23GsHKjlSP8jmz+3hN6awo0ENGNm1Asy4qN9SjeKKlxW1r9hZfqBtZeCADXPN
dHDDmL7GnYHebdRsnvIcvbdOERP9Xevm9kc3luS6Mdh4rQxj9c3gUfaINjPjBkqbhuqgEiA+5HOL
ytXKarwaKsj/oKwweO0mZXo3UOuD56/R8EI9igOvGWvtGGlV9oNVdnoD3pP+hk5TeIwVa3xNOL9p
eWyinbQ0Rq+29fhHz6bqyFLbPMy0BVOBUidQHwGFrWsR00/08UmpaL5Pa/NJH4l9MErN9BsS35d2
TCSruGn4C6erBaYbZLWF44YUGm06rUAmQP1q1M4ERhOqO0Z6PcrUt7aznysowSStZrAZgQCXayfa
0SKJE7FDZX8lCApUekojdGcZfmZJrrZbbhk3aA00PoahKB80TisnVXdDQgoDG2EaobrZglAWdEFD
2R0bs9hHYXKY8hYtf8rb5d2xNa8g+UbjBFUpYiTBcxV9T7uJZbh/ttjh9KE3E/CmVi0iTvtGwRPC
Zbit2GQNJ/ivIKImUUbApcrDkLV+y14S/qd6sMuVbA0iuC7aMHuGVBtspfxV4A4IQe0M/a5odS1P
WmBJXPLmYzR6DfD0AfoFXAQFuDibh2q00f9tpdBUDr4PzEEBpadDvnd47lAE1HLHLlCLN3EnUCVX
kc0JBaXzgo62UDEDkxGjSliJbkKq/YSggBvPb1x2Q9jyoODe+RdDWLQ6N/UmXXqY00hDrf5+CNHL
kyBs+Kp1P41WcqvbHpGFqpFF4R01dp8DSzCglaE5YKdDo8xRIlA+vI9mKQmCto4dZMb+ByLqbKWD
oRgkLREjl+1rVJi7AiWvf2HqKwihmsKqZnCzEIyjrWI/wvW4nrhr9T8vo2zu30WHwgZ/FqQOBOOz
dW7HcYK16dVXcNJoVgITwEtFhTCqzySmvmkIKzDBCeNiOGtQWYFn7J8CC8yZlTeY7+ia80x6jPhf
dAzB4duorwUhGDSXPxtC0BUVDcAC6OLStA9p4ySj6RepZAOdjUlbunHBNAixDQ20/4IDhIyx0dgR
NLWhFIySqFy9i6cvXQwGFfM0BPvLq3Vm2wKYsJPUzLSQ0QbYEAy+FT6AUshresmIllX4FHwIIIJJ
BJOBhOUIEDrV0Bu+ya1dBiV2JZAcyedppwVIh0bnIrFx3k7DOBpbplZDkY1pOeWPsQfHnZl7puo3
tQZ9nKdMVzy1/BCH6Bpv0u+i8XvTST5jc7i/v0K8z0AKvY9Jha8okut8+D6aV3r2FPxx1QPGSnUL
ZL4LBR7aaj8bo22ns2KlJTi65lsj9Wx2S0aPKZIgYMs+wLVkKRRhjnHWt2tVoMAacvBeQi7T6e2v
LckcFF1dNsKPAlHRQBgEeSh4pNEwqQsGMg1qotgLiqqQBCyJdWY4elayQ6rVA/icWYYH7HLOGj9M
WXeDNubKVxIUc92MFm1RD8pAQfJrIODyg5B9GYJwd06izmNhpv1S0DWRQDYcImt+aRZKDaK7qax8
g+WcX/e9Pir7LDdHBcViRmV4hl6EisRPbZkEnCHcxkIYB82Dz4uFvKRKuhgEt7WqeUXg56ozGszp
pj89RWAUSPwyHYRqqql8VOmvYraqUvWagHERmZaw26GO6Z+sAo3z5eVafMLZakFJzQY5HM5E8YQP
IDxLwJKaulbZnji4xChEKi5DbM6XDZ5qMC9S8A4Lntbqo66eZ9BDx1xLvXH81qgN2p7MyRvrSbI2
W8MBtwTIMtGXDj6U5UBbzVkAGc16muCd0il3GAiIs/vLg9kEAKMrHlVQd4q3r88AuBSZJMswGJND
Er47JvzH3wBAyVZZSPQgUvwZwA6TEQp3ERRTBvrTzhSXNZH0kXz5I+KqQzsJKp0LMx2oBT6DlI2W
102SgKMZBAFq7NtoxmS5h74Z3XwNk8GrkalkCmgE/sLc1sDL9K7Wp6/CHqTMoCyndfEdtwPXCP+4
UB7bZg0hbE+1zViuRBhbqH1FQ5mnjz5h5m4yJaft2ZVqwTHAO42aCVUDj9jnoQRGRFky56DdpWoA
aYYfI6TwhuGt6ZN7e0TVrlFk10oqazXY2k32opMAvg3YyEdyYDWDOb6JBz1gp96KXLXWPfQ9v2el
/lr8cYXB4oAgfIyuO/A1MdEB1ZGhldOiBUBq+3bA87866Nc8lBEYb41oDSOkULIWbcEcerHuBH0k
Rx9GN0dKI7bDOxQgHC7vLhmWEP4bePXQkOSFvEHxlWWnIr3Jqtuu+HIZ5fyS/zFzILiyDQZiJvGW
AQm3qdVxVrmWmfzqWigTKx0qUaD1ZBlOHjX3aZF5Zf0eN7I37PNc9mKWONuXN8OF4V3wgEqQQzyx
BEt+X+muBXb88m6CBFp81PRfZX0wzQeiPdNeMq/LXz1zKAjXEFbgbgP96s+bwYjLCYEcrNJqonsN
XLfFT3CDtNB7Mf6YfWQZIFQA4N5VlAWI+w7kkBEFuTuORa5zt1WbQxAm2d/4qRWI9nk8iUIL2D5A
4iFFqb/yTJFWvmwkm1OGswqZsiW+PGNbmkCDNBOcJBPpftVhfKyGCUz29oEN3+qm311GWzbR2QKt
0IQB6ZBKxNkIr9iBvBqVFJ0fzKMTDt9ZRN6C3r5VzbfLiOfM1ctCgVsRqwQ5c3RqfJ5D8A6QPCaA
LKPqYZhzV63iF4ocdgHllSHIPLNQPV5UIK7Uv+g2Cjs6A31glU8h+3H5W7bn+venLLOzcppBn0xZ
VuPYsc3BrQmcyy0Hm6XJ/WyUQG1MNIobF+lDnAzQBhCOhbbR5joHjZ4bjsyr2j3U5CLzYNHcC9k3
Imtvk6EJyxp3jPdzXmDfpQHYmF/q8MsYao6d4spkX1nF4fI8brhP8FhZGBh0txA4CO6zrRpz1gZw
JVOT7gPmdeSnyR/ZXEvCuI2zFfVgOi4Q4OVEe7wQnxgj8rxNDs7i1PxSoAdjOJjkqjAgjoeeLQ23
50ryULA1j+h30xZSVkrPtBxY3il4x4HXzOb7sXajYjxp/rFL/J63Eva6DVuki32AToYtTBHC2BRi
NaGyqBy1HTuNiCucsUthI3mIXkh6b6FR+vKibVz7ALjo9+oWuudF8vM5LNEtQHAYJYO27whzuDF4
A/bZZZgt21jBiMWCTatVJti6MzfAtShpb5CyDCptN8pE7LdOOKTobU2B/Bsacz9+X23m2jY7Xi0M
/GBq1Vw7RJGOwwutPkFz9IGMbfzA4kn/AeZ6jjQ3ZLmixOoix4isopZM7dZBj8w25JFxg0LnBxUW
k0RMy/mifD0n1xVrHRNKAHOwxO4QiN4RBQ4NCXe7/n55rjfNdQUrhNFRB0qiPoLO+DiSh7rERoys
1zJie2LP9zVNnKEo/2JLrkcq+DWF5CqdBkDG47dY+TZouwz82U13ZSpuaLdOrErmVjZGwbXNbVDH
pQXAEqV/XfZWzy85aKW0MnGH/JsaSVzbeeHwoiG7mlPh3mAGY6C3hQ6qee3XWPljv9eMY2hfU/tI
jTubv3T5rjYh4pgch0ByRd70CcxC6TVu+wyp8M/nUzfwuQxLmBFHMwVpD5zqux7UT30I/i5ZPddi
k0IoAHIaHayhlMHViSdUGo5BT2JMrG5VisuNuPWHYYp9nhuou1WDH0aYVH4aDdqVpqhPJFB1b6Dc
cvU6s3GIR7I63K3RQ/cBT9sUmY4zMV17gP6wWRiY+YD51KxORrJP2h0jUJJHrcLlrXNeq4N1XqGJ
Gb0y0UNexah3Uou7ToX+Ut0sXIwPcF5gbTW8IU+8otFu0IJQqZ7m0qMVP1fJNZw0yR8V6iT3o0c8
VSbFuOxZcVnwaeCCsSBvb4p3cqK3BCk1zMJYaX5aV3c4Go6Xx77lojWN2lAu0vBcYwkmbqcBRAz5
4q3SGCr1YA2K0D9Dh6PWzHW8A38+f/pzRBDT6qCrWvgMxMruviaTwQroQM9xk9x1YYs8mTJDKhlq
9l4Q8lYSfW2N0IZakYG9BGEF8Z1zynu7g9okTKkobEcNybc5m69iVbvLokCCten819O5fMzqIDI6
nmoIqxFT22iDqr/33YsFxhZ1h5B61G7yCPH818vzuWkk8A8wBOwV0P5+hswVEqZJgxXM0D8b5O31
EMgEX7amUDPAAYvXcMbOpR8DNZ3xnAutlPZayU50fCTa3h4eLg9kc89jjUzIP6u2SoWBsFJvaqtc
9nxY3Kc6uaqj+mlisR923W0UNpLTa3PeKII7AxnppZj887wpPBw4GuHh87q6PbVWaV9bM3u9PKbl
j5zt4BWIYA94KkVRRA8Q0xw9G5VqJEm9WpOc/dtmB34QBYJ0VIMhfB5LhpiygJQzbvhG/tAMKqSH
qmM8RIfC1LyGKLuusk+D+YtCAffyAP8/0LjTIfhCApQtR8vK4i2zgPxRDNEB2kHAMv6qEsuJGm3X
R4E7dvk+N78N5bgP1b942lqKCNDtCvFdPNkJwEibmGSoCZJtLfGC7jjjJIp+SUa3hDDi+q1BFiNa
jc4Y51YZIoD0xLadsUqggU58iASAMn9wyn7cz8iQFon9MFI7Bnvwz//4AYKVlnhJBIs0PiAk+c4o
9nT+Gga3xrTnbeh3zYOmPDP9H1vZXcbd2hzrcQt22zZcZ7kOJ20mEFvQ98ySiURvxXI6XRKJyAUo
uGV9ntkmVEO9bSdsv6FwddVX+5eE7A1y6FLUwsayksflg8WFRCLKsiGHZIMWXYhVzRkaLyyCC1PV
a9Ue3IQbbpt8K4lM031r5tZAQoyKQu0ibClOAKMqnrq5eNYLGXvHllPB6ycOUGhwYNMLlh8bEOJl
PaK1iH9heG+o74u/SSKsIQS7N6FSC1LEJbQfXnB60RgEsQbEu0OX1/e1rP9zc3FWAxKM3E5tpY4D
LM6UXqlN7xJaOQNDL6YsoJIBCWY9kkTr+hTDSgJ0iLz02U3TPtJIElNtrQ+eEfBGplEQtolZrjGZ
wQ0bMOzZjJVOT75WVX0YQpmcwZalgVgA2xQHJpRYBJMOIsWcDQrXwNLEOCmoXHBCriYvlz3BVs4O
dVqoVNDxLypNhcVReEKLbkA+Ke7It67W92i2cgh0ZSYzdYYxuh7ad31A78nU7Owu9ENsKVaFbtbJ
BJQ3r/lQiQDDNFMtUxFLJ/TKGpBfz+HyZ26gbBGCqemIt1+jdEoQyQ3EdkvUW9pV7LTJ7JazjADs
vPQKt3rUviwMbGyZdGEyIjwAqglbpO8w0gZULINdOVadOZ3xD83I0dBTzSlQEhB2/THQVBec2JIY
c3GMoidbT4KwNS27znLQYCK/h1Ci6HYpGGf6HQo9nDBX/K4scT+UHPJb22YNKYzaDIYkhIQKcqXN
uIv5exvvy0H3Zv4usbXFOV4am7A/zcKeYqpibJOJd+cCdI7VQD2LNlchB5Uo6DY8yt/1Od0PQ+En
WgzWfFlPstTKhGDKSHuNDcsEtzk49TQ8V+SOwX7N5o/aep+iGz52bmrs2+4vEo4MrY06NLCWQgJh
lpk+RSmKE+DW1eQQUtuxy+BaS5448xLrPem9y5O9FW6v4YS5rktEagQPkm4YzW/FVPu9YV1VHbKp
S95Rtf+5DLdpQ6aO12tULiK4Fw8tHic2ayvkbzvmTbVXVrdouE4mmcLR5rAWJmbUR2gmYvvPcUUU
z2VnxMCp86dlU/T1flRDj9U3TJY22YSy8eQKGUw4BTGmqJo8spqkhjtSIDISHnTi5eVuCr7HuqTE
YCtYWp7vzEUPEwkBwSTjiY28wyu5q3KfmyBgeOjTO8UaXKpet1yy2xc7EzfhGmz5mFXMq8ZpFUYU
YEXfFvs+URWHMIMftQ60p5eNQgYlBIFpOtcGhLGXIPCWTj8yAjHTVIKxZXjgrEOUuUhu4M1aGE6L
t/8ygUFU0H9Iu9LF6zb09IgDAua/GM0KSQj9EiRLZrsEUsg5uPhyRw1u+/7rZZAt978ejmDfSd0b
6PIHiGnEoFZ5hDyfo5p7VX3Op9ppx7u69i8jbk7gKoEiGB8Om7ArJiRQxujWKHeVcoyzZ9A8X0Y5
M/GFJkm1QeaLiqNFwP7zMhUQAOshil65YJy4hz6lE5rqHSkbN+3RvTOjda43iWRbnY1swYQ6PaS6
l9c5EZMlNasGBZgd/rMUlwQvsH5vkrVvbo5thSMYRmDWbZ/owGHB4N0UXlmErl3fk3THNMlibULp
cLMIUJZ3ZGEaKenSTjeLCtWlsMM4Rx2rU3OPN+rBNE4skxSkbcJByGYRzUbpm0hzFZgVyJnGEtOn
hPGhnq3/I+3LduTGgWW/SAC1S69aauvqfbP7RbC7x6IWaqe2r78h33PGVSyhiPEBPE8DdBapZDKZ
GRmhAhmC1vvEyunOZa4a5El0W+WDTOLzInIsn27hqUf/ykTSJTglJJ0hYznVlV+xe5BieWq+I/X2
L1zyxMay+JNAmGaFDvQYbIyA03R9Bj31xOdO9Ky61t5GnVRXZJNja/v5u+GgYjITcDXhdPdsqJ2Z
08of1BdFQSfruz3v2+EFbzFEFEm8uggl2MNTY8b5+kquYTwiBY+tjSc37b+MNPXY7zncH7lCvWi4
SUwJFHTtswFehitMXYCtontWNOlJuphU1Hkzqt1h7pINH6zN9S93madjaQ7EsQDHw0Y6okT2zOup
ra20wvgQ9yz9OU783tnQaWOYgRZ/QvS8Yv8oTmAyGW/i2qaCfxKQWlC/YbZGcMyUpLZpVjjrZBx9
BdVLlrwS+41bh9h+KqARUaYv1xe7FsUWnCYEugCKBhDs/DNaPI7TVsGeqlQD57R64EwLqTlCy16G
1bus9i37+seWKKzrjLQ3igz7amRfdCp8FkUFapvWaxMnYVKUe60ba49U7r1D4rfr61x27iwv+W0b
pGnaguXD6PL5OgtO+5aTrPKhJIVI+uQi/YeULhCJsV9UksAmMyacjXnuzTFVYazXP914q3V5kKfv
uFtHXcZIuPypa+tazsxJmGnmNssaezGlvmn5j1h2f6/+fRS4l9I9tJwvkGeodC8DeCCNctmzSvuf
GpOB1ddNuDbGoAyC/rvgghVpdBcAM4StLMjBEkUqGQ/27x7cxS6BTvF/TIg9Osg+MJJnDMHqvkz8
6jjus+30UH8zNtaz5f2ofqlhFJZhG6LjPXgytq7VuAX0nArcko3ig3CtzlHXDymASb5NwPsJfZzW
DQoZYm4t+C8Qvf81IqQJTY+yXjPAiO6+1vae5QEGSTGMovtsvGef10/T6ic7MSacJgBAptqEmgZI
nRVPxdvekLF1rO4Z3ipAtAAWhKrruV8rRZHYWlNVUBFSLa9OowQFsVc1bcPrK1m3g1IygsJvhNC5
HTa0OKwcOYjj0GFLzKINs54Wgaq2Mqr/1S8ErkMDgRZJowh2Ugj4DFsT4c8lTdhZhzQBvfA/ZpVB
KvhFj56uL2ztEyHUGRbRgcRH3fp8Ye5MqV7YcPlqeu/a3FO4BHe0tnN/DFwQiE/17EDcFQas4YeN
RdT2gcquDJkNwQsoiFDbIoWNydq46aNu3iHRvr5Paxfg6TKEc1MRTlC3gImhP9LUN9p9BSVjWR9Z
thDhwJgFJkC5DiuN3kJHKgPJM1TDuya8vpi1iwfvO6Tw6OOZplgFshXNhWTQci7rTed41H3NhsrL
rM9CVpFZXdCJpWVbT+6d1MXUtqnBUhWBW7COfGZt81aS8F2Wj3Frn65HyIdqbcqmasC29cn8aGIq
ccCDtaBqYBnZa692AXU7fLjJTxIrMGZw5BZlssnz9K6pR9mPkW2ukNHnJG8LQ1+eKwfl3n2eHsEz
7WWGp9qeuyX7aDcFKCu+Ou+OxEVXE6fTbRDO8mSYrTal2OzRAVF4w+5Rp9rkdeHb0KsYMS2H4LWd
By2gTNb0WAtaJ6bF0VOKNy4HbL/Cc/B2HH+iXqUP4UgxLRDM6vN1712xBQAQHi+4IgnehcIyeyei
etl0sFVSHI7PAWp1Aziphq3RH1JZbFnbVZgDsmPpsyD4Ly5+4sI5CMJdK8XrHZDlO0NFWmp2t0mX
+J0CZth++JogFz+R1iOTbGxg5fScmRZOT240XdvkWClTb4GNyuu3Itpd38wVb4UJwKR1E6BhaB2d
r66wKrBuKi1KIvVjygPFCFOwqPVgJZVUnlfXggKmjvKLinKIENr6KVPNxMY29tZOmw60fEuHl79Y
y4mJ5a47/VKKFWdRAhNFEqb8tgalgjKG87hz+/11Syu3gbZUY/93McKuzWBTGLMKH6bLNiw5TNXH
GD/26c/rVhZHFtJRAB6QTi8zvCamGoX1MIyMgAITd04OiWvP9YsfesiPmifjFlh7ymqgnQe6AhAL
96JRniWWlZd08e3b6RA/TXfJdvpU9vGewRqXoA7XwvWpNZHi2C7dilCFVH5+pFsAWI90k9w6R7KJ
t/PW3Dbb7vv1jVxJcjDditm5ZXTKvphAtbOiobON5bmY4uyz2OsGyTFa8+4/FqBOdv6pMi1xR5XD
AlEe+vHotHsmU7BZ/0j/ruJi8stRZnuIetiYHudgussLz/pqwmkTvdMPZfMXzy1NW0bIYcgwVTEN
BShG62e9rkC01URodKSTjyyYede/zNpBOrFiC/tmV1wn1YD8nRvfgJZg2k2Rvncy8OXajXFqRThI
RsQgkphgLakLcnLDK8ebPN0o6bur3xXz4/UlrbkC5pABh3Ix3w+uoXNXcLjdsKxuKp9OwInT3mrB
f1XR0J4dmQDAml9rOnJqE5ZsALPOTSkcD56mRhga4yFo5+5mIu72+mrWtg6863jWo/EJbKOwGtOh
PdMivLpprSOJGwGLLrcaKlpp6T4a9Kej/2dYrolXFkFnzVyIYy4GlDokwEO8PLVqtGa7voY0zZOZ
x+BuxgCNKXmdrF1/p8aEtL7Wa85zdcmEi7DkHDw1h3ZON5MacntzfSfXovmpKeECLJXKcSBTgwtw
vCOg/2610ovSkLGghUgyhvMUpOLXTa654qlJ4UJshqyf+g55cVGUh6xwv3WWdqsbVKY0sOYk8BEU
5wHfBEhEcBKMAnVNrOAUj53qadlbbb+5hjfYezUBAaIkwV7fx3+NiUWasmNTaWswhg7ibsiLI534
zu2ifWIAVW3P/2jWyMHcSQbJbq7FqpNVioxvFGwBgEMgipQm4MT16zLxNCfQn5T1HS4pSH8fgT9L
FLySR12a98sSIez+g6pG45HW9EvQAtvVGDKiBymh96PznUCmonRecZcCua55nTXca9VLPBpoNS2C
jrJ+/qpDLWPoAMyjPiFCUwpdyfXKxtmEeOOubRGwk+5XPTeSoLN6Kpc5cYDpfuN0z+Oa2hLaQQIB
NQPy0kbPnX7fFNv5K57e/+J8aMhFVAP1ZjAdndsZ3LpX6hnxE+Amf8Kz0LVTiOD9vG5ldTXLaCxG
ElHWE9O4Om8ZrQ1YAdfGI36Ln+XpUwTpL5aXh06uxb78ajFtBGnSv/YE75nLGfAEjjQYj1uoN5Gv
mX6UI/MJNzboBt3O6vQSkdeF9MLKZVjd1UNyYlyIctmo9Dn4nxFQAeJ2zGdGoueMzhsbO3t9W1d9
8cSSENwqXZ0x3optLbNdbm2n9IPLdN5XF7OMkqLst5C0CXGtGofeaAssJqFfjR44xSZpt5BblgSW
SzTQct7/2BGzoBjHXRtyfLGFd3cThy3Uo1/JgxmFeagcK9mw9urOnZgT3L7KEmY2GZZF2sybq9If
BwhXB3/xeU6MCF7odlD0S5rlMTY818Mub5/SeP9/MyH4mlLmsZOkWIeK8doFFaNR37IlH2dtsxZd
KDARAJaH2cnzGBGzRS+whJGyPjIbJEBHsHddX8dqiQGdNQQ8DK24IIc6t5FAbjqzR4Iky/nk0wuQ
Md5ool1q3HHEJaAPgdBy2F/0hPCu/GN1iVsnz2U8cCfXprCKLn7ZEd+S0m6snJ//P4UD+RxQAoiw
zhroAcQCxHFj1F4zHY+vRI9/8tH00hkKAdd3cSXMYqAdsC9MROLdImJwhsmara5FPFDUL0wwBNaU
7ZViChyz9fT087qxFa84MyZ4tz3G0K0bYIzlBz42yHW8YZC0B1d372RBgnvn1Tzrao/SzKyU/qy9
avlT1g4elfFtrCRUZ2sRAim0lUhb4Z+faOMrr01wDk875tYBKAdvJ66/xsBBWqnM/WRbuPz/E/ez
Zs0FHevyvdBjtYDnYKCMkPXUlt8u3IVnaxNOluPwWK0arC1Wyj1zwJPacclgo2wdwjHiiVGOeYx1
pKN+03ejN7YuFpJLrruVHPtsJcv/P9kuCthqaY8wM9tbqzs63WZsQFwIdn6zY375dd2/1/cNgG8M
RuIZJt58HVOZ6baI3tVUBnp7A+i8ZD2/W+mXn+ZfE+Kll1dKW4wKTJgbfTf4EzSJoIR6o7zekfvh
e3zUfe0F8JfbahuFWeNlP9mvTPYj1m5e7OqfHyFchWbbOEW9FHddkKQMYIg/jtA4KH0bqOAxw1iq
j86oJTO7Hqr+WBWiB3V7jEOWsJrXJniiHxn7Xo3HnoIZY5QEEcmHFCfF9THJ2nopu1oW5h2mraPI
spf18PFnMcsvOHHMUunLqnUXC3jQOgPErcIh3bIM6LoqSNUthAGv+6Zs94TAkaCLOM4MBsH/MEfB
PD+ALcXnSTDIRODWj/afpQnRYyhc1jACSy3ZThxVPRUy3LJq6FLiunYOhPhRG0Xb8WTJxjC3OQdW
8t4UH51qeD35KNJgAh3duL2+gzKnEGLJwjMLOh2sS1ffePQhLVXK9k3ImdS6BxPgiL/fufSHMg07
wor3rjI315exljednl6x69RZFe3nxbmr2AB+eOOkuxZDITpB8+/WKoJCO5gyVvS16vWZUSFkJI01
Mm4hEMPRnX0SkspTd8VNskf8MDS/vldeEEMKGfB3NRvQlqkykFCs1bCR+UQazDpDHCSM7HXUw2zl
E/ROksi86h3/WrqoZTdqQhgH14U/NZlngRSnamVU4msuf2JB2MLStjkny13WOBkYXT/NeANVnevO
sXpfntgQY6xTt2mjL77Bvtfu8xzfARkw5l1g6+8ZlxhbDUka4LD2wjzpij1CVRns2qoHnGHtUVfR
rXGCsT3y5L6S6Q6sHq0TS0JIIm7KeWYs0aJ9ImZgktCVqZise/iJDSEi6bGWlPOA1UAA2Bv6UNG7
sNBCteq8WvXLZgCnvRfrQDu+Zex72fuDTIl63QX/7KcQoKaqRm7dYZVt+WXpnwUPrjvH6p11skIh
QGGMd47YuKyweIuHJ2jztcpDxHFwA9amUBaSzTtIHERkqTHnIjIKigWB8xwtbT+a/SH+jA3q97JW
lMyUcLgg2KzNXF18EfVJZfle30D+22cHU9ZWk1kSjhg4rbvBbhdLgwKc8k2igBmw9azxc5RhG1aj
H2hdAVd2AF0TESv1PHV1tFRIiPOudBrUyX925kMrQ2Ovnq4TM+Lp0pK8jZeC4Gz/sFx8m6MVScrX
q659YkI4XJ3Tq9xeXo6D80y7X5NMGUK2BOHomGlt6XGEndIwOUiyOCB8q/9nhUaMnqLd+e/nEM7P
ZNTO0C/7pPWYTNeZ3yVbPf52/ZBKViLe7qxp0g51ArxLcQ+lWjgroP9O/jN5//lSxLJB0+up0S7V
UtV+pcZHEm/zUQJ9uOR+EWwIBwUaBXWeLSuxVc/dYdTPvP/QHtJ750G9q4P0nezbIIcaa9AeX6HK
WtRefaNsru/m6mH988lEDoXaAQDYWXI+iFr4Zv+WQBSyKY9ZglH10btua61VfeofznIITt4EoPmh
mV3DWFz9iLQpiLohmKtf0fgC6pcNSfWADyTsXDeoa7YxLfb9+g+Q7vjiWyc/gEZloeKmRAa6wSz+
JkKdc6OFwy8GNrLA2s/b8hjdNGHxRjaP8c/28Hbd/mrycbLZQhzpOtXK5+X5HA8fRvWq6POuh8Rw
roL4p7Mcr8iyRLLny5+8eEacmBTiSkn7aHCWfKervBqTFW4U9jgsSi9JdWSnUogvtlU06rgsTZv2
zghdvnfFkNzOMhNCdOma2SC4/uGq7gY8MEX+Uzpk8JsZ9Mp2iRfypNtV6c5YRnqEduRWfUo8ANYe
kI82cxDfmttC9at3bRM9pe8WNLCHnXbHfTd41bcsYLKCgGTFIoy5Lhxl4vHvj/eS8we3fTISyb2z
bgKzG0tjHc8IwT+6XB/ABgsT08w9mu6y6FWToTnWY8wfG4JvcEuLRtWBjSSfXhPWeclobLIx8qqq
/F4YMojK6ikDNoVoLgjRL2Zj68ZsNKYj/7AxUARaH8/lm75Jgro60HRPZB2N9WIRoBYGgNIYvxIH
fphVtGxkE4q+T+0bsNJwkeSIETvTYw/GXStrA6+e6BNzwq3RRHPmgiULu0m+G9PBqfe0hL7Z/nqo
uhS6Xy6nEzP6eagE5XzhDCVWpeycxykkt8lBL4P8vfpoPHUPSrRD9mD6UXjd7Ko7nlgVbggzy9Fz
K2C104+ANpLxncrUlZYwcXHEMb+nohewMEssP+HkDhgaUBYxcF76eXvgZKdmYcuZp41BG28Ne/Tm
7P0v1nRiUIj6kHJSQCmFNeXOpB0tZMd+xE20JsnUS6L9ShZpoZls4LX5e+RYCJFqxJRGV1vmQ/Wu
9wjEO7ddVbaSxGX1I50sSIgZs1Nl6TgDgMjd7HEuqJ/E9k0+Sgroq35+YkWIGhoCRBtzWLHyraMf
BuOBkTtTNvhyKeyx+PmJGWHLOisqMwxPI/Ge4wAKNjmBHAC9q8G5WL71pe8kNxijS6Kbvn2aUl83
N+5fPd4XNqmFzBadMWE/ByOlxmAtHTe0wvTxaE4fliwGr3r9iQ1hN3VAcAwTTY+lQED1gLGfdvej
m0M1+qqNUCpXvPrxTswJu9oqcUeaCEsyjG/m9KlqkDq9kVb6Vtx9oaBZZEpAvIr5svOj7Ey5WRbL
t2un0e/rnzSS+OCqp58YEHZtMCj4HGwYaLptxg5M/yeWcX6s3VaoR+kOqNPAny9yiWEsHbStMcI5
lDGLp4p2B9cEzmzmqXnoMDZ3FxMjA/lny3bXw9LaJwL8dRFHwcgHND3ON08bwRXjFiPCkvVk24+A
PY7aTSYr2aztIIjCwCliLXzGIgZs0Dqlqqm+HC8tiBKyj805UAp9e30xK54AYCWGseEOqLOJ/YwW
4VBJHJDdEUy7+4RGxMurWpaBLv4kXB1nVoTbqXdre+QWrCjm9FBVDOjHfGM7yXOL3pCF5tD1Ra3s
HXBOIAhEqwGakeKiaJfn0EO0F347GpZN+6l3I+QIiaQXtGoGAjIGuERMB/xG544AoRSVsBGcUX1a
fSt6jMmozYNLZQ2NtU8E+mwMMcLZ4HOCv9mJxUzIu4CR2SnM0Kmz9GnMs29DN0CYVedHFlV3WWq9
l0AXe/1s3UYxgyhaN9feGNXuPmtNU/JoWfueOgjv8ZsgKYdZ4fOVM7NSk7mmDJO21Bto6mXzndn5
anZg7sv1b7ly2iBIAMgQYpUKyUNh9QUGz2mbpczHRAymNngc+VGBTECdsgj5QKuAt+O6xbXHLuIi
CvWY4cCQiiZ4K3LjgqZxz1Ao8erQ9kABCSaL79/KLfNigMTLLeRhMZIDdz7O/sH8mnYyite1b26D
IwFz55hYwBafbzBPoxIRDz+hmaEXyKFWnvL0/fo619z31IbwEWOmjL1hwkbkAHEIsUl1r7X0p83a
VhJkLr4hwgtGfRbigoVDwF3c6SRzhBKU0QINhKlzRm5U8knqeteOGANPTSW8vqjLUsliywXQUV+0
CIkj2ALRWQVJl2zJ7O+i4XU0Z49QMM5nQDSBm+TV4jfcPLD+lVqSO+/iQhIsC3deX2hNQpu8ROPx
1q5v1WIPhSnA/e9s+qrOkkvo8vEEa4sKKHIfjLNcYC1Tg8ZsImXpV65xhKjq09S/uH0VxjHoXtLO
6/ThlpDs6CjOoVWj79e3eW2t4EkAksGGvJH7+yucfNGEdyYHnhyNfc19m0wKPm8do6IOcNfkW5No
N10su0PWVwyorKVZDrFAsX3uRco46TSKseIxM19GjRyUSQ3ARwGVKCs+Wir0MDL3QKCXYkZfzLBk
nnVxJrHjy+gQiC/xAroY7dUjqtp9ZxV+2R6dyuvavQPWttqZvHTYOW7ouFs32uTIEcE4am6yUvbJ
Lzrbyw/A4BzUipZBCJH6pnGTqOWYlfaHdK8y7nVm4hnKL5ponqXs8mlvRLeAHv73L/2bzxyIzWWg
TThPIHyOa+ognwdjR3rMuoYBS9dVtyCKeZ55cmen0Y8+czvJU2ktZLiY1QK5OUIgZsPOP7aqN0We
aF3pGzUUfHnh2dZ0n4yDR9RYco0vKzhLTtABQWzCAwKPP0iBCbE2qoyG2CUp/d78BEZni4wz6MoW
XFPNXq5hctlkX8xBQtKFKVzqv+sHJ0eH5xE6ji7DA6lpnn9PkWrAG5EsVJ16O7QPvUv8nkebGErU
1z/lyp6eWRY+pVICdDYosNxGD0OUQuG88ZQ83oAOILhuaS0Kw5QJDnzgpuGuwp4q02yqLkN86Gb9
YCSgAazKI1XiQK+aMGNQT6ropnSeZovezIO1bYmsD7G6WAivYURNx9yLyMpTzEmt0QKLnZWPzrxt
ldaruqc2lYF/VyIh6N4tqOO46OCAPPTcUbnDohZnsvQLlR8apw8Rqn2rVj+VotspbNznkQxu8pso
6cJjHVyohgM9XyLy5RmVbaPCCZtZsjfLXWIe1Hjb5DuDhIWzo3PA7HcT0m/uRktfgdlc5vNM+57/
54Lh4spIfAG0BYkIBpqEtevuSBVoc/gpDRg0ovQX27x1MN6W0Rs3l8FTVr/oH2sij00/TnWS1oj/
BVrk0LiuWwoZQgN0k5KQtxYQNJB8Y2NREELSfb6sKNemgfMZ8lcgDqmUBGNu/KlQqxuqZ0+j2zz+
xWFB8NE0lF7BDyzG9ZaMJDEMtfRVd/JQagBAZJNx4hnVbYEGSxVGyVNUvCVO4pPk5brxlUsNZZw/
trXztWLeWiUNg9SXCn6zOUqPKu22100sJ0D0VgMMcajwLnPf4lQdELcVdSI89HLFCZ2U+yaZkAUm
++tmLmEW8EZwOuLNDIplkEgJ3mhyJLNGB07ZtnHLbRJTw5sNFj8yJ3YDUAPlW8rL29S2YFyPg3Yy
oNoeT0gMY/MVLbZu35dMpmS54kvYXIL/IFaBaC8kLXnVGmyyjRJTFS23/NjIoqNDs7kIXC2vY89u
9OzGVKJUxqm5rFbY9UUYGxcaOhTQihUmQa0ks8ArBbKCJg615m6wajDTWL4N7G7u/IBMfCcb4l4L
+mcmhXOT8MId+nHhR0Ajq65e3YaAUYuFENF+sPXGK2lHPWQ2Ixhaoe/qulA41iSv5d+JgbBunCP8
A6yLGBjlPHdoNiFJSzkOUwPerj5XvQHzybX51evdjUHw2Mlw4Rk/3MTyKrPZGrzx0UXcJeyhcaxd
ZkJ+PSm91EpuIsfaUnBOjpWsPrHuqpCOAi8Wyjug/Dv/keDESuPJxakrIA8zpAeefUsjz9YDVG5f
U6PaG8k3tdU9zRpeoJG3SdMGg0eaJM6tHUwcR/RfwK6Ox4SwVTgAYE6ckfgkutL5iaGOO/DIgtm9
bSRPo3VL6PI4KDHhDSh4hmq3dc5VnILU0HYORH/aPg+t3JZEmrUbAsO1JqhqIa15wWQxEl1JzQbz
mQ4FXWi7S7KvpCw30MORhJolKopOBhw3BK0x/47BMGHniikxgaVYRhfrKAJxGxB+G5M0HRI3pX/t
ncl+V7mq7hi1q2Nrt+rRsRr1xiiqHnLDbiy5QdbOOtoW4I5cRN0uLpCyq1RrzvrCt+i7lT840S9t
3EMPaM4fKHu2+n+uL39lm8Fr8MeccGekXaKRZDFHo1sHbBBlODdvhqyHu5ooQ88YmQU4dJFdCJuM
AV8IESzIm7bx+uQYlV9c+aV1oY3KuLati20uC9aXhGW4Qk5NLis/yc2TlJe9nS1NXV8NmneIOD39
RPUHr2iwNlCv8B4O9B/lgft2wCSBa2VTz0wvF8mJ6YlWTesuw1dp8b0mfq7lXjPdD7qsurVyIZ3Z
WfLZEzsRi0jZcthRtHyj1IqfueA8HNs9RsQBOqOSl8Baeny6o8KlPOg0GZMBO5p33+YGTcLqeUie
iBKUEQjg3c11z1TNtZOJdyM6U5qBDrZ4385gorULHUkiZsNs7rNmHJstazXALttcc3dNp9V6GEPl
aDNhyvqNQHwOHWd30g+dzXqgFip13FiZDowUn+wp3hjzND1qU0lsX591PX9AOK+31VAY9i6JsvFH
BjJVyzenWA/pHONeiZ04u2lrcEIFWkMxbVxbfUnD0VSaQ05KBaSLiAN6oUUKOOmJ+uV2pN1p7ZBN
AWGukgQ9TQvbb8fIuTPBzWp6mCGuHvTYIC+1pubfTMIcgsEsZ8YztSUx8Y1EjTSPll2652zQ8fCa
3CxQwXiK3+Dwu96OdNPLITz0Q22SKgDfQvOs1+j2BxOvh5CnHflAvwPB0yCJVQYdi6m1MWmtHWKI
wTCvqwbwCbN2MOm2ZQrbVwhks2eouRFk7Ux2bq0NxOtyrs2g8x9dlPfGokasR7v2MGTU5X4dp85X
CTCPP3Hb/ZXFlbpnuptsUeaaAjePqHUgrlqCMX7qsW8lNtmL23RKAwxdcJ9kaDv6nBjsn7qa+K0F
7uYWZec04psk4pR7ALmZv5gbdT/UpJscP4vb5pO3avFcAoQbeWY9OUHf6KhbzxnupCe7tOM7QHBI
6scT9Je9wZiPBornYd9kQD2oSFyLwXW2fRFpo0+rbs86nh4A6C32fKq1PelG50c9VkPiaQXF3GTT
wsWUZtSLg2lOOrstzNIJIVicxEGT8+IG84/RLdEqpdlNhWrHQaYR5ZZxOK83lVr5TWumqPCihT3U
b6a5rqHcZrrlYzWm9MZqJt3w62quZ9Dt1/UC+S5bMxwzGm9SCqU5xQRJlNGMyezVNdgEPE0vNfWh
MvuiCvmg8vhW6Rr9OA5aG+pcd3/27lRvIddbmF4F12CSTGMtNQSoBPQTeC/Ci0Tq36bp4D4Mo7Ep
sfxI29L6Vhu+Z8kdWF2LdKeXvwATmvSj5ciEV9ZM412OKuWiJY8+oRBYy75z6xYKX8BUmse27+/M
+CsDVMfMqq0Gc9PQb0ptuKkZFCjyErKapSQqrcRAIEJUtFvtZQ7EFGJgoZAZrPNgMecK6Bz8rXnk
g4FjSXyayMYpVsK7DnVQ9OVNcB1dSDupSm62aocBR3A2WNZdxSw/aXdT9BLpMkHStWWhPEcw2Aow
CKLt+U1STQPiZh1XaMIYKMjWRnlQychzD60hE/ILJOHBHKtZ4c3cGv4zewSKkeCwRlvIRZXwoi6J
+nPfpDOEt3OgsZM8CV2lue0UsndamYLIytV8Zkq4MnOl13TIvRZgUKl3Tm0GCr5lN2Z+/J81A5ZF
oX2BvoWKK0h8vOjj5DbOBHGltC/CCG22QFPKZ2UcwtRmoZMr4TiWktx8pQJwZnNZ/UlCYMepRfsU
NnMM3BSNjmfI8/VbeXEEIVs+zRfF4ceochOjndoCMI3Ig3oFBGAaL3IkQzAr7nhqRXzwomXH+3ng
hT9zFxe48pZk7l1SWFAmQq85NrZ9/J/xJ0s3gjhgoYcLohEsnIBOn9pkHnACDEyXt4QjqYn2eSIb
aVvxP6gMQ2TPQH0DwAPRDPoqTkUrpIaQkmjMHVAvyN5ebFnda+3tDMGgRWrLWPJgMVBN1ljpVZyA
YwDn9Vs9ZjY6C9NcmH7X5wrmHa0Yv4Km2TR71mBEljch4fmIeg5aoTyOs2MRq/YNbXt3R2OLhi4y
oxutGfRQNfIeFdgWAtdB1g3lw5hbGB/Wmp5mkstm1aFPnif6uUMnJmrc+uIIjY162pCizJNRXZKu
r8TZM29bfsTJqYGK3KQOLowY6D9r407lX43xaCaflhlePz0rXx/EtSDHI0tVCyIp55Z4yjtbLfHa
AuUfrs8u0JOdBdx79Hbdzur5ObEjrCjFzClaJFiRvpwXnn06kJUd1HST5e53MzIOVZY9XDe59sSD
X6NCBcHuJeAJNt0+KUzCQWhQWShS09mjeRHm8wc4dD2VfgzM1/KAGWpw3e5KQDozKxyorC2Y1qQw
y80hrNiLPk3bXDYTtfx2MepBZQawQrJIPIrPVwCE26knqBH0aI/GOr3PYi7ZP5kJIXSrZYM0IIYJ
xqAUP0X0UesSyfWwslcIbIssmrPoGosgl6Ymdp8vNBAOqZ6KVvkRR/kGkJO/KGGcmhFqCjzJG6tz
YAbkGVV+D1YqJEe3C7+cG+r9O2hur7vA2vkFzRs4rtGBcwF2Pj9VrEbTipkohnYTDcqyu09nO+xG
46B1UWCzafMX5hz8TWDioEAmhvB0tmqLq3h1R2jyqXMemrUVaFWDNj29rWRI3bWjjKHjf60JflH3
0BNPJ1hrlPt5aD1N+2qz286EhDqmYWTXxlr1CVzXEHfDCQbFtlDcM7JEmyko+fzG+sewQ9fejsOv
PH1xhyio+dcI2tD/vpkmGnsLWRHQfyJu3NBHtGvjrAb98BiaZVR5c26M3iJCOVF7AlcX/3nd4toh
sFBJV6HWujxiRG+hY+mWNoiDyhIyW6N1H8fmVsOb9i9WhjfdIgmMSp4l6gI702QnOGuFDz70fr5p
o8Zzx5A2eNGpf2Xq3/6AmJTpEQroc46k1m6+lYR4ZfI6WdSrwKf8F23CsxtM2D27GMx0nnGzsA5F
rSig9KmdYh+Ygsz8pL2MuGbxbjHwAiqHw20BJXKBCp6gTp1r9pJEx4qX93fVAJLS5NHMZPXztRiC
ZxbwYAsFryv27eaonzTCYKjN3012q+SbBqxchRvWKAVcd8C1E31qSjsPVwXKKfa4qK5OypFArlBj
PMzzQ4xnbZYdTVlTe+1iOTUn5Bx6olPiQtYA+Ua9yWh0Ew+ysdpLUr7lrXOye8tvOMmgWOKyxIBI
JTDIH4X1NGGyFoQdznTo0kMzb7IBPCHAou66dAfUqG8lr4P7ZHUPk5V5rfJyfX/XqgRnv0bwUWiM
liUx8GsgZcqbG7QSPdvlXo8plMq6cXEQNbKB5jQtQk4ll8Pv9seFx9o6IMVQECTAS5xvhWLVWey0
kGaJHO17pqNIUA93CkezTIVghlt6c9EEY/NRuHmCEyoDNK/bx0PeRD8K4CpX+Nw9GrJDosyFz1Vr
r+u91yiYxuGvxOo9g+k7xaBez6IfhtV8M4gkiVlrhmH0AgBkgAjAgis2h0qd9xYmPJDgDu9DYQWR
1gSTg8Y3Kp9ei1o4SnThwh7jTGMYm0C+gj8pAmdPw0pZZ24tdpz+FuGcmZGpg9MAOwHZefBhhsT9
Bxc0qeOdxN+WTyp+8lNDwpZ3ELirkgGGahu18exNd7YamC/a8sXqQRtebGs8l1LUfOXseEvn99L0
/yPtypYb15HlFzGCJLi+khS1WJIt7+4XRLv7mAS4b+Dy9TfpG3daonjF6DMPMxMxZ8YlgIVCoSor
EyCykVsUffkxrJ0dPIAaIlHY2O+AZA7JAVj5TeRToqx4p68ifh/2R4gR3V7vXKjEef+PzTG+ndkc
NBwt6DvhuSTpmeIiIYshf2fJkWfwpAV2hXUfws7bx9tmrz4nXswQn0Hyis6jBfjBpVmDyVWvBlHk
przyCmJsA1b6pkofRbB0dV9HkNHWWI8aew+4vCfbGjdV16QMtqwKWpyCDI7VoECrx16PY6SDaHT8
78uKHCMIn+G3eoO1wL57fZAnv2GyzUXT1mnc4jdIgOU9l6bU3mHKTvL4AMhMKueK10rBsA46hNmc
qeV9gu5IbVlLVGv/z2aMEjKokIzt+MuNV8I4Ads7fohscJfWnmg23Pwl1X6k++CWySBNDnk5VNhB
b7RwtK7urnEPCChd8KwEcHz6zQvCGTRnssgFtuNIpGIVxUutyVm3AioR83YQp0TD+XJ14PmzEwAq
sM3shxWtI/LbHgXm3dvOO/6Vi3M6LgRbCI0EQIOwpksrXOqIlOVl5NJY3zVGtgkbaBcvsaleh1+Y
AQoA7TIT188V6bUZ50yxeBCBewD3L1pOr6kpoTxe4/lPm1h9oYT4vMaMLrXazy7P3qvKPBUatV0l
IS+01paqoNdlgfEn2TgCI2Yc+fbkKKHWhHkAsH67UZWsKDR6mDls0JJxpbb2IElw0ppkpQNZEsTv
t/f8Glr3bXpUYoTrwv7000ZJK8DKC9P5A5iJ1qzUPuM+gi7G4wDhEyUI/7FAxcXtFwGVOpF/1Cif
rsARsq30aNPqKJjZH7d/03hop36A74L4BQQVWj6TINYDPFEA1hS5rMPsqDglBNUKnTiUdscMMtIU
L6HbFuf8+9zi5BbMhR33/QCLOccQCaEgUpDjD4YJD13KvNu25rz83NbEyxWpHjq1ha0InOQ2Emcz
f82Xks2r6wdf9dzIJNcsMSpWKTaM9AjBHNSLoKWQ7B1FU1asbq/n6jU8MTVxoCyumzAL88itatWt
0hXaoCZKpCAOUc3I6YPGyZckoeZNIncD1ymiERn/+dnlytscaAwDq5NpAUvcLSN129uy0xj2kYIv
X0/uI2lYGID/lpW48kvA8AGyxQTQVQkFOGYDGALEJ23N3sCr6qCVt88OxIndO2nVu3Rr7ztPc2sv
OeTe4NDn98LVtt2OPdP34rf2L+I+QCKj3LKqjU3Gy12QklLvQwVBmaAWACjekQVLYMnvqtDVkkeN
SBUKlbhjJoEpS5NB1+MKIfmkPSp+tgtWwvY6V/X1deBHXt46mAq67VBzvjt+VMzHo5IIQqzLdWX5
2I6vMOWQGmafPyQ9WD7RMLaJ7rEY2Fce1PpjVWXmkmj93MnE8JMOq8DCAuV0abjME6QTsgA+sr+P
iF+nGPX6NzcpQOK4R6GDiQbpxHXROm9TFOxBN9j8lIZjEL4w+8Ww/NtbOLsS9ELxyYBawr9drmQw
uz7GdYoDgpHDphGvvMTbqh0Wjv5s1gPdUrTiodoIVqWJndqmNJA7lOlj+6CHKyO6a1O/L9dl8yDr
q0xZEcNRjb0iFl6vs+s7szuJ12GnNGEbDmMMTX0bqAVSPGbJEuPN3D10vrqJI/KADUHSYhdDU0Ox
j5j/jEY3aO6lrpqnps/yRvGKNP3bxh4iKs4zBnpR0cGdPPERvU0LUtVY3cAwkpdYd8I0vH6Q7ikE
o1JF8g3j67a/zKWQZxa18QV1FlBpnTBBUhmhJAtcix/thji3LcymOOcmJq5Ce5RFjQAmLIu6eYOT
tQqDh6B9yw03VTcqBuqh8Hbb6Nw9gQLmyJuPWsfVPQHhZx1iHDrcRGQrS/9ogdzvotYjoj6ystvV
WrKX2377X1mdbiagNF0kBKxa3f2Q3/PmQQ1fS+mh0jZl4RbagrfMnYWzRU6LwxgGaSKJwFzLn7IY
kH3NWSzYzJ2EcxuT85Z1ZWYEKmxoUeVImoPxXAdDLhhM2PX1alD+Rfg6Nzc5eH1iRX0hw5wZ/ozB
QpZ2q7JZ+Erf18jkasOINu5xHDRgSKdtRhIFdVEhkXCbPo6Zr6gi+ADyw/jFQJvi2xkQVF1mRUdw
JpcDqCwD6T5JZSOEfGzQ7jHPHd/VutX2C7ffzOfEdQ4VLbTRUBqbDv1Zqc3yGk94kNNuabCrwDNi
CbpwMOZOo4HHFlozqEgiw56EmDIeyoyMnei2LfS9ZBXqQ5Dod1EBSHQkN7teqK2HHO7QCd6D7Scb
/sUydSi+IH9TEOSm4IXSBC4/ifFeptaTpT1k1kZZatNcF1wB3Dq3MQk5RORDaoewUcNVo2hYaeCM
H8RTnsc7KrpntTYdyCs5TCnciNhulIAJJYXWIu8AU4u9jkARRf5hggPxdoSYeW5c/LDJcbLMqKBV
xqNxVMEmrxhrH5RdsDSEPBPU4dvoF4EqZJwUGT3tLKgb6GKiUIFHpVp+ReVzWL78i1WMKYaM0WN4
7CRdqnS5on2FdDhBA6Bw6jJ2+gIaF9LCbs2dCAjlIcuFwCBQAeRyHa3KcUojPDAI3anSP4VYW/FC
HWnJxOS5JOt9wdsOJhrrCT16pyk9uV+YulyyMf7zs8+RRaWARAQeLVb2VUSrKLvv8sfbX2TuiwN4
B3wY2kAYCZg4vJGhqGKY+OIDPHdEVSEDu21hNnCg9wMUEBxKv8qRg6GgtR5gp4BzsetNBylrzDmZ
H1oI/QcdjVCU2RaQJ3MFG9QY/9gcb6eznStDTBgKO4UDPNmK06+BDna0j2xtHweMIr9We9vT/hYE
gNCB1oBpG6AiwW5OPlZskASwyPH9LO2hDSPhFb1IyDyTnVzYGKPE+bIUmcp1PS6r8BQZdUFvSA4U
ui0gYIBo4tKbYDYcYpobs2IYw8X8y+QccRqaStXhvdi4wpNfOkwLgTESKvWO7LO9dS97vSPd1X68
XoIuzrk+5gqBCcHxxZN9GinQ/DQaAMxdpuy0cJd3P6wldrrZ6/zcxsRJsjTC0HSAl6q8Nh22wQzY
B903vr0OHeMx8JSFJs78kgxcoSgkmleToEmhsTAcsCRLwTX9q00Ofb1g4n9BwtMUZSxwjCgDvL+n
QIOad2UfMYljkJAVLxiM1T91ORKvGuSwN01O1R+QCra3lHHpaKa83iWFkq2Soc03NJPDbcDL+kPr
qPyz4BndYJJ88LkEAI2DFzZZZyKgPkTImp1sDALDg2Y6fEQ9ZBSNoEPjTXQaOjRSYZVe0kMPtWYx
fKQyQChXNeqh6k3pvixoVzuy1Q/rQimCnypX4oMBcv0Tzatur3FWP8QSmM1AlQVYpBMlduezpgq8
QFY/rSFq+CrVKkD5VeQ9z03DGK5pwY4ZsI2J16XBOJKKCfUSlOxmZTlD1levtRFpa2xc+4g7Ptgq
eqGsbIrHmdM0lrYJ826c7RiKcs8IGX8Z5VsBuLSnFk2aOr0Wci+1s9YvDB10ooC7J/gfJZ0PLKoM
yt6EBa48hFAuiQdr1xrVqNCSqyZfIZ9KcvQIZW2v5jLdBBBy5YD5yVXlNNhEv01AiKCXg/TRKUYi
bUQTM7cxdWH73BBsnQy28Z7UYbLDLJ/0zJF0/BioRe+rvNVWkhKSBnx9GgGquDZ7zSNxoAnIA0fK
G4HiidcFnXEXJ43ys4lL9R8tY/JDa8YctD8KwyOfYnwO7bQsfgNEqi3cwM7i3ynVux0nUvLKFSG2
4DYd3LLtkwP+780htMBUUscmOVAwTPyDGzgEM6fKDyrTIeKSDQyMoJRmbxh4ME5tGtgcTIklwdyu
ZsWtT5MgiNdNHqrbTK3qU8RJ4QOuA81sTki/k9q0/WGKUF7BGlCxOqPpukW3rsQjQsf4VhxUx5gW
PMeAzJh32l3wFERJ+pilAyYzOLCgmNYpio9AM0IbHOJl+1MTXCqdWMHg/U4NMWzDI1Py+RDnO9rI
5DltckK3WhuxTROpw0lpSeonUa+7EpXMk24WdFsrSGLWQqMkWBVNQRXHSNEwczUAPgVkxqvuFOdQ
QHS62Kb7VpeSjUGlZkNZDmC72RXZZ8qb8JlgX0AgGZbSU6DoFXQDACF7zrjWPalBrfywcxvDFjEa
kehw8vQ5JaL4qccoBWOAAigwJ4zC4i1rY/tE7QBw7jQnZN1IWnJntVAJGEDS58dZhdnIoldLJ5DK
7KsTbbeChJn6rBosAR2dZWeSg8nmLl8BaxA+kQjTzQnTw9YJUFB4VntV8jPaYBJEzmSov4a0a19J
GbRbGielDaCUYdzBzekxIDUOcCZjcpUMYJgOk1zctW0kf/TZ2K2PIEfnIF2jideLzDwmJSqRjgIv
2xaUSQgdRhn1a5YP5U4rMQ3b86EBvaYWFtvCMiI/hebMiupDWKJsrHd7Cdnwb6jstS85UAgQ2olt
0D+he3Ofoq6UBn0RenmZlT8DiHcfEQ3RMi6THtw9UKAfNCLhTZ92oVOZOUeO3/fBHRMMz227N+i6
0Hjy1CFcgzm4UoUDQ8EWIsKFbxErOmh5xh8l2ocbIyQ6jkOU4yAZYb0KSAql137AwMRgRB+JXUEy
QQzNCqh1c9MCKdg5RqALryx7E90aRa0KQEkJhqh607oXGgaNGE+1VSYiyIvnhlHarpVo4OixiVLZ
TpuxovbUsIpDFJJKRUXf1AQIWWgEuAuT1cQ1AzNaGUoUP1ucoLadVp2EIQ5NL3t3qDTA0GzIsH2F
RmoHTpcV9WuRgbu3J2X+YWq03ogwjvxei6sPEkj1pgDNDXByDZDVZpl70AtuX8JUGt5oEuu/skwN
fBN0QiedyOY+qO3qzrSsYavAEV+aRAr/Gr00vtLO0vurNMhqEPqQUeZwzEJ/s7IfNHHbcqm6O5cc
n9uZJCEMeluBocNO2ux08sLF39dhLtYxSUCkAlcB1ZAyFsmqCGO30l8V6/V2+j2XdZyvYfJs55FK
RJxjDXW1481baT9F9HTbxMI2fT8AzrJSm6bg/ihhQtXew7jAU2h328DsGkBYZaK8gS8/bSn0chP1
coI0NFF2gDNKmEKS6dKTYcxlp5kTMIX/MTL5GILErSnXMGKckp/FMTgOG8k1vMZvhdO4+U95c3tR
s2+Uc4OTLxPFuhWo46pA1IZI+jBsHsSd5kQPZP1ie/J+KaUevfVqgTiCMsgg0SSd9splS1Ixb4n8
s8cIXdk+WNKp0Q+BdQ/Kg9tLW7I0eRsXiIFhGo6W5LUWboLScjTjNETrbJFE5wqoM4YCfeQH0JBk
oAVz+SLicaIbIoEpeuL3prLSgZjYYVBfXZHfdOGtPOuGf2xN/VxVclqkHLaE4lnacdB80f6bo2SC
vgvTueMg3mQ5ZWeosULRWgd7FIYZnTpZWIM6V0g6fyBMCklEi7uyjfBAwBTjnvjle729b1eB5Rpr
/mB4phvGTvte7wzHXudfmEdy7RdNcTYtal6r224yB8UBR/Kfx8rkeRkyqY+IBZYlQR4H5svAAinm
h2q/yWLTwisxThP1vib823bn4hWxcdSByB7nDiZmyyYNMV+LSqZUrQtM7cZluXAAxs80PWrnFiYH
IGhyNbAJLNhN/yNXfsdD6tgydQyCXiT7ZceYkIZq3+1lzRZaMIcArl9gVXSABS/PQsUrUin8+9Oq
bgw8FSoQGwscaG5wzz7/S2OTcFlUJm86CcYiC2VPcCwJv0FctnSfhZuOvVHtNy++FoyOzjnd1/MV
To5HVnK0ZRIYDZlDNuXvZIeCv6v9kj2+6tbpy4K5cQ3X5vDqGDku0YGdbKgGDsaASiPs51TuiRdv
P5kbHGrHTBzmqg/Ur7ZoD1nH4H6pjzjnQADl/cfyZHftcggDOrpoGfv5Nv4K9vKv8pWvzYUK4/U4
G+LnuaHJjqZ2xGgZwpCmO/ZT9uoPa+aMFJ4aSDyTg/4YfuLddwQzsXEsX5YkduagRKDuxXAgaEIA
R5jqVFemVKpajg96yB5raJNouWOtC5RtXdsNXP4je+jv2q1he8nbv/m2Z5YncVC3w8wOR1eq3y3d
uUd+rKwNj5hO9ssKnd4vHeZVd+yTY6jdXaIuneuCX6x7EoKYRCRckbBevLZ4nG3uFdOJX1sv30lr
5v+1VNj4kUGjgwkD9NxRTrsMDKwKQUtP8ZEzemSgbzD8OgeN3oEuobTnbshzQ5O4J/qyt0WABplU
PjflOwm2jbwQWueC97mJ8SecJZu8gLsCeo+CtbntEkBKFPIvsk0AINDpI8S2MBJ/aSEDk6emjiBV
u72DeqVpr2x9oVY8dwmftZmmgyUg0a9kRaCbIw3WvrXiXc1ARJExl3DVu+3os6b+ZBRTRrg4rTPD
CseWjnhJWx9cghldG2QhmZ378GAyBA4TGEn8a/JVTJmlRdWMhWlz3QbgTIF60lJzbm4l0EO3wOSK
wHgFXsrywQqDFsiRMEydBFAizEPG2Urhq9s7Nns4zw1NvFiWeKkl9WgIc0Z7lB+jXYry18qsq+rB
LE2KAYimQMHC+NHJSuUZg+7HBiNuo7GlS30ulUYz7jvJBSDrO36fuXtckyEbVDwSzMiXwa2hhI+B
fFdXsdspC2C1uZN1bmoSEdNcLXAjwRQFypCRUxsuIZnmLYB0CrjmkaB1cp+SOE5MPhb162qdZ0ci
FrLnWQ9Bf/r//v701kwxyFh2+PtF+htc0F6Qoq5mmysCMpfbPnLNgoSQiuxRGYdRgFG5ok8PAPIR
JUxZUCMLdR0pj+TrQeLkqG7Wgwk0t+moAVsFUbavpf7YW+0W8kyooQqHkwRFMtlhrb1plGNDbZRI
F/ZiLoM4/4ETJ65F1gxQCUfrRnqzjAeQxiThKszcot4V+YYs4Stnt/5sPyYBANVp3KgMvZQIcI+K
1Y6R966abQKUEm9v/VyoOV/Y+EvOTkRqgxA7hkyoy0sP5fZaOsryQgSY9VOQ7JnI+dDMm/ppK6VQ
eMEIiMvVfRgp6LkvYpvm9+uPiYmr9kYGfXqO/WpcQJPBEt8cUz9YmavCM+6breSlX+y5ebIWLp7Z
ogNonf6ztMnlBunaUMrH75Qyhx3rh5G7b8ed3/Je9SQP+lPuEsnsbAT7Y3GqesXS2M4AzgTgj4Gy
q3quTD+N3+NqLyVi4VTO9ivPVjcFMdKW1uBQgm/E22FP7oiHau7RdvMV21a/5F+qY+77jY4c83FY
6LwtuIw9CZ6gISrbQoXLhCzfZJztDS3+F3fs+eImWVxF1L7jFBtpG806Iy3q3KkTm/GC8y99r0ng
KERUagrFHvadBGyLY6bCKSJPE08tjxc+2PxZ/o83Tmd5+1xWe2Fg19Ra84zsJcHcomEt7NscIhmx
+o+VScTgVatVMroLbvRq77VT59k+3ZJD+1HfgYt8Jx57Z8kd5qPvH5OTm47KCjPtCt8K2qsyJnjK
6tC3h8JA4Q3ilcraJv7tqDhvEPh9JEbfgh6XUVFpDNbpcYO0+L09Apu0jx6GHXHZ220z87kRSEM1
EK2ArXaKEMp5H7WaBjsm27NkR7v72OLojrwZ7aYBKEAD2ZkLoJwDfNG/Cfwjeh9tPmJdkUWk3RCh
FQbTYbVLm9CV0VMM+XphgbPuf2Zl4iyCm5EOmhzMJqyAsXrSIeLIdvkbSMECwy3v+m3xBL5oyG4/
Lj0KZw/DmeWJzwgt7SVjvHVApMbNdZmAlGAJIDAbps5sTK6dImWDPuiw0SUBwPII/n9N6TEmRmcW
JhcMxIZyJkmwgM/oUJBsiaWZr2/m12lZBrS9AD8QE5Xs7/N+lgEk1FaHdOSWAvfKmj3Gnu4X7rAx
Xn3QUbviYLwzP8SlZvnQNu2darPwBL2Wr/te458fMPGRTmcWwK34AZ13oJ79i92V23+ivbHlR+JI
npE6u2whKs+e77M1T5wjA/rbyBIMAaQWf+bIgZwkaav9EIJW0SQ9sHRx/4im+E8MI2wXjsS4nFv7
PXEaorKuhtI4OiOHECPfgWffc99Ys1P6ph/M0JVATegoK+abC9fDbLQxISNBAKz65rK4jGpF1Fbc
Gr8000eOauIW9nNbFWiQ5ntRmW7ayaey+xzq19zi4FCOF0LO3MpN0JyPAmAqEKeTKxckSa1aKlh5
wkGg6MtmL280Iem/7TgH4amVKS8Le30dBL4JzpFzYtJw1Nm7XHGuUW5rGVSgwAEO3h0/3WR7wt38
DrgRFSV5JC/pWnkK3m7bvV7opdlJ+hJzKLiFOcwq1W4QrkR+99khBmvIbTMz9T7UpSE4gJFXLA5k
x5fLM9H+rotQi11blCm4/cJQHIohar9YI1UbWWssiAdFefdppRoyYsilQ6VJRKB3V7RhJ/dafYqj
DIQDtTQkLyXToocilprP3JaWrvDrUDlyMGpoqiPGyAB8X/7UNBEAeEagV2qs1mNS5JXdQhwZ/8Ll
uRoJOAC3Rd/qexr30kIboo8uygAETr1bKis1XQmAnirkW6VCFmzNfOCxygpmnZGF46p4ImQtjwWF
QBaa8SL9UXb3dbbii2RVs0s6MzNu6lloFsCGd7yn4C5d209BDCbH7BHyjff0gbn1Vxo40CBWfY4g
WSz0b68VqTDXhhEp7CTuBbAHTVxLI1FNowgrVJ70J20HYNSKf2qnT/0o0BN0o62VOs2mTxyXbYnb
bzgKVQvuPeMyFz9hcooi3Waq1Y+bnH4Y1oEv8nSOa7jymLM1TuIRl5nQmQ0D+i8wt9fU+V9AJsRt
5HDVfC6pNc28py73dPI5QxaD9hAiSm64bQ4ZQEYe3Q/gg3eGHcjHTtK6f2sc7r6S5/pjIVIs7eUY
KM88SZJiEmsqllq+8226ZWCkfdPAdusooyO59WPkL7wTliyOR+jMYtiLQcQMi7W61JGlVdD9NWXM
xEUnIYVDM7VOxjWlarQ1BN9k+cIa5o/5n0MwuaqLHPiLoccaijTwbQJe8O7NgNDV0rjNrB2wu6PN
qGJOYDpyogslD0UCO4lyGgD5CqyfNTnaPFwIWzPXIQgE/tiZOKBhR1VvKyiPBNJDLw4VlL+bJU+b
PVRnNiaeFhlUrToBG0PwyKHaDphZanInaDFOf1DLE0uh6/yzX9LKWtrCibsZqHNDVXIMFho49io3
H2K3oAey9KmWtnDqdGHW13aD5WFsRs/vywAAvci7fVqXbEzcrgdrdKICoIpK2eNgbbIWpfBwIbjO
lK4QjGxw7IHWDP85Bdg3lsoCrcKGFXaAHfNstqG9U8ag55Jf+h7A0NcyfqpGUmglc5r4eVEkfqbD
Pv4EPHuhS2VgnmESf7OqSCqRwe2bAopQJ5H4qRL4XeHSxHZkG8pb3T5eokaeqV9gbAJzZODRQGsf
U/qXganWQ9BZM6AbQXDk0W3+CbZqMO7bbuwE97qbH+RHlGqWStwz8PhLs5OPyiXCsQuQ7jTWpi82
nR84TnnXuc178VTcLXWi547D+SLHB9BZ9DWNaOhLBXqkLNnk2oGW4IjxyiXmgfE3Ty/QMyvGCCc6
s1LaiRXWoxW9fE/B8D4cLAGQSYU4CUzy++1TMZuSnFubpCSKVHRDocJa5QTrzgN3gwuQ0hEpEHeS
NbJr9T3wci98fCK70o2515bQSV06N0trnmQlWdfkNQ3hPsP9D6DpD8OmcsMne/UP+Dh86pTrHJC9
u7tuIa7OxQScVhAaAeADYvOJ1w65EmWWjFQwLoF1BYuj6ZrS4+0d/n989I+RiY+2g2JF6DnHbu0L
T980x8SVfiZ7AMIdsUZFainDm4EsjYfij8GJmzYlhIIrBQbVtRL7dN09B6fsvRtcxXBkZ6lhNruH
IE1Gq2ykO5zy9LR9ptnFmO+xFMnzHjRvbbnQ9Zs3gRcBxvG+oViXJyJrS96yDiFNAyoQGNQOtbtK
LFzjc6kVKGr+z4g1OXadFZpgN4SROn+mqYTu4lKXYWEZ07mXFm+4nie4gSQI/DJlbzQ7uvQ1Ro+9
Ch4gsUaBC38OozOXWwWNKtxLLWR2a2Uvd14jPoTpk2jbt68Lbj27GswIgSQLqEZUHi4tNYSbQU9x
dhq3+1UjRCSO6SPkO+oT2w5ufurcauH9NHu9QqnnPzYnR8lK1VoYAXyt87UvsDKsLG9YZ/v4WGwB
IPP17dInG4/K9Xb+MTg5SrFel4YpYFBeB4/JC9tH224FDfmFGDEb/v6s67uTexby9ZyFRguyPlf4
pg92qMrXsRyxEO2WrExCPU/DXiHFuHu/Bi840b2a4ZFLtrcdY2HLvi+cs7UAL0zruIUVvqfrzA3f
Kk+MdbcFVNhsnnPmC9M8p1G0OuAd7GgnBVd/fVeuqNO/Y8zvdHtBC44+lZEeVBPM1eCScg15M1Av
KLdUfbltYi5kI2nC0B1IVExA+SZ+1mS1gNA3eDGU+COXdjQovQzjUcYjNX3o0Ubqlyn7mbkwHzyT
z8AqAVx4PL/2lN1NDxtqjIAHl9rCVdEQZxRzFMALLp3bmefLmBMCyDpKHIMN7DJWKHETVxjZTtzK
aFbQN4dqwFsmv0OPxjGpsgITAGZcpGZdYTYuGKLP27s7E9kvrE+SCxFFsmQxWM8AfUmto7JU15nd
RwNVHcRCG7nEZHmxKaoaCCksD+l1JH113aMUHsIl5eQZR4SBP2Ym66hDUrPShhkS7AO+F+FGp/6/
2KozE5PHw6CCMwEjaonbqYPXVjLIM59vW1haxPixzsKDVAYl8NZYhJmCrNj+CkWN4aCFoZW5nMsA
cY8BDlYMUerT9stQWRFkx2CFBxAWxaAfBWQ8JU6aHlHShb1O94ZqlWcvXfNCZef2GmdC4IX10V/O
1gjeEkzxyXC4RPB1ZZtPsijuejMFfbyxKqvY40B0p9YSM8LM3X9hdnIjs5gHqKti0QN5rOg+1g+d
8kHKH+TvWS5QEjY1YOg08BdAdvByfdCOKoxKBkcywziuEzXFMUGbLpbDhfh0vY9QpLUxtjZC9vQr
ERy9boo6BU+wm6SVozWHvHtqi95tyVau18J8SNu/hlUCtTfaQosap2AKq+wgs4M5JBPYjBhTby9R
+ChVH7d949r/L0xMoSZ6g4E2msFErjfrUnsnjQEJU++2kZlEabQChnMVLMAg4x1/xZkHUsWuUfyy
0GpXnOTLgrLAF4hw7yBFWZeO+UM6GE+RtyRsfh1nL41O3L6XcrNtOxgtzHZlgKm1XcrRZ16rMDFK
m6CCDtGWaeupqOsgZAWFiVX6LHzomPl8nYKgLt5ivhQKXxuSvprr3D21jr3na3uvb29v7XWsv/wF
kyCcaJKRytCLc03hgPBfV1eCCLxGXv/aDHq3CtDmFnJ5hLLLD4jjlQgbagoQlnvR7TvS+ab83Cwx
tnwT4lzmtxbw1hAGh8oU1IO+i+tnfiJXql0kcYJag5M8Rq+KcIIVV1wwKDhsx9bUix0CjPtBrAI/
eQKY4fYqv+PwLfuTSFLEg1rZSEHcZjf4ihf72ody7H3ViV+sw29z/fP3gsHxArthcJppN/JQJtyC
QfoDVPytDLyNuIMKy0o/NJ2vfIGZdWmN12EZjVIb7CUyxl3GAYLLT8nlXir1Dh5TetITfyiO4omb
nrE3cjBVDGv7h+JGXkFdoi++K2acFaVIDUqtYE1BD28SBnSpx4QtDeBFMY0dkJw8xnJzbAep2oKm
Q9rc3ty5hZ5bm5z/yIQ8AIYGRtwesNVa/rNL42c1+LAGddPXX7eNzcRRII0hlYoLYiTVne4qpudp
AbYq1wa3Wyf/7HoIpeVPt43MRDRwOSHSGLIB5Z6pPmyndHWGwW28mEA2pTvI0c0TUkBrwSvnzBgE
2YoJ8nh0WqefiVlQu5RaFE/RwgU8KQeX3O2FzNykAF9A341AQO/6fdGHdqIUArqPJvWj4T0sW4ez
bY5XhuJj0A/t1kVt3W/gweSoIVKjbwxcG5g8p330cJASOwzS2CW5VQ2OrNHehWopfeiICf8wQ/QW
nFDPNehMgyvdbgHDjVVuBC4GQFMwdKANVblaK6EHyoaq3batpL0mtEIWz2SRb3hOogEqFFG0EXio
N2AMTTXoPSIp2Vdl2+zR3i+PhQKy1rvcZNqDMRiI2EM/+CrkYu4MNZF/QBHUuuuYBeFUODBzFSVB
TqMNGtizDPRqoV4Z2MZXImcdJvKt/hMDgfopq2jyFEpV9JZHVnOn2VHnY8SdnXIrMO7yNFVDL+ls
sdNiw3gXRVis1WgkE0h0lg5eJQrpkDFLeIMcVwFo2GTxE/kqr3w1ULJtYwzIeMrWTB7atKyHOxCr
tfTBlmRyzzvbEm4Lgrza6TAluDX1sH/NmzL0TSYwLJ8pteoBFgDVa0YGhrdWlvde0PS8dQY1lO5j
NZXfo2Kgp6yuGPigTb3YJkLinpaUirGreNqA4TYJ07s0j7IdPiOYJIgd9f+ohZolztBGyTNr1BwN
BdBr+2lVsa+qLmLVl8wyRVnchPAUGhBB8x6ApvdTNYf8S4QW/1SCkqzKoAG3a5bGZK+FFdqMUAOV
FsLuXHww8dzEmxrM5ei3X0ZdZjP4TySjopxWoOx9tQFVC3Xv9rGaNQJUClJF2IL6waURzYxZ3lqA
pEjWSVQ+tKd0smBiJoSjsPrHxCTfsJMUm8OhtFp1PyLd8HiTeyW0fyQQVvx3i5lEVDmDcjCkIGGp
3yjlrkKy/ddKKyNDLEa7sV2AZWK49XK/GIRWBHJv3EcRWEv0zE/WxlM4QFqeKuvbq7kudqEnO5Jk
YjoKLaBpIZTBTCgVGYrgyeBqHfoYUr0euLxmEKeiIvmHS0uF9+9K0DTiQQ0e2BW8i+B1kzgukqII
gxrXhfSEjk26f89cc3BAR/P8HBzFHXONJ/0YAT7fPCSf4cpC9qoChbrwHeduE3QAMZkt26Oy0uRX
6DQwtRQSPYC4+gamAhow+dze2xlwITb3zMTkpictBYdkDRM29fXGUQ+9+4nGKqZJHuzUI6diy/aQ
PNou1UmXljY51Hkam1k9yhePkheYsHCg3Xt7aUsWRrc6S4jrXmm0/vuiRHit2LFTT7cNzJQmLGRi
SMdGfmHcxZOUt8azLUvr/yHtynojx5nkLxJA3dSrjrrLt922XwTb7dZNiboo6ddvyLvfdpVKW8LM
YoAZoBuYrKTIZDIzMqJHyp0rEviDTPONYWasdDgFaY5tDdWoy2ZB2ELLjHaAnJ4fKW4NqdvfmPGI
sX+jag/NkZYvRJo510+zkMn5TwPw5gQashDRPEt4CRjhQhtnLpSdGhh/wMna0rJOcoV3aI4L5SVR
oI1iVY7eFzumLFiayUTP4swkaHY5ASUS9EIdv4g2ItiyFM2B2q3JMQz/edJ7Zmqyah1kn9vERwc6
73y3NiIX5FZp/oK5bJdJS6QVc0HNpLqKmgvG3DChdr6CPMjbprIQP8VIVgYNoRA5z8YqVRsURSJe
uhHmPtipuckHq+RE65kEc30GGFfr9uSP39pt+rJwJObcomgjATiAuos+lVxpLb0MRdHiFQg8u7mx
Hr8BDvpC6CwBIsAU/ZpsxN7aFK/Ccpc6PHNXOHJ8VG0xMYtcf3IcjaZr9FSH7RC0VVA3pgAAysMS
NHrByvTZ2YPvzYh63Awx5kJpeGdoD0azur6Mc1/rxJNpbSQbyoGD4AuBpdCNtVCTEsgP+TjIyBQg
+xE//v/MTc5Y1Gs8rVKYU9Wv1PxiSPQLv8O0w6/rduZqBPTUr8mmj3lGZWl8hEUf1hNBqdEeDqiZ
4RI4mB6QCq1Nb+jqX5BHQGoI1yeuc4jQgF3h/KyVCCGl38joyeEmyHTH0h8a5VHuUcWN3DBf1VA6
XcJBzR4E4Kr1sVCAqb6Jq1YohyLINaxpziChOaj7vGkeG1FknlzetEAPSdbCUNhcqLRAnwkXofsI
7O25m0johWoKBTmL0BpPUu/0pPFtGjGyLSh/Nai5BJKatYg2/oiR0izchecWjabWKp4gz8z7FDTQ
qhwNm0RE8ruS+FIIJnHup+usa7KFpsDM/TZy+kJAHoVd9eLixSdmoA5Ew5qF+jZvjqbP19e36swp
hwouWnjQxwIAY8peJKHtSbUGXTySJBC2GUjoGmXV2X5kfl+3NNP9BNQCzSZsTSg8g57ifBGjrMUg
TgshrrpegxrHlj6s1mU2SMWdpUfOzAE8tzUGnpN7W8JMkxKWsIV5zOwmO9Lf4WoknVJWyq0T2tBV
+yQL32qmgH1uc7It5RyMgAKHzcm98ImscxuvNxczFo56DG9qewcM/sKKXn68c4vj2Tz1ksggBW+g
5GYCOvxFXhLUIex+i9kc1/L8R9lJd812aXrk8iycG53cPqJSci3vRzetx0HaQ49BGI5aozvUx86C
g+O5On+dnNn60YE5cTDPWt2oO9iC3ELlETg28tI8sn3s3pn31WPgXjc4u6AmDhy69OiJapPHHtVa
hvYOgRRjA0o/RJhYe+Ld0ne7tIIgjSIgqDDAG4IDcf7ZhsIy0N5FjhLnaDgo9w2q/wr3rrvyc5zO
1w6vHYz3oHdNIN00BRsgSwjCTAX6FSWb3tOOoatsVZft+1XqAoPiUDeEfAxKGo7IXbZ2P3YO9Raa
U3PF+rMfMUnHIrPQS43g5dCvMXmDavWntffd6hht8611pDb/nXwfFDu5LVz6cH0B5mLnqf/jVzjZ
OzJoLcqkhP86CC06otrqkrTTzxJeW+JJlFF5SVsqwzs875LU1t7fMcD19qXvQP62qWzjvj5E79l9
/lTfDJ9GZAeaI3v+x3U/L8/j+XeehB1zCEJ4hx9RIgON72KyktVNlh3yfvENvbSkk3gTpIQBTwBT
YNV5Qz3U6OziM3s+tC/SH7rRHurEMxfu+lmT0DYEsyUEW0E6f/4VE9axnvaoiYVyYJsNhs7Dr+vr
98OOf/EVT0xMv2IUEZBuwkSeuvItGJmzde2CXfT2KTbtL2KHf4ynX6UtWU7pgZzYFRh0D+0G6Ztx
0+zjpSrgTE6MRwVQfYoCPmuI0088FrFZqIUKkJC8U8QOlKU9/ZPrS8XuH32jc7dHtDVeD2OPB/9M
opAO5uI+GgtbKZZ3VeDS3rAWDFmYTNeNwDWtkB4jkoU3gRU2OciHM34jRJo+RoMa7dJMyfK1X8pS
bHPeaB6YkNLHEYtxUOKu621F6/gGFMkmP+RFYa1xPRagsBCi8u04j6XIM6KoV1Bpj/TH1AI5DFgM
FMx6VhXHYoOSl7nXP/To0IXD4J6wKOac8XaaJHF+nwR+CTAKikw68UDK7ztaVUlbUY8GoXPnKYrQ
1nrfQBW05UukXBfnlEK7C1U2VF5NFPemWkJRxztJUFzWePs6pMj3RPuMou+grdwwrRai/8Wx+TGG
JwgoHMEB9lPROQ1+UkV41YJiS43YnZSpB5MvhJ3x4J2t5sTC+AtOLHACHZbMggUzhr5ngLagXD9o
Sbq6/tFmHYGwGlJUjAxeMDfWEeuzloxSzTS4J2b3qC6KGlwkGaMnFp4wqLjiv9O2HGi7dexlCFn7
nf/g5xBOzZ/MbHBH0rRHxjylvTe1o/lNwsJBkXJ93cGL4w7raDih2zpW1zASe76OYFznvj6mUzG9
jY3SYeIrajyfLAFgLt5pox2dYjgUdRh0ISeBtNQzISuRDDuqeRxo4XYYPMOZsFGbWeMWQ9jrlvCO
c1teNTBdgQ+IIespi2g6CMZAawDpXV39pQXdFvTYzbuZqvui1o+sqQxn0MInozQfItGhv2eBvaeR
jModUhNc2Bnf6lqproqagztPVp+vL/1FQMCSUH2EAiPVGxuy50tfFrosoh4Ux6WQbbVyQOkc8FWR
fft6ZPfW06J409y3HsdSTR1wYOBcJld1kDZ6ZJQBXiWoofvNpwnOlmJwQOz2Lxw7sTO5pykHGw3N
JYAk2+e6u2sxaaV3bqZvCusoF6viH2OQxoXEAbXGpgUwoZO9BXSLLoHzH4rSNEb3E2hxMDlU5RL0
Yy7knJoZl/ck5Gh1HVcyxfIZFoj2weI6BC61nq6v3dw5oRZKleq4aXEPnxuhUZVlQLGAnLC78cNj
Vmo2CMYtAhFCL+wX8uNZj06MTT5USMq8ytIYoUcjuEb3SrSu0mJhN8ydwlOPJhd9UgW45RBI0bJF
r7NxmAzCebBnRc/KEgXs7Ab/689UcK0dNCLSAKYC+a2gG5Y8seI3L7bXP9GSlUnINCyRdBWa0mD0
2FrFr764bSW7FevrVmajA+ZrsA8gt2xNaz5akLZxhKYfGjegZmi+iRI5sGZWOUBUUClTiUN7/i82
BB5r+Fxohl0yI0RxrmSliQ3RFSH0W7kdQ5iKmvfXXbvkCxgvA1AwEhXihiPK53yTJ2lOBVdx5XEO
idZQBXcliElBvGaLLt4qOVpkQhuTosbWQacos69MZ8eks1ZtXzgtF6CH/6PzpWLU3JKjno6xJmB/
1AudLNz+vkC1GfGxNt26yBHz/yRFtQYfBBscKT8WmXt9JeYO4MhBC/ykBYqfKRNFYUo1H2rMOso8
izecpJqTqGF3zNXU+DemsO5o7iPlRiJ4vuYaIovPLDiXl8PR6n0sNXkyTPF43aPLMhRsmLCiEORL
aOhOgnFmFXqvgQYCFT22MpPwua2jY9V+9/5vVYgtBvVCWwd/qK6JRxm077oC7QFJIfa4SAsVqh9o
6DRLPN3PY3p3ErJrmceNZGE/S3jdPTeJDgwM0DB17CVh1Hx3QBEEK+imMihJKWaTuYVstR/YmcLF
gHJQjDibVHKSUJbzB4p++EvXyBGIDnxglF0ulYhpfSjyvVXm5mfWD9ZDa5QpOtlcpo8xWD/uwf2t
Oi0wOG8c/5fYjiHI9Jpy2q3rMA+SVSBpwHNDQibDzH3e67GdakWNS5O1/ZpZaY2D2PtV5wAVklMH
erXJSoQdVCGEH4t0U5VmcQcKc0yPRnEK6TXMBWImr9OLFa+Bpw5qCZMCGqAjdhc2wJ/0XPAbq6xl
AIxq03gSSSG99TxtQB0XcaBfIIeD+qjB4t5hFQApUEEpFAP626YKWEhAgChuu/iIrq9xhyFuq/Pq
thBgueuU9DZRosZVCjUw7FAz0rWWYtjU5hLxXyD705nHMMN0iBOjhH4rl1m5DYPSXHVxi/TApwGO
Pq9oRlyrj81nEfOghpJPm67lsgb2QaMFW8VWXeUYvtDEvg2q7sMnYHZyRCcVXqgrxRKb2Vy4P91D
kw1dDmIoQerKHCiq2JUPXscHM1Rsmizc/JcFapwcPA5l5DKmgjLfxFAVEy2UdZzQvrtl0Lw3PRRT
ev5MaWIX8d43t+oS/nAu/pyanKQ0HQXdDpMyFBwxY4ciYGi3YXEfFMPb9agwu4YWkE2A0ml48k+C
j1XxoWUp7NRduRGhts55/AwRk4eiEQtxbn4Z/9r6+fuTM49yLTojPWwNxkamn6S/r7XI6emHVnjD
4FXJfVw2C4HmEt5BgTcCnAkiouPFMYU1QSkzKKOKs1H/OOB3uTiW3VcQfvS5E+urvgLQDIPrrS0n
nlLUdq64UfJap5/Xl/nyAjv/Fcp5uBNySf06xK9oEwhY+o8QDXMZ6Rw/RNXoVxihA74wp3S5gWBR
HZtveOcDtji5yZkOicworJmT6BhZ59JKi+hW+EtmLqe9xvUd541RMwK2e6qW7YvWKNIBxWJLGI+a
1d5HbVhu6tDaGWqUQ+woEU4IMCMUPsttlHPuQSOALmyty0xWxtgmGSUPqYJm4yQ3H2hiFeBVZ1jG
6ojUJVz7GW3cukcf3II6kq3pobIQFeYWGAIpMvpvsIhVPv+kRQvJqIikuRMYXYruflo5AYdkclPI
39c3z8zBGdfYwGcEDkqGq+emfLlLMzmBexl/iazvJOxttcSekd6k7KMF161y6IclZeY5/06NaudG
SQZa4lLDlu30YRPLxmsdNqu81Bay6XnngKoFtA1QSlSmJnagzOXnGjTHYisFydpNaT1lyKCzWwrA
LAqr1TEDxcT1Fb2MelhQamCsHEuKa35yOCAC00AdDYejyr5LsEbG+Y0PbgsmLXy52TU8sTM59r5l
jX1h+FZWuzz9BNOJLBZS9vEznCdS565Mlq+MrUaXM7hSl/cDye2uXyIRW1qsyUagSgVULoMTSYGW
rJRtk4jem+meKs0SgGU2TJ6s17ieJzdEBlY5o87hDKO3kvlbqoCP6LYqcmJfPgjZt6ta+RdbASdq
7KKrkGeczn9ZKm86QRvIxYMSNcxu++iGtdFK7f7xAw7p41875mQkX4SV2pMQdkKZ7Q2ZebWRopr1
jxuVCMenZqY7u0tbrSEw00gtQjL1wqx0i6xa8Oayjz7akREfQMAFDML0oSi4KCJCUeUFem/ADGDL
nyDDJ0H6TCLC5W2Qqlu9oXLnVmUceYnSoFpHuXQTgVPLU9GBf6cia/dKxcCsJcp+ich9biuZMtqc
Mkq3EMGdbCWJYRDCkjIwVMZq+0r6QZS2L2Szskml0Y/c6KtbPQpE7UgYuEVOh/DrXY8yc6f/dI0m
p99USw0vF6wR9dvH3Jd/V6bmmvnCu27O0VMrkwAgs2ooeh9f3BS/MClny7ns+Px+UG9CMiAZBlnG
v/ELdEkKnuJjOjexGEDrGUKSKL1HEfVXMWTgd7naJnZopEvvxLno9jPsgyIx6DKmhVHw7tdBPppq
GvVQ+vldxJZwiLMXkAJ0NfYzxA7UabU39JO4Hgj6L7xr7KB01H6jkE3drtTak627UTeybhZAnXMx
FcsHJvuf4vu0DSNJFumLDkV3HSACU66ddOi3maZ5BqsXvtZl3RICEWgfQIlslPad5kZmYvFyiBR0
81tMO0ju0AIUaLyVyhEjp6x8vr7nZx07sTYpXJqZqIcsg7UQlWzK1iqpUVOs7HxRTXg8PdOLDzc3
cnt0RRGHxnNxcldIQwll3dGvXicu1euVamUuxEvtupKc2JRd0f+ygADueXf0U3Pl49X8z33FD0Bl
WzV+ds/5L8iyvAg6gYsx1EDsk301FIMyhG+JFS18w7kzTsH9Bi0mfENsnHNL0WBQlkUStmh/21Kx
Iqlt1Xc6BVXpVkAl2jSXpBjndg16QpSiR4i8etoVoqDblas0yp2OfgwyUs27rNLsSg5tE8RK1RLv
3EwCj4Ucp6vGzUqmw8oKz4usrzmKBw3le95rdAftWAxRdZAnxrhOWa/rmqJDfP0LzoQXjKWqKCyO
vBFIPs/X1ejavMvHx4ke62tow6wKSMv+CxPwS0X9BzA6Qz830RpAb5uYl3cEVJC5gjoR+rrXTcyc
OehigDaVjufgMoNuem4NjY67OMs2CgeArjuU4Ki0Qn9hH85ZQpUA82/ABkKoYbpeeZwmCgpQTgS1
mVgEbm7t9Pw+UBbszL4qR7gVEEoEMkrT9EKPQI3TJVi1nPm2qoJ2Wn7kFmbE3vX+NgIqSLs1jPXA
69X1pRy/xjSojIIm2PEYyQYF8vnXAoK20QIBB2vpQ9KUPUMRiwULT/OZSiyQlWi24lhBAAZzhedW
jBLsfXqGw2UqoV326zy/6+J7I/NafR0aG1IdFGU1RJojkIjKbyi6Xffycm6DImNAqRnznT944Ens
zGOlSbMMx431q067FRgHtRobpSDUJ2zSHC3daegfirI/OpaurPOFczezzFgB7FW8m+mYoJ0vgC8x
VRKQTEHlbieiL43fh8HvBR9n7ocTG8C6ndvoTd3XjRI2Kku7V5TGzhoNw7VfsZ4crFjZlEb7LQ/k
FXVoW2nkbZHUC0d/Joae/YJJLo5qG3J8il+QY3TL6vB6qW6KsN4DuejqIrb7aFFKadw5k/2L2j74
SLG0uCemUBaeqkkzyFoOKcdgMNaSLsrXZgh8ZL29qB9ClNnvOZF0DGvpBe5KXzeD4CAHWrIxi7xV
V02qkV1sUVEv7LlLTBzmdXGXaABSYADZmsKKeiEPXdaimw61cTvyFPy7Wst79UbZWasao55rMDoQ
pJN2uDO3katVzj5apC2+vGjwK6gxhhVgK8gUa4xkIs4wFgUtbqjZDC40wrNiFeZ3Rfl+ff9dbvFz
Q2MoPUlPBA1ClCPhbqd+BRD9bl2z+rxu4hLJOS7piTOTspfRElpLCZwhABRixHdLV+oaBA5rkD9v
mlWwDiHFkqyZjQFkKDbqW7KmAHwqD9d/x8xjUEUShE1HwJ8yxutzX7V+8AXpUK8JXsovw5MBOr41
1riHvk2PbWKw1su7fglDcrnVz41OMs1It7pIGY3WX71TuKY9bMpDZGsgWZTey5t+c93Jue956uMk
ZIH3kIRSC3Nxf6jkP0b7BVTgdRNL6zjVjmsKReHVABsvxZYeTTu7l2wZLIeHX9YueqyP8nGheLTg
lD6JUJ3VJLUyGlT6baxvVbKWqHfdqcvU9ewz6WOYPjkHfZabINaDCfNR/QWZKhd0gU9sWVhzDOfn
ke/czuRO7chQx00/fp9tCdLqQ4vu9AocHE84C16+7VfN5pl6GHhZp5hhWC2B+JTLYH9uXzv3MzAC
X6vG7Sg83wkP2k29it8yL9rV++4BlG44gybOItlG25s/3Z1yq7iDF3362KhL8pM/E1jX1mL87Cdr
nhMWqz7SZZzHxlPd8BCvMO7AVpaXHOLP6rV4kdbxzWN4RBK3XmLOmcEQnK/EJPJZeq/ryfgl+p3h
+WuKt8q+9+SNbI+IbvqVvEn3dGMtHJ5xfac+oxw/3i76yJA2iUGFxHtSy7SEUA5Zp3W2L4N8gcJp
7rScmphEHAyskm7oYUJI7abw9T1JfYc3bKG2NndF4XKC5g/4bABsnuxkU01r1EBByJsL/SMBVN+u
MhPIgxDisChhAoxqLZV45w4pRnyApcYjAtwak+Cm9T5VuK+VKE6GdgopdstYt60XDtsQGBDQLGXJ
QuS5fEng+v1rcTrA4XOd9E2rl06SvwQ59zoevbcMbPdGu/S2nDuZoHPFrAMIuDDPPtkZeFFCc9cA
glLWjX0S1A94kkWAsBhPnfAfGtK6KAY+X496s4fg1OhkrwBly8uMmNiOwXCHJrxrZPSLxoNjme+9
aTpJEK36Emcj76V7yLXdQIVgTcxnbCnX0todFPFWRRIs3NSzO/hkKSbfGXJEle9n+FVyPaz8pryB
4IeTh3zB+9kVR45lACyHuul03BCIlqahHQ5K1r0bNbpvfeCQGJyTd0O3gQaxfX2xZw8Mar14/IK5
Hlrc5+GuJuVAYgqv0uytVtmKyvw+G/6wFnBSfSnQz/p2Ymxyn3HLCEzewphfZR5lySapUPBxoPNa
1VsZFaDrvs1+sRNzk2AAhsFIL0ss5eADGNQKL9aJA+3LhSfpkleT2wvQWiK1Ps5IV1u2pH6EkSuR
Dzn+1dK9Kf2+7tPs2T/xafT55HpqO6u0ogpLmKeKjSTO5fVviD9sU4B5/3+WJldRJbEyIgPcMtif
PPEaCRNF1ROjS82G+a8E+D4YSPGanZaQMdKlmbFsgfdA1Wy0ym9qtITBBrO57s7sHYcA9h8zk6/E
cdp0s8DNUNQJcf08kje9CFTvupX5vfDXyuTzsEgjFW3gjFEdQDW+Us3XVmyLem1IwPG+XTc2vxcA
swbBCapk07Ord2ywfAn7u6aSIzV4JQFsrXLTDpmycH3P+oUqKkqa6POBU/p823Gjk1XfwOopwImV
xoPKf5ng8R/yh4TJjrx0p85FJeCGgI3AeBIqWdNlVFG0hbJd5bBSt5PypmxCOy/u+/a11BZURucW
kUI+e4QoATw+BfFAuqmnMQMAIQ9kfQOJI2SXShytWaHfpUFcP13/ZnPbkEKRFZwf6P6A6ut8IVuW
59BrDipHLWMvU4KbPuhW103MLB7KznBGAcACZarJt8r1oKRDHFWOJQFQcoxVWzYL11Adgy7V1mdq
jSg6ozsC9k+UUTGsfu5OmeMmywt8qDD2nXj4sgoIs7YFqFb7VWQR11Rz2SaiB0Po8MD0pZrNf6MN
JqmrPM6rWxqKEoY+JTuIc5r1OnR8HShuiJ0ex+Eb6MgTT64FOnipkgAt7UvCI2qQb6VIzb7qnBpO
q/r5Y6EDLBoV2XAT9KzyEibVKxpH0EfWqXQQatneNLUsoB6kQyV1DZYx/tXRrHpN0k519EouXhWi
0xDy1oUEyZK8+ySSpD9UnJo3ZWr5wJxk4UZug+47aoxsFJ0xtS0dfECr04EYfwzwylWumobKthg6
yRPBADVYEpqZW1uJ7u+1JIwPemGEmp1BQZ7Yelsrvdt3vWG6RNIYeIaN3FLW6PNgtMYfMi0EcWOh
YrSXmBXeEWBT81JitB6eku2ftuksTFCbMWBTVtxYquOLgW3BB97tY1nKDlWaiSeaDMVLJfFnEGXc
wRQENXKG+f+eDEMLcQQLxcdQyYDc8RV1FbUifW/MmoJktEgfmlxUm6CyZMDTlDa0WSdD94/mUVl4
mpGAC7TPiLHW9FQFOSiJt3LKFC+VK9Mz1M7c4dBIHmvLaithYGynty3d9hj5Bb1D2oVAZUpN/ZWA
kSEAqRomUfGrC7orQbmSe1wrTXUHIKniZAOW3MZJ8BEaGeGgPiyTwq7VvnjUyih+UBi6y+pQtU9Z
UYLDQbKsVdf6eWJz02hsqlXkvQNes4E8S94brmYFXeXIgL+uUJeOC4cXbfDYDFVNH9O0w2xzqzPl
FxP1KArSFbJjDBlQrbLc/yZmkLjgVCsKL5OS9rm38M1cmflGjkK8BptKqYe/NCnhdKcFUA5E5p2B
LLGpFN8OdCN6LoB9BSsJmvYYAZCb+tAphcl2FcTmNLfHn3uMEwim5Rb1dVsFs1CLMWQL5ClNVKDE
o4q8XTWMaS9RFiS+U6WM7aSMkA3Hcq1q5Nq/gfHV8GJKFFAUY67vSW9V2W07Uh8bte5WIcL1rgoZ
3/hSbR1UkUYKrAZJ7JqkDjage48fANYbtqqAJCvgJ5Hs5X4drbVuCOyysNoezujofRTgyt62ZYK2
XBd1sssHVf6jRm0Azvs2Qg7VKqj5oo/hH1TIaz0SMxffaNREXm8NyX0v8noDZir5O5Q6LEsX02Gf
sNh3s0BX73klS9BmAfjMVuHtSodQMEH/NijfMV6H7o6ZFcGbEoMA9Aak0FTc+Yxlu9JPpcSmpE7v
NVFZjzX6QXeZyvo30Ve9uSKJaq0HofhsM5hSdQjl1MQtDySEl9WJcd8WYNV0BXSS5ENN0uJBl2q2
VyQjxqgpMkRbDBZTHU2rhIeJm8aCfCBtxWMtwJkCIHS9Mwazd/UsA5Ib6MR+ITmZwXPiTYx5P1CT
odYIiON5tBaWmem0yhAVcCJcaUCHsgMBdx5CAgmMg1H8rPNvLS0xyoK42djJ7rMPMMeeH3XSfV6/
pS71MtGvPP0xk4SsIqSogmS8eNPA1nAKWebG5nvXqe7QBH9y/sUD/RD6yDlrMNIvtk1n767THzC5
uzAMm1LW4QdwEe9Adeg2nLmsUjDzrQELL280rfaMFH3pJvUwqPVrYQHGq356deFjjMS7YC9VL5rw
Eo8VE6JhjlF+JiCJD6twpbLqvUnBiY/BPfRfAHTKAzctQtsquoVMZCbxQbsD4NNxcA5jWRP3wdWg
dqnJYb7mtzoG53BUdi3bMUNZSEhmUCLj1MRfU+NPOXm05FIzmHVTVuiscDeyPBJzD6VNuyRO374Y
0boLd42ykPDPpKyAMI1PaEAMRgHoc6OgfIQ+aYUrkOEG1AfxgmGJzTAQalvMdIoyeZD6j+ufdC7z
wjyHhnoJWgvgdjs3GQaSNKQNTIKTyxEatwMFirPSFlwz9ZL480wiKavI/JVx3txUp+ieloWVVqg9
Mi/1qw6EbS41neb2x6mBcX1PPhrCIJAFFAaamkcOBjqyGyb81zROejwJ0yXWuXG7TU8DINeQhUAi
CYbdyefS9BiXtz7gc7WPpXgBfVRgLBQHZ5fsr4mpoFbYS30hCZjo1M41ugrwuvX1DbDgxDS7Z/6g
CUOBhab8pO2mMZ+LfsHEuA6X66Qjvx9jF8bZzj+LOkh6nyQyHhBRmNm0wS2PcTNJll+ZAqHhsL4f
wtAuOMhyr/s2d54w6wxgC8GuA3XSueFEBaVBQZTKaSvZ9rNPknnI1qQQwwfpU0cWiiqz1wPuKUgY
jS8Z9NrPzUlZ10uAlSI8vTMXyNX0tvwl3yB/2ua/OQh5FuzN7XYAmkcFXaDScaLOzbGGN5U6Xo2J
/MRzLx0+JXOPvOj6Gs5ZAeYP4LWR7wqFjXMrTYhXLUHO6cTstiqdHjxpXEUKsYQFXrIzObt6YdUi
Sgi8yUKb5OamGtJDjhQ1ZUsMTXOHCtPeIw/oeHKnGOBOKoUeh9gWSDcOKR0OfbIUyedOlYGuhA6Y
+8+r+XzV+haCwFWArSA1JuRxDYYhtQ58xUzh8eb6B/p5L06PF3h9cK4gMjbCdSa2LIWjww8+ytzr
XvHkAbBkX6+5pznDvliNzK3+Cmxzz2i9231ulzu2UGmZdfbkB0z2vbDKJE3N8QeklR11O8a+QW59
3cu5CjuQDv/xEgDOcy8tzKl2yQAj0ga4dO4dM6/+rBx/na6Mbf7lP1V34lf5/s+pp5DzGSAugNbQ
KMU6LW7rptaUTEJ7qyrt92FjYrrvPZSdYPvIia1sssSRFk7c/+HqX5OTD6oGA1iqfbhKnHYrb4LG
Ne5aTLZ4siO9GeDXiXfKjXRHNkvN29lse5w6RgHTAnh02osCSKQP1drHJMa6OyjPqJPFLqQUNoAU
rBUbWI3osVyL/cv1bzt7Hk+sjn9/cm330FjiVgzCdKm7S4hu+0ucqnMX0Klb4wY+MTDQFq/iAAbK
A8Nk3T7+w16iFdpq8u/rnsxeAaeWxih3Yokxo0oiDQuYlXZyU7+yQwShbPCv62trV6+TX9ftzZ+8
v99rEpyDMIjaGkOpTsBKF6SrtoaR7FQ8XbcyA2Abz8BfM5MNifdxYcotzNRudqPbBBImr0AXk63/
SFYf1SZacGs2+z41OIkomtFFbWvCoPoFjubsOBBHEXbzWj0Fg6suuTeDJcCIPbhfED1nZGc1PZdj
k2N79Klbv1Zr5Q1IliO91Xf60v6Yu+XA+oPVHBN8PGLO90cVV8BuYhQYit/Bg/rYuimz60P8Srfh
A+DgzZ6u6g9ovyzcEbMH+9TuZF8CRq8mAZqhjvyVeOELc0chAnRjHkzD1R3lRnsHfxVZg+diIUmZ
3TuQhgDsEZU3cP9OtijInXiYJwbyy5jwTcUSVOT1uu9dKYylbZgLuA91D98uVD1DXKVa/DhwUj3n
AqBuP5O7Ta4O7FiUBVmittWw2tOb8/S3TfZ1PdCSYaAScYFBRA68NLkkVgtnZ3ZzjcydePZgXHKa
g3ISR6qgJvKaQUP1T32U+ZtQwk2StU7BACzIvouC3Ld6uFCtmHfufw1P1Zqw3WkV9Vh4P5ZXwgzB
qJuuF5yb3c5/nbOmr0cDNb9x4s0Ru+KAgReUX3BNkmfwogXfB+k4fKR/iK0udYDn4jlK5/9ZU0s5
P0X1kIdyYUDUe2DkpS6UDRCP68EE/M3UAmg3Bw7lxl1VaG/X/Z0Lt6d2J8WoVC0B+iFY0ky64+kn
l3Zm8XzdxOyKQp4MiQ5Au6AIOneN8b6jpo8VzYAlQP1SvzXMrU5er1uZ3RsnViYbv4kkLcn78btF
v2mxbYqljTGuxMXJApAbjxNMFVyM2bGYCxIFyJrUWzgBehHbvCF33DW++MraNhuIGvwLj/DERF6P
+gmW7nzdBkiTET3HjdEqL5I4JGThHM9+ejBmqaNYBiSJJp++lJDqdwocakpAjKUO7A33LViqrnsx
b8U0MRGBNx1KaedeCBEiEmJq2+mrh1x4vL8rk4WAPGsCXS+8S1C5INMNFsi0bmuBy473P2/xGz8m
diyqf7OPT8xMdhgdwNpNxhucx+DuSuzM32jGC8kWnh6zx+XEzGTBrJSgND/ep32/yYpDYm4byU2W
HgHjj73YzX+tTOmMhAXhmzSAFcV0hvhAyvfUdC15SztP7he2wPyF+SP8gSFVVZ2O4khgdNcED2un
+aCNx1uv21EGIvl0F7nUg345eFzHNtBCbJsZEkAh4cTuuNQnqavMSkx9l6PdnVibt9ID3nPHvHHq
Y+3VTv3WbK7v9dlPh1nScegI0wlTHkSNNEanggLGieVDNOiYyUm2cfkb4pcL7fLZpHycWv0fS9PP
91+kXddy3Lqy/SJWMYdXhokaSaNRsl9Ykr0N5gBmfv1d8L3nmgOxBuV9HuyXqVKzgUaj0WEtA+Ud
G/cwtm/yumpjm0ejelOmt6jYp0WJZMO+Tc555TZE1M6zHnctRHNuSaPKYMkdlHR+AJbAeYsuylN+
Agd4sRsxoeelkhed5GPpy5bAjlZtdiFZvd7OHrUJ0hYYckgjdBY+5e2d1gE05z5P7sZaOGGy6lUw
dov4DhQhNg82JCdRM9AaejYWUH3lQ4gi2WEOpkdAGu9QbDxplZs/qE+3TWi1HgIeEgUY8GgCBaDS
tZKAmgca+wybbf3+Db7fDS9k/y06Obv5USBqdT3/iOKNKBlsh4QzNKzeu8Dc1vfGZ/pPeZoeRupO
G31jPKYb+Tv5FrnCfMDqZboQzRvRNGhlx7TsfdD9ufk2O1r3xe7bS+gBPVRkOOs2uxDHWY7SAwiL
/l7UjeMqu8fei0+9a3naU+YSz7rLTvmnqIeZhTVfPOxCJne9ZgwPoyihYuE8UOmYyo90cCUTTU/B
7X1cN1RkMlUEcihgsd8XXg7v4yRPQmxj7GR+o4NH0fnso/1tIavhFUuX/p8QzpWmJm07J4HDkYzQ
VcYnVClvC1hbLtbapIBTGYCVfNI+rfo8twkON0jRPPDBeTPJTuXoeAQoaYVFBVWINVe9FMdZBGm1
yqZsYKpLQqBikU1HT1K1ySfReRbpxZmBSseExCoWbtxo+6R0653hjv54BC4nPaKD0PjeHaXd4Bbn
UXS+RaLZni4MoxqdDBl1iAby7w/0CJTu7KeBE+gPtPKcs77JtmQ/B2FQiF4zIsmcScogF9K6HKvr
2B95dMis5ylD28OuSza3rWbN9pfbyJml0w3G0LYQZKAHsy7cMtqqmEu7LWRtqgXjor/5R9DZofOd
+cDN7OyWxbB1ERCpRAvMkWRvVN9nodslRxnExLo7ggRIv0vUZ8B5hSKyprUFXX4Bc+WLrZQBQWoN
LIvZ5g/ZdEEHgYsuFhRdXSeJBequrSk6eXDSWeEH/EbXsixQZc/2iNAwnh5U6Wedb8BzdXtFRSI4
y5Ro06sSEzGVyrlIkAAzww2Q3rzbYlYv06UqnB2mINKsugJyWmfrZB+dFFA1IOUvzTihzdqPQIHp
PIy9IAxcuVdhJkBzApiUwu7y6wWcxyHDWwVSFVq7ivIJlijAArm6chlBuhn/NdMQoIeW4jhX1pdx
lqFrDA9TQtEsWfuYD9z1PfXxuBMs6MotcCWKM40Zr0V7MNlLq88DEIgdSGMGt/dsxTFfieBMg/aS
pU0tRPT5w6y8TcrFni/Fv3gyQgoIJEAfbWCruCirHgDJULKAYBwuaMIx4n0hGsRey/guZfADIorU
hkVb4V6e7Mx3JCCtktzFWOm3FgC/KqmDNp79OR53dTydby/i2ovrSjZngpOqjo4xQLasvydVMKSH
rNqV8etcB030Qoxdq12mej9Uvi6fNVPgQVa81ZV0ziIBM6rr9YjVzUELEck/qQNe+gi40KX8Wla9
wGJE0nijdLIoS9mrq3MeFe0fvU88uwBGXX5EL6dgXdmXc0Edcp4I3XQTza4mfxNoQKvs7RCaGRPC
5Vq6A4uAO7TksU4ilHnDb2WBVtNWeUK168HWY4Zec/sTmMu69QXcTVDmtuQoKbQFYlEZ2PagoMGN
Kp6l1CKqodWFXSjLHRJTA26oXEDZLjaOkUQ2lW4cNKd3U9DHRPnPf6MYmk9wwwI1nk9HyWSOskKB
YqC/1UcfpG9lKLh21hX6I4LzLVnc16E0QoSCjtDRcqt0Rr71Lu23Sfp6W5v1EwiE5f+ow/ZxcWMr
ajSoo4LgazqgcBaelE0DqiZUYh6Blmoc9F12Ft2qXxlP2U3AurBNkFejwZA79Y4ypkofQ2b73AWJ
DxjxHRpgJRA2eyjzBto298cg31RudDDv8cMdbPeoPTaiJpWv3Djch3AOoE5hlkOGDzEeMu81PWaR
m5ue2vr2HbrSvWn3kfpV7UrPxYu2jwSh/er1u1gFzh/I6PWNqYFdnrIdHTxZO7agw1CDuHiqTBEO
xFpseLXmnE2VI02doWRrvqn82Z+278DT7XeJ7zwpT20AtJlpK+IPXzcuxvWhYoCBQSJfGxdWF6Sd
cobryzTRqjsEpck6oWc3mfpTZgD4GvN4qklAREK8TFEBCpr6nfEDowqCd+HqkVp8CbfTUaSMzdyz
dxQG5YaT7gArTMeQNPWHSBDrr1vVQha3sbFdpRUoifCeORR3p4a6/WPy2O7MZzykwNjjal686X5K
/jnB2O7t4yxSk9tlWR2c1owgWrLQtWBi2KZNfQqs16T/Jxp097a09dBhoSnnPKqkiG2jgrhJehsj
w+3qPbV2eQjcK/3ZMR/jBF0pIlqt1cjLBmEEMF1QbuCnSKRZNbuSQmgIVMQJ6XrbrM4AllBKEXjl
6h22kMS+ZOEbDaNudKpDEkHhKQZ6BSYxZEvgBtaFABcJDBwAauFDvNhuWpDh5K03tAiF7WqTNPYm
kv8eugg+F6DK/yeGj/LSZgQjnwUxY7ZJJL8IH1MwnzmCEsf63vyRwh94Y9SjMSuwYunOmH61zmNS
+MSZBYYnEsOdZhuzDJOiYGMQ5rR7uYl/SH1RvxVp8o/Sa5HgUImkcec5z1rbSUMsXZj+MqfAiZ/N
5gBu4NuHiR3NLwETqCZRLAMfANg8OWOzGtuJJjjojERaoFcggNKnWOQgVnVZSGG/L0w6Hp0Igwfw
g/Fko1Xd3gLWLQ8lz8DwyW19Vq83IF1j2Iul4/jurTLLY01hHte0KlxraMfzwvyjhWk4DxKmXv87
aVy4OetdhDoELGKk7VEL+8YF1xWojnsFU1oaaAvNAexvOWBi/40pLtTkgs8u1dGxz/KBdLpUOTh8
MKhRzNsMiPe3NWR/iLcPILcBHh1hJ6brmetf7Jxu9V1bxDhahY1Zl9YKyhIUOaoUpCiEyXPj57bj
DVq2uy12bRuBJaRr6FMHbJvJGX8d6yQFSD3ihvHeyb2IXoiyJyCiryaXJpZAydUbZSmOu8DAca72
cg9xViRjrOXeKhK3lHeh9mgML3G8yUGekv4L21nK5E5eDzJIPcsgk7QACtP3BRgERuMeYYlsnW1R
1/daskcFniumR3GHmfCV1xs5jjqe+0aJpGP8ghFzrd2CAS0FgXSi3Slq7jnI0dk+0KIElroalywF
82d/qENTqiC4DwtWSU0Azlq9sO4rKZt9u8b50KT91KZuZ1aYEaR+aXTbPte2DUbFHKfbhFXig4Bw
Y0q6YOOZ0lfWzUZP0epmgWCQYdHxixIPShv1Y+rhCa5g8s4sHmYiKvB+iY44IdwCQPYYY9guZVMQ
sbXJyl1mVG5Hn5vu9fapYX/pljrcYR3HeiJ9N6VeNSLkxFBoBEAKNUfuq/12W5Jo4TjHV2qDmdEc
klrng5CdlV4sK7gt4qvF/l43sOEA9IS5H87H6SYxGgkogV5t+fMdoFP9/E76xzgMz90x2t4W9sXN
/ZZlG2DpAyohBqWuTwdwmeoGQMepV4QfVrxJcXlgItFFx+/gfGjSpiaftwWuL+D/C+Sri3bWVcnc
QKBaYsR0lN3RbDd5LOqS+VoKv1aMH/dJAb+gTDWTc6C999wkvvqT2l6/HVzSukri081txdZt8I9i
XJBUlYZC1YLZYLoxiwCDn0V20XSB82QO+aul/5HC3Q8YYi3zroYUjb7nybYXtRCI/j77fXHtWbE5
jySXU1ADegnA64ZEEfjFVYvDHBacMiwcVFPXEvqkydhwaIoC+oW2ExJWr1RGx4DuEmkfT29yL6pc
rPohNEUYaLRFBZ0fQ8c1Y4V6CYkO+i9CcDcCNQpDWUOnuE0ssILV9VvI4qxAtTPJMCjWL/pd1j3n
2uttM/v6yGeGvZDAWUBhT4VOR0ioTX9KDhW9lOSJ6l5Rb7vkDo2lNDkoZDMAAVAxPXC7COQzDb5Y
IKYDgP2hqXhBcVdHOOSm0oFG0ZMiBTW13OqnFz2WqIP4xC59ADyBDEQb66fMMvMHk6Rp6aE7Kzop
xqxTvFSJ6OStrTkbfQJGFoJflW81Np25MGuH+cuxYBCxffnzts5rPgtlPlyYYJkygDZ9bbKpirS1
rEFlK5y3RoUjLskbQkRllDUxFjpnMa8jA5uAF2OpZKibUMPK9pdEDZrh0DrB32uyFMGc2OJ4a7kz
1XGmp0Atsu7TrnDDIrkvqAieZvWMLzTh7mNckr0dzxDT9Fl7NKyhdENJOYC4xfQbIznYSM67ekKO
el0OAv/ytauDHZCFcO6KHiiyQWhXSL2nzHGNBzUIvwE7u9jJR+2c+zRQn3AJCNtmVp3MQip3kQ4t
suF9xVTW0Gilbmh6QdUZ09tzLTiBa+a+0O83SN5iD5Ok6W0QmMDFtIYLrnG3FU3CCQyRd5jABQHu
dgkJmd64arVR0fmjixoaRWpwntIBLocZOdimXnm1bMi43Db11Q1BwpnF/Lhm+BC3SJJiNGpw+cUY
YZcNQHb5SXaSwsdkFLzZvjYUwuKQGQOKOfwy47u7PlVppiSZZpbwC/bkhtqx73+hBaBM7iWK4eIy
GDRMU32bwhNgaxSROXwdomLS2W2q6hqmxfkQrgAMyQz+odQbzs4GPFdP8w6YFfq+De4m30JHgHtH
vQ6vDgFQ6doCM5xj3WYQdCh+XWuNx02RSCG8Ia70DxpJG3P8DsK1h9F41lIRvfOaR0GbMDooNVsD
RgLngssSIK32TBHO6YAJm4958jlqNhLaXlQc+9Rv2n9um8+qQAbehA51jKl/aU6tEGpVYZt6qV0e
p+ZbY4McebyP7AGIZeR5zicf2BqCo7128BD8YIhX0QEDwY9QWEmVWAWyOF6q266c7tX+OPWiAGxV
iGmA7g3vPszmaNf75thjl2iMHIgCV6IBIEgdyduGiFJfq88Y5NXALSej7GTwZSc6qKmZWkPq5XF2
mujDPNWIipp7zTQByaFvojp6BFjX05QADSn7uL19a9H48srmLjpZy+zSYnGYaoFgWVXdLt90yUUX
9b2K5HCHAJwkQ9/ZeGaEiGHjMXfT/KMG7YUhYvNYtcdFDMLdaiAkMbtqRgxSquhid0At5+rZpdUf
OgsYIPGusf82Uc7cCqYaMHyChKLGzw5XQ+fItIZbIelhmt9lUNv9NZQ0RABvX0PrFGZAMQlybYmS
ltRmInUIzJMEMyBBgYRXqwnigbV7ZimEc85mOid6VEBIbtqPstmdneLptq2JJHAHStOKvARnO+JP
A3R744ORCbZi9TGLhiGDdV4BzJNnUk3lCYQ+FBFuY7/J5b3THSf1InUvSXQG1Up0kk6gM59Fb+g1
215I5V9qEWLUzGD5mwEF8dB+bSlq47ZfSNvb68dMl39RLOVwZkCoPIzgDASucW0W21idzv34Rmfn
0Zx/5GBrcK3087bENRe4lMjbRJFqJcaC4GeRETSb3NO6p/SvC2fMuv9sGt8wl6uNSmgItXoAE6WR
O5sAr3K1SND0L9olZp2LcLC0mgHIXBBT4cWZjRNK6p/tsKuEoA9f5vs4fdiiLgTpmF621AGCjJx4
ZPoAeJdSn8LqiTJ6obTy0LeOCEhU1V45XWg2AUYNwP8dho90LdZJSNKo7BrJevnQFtZ93z3ftoa1
4wURYNPCP+buOCceGuUwgogZIqz6vmZpAdTM4wjzuMDnm4Ya6bCDhcbAwXgfybtaEUEAubKFjGXS
BgoPwin091+raPadkscqLhEZaNZDuU3090j+bsSCc7Zi9Vdi2GcsNhAogaBDsCCmbbtd2I4PrV7/
atHndns5V47zlRhuNdturvu4hZisSU56l7hW7Kbn0XJOtAxdB+mB2/JWbkaMqjHWFrTC4n9OHnoc
5TppcNUnZv2qq2UQdb+ikGyl4QKTcsfy04lFVOmrOi5kst8XSynp0mDUrcpclk/nC03PrqtVsZu0
Aj6t1T1DfI14EAgeisMpVzU0JzETNEzltrOjTT/nh3omglheJIbTRxspsQYZYkbgaZiPSbPJot3t
bWJfynl5TPuBqFZF6g+KcOe4DeuqSG0T7nBAyS4OHIqsldsjZBLCL61q4zCwJ0Z3gxLH9e6ABB5H
iokao8HvzJ02dl4myjOsCzF+U8ojiOQLhA2w56zesJGtAYtbpr5MmuoaRHDzr9kZWsUYfxsidYXn
JSJkVCXSSSkIsZVtGKGykeipX+uT7/SO12YjEqexCOh+TTPM5FqA2kHoh7za9fIlg4kHZUXQzNfa
sufQvPYtpx82sTYL1FtzfEtJnEeaZ8uczRTqRY7uVZ1+V/TOnhSRj5tmf9v81pRCVRw1QFZX+fKA
BKd6mDkpksDVaAaDnGxpYgYTdQS38ZqVY1QFqwcaILx+OCuvrc7JyhipEyct3HgCGbkX2UfTcifR
jMPa2i0lcfd+JOVzOI1QqJA286i6pvXZO0GvXW6v29r1uxTDGYMiqTKBuhBjzA/W4IDTSdSPv64J
APpxMHFmeQee5RnmhDVkgvLi1zQi6flmdcFg/BsDwPTcf6RwLi5OFa2OWHa1qx7Lbj9FwThub6+V
uqYJaBqQEUEnMDafW6xq7PNUBg+Tl7vwOD+ru/hpOjxLXnYcd8aGHuO9dUjv7AfVLe7JRjqeZR/x
2tvtr1iz9OVHcIcqznPMv7CPaKf70XiVutgD2NR/J4Mdg8X9R8eB4saFDFvf6OR9UEagUrq3Zaz5
PrDLMQ47DdgUfMpnBD7waNm4k+Jk/qzy6K7X8mOqJZssy9ANbLu2EjUCmWuxBNo9bJbVQl8QH4kZ
JU3Qtg294r7yFfk+wbVR56XbUOKZVdCpKIgJlnLNYyxFctvVV2pGKhkeo86te10Jgf+S/+grJcgd
e9NbueAaFmnI7RwweEGhYmJVp7IqvVYHD1wlNfusb97LXv4mO6QMwti5B56xLVjc9Q39s7jcCZTk
Lh2zCos7ozNgK1dIO2EgpvdzS/oYy/CbXCqnyBDNs66eSR2lKpYhdFBZvDZVMucqkAWZRx6OeLwA
W8udY4+Gv25b61q6C9DCoN5GnzrwDPg+SX2sy9EsoV2umic5NdFnbPrAJtnWUnLM02+tne9BihoY
ZNoRo/txW/yqFbHSFPKfmF/hycbNHpM94AnBE6L80aY5DCfeqKTHxfqRS6LJt9UlXQjjrh7NkOOw
aSykhtQQzdOv6ZzunQZQvkAMvq3WqrUuJHEO1SjrNjEp1JoiHTQb4GwoLESn1q4by4eklX2M8bsA
VA9ui12rIaFJ/89ycoeywE+YoYDcKKl2aka9BOhMBsA9eic7jdPkRanySABOoCboluraS16ZD1Y8
tK7UZluwsLtKL4LMWN1iE0xkMowZfbjcWqRTn9GhY8cHeecs2jjEN3U/RBFo+ryt/upBXUjitB8s
6pRKBO318buuuXm2y1BDQc9ESAoXBGG3pa3eVwtpnEcqJ7DraUyvWNPB5vceIlurAGv6v5PCOZ9o
SA3JyJglGW48BLqBPvFMNOC6aq4LVdjvi2tRa40uUgB5781d+6457V3UmX4fvoY0Arx6HMTRR1EU
gvf2WkcARrz/3zB46NSkj5K6YlJHI9tocbxXTNVT+iLorXaHGB7FkcQH8tRTDx7ESKqAb/0hS+Qx
E02DC3aSH9Zua8kMAYTPkuGqr0eqB1ymbSWJ6CfXQlJ0RjIkUPBCfBlzsLKmMpwULy9iGZshMXfJ
LMJ7Wtfkjwj1eiN7SuORSPBwTU8OiRXdmXr0Gs7z9rZRrjrShSbatZhSA99BO0ETEAntaVOdlP5J
KWw034hm79ZqlBbCKJAZYoYX3V7cNag7YI/WIgdRIenccXRn4wkYlob2aukgUt904YOBaXO9d7sO
s4Cb23oKpXPrGSFeRm8/FFWR4Sr1sxkdItsbqqNKg6z7NPEl1K0yYBqhd28IbktfdWcL1blVbqyh
7ih7qYPmAM8+D/yhJO58kr8UjqtLgivra08t4O6WK83djoREVZTjrelF873RB5WZgBhiO8cUcdWT
Jj1lqj8mf4sO9Fsm8KDYgUD3N7PnheORnGwA1wdkVmGEhtoe4PVNUNjStoOKt1dz9RoCv7uigrwA
OVPOkPrJyKdQxZvdiICXgThV6vRthhfGrL/j2trflrZ2QvBqh8Fasin/L8XIQrGpJLoh6aCZxRuh
cQG/+rOtHQZhh/byWTVebktbzQRjdgpEyUC5xgAXZyoEBA0N0LUy1Cwrfduk1V3b1KVvtIDM65PJ
3HYmEL1jgDqPdlf62mgTtwrnS25WhsA3rLkgOHV0FQBdDNAX3KeoeauNiLJAPpA5B72rPb22Tpnw
lbVirqi/sUcx6x0AWQx3Z7UJ6QGA3yOVGT/ZxUfVn8sRFPO9h+6xqAgaSWJli9vr/HVXIRMJOlDt
aJhI5DudJFuN4jKEzCT3lOYS29QtgW07iGjQRXLY7wvrsdQuIXKBxP5keW13mYqNNT9Q/e2/04ad
mIWUKhkMM7KhjZH1bgQIq1y56DLq2s+35Xy1CLZqME90TmO8jzfOOo7KVm6ZNtll6M+F/FDrAqNj
n3qdpL0WwfmuyKhmB/DUCCWsT2LtFeqTEs0Iv2ZRLeLrHQ74eiAhoMsB2NSAsrtes7ZpDWliDehj
dSbUeZLtTpA5X5XAwNCR7cNB5ttiNCWJwjhEWaADB1fypmt/7XKhAfKj4C/EyxIJ4GsNOkxkNOPv
EoD10mgbcBa5GO4u4vZfnJWlHC5wVccCHYMDEnBm7pMMwETWC8lQktIF+qytFwpgKEEhewW6Qc6v
dy0CtwrgqR51HtTyn2xQBRfj7+wXZ1xo9ARaEEYJAff2hR1esip57BGCV+BtNfffVeICLDwIvzfb
KQDIrvt6Ug/axgjCvTa7bzk6tvsD8fHAc/GERa/pRxgQVLunrSjcW+mhwmsPm6groMnBfcPdn1R2
kmIqELl2BtDRxme5C10QPYHkBi125clxfulmcgZ6zSZNznLf7FABeu5UzZcV0MkRMPuYtejFsnIW
QR2nOeBYY1CM/HGnXRY2looYNDSzYzh3RxorW602NhOO5TQLRglXl0BhyC64/XDv8CEEqNzTdLBg
Z7SZq2+TFaa2C8QXSwXYedZkmCFWdNDqdrWxK6QcwG663oOberSGA6lJHzjdnNkgvJowF9qCJRPo
qEnfvITIbz0aZa//NQwBut1QSAKMsQFAG5Xv7wtn0EHFOpZnwlPHDcEbKM0AEIzLu1FqfxaxCLhr
7aKEQJguuNRx5Ph+psmKrJHYLIaVKOi4G9kftO6Oze1Y8+TT2kGGKd9I9bBFc6Zod9jp488OUN/A
SKMBywvAnNfeZpzTBkQtiLrG3vHpIO8k2dlYMlqrDWMjddrLHA+IxtBfrT73FRFgRq34BkzKYrgQ
X4AuaD4tWsANAuYS4aVBPofIdtVG9D5ZuanRIfa7MmOjv4XP0mWgYau1PkRCOQz0aF8rx7EIuuL9
9g26uodLMdw7xDE7SZYollF+rQD586J9yt8mHwk7oOmKyEBWrusrlbgAbiwipTUIZPXWno5AW6gf
HCGOPfsjvF1oKA5roNlDjYR3XA2d45k2qNUVxrhJMVzjEuIA9qNVpi1Y6lK3MIbUz8qU4NGBmUL0
0COJpQzGAehV576dRTxWa14LBxO1D50l7vmKpRaHA/jXksyj6i/Uddzcvg9l6bFzBlSORl+wn2vH
AucBs5J42YK1gFtjrW/QZMCedpUSai4mvu6cULOCqC7rb31sJhtETA8tma17VZNPiS1ZfjKngtOx
Zrs6wjJ4axNbwXdtDlmUV/GIVt8Mw6i9vo8rzPq9m9bmtrJrK4vmEIz3As4PfXmcCxhKCvC0rs48
3R4Cdcz2ppOCl0p3M+0bGUUTgqu3NaxKhaODx0Mb4LXHCQ07AuNelCFCM4fWszGYKGMyP9efJSdR
/TbtKHExdVFER7QJ4tjGSYpKuFIo896yEvo8amk3g7rP0j/snmh+Kmlzh7glTw9yPRVRkM74S27T
ms1z6cSKX4VVRL0G7HgBmc38RTVbI9DbUnmWW136FVJwpWSdIb8YYVjvsnYCJ1mkz3dRrOcoc4Uh
sLhzO3vsCBWiLq8d5uXic45j7tU+SSgWv51BiKeCE9F6rMe/7sLAqQFgPrqNWSMLf6WpUToSy4mx
5PnwYxjN8dG2+hegiJSCKvVKsQKSfpOGo6lLRu/49eYm6ACiA3tWlyFIKvPPZkJjznF2XDKipBeo
1qHPG7dSBCb8NT8KsQ64txAGog7E95QCAsQKzRyriFnYOL6M1YEkd63kptKLTHeK6JGx8pxH5z/a
8lUcG8wq8ZXlruwq0LjiZOrtS977o+bJqR/GAWZureRdyzwCqea9LUIFX7svl3K5mD1Ro0IabOgJ
tIltbI27YRJ1ca95A/a4wWKi4PQlCUrboVWzAjtIkl3V7OthN9U5azsuzVnwAlmz/aUozvbTkqBp
DvGhZwO8biAmyB0z4GhlAuMQacT5cpJgXJNGEAPWTLcaH8f03clLL5x+Rp0IRuBrShCGgYenozl4
hOr8yBhL0zcgA8VJw2iG8+QkjusYZxpeOplxaguuqa8ITIhVTcTVDnoCTICYcr5UqaW+phq7pdEG
2gLatrqoM3YukOpzE7469lbSTx35mMDdau+09FdT3UcWWFuSrd0fZf0nlWo3ry7ZvCtMPy7yp7+/
Wpbfx9mrWTdaahD4+hhDWrLbTxtqnbXms40FV+Xv4SQ+XkEjG4NJAxg2unGuHY9G7UaJDKwEVcE+
G2+zCWUIt46o26bn2pz8SNFcJ5cOunSqtGMZeln9w9AO6fjK2M3N0ZPN80i82/qvmQOcEji/WEri
C8FYOjLcyx5En7ZKzrlqPRbGD+BO+oBicDtb24yiicJ1BwwIGvbYYo19nEUkvakPnQVj74BwYp81
4hfdW2E9R/1H55xBHa8jJhUicK2dZDyW0NoF5m6Qn7LfF5mqIVMnw8qQZx+idjcqIV4x6YNJdcE9
tpLuh70vdpnzGJ0KipOR2VOdHyc5hx0HSI/RxNec5yTfmInfp7tS8jOS+8XfT69BOMCWUCU1TPVL
D0cNzL0Q2bjMmyMZxOG6G+reICrGrt1kSyEsJlysZNpUToHRVqwkgBtb12i3FgBRo+fBAB7Tgypq
EmF/7suxWejEmUtdTwaJJ4gzDcAYmq6u3Y+YM3REz7A1H4ycgmyYJrLfqHJfq9VNEva1xMWlpT1m
RPd0forqNNCVjywTOMWVM4fI43dHN/oMkde8FoWR7CSPdYiKk4tJKAaJqUvKB6K4qeZhlu72CV/Z
rytp3H4NiUoyaYS0NNnPdQl0gwgd3rprqm6uf9cwL41h99siVw7blUhuzxKMwBdGD5Eq1QK5Bflw
eZJFhrGyYVdCOM89D0kSUhaXkiF36+yAoiuW1bWp39eCU62u7hjOE+PSkC0Umq53LC8SPdMntobZ
JR73Q3zfgjG5RXmEBHrxHCdA9ex/NsXP2LwLgSyoAe1NB/6avLE7D2XplmzA4uwrXYDZMABjdW7U
bxCcpToAmh8G5+/jCVSM/nwutzS4arpCjfH3Kfo0HDRwKXRr1Z+DZAfWz9tbrYiWhiuiUBvTUqBe
QOxSf5aG30hvMVLCTgt80708BTTeVNqdowRq+diah3wqvFp9coz3LI+2leg2X3O/C82/MAg2chYO
soyvcbDMKC6Tk9F7Bli2m35vAvkmHN47Om4N4xG0zgO4vG+vxoqzgngM/plAMUL8zS2GhGd6M7Io
P6wfR7Clz2iTKQ9jJIglVs/XHzH8HLQ0h5LTxBBTNO8xHXxS7Qpgfd/WRSSEc4iGLkUjWruwlNL3
xiHgaw9M+V/4JtabxiZcLMwvcOdK6YAMnbLSfGR+ZuF+zvwB3QBW5o/psSzfxte/Vwkj0Xj+IWGE
pnJue+RWRqc1mXDupkCyd4Z9mf/FFcymrv8jgt+aSh1Q8akggtanjHyrzUAqBKd7bWMsDFgBjwFs
YwafZ5pAldZq0oDrY95N+puc3FHRXN+qCFSPTBn5SMzKcvsCmnuFgvMdXQnjBf3oU3qHyvPtvVhL
SAKI6Y8MzklNhlKTpoEMh77P33Uk9zGobfyjxt+7/pzhWjS6XCBzXa3fNPPsMc6nDOuq7fQSzWSe
QfeE/IqRY9E+bqu15g5RcmNM9r9FMA+xiI5CRbZz5PwzrwmDQdrhPWP4SXE/O4HaCFIZIm24TXIm
kkV6B1GOjdqYshvi72hUv60O+xtc9IVN+qMOt0lpNw2NIkMGILndOHN163Wyc9dRjpqoSLbmO5ei
uMOpWDUNlQqihvKHIh2y5lcF+hyyva3QWmIEDw9FZY3qCJL59++cDADH7GB2E6I79I26aMl1w64/
WrXphSrFo7i6Bz7ddjLCU2SRc1R/v/0JTJEva7r4As5EKnQCA8cCX6DZ+376x+yfAeE3WQcATpX2
JpZFGjNHzcnDjB+Ycxg5EtJP2rVJ9s4cjYNi4MFFY6+L3Cx+sUAlHR5GfXZH501D+rjFM1xwf3xF
gUNyRsZAP844ABrQVX4t18qliYaliY4St3ntPvJA+9T86GeJ5ic33tPUJT8jt3xrT/ZRhL+2cjQg
GrMTQDAAOgQ/Xp3Stg4t3CPMRdqAn2y3/Rj89S5ivIrxMTOAaWBfXGtX5VY11rGEdwlo6Ft7Y4JZ
U3NRYnSN2EeQl4gylyvnYynwtz9deBZTLahSjSHMRk/cLKnQy72fu7tEExTc1tZuoRhfDe9lwPvo
uYOMgASORQs55tFt/kVwcaWMer16VtUZRYGQ2IswEueEnua8DSJGmxXfBfAFZJNZew8sgf2+WLDU
lOZcS2F/qP3eNWA50+rkCALyoGRTvH0iWLcVz38ljnOVwIHSiCTD5jL1ZwqIQ6CwuZkU1PbBxlqK
ZoNF0jjzo0aHKKSANNX0afKBTlhXp7sx9Q31nHa/btv6yvsH2OnInaD3lB1qviJiGZlTty1JvSMa
GLb9Jnsut9OB7pvA3jue9BJ7+gO5w4jevfQdDU1BtU3ufDgctwmI4PH81TyvP4VbZlkOzaKzJKAm
NDWSYodW792i3NxW+OtZgxA0HsgoRrB0ER/7zjlKziP0VVH+1zu/lgBZaT1Z0v62nK9XAeRoaClE
dR1hI/+uTGZSylUMOYryKwUePUGz8psKJNLePOfW4EWG4OWgsYN1fRlcS+SWD7nfRAlDSNQevsee
9t4El2Qfb7vg+Yfjzu/x04+8CWIPbCPAtG1d3Y8BUJ8dygvZzIEWID+4FVVyv57T60/iTDmTh1KZ
crbYYUCLXe8cmvabY/hFKzCdlZBzKUnj+eXRz1QNBTPjGcioeNGEYbyx2pCcFC1JNrGTG3iS0vKn
Hpnkfzi7rh3JcWX5RQLkzatM+e6q9t3zIoxreUN56etvcHDuThWLKKIHZw/2YYHOIpVMJjMjIx5j
xY7XZu9kz7e/OWfC4vJXMM4lz0o0jmCH80avQTkmiD0n6H7ksnuaffBP+gmODRSwLMHqudusY3jD
Bu+pcc1e1ziNVsgJYNDkrgUUP1cfbOtjMnzSCCIh16vPLNHTdRZ4CyOVobkMSxnkVCBxLxHTlQG8
rvRNPL4N+oPeCVJh7nk9s8iEelsPwdGgwaJmraGpuqgWgN7HsP6Hrju+HYrXaAtTnmIWWqdPcTnN
OQzJlpeYnqG07jCAK1J2m/4z1B/l5Hly7jEvcttn+N/uP7O6fLmjYSSnkVnS9Smg8gLfoHQynaB0
AnkUlLq44fXvAlm0jRI1IAWpYEnSAyO/G5eTMr/fXgz/GJ7ZYC5/RZJqq49jjBhQ1pgqKNBw7ZY2
cMIEePEXyJ9K83YQsXiIVsakwXJiycOsYGWDuvgSALfT9A1ij4KsV2RFZ76UUxbQKYCVRNvH6VM/
ggFiFjxjud6OKwPUYzZq1Trj7XVTVOHiwAYxwAAOsVhAsUHdEaMCevtLcd3uzBBzWWRO2YUKPcgT
Wla69DMid44WLI1LhtVtS5yQYSogQtIgEAbAN4v4k8I+dxYrQsI+BkZ5HBK/s56G6h44lqzyreLr
Xm4qCIHA8oPe6WruOo21aLCzBAW09GApp9x4L76efaLbeWaC2bsEnMPpOKMRlJWnTj01wwupvAUC
cr3gSue0WC8tMffnRFDCAYoEJaf37LsOnXs3d4fXyBtX0UG7d8no6W78fYf899jutNT9/JS/5QJP
+YNbZ/IKNHcRFpEzAS3CllZmUJRSdjUk24qr9a6+tnfyd5K72WsFKdMSZJC76XNqV6rgvHFc9MIu
c9eQHk1Va4BdOzzl8lNKPNv2dFzu6by57aK8sHVhijl2wHzaVm1in+38s5PeTeiceBXI6dv+TiGv
SnoXhb1gdZyTfmGScaJc0vXSTrE69GxG5X2R141zKEXYFPpXbn07xoGGOWuX2cbCHOXXPHzXJD90
Hkn8mCebUBWcPO6KQGdIi5e0UclG4X5s43FEO09HNX5AmzdpvSiHbrHga3HiMMDWf+0wcTgbB1XL
OtiJlqNq+GH9PIjyVvon2G2DwyOC0I6vwSbvZWfHlRpiTCVUgYKWPzVRLZlvAGSF4GJExZotMWg2
KkXWgpH/SAFheKY+LUYloCHhmkAJmSJpgCZmkb1ZrBgjFk2j1K+qfjQxIXf71PC+N61R/78B9fI+
jDtFnZayQMm1eJBxT6nZ0cofY1Fqz/vc52YYt2pS6C9S2UcvbrdL+WoRNw0FHsWLNOcmGI+KI0iH
TxlWYlevUvLhQGtOQpdrztxcRGzK/SomtKdsDTQPCiuFYWf6qLQyIBJGctC72msLkUqXyAKzmAyJ
a1VRFFyHKwE1wdoQZOTcD3K2BPrfz94ATVejUeYAVyLFL4n+rM0gVR8FX4RrA4BBOtiJzhpbyoVU
N6TBJ2A6qukoSb5dHbTi87b78vISgCn+M0Hd+2wZeRO1mV7DRD3fd7bbO74OEHF9R6RNXxO/tEQz
hrxYDH5xcBkoDjpF7D0KuIyCzgW6bvG8ImbrqxWe37MvmQfEZwhbC44n16nPzDHr6wwHMrq0X2o3
h1HZJNarpflzs6lFMH7+t/q7LubyHAcb1GgLDFFZtHRN0KvQBS7HXQuQInQ8kyLbmGvMJk6BATJ0
vbX6eaxfknirR8B/P6WpIOMSGLKY1xjpx74oCAK/PG+G4hkvmLz2BkB3TcFgEnfT/q7IYioFkWoD
zQ6gt2fGb1JeuZjNDhwRSyg3QjvoVoEfChNprMfJmFJJwfkCF9dcHX3exvblHnP7ggyRG3HOzDCe
pnRpqsQRzKjygyS9E8m/fVK56RnGAPCJqUYEEvvLo1qlZlqGFNhIliIgUry308zXEnWjxONeHu+n
sgT2VS2JWzqtoE3GwR2gYgRpS/QcaGmAbZimpZZYdrcgFN0r+2KN8r8vSy7QUWttcsMAj7RJYJKD
J7w0SSPJWWhCpICUeQuT6rrcJo/P5TZqXeXN8Yhff6KStI7vlQflm+ZJfiO50q/b283zGg1pD+VR
pv8wu92BT19boF/kTfaxyiDgmW5GCSDC7W0zvBMA3CjNH1Clt1n617gbtKW1cQIqZa2Gv4f5OFui
XgQHkYid/GuEZXuFqE0PBiIY6WsPkF9fte9C60O31o7hKQBNlY+ps25zweHmHYhzq+zhnjUgo6jV
ttwnXeXWXx/OxbIsHAScbdB7srWqRh2WeqlxILpJMntPt9J2rWGAnUBdJzNB1NzLTiE4hbz7EiKc
0DfBhCiVk750yklboAtlwmbY6eXsYl4jHcApKhHPSjp7bYyq6tdtndxBCxp13rlQ1rcdhn8sHIzL
Y2gL7NvskH5T2kTPlxEYyKMce9FjOXj0GXrvBMt94iXb6NlZg11q9Ec/DsL7aivKeLnf9ewHMBkv
9MYlNYLYKzjdYpde34OoGsjprOLLnplgdtmS5EKaUrTKp5WyMp7i5zj2B1/fkXW9xzDmEnvWzos+
5PfGxcjc6vYO824/uJRlYMQJWQpbISyKOtXMGMb19FNbJHcZXc1wnfLFELEwcw//Xwdmq55A3LWZ
TR2YVN8La0vsj14kFc+/Nc5sMKeQjAPYORfYUMxt3Cru2BhA657y7rSg9dOGfiUFshr8wxbilqJc
eXgIa3SLz0J3nku21ucwqiMtzrWAIICGTu5K+ataCpJkbqCmnX907tC9k+kmn9mSC60foKiGylqT
+EtaBvUIjQSStV4NqRtBOsn9YmfGmEt+qco8nAh8Q65Ps+5340tm/5P7/Xe+2ZEzKYqtvMxxvBRS
gm5Kci37O4oknmFiCh3KsLe/FDeenZ00NtUzSQfQMBY0J/pTbH8szTtERh+KUt7LpY28D2OG+tcH
XOjx/nvCmAiCNvIUt3QXexmziq1rOp6WPAwDcAYft5fHP8uA39GUhVYZLp2jwzyC1pkTKj+ASFrd
fUO8wX7GQNIQNoKd5LnGn3EkYHwUyg96acrM7DnRChqXwQyT1WNAelQD1NfbC+LAe3RQwWDq6X9m
GA9MYimt1AZmpE14V32XQFfyqDdBdhh944QxikIEQ6Z/kK0CgXgO4+oooNAC9uW6KtkoQS89461u
fU+1zwmDLCQ8tqagUMP7UphCxoQcRktBisvEqb7tx6iB4q0XSYc+2srqfT7u1eqhNwXoJG42dG6J
8T4Z8LU+7qhPKPV6aZx92gHNq5UaKP3q3lcGjF1WZK1iBHNq21+18X77E3I3FCsEthGVL5yuyw3t
G3tZOoduKFjdHUn3IxJ0ON/R5207XIc8s8Pkz7Yk5UDSyNhRe58aez1dSSIpZA6zALzxzAZzvgpl
XoCfQ44uP5gPyjYeXPWh/Y1qDkS6nzrLl17CyF28xEf1Iri9PF7kOjN9JcM8mbUWJ9jGaXibHbRs
pk0KivxI+5zR9Vbne1n7h5sGU3mAPUMUB4AGxkUte1ZHJcSGFuig67NnKp8xpGLUxLu9Mu5RQNsG
uqYU12Ywdoo56dXUgINmywbQlzp5lsagrY+GqC7O9URahMF6kEKzmU7eR20VpSpOQi5tzebTdoaf
Tg5O2YYITrfIEnPmmjxM5rCBpVF9APepXrxpreVhzEbgFNzMUT9bEpM5otKDGYdQwZKIfbcMlauZ
jTeU6Uvd6o9N1h8SuQZ3+LNav5ZJfDJwt0nJEoz2h476w1w3wWImnkXSrT6IOPREm0AT67NMpc8N
YuoEvw3M8q0T1PqdHOPp+njbe+ixvorXJsZwkaZAgoWteEfEGVVlABrSnr7l/ecweEu6lclurr3x
121T3KYYenP/2WI+awzdFRCXwRYYyd7xTD9i6qP1bD/qfDxDfIzEhKlX/RDxdfBeIKBjhfQLkj7D
Zpup+pwqow3CWS+bjpVyBOGQe3th3C91ZoD5Upkm1XNGYICYuQ8x4bnzc6Kthn+p6p8vhMkZLLUa
CrOHHSP5lhSLa6Cgkf24vRZuNDlbC13rmdeBzQYDAdTG3Bdumr1PdeRlSgy6l0dbBIzh7hvmD3Uo
UNk68GWXtsZoQJ1hhq2mBmn0+9S6MiS9REAHroefWWEuNghNjWgmIfLHOLJmGnShC7xvL5/scKXb
z7e3j3vNnBljbjg5ykdNoXDqRL4LMV7UYsJp5SjPceS1zYYkH7fNCXaQLdWUePqqxvwnOXjvq/WE
Kpf2HIl0PPj3NtJiig8HCx1bStbrWVtijd7bxd5aDe9yACE96IOn7nwq3fZkrM2n3v8+u18XwkTC
8NcwW1pW6grSlBUMt5K9XhQIHpjdXdhZ29vbyI0QZ2aYK9RI0FkMwR3qxT3BMGDpqm+3DXDf1ecL
YUIf0bQi08GL5C3qp97LLmk2o/Oq648qeYuBjIUmpl0JbjcaDi5DO8g9kTEi7cFD9wpNCcDkmGR1
VHiJqpJVZ2XRuz1rNQSem6/P4MAUZUsEZtCitCSXJ3lyUiUt07gA8ckwu5ZSJtu4Nm23Gaavq21g
OAovC0qvoqmgnbw0ldaaVI05lJriuW73lW3WD2ra2T/sWgMy+/ZnU+lnYbbQBCcd5LcBxMHMABOh
pqRDg74mJbCJ5bNzrDaTbyh+n7uJ26ZuduiCcJUdorXtG0EeSJ/2W7kWNSQ4n/HiNzDxS8n6boxG
/IYhPRjGa2x9ZOU/bOqFDWZT50yO+sqGjaU8hv2xiVdp8nR7L6/PGKZH/m4lm4A309J20gIT+jKv
FCXfzLHofcEzgRehDsp1dDwwtXzpGtaol0QPYUJKrVViWqexzASr4HQ2MMp0ZoO5H4euyctOgg0S
5HGQnooX+yBv1ShQds46dhXMIYg+jmhZjBO2iRVD1BQmc0DNHMz0DqI3Lv0LrJufL4pxsQiM0pVE
LTQH6ynGmLKre8aj7ptusRr91h88+2jtSk8WtCg507KXu8n4nZRbiTPFTenZD/lp8JHs2h/GXj0l
nr21ghzmnVfldbgLPRFp3HVWAMuQvDRxv4B8lJ3GMY2hA3srLJsVKNzK5/S9sjLXmHyQpsiTIKmi
y7jaX2h62ZiERJxkJ9wRXpy8b7oSbZvjPFBpwMiXI28yfTtcz6G5BtfI7dPGCxpYIIqqaIoi5WUC
cp/GlVNXGHcuQY8rT7si/Q7h19s2rpMPWDizQf32LFVstEZyUAzEcYPAzefQvskRaJhEB46WFJm9
AxsjXieokmFKjO1jtkZnq9AeLL3wRd7VTyZ1C3UF0Q+kqF8GajsXppgFxaMaTg0VcSqMvQSy5iJ+
Mhsw/DuuYu5RCCfLl9FfuMsAigQBDRpEV+RLuTE4ZjtgrrOuj0QD/xJGmQZIBdUiKmrOp8JEMWhu
ACU1NZUtbEaqSawyGwpPD2t3TsA7syTglUGdQCePt72CE63OTf3JhM68Iqz1Sl46mJpN4k5teZz7
+uO2CY5zwyNQ0jRMG/RRbBcUxGFjG9YwMQ6RX4TaKQPAMc5EtH28WA+lQU1GpwB1Fazq0sH7xJHG
KJ8LbxlX/fKY5HspfY3UraH7dgJUNtkvGMlM7+v8RPLn22v8M5PH+D3eq/hWVHyCcvFeGgfjmZXF
oV546sM4u5U7HextkK2zdevGszuvnAdpW21HF0xqL9JaNE/F+4poZ9FZPjosxvIyy5JkDUlmgJQZ
w2FFjyORrG4vkPcRoeEM9nAH2mxXsspGb1QhVFKQndavwPEt6oMwVeToITgUfotOOR7/VILzcg/1
ZJjNQjELIMP32ehDbW41uNNDcrc8dLlLpNV3dUM2t9fFkX6CUSQ6NoIWgABsRWWpjaozCBaGOU+3
32GkqMOAYuL29FMV7nHw1bVzX2+0+3DTzJgYK7zMgzo3hvBWoh/Du2AvfgxNcM9OY7YUTZ23+DFQ
LVEcF93n0Iv8zO1O6WpNfPndeky8KHTTxLv/JdgITvJ8YZu9g+wyUbIStof37HPe+UoUEFc/9R8/
7V/Letq0XrcZD1BESx8wplK5ilf7t38Cp+J0+S2om58tvydgoGzot6gC50l7H1ziaXfGGk7nTYF0
96A+1AIYA+elh4ckeEtRIwUIT2bPbY/LHq0JQAmVbj3H3hy0d+V+PrZtkJ0mgTHOGUJggJ9hfBt8
rFfUB1FWNUtTIxBmG/TA3WXZJKia3t5ETigAqy4osaiyCFAEzGe0Ib2T1LYCF5oVr88C1NgEFnif
CV0cSgBvI2VByfzyM4VhGbdlZRVee9+u4zd9dMOD2rvy0yl7jwPw2qE1LBL44h2NC6NMJq9KcVHa
BYyOXruONoprI//dtB/1m3WnbtSjkbrNKr4r9gqinyDT4BSeHYwvybiR6XgA8r/LFVvOMtVhYRde
54drcpdu7R34qaYf6glp4UP5mvjGNvnI3pKndC3qcnKSAROdOQX8ZmD+wD+XtguiNFocxsgNy7sw
vk/IneV8jqogDnLchjIyo98DYDtGIZjYi3GSssvKDE9nDAPo76YIL8TxfdQZMJZqQ5/tuuRQtn03
Z3pZQi2SuGC2VcsjSJhvuz4vbwcSHJ4Pjn0Nd+HlTql5qJvjQB97ylopnkd7XVlvurmVjccQzIeS
+eWuMOUex/vSBmUZZVhmMg5M88oLUjOUD0FMqQC1ppQQzV3fXtXVzjFGmNceqRWnCycYMcLO7cBW
r5X/AOeCEfD6ARQDzY5rlRlZoaylEwYOUhUJiwYimy+LRf6xABuySUHhbDuq6+s6GVRg3Cfi+CXx
bedRyR1PFrzdOLuFuIfJMgx+UfZ1NjZVTY3sGUDNlnSAtk/uOL9FX06GwBiM0QlkKfjqSLuYwyK1
VWw0FFdRxtoDECq+UQLgFwne+bylnFthkoE5H8M+DakVLduasrxWkv4INZWv+xdVvjOAOsCnx3P3
8tQME0qR5oKy/pAbh27S7iwLjd6i/wczYKcDowEAzhjWYMzMi6SajUG7SY3mIoxbRHOlTJBBXJUJ
KJUzzqJlWpgGQZy5XItakRJ1TJPS7UFhygFZwjKvwXzqt3n6OEkAzYHl4vbxvAo6jEkmBqR2Tayp
s6jyjO5VcpDU36Ow87MJdYp8pTdrIxHcRvQvXjw1UCtD2RaXr6ZQYVzGxa2lgmhNB/yVbbdIJZCQ
jXUADYi1udiPQygSnryGVFB7uOfxnAcEC2/6y02F9mof9hT7MoZk3ecQRtoVkJNF7896ybJXRXmI
43dHpKDMWyVGSDCmjNKxccWajbtkTIoGJSat2UUxhiQ6t0327eS41SCoa13dsFgg5hUoZ4KKsSuH
9Zoyy0EtCFO4+reFFh76HEKAEvnsne7htrfwTKm4BqG8i1sDvKWXe6mXVTsaA7zFMAfQuil1f2fH
c3eoWwLAdTT/Q6QCkwY4mwFGoUSxjL1RBW1rqOJANKoZgGvGta3UJaLnJ+9bAQmIux1PUECxmJzT
cbIZ3uNQnHNm+ZkVQV8iLx8SJQdDIOgt5lIkCMC3iHlbyJIAxMl2MIjVQFSR2DgDg/E7n6d1PM9u
ZhhogtrZqjVFKGuRPeZl0k5tV1kx7JG2+lgMM2jLaUfpbFowAZvQJrvtJpzQT0n4/1sec8RnZNck
z7ChdjmuaukZow+rKgn+wQhyPigTQRbjStalrGbHrugapkzdEu2hG4zAhI7IbStcjz+zwuxcVPRN
lkLnDLgMdSU34XsPBgdt+Rklzem2Jd6mocWEoIj7BWr1jK9ry5ymSzojEg+P+egAaya5sSj4cm4Y
1OQo+w+uF3SamGCopzpooSS82lJZ8WP5TU7eQvSWyrB9IAlwvoJ4wTUHkQjQUJmQuWHxefMUQ8So
prfmUu+s7JBrv5qRBObvGlSDX9cMRyDULAtJABIb7CKzuEYee7kdkHFkjvNTyu1AKxPBG5jnDkjP
wF+IqTSEXcazcYgwD9ci1uLxupX70u/H+RsquS54/AT3JM8fkD9ZKKjTRidbxk8UosylBURXam1A
p+fm8qZVc8H1f120wp6dW2EuD1NPitKhuJ8u14tfEmLDLpy05lSpw/yiSIu1QU25XmdjmqMkabX7
tEaH0LWMfrwn05S+mEWgjsP29lm4es7RX4VJPLxYwQMEssXLe6bP66UEvx7KGk540pL6NJGX2xa4
HxKKB8CN4hoz2REaNTJKZ26ohYRkyW6QC5CeT5pCYjetjfB7F4OH++sm/+iT4OqEaIrOJMRhp2lh
ayAIJ3nxPspvS6Y91Ogieigur26b4vkOmjEojuA2A2UUc6NZZCjDKIWpjBgZ5kv1T6crdihyf3lY
Fh8K7XHsH8ib8S5iglbSaQBMTCBiK/r5oyKYlNdmkQDJdZGL8VHGiJOADTA2cRIksgnzEbxAgQka
eyMGwMaviObp8boVJQW80IXRVuQdJor+6p+08qyYp0hRYy2Ghsm8ptuCUGK7JP0hzKfNjLgcNv0u
0xuBg4hMMg4yVOYclhFMglnZ7XQTYo8/uxBs5WHQW+sy+YfgjMeyAZF74ClQGb88ZMM8D3oEcWKv
AyF+b8nvpVzvqhptNUu962bgYgsruO2X3FNH6yg28n4oSjMROibLZKQO8kcLPRR9kVdzUe71CqVy
2xBUU7h5P4IHvQxgEP+/XJ5qpRnA1DgDIarvWja6OnIFK1ql2c/JciXtnoRPlrrSvzyGQb0VHgOf
+aNTymwr9KvlJdPxFfXWcpWyODVdtgp7EdcNL6U7M8Ny3bb2HKk99U+5iYKoe5VQdybVKp4XzDwJ
riLeZzMgZELVxzGjyr6xI0NSgMSlCfIUYqIstH85ZLQ8qZtid3ay9W0n4Z7380DJeEnkDDYwN/ha
Zq/dJ81jZVsYL6nGdW5EK3XJP6bFeG+KY2rG/3C9G5DMwCMKVy5+w6XPpD0UcAC4QM3Cml3IFgB0
luKqB1m7aKSAu0i89VHiwcm7pkK1Kwnw9AUgJrPrbGU3m/nY31kdUWUo3I2OuY6HtLVdc1Sze70z
4kc1Vvu93TexoE5z/XHxnMNhxC9BCcVmUxpDG8FCgSzAQ/02GE13DitgZEFuJOI1vvZYGLJRcwfb
BW4N1pA2jEavOahvhu2hNL9NReTm5QZPVeBoBGnN9f13aYqu+Sx4gxu81iYdppS5cQFndiqkUaIU
QmSEuZYGw2iJQgFABfQh2x+ONOAJJ0iEeDbo3DauIPgkQtnlQhJ7aOQpAkggqxvfzIdNYUFrXRIV
SThmFAWtX8RltJGuIJezghu2VmQU6VvrO1AEayvEkYvqSBBIBHZYhCWgyxUgqyBmN4vZjWtp1UpT
EBqiOVSuGcDLafzFTcMOQ0jOMEstMbFrcwg9CbuyIVnxRx8yFMwOcI4xBveRqFLhCh0PXsYJItLg
DOdOCUK6GqJzgW1B6uHOrhLfbr6ZdbyyFeJhUPN2iLzOFGiTAy85FHHBRc4KTJlJG6dhAqt2nj/X
TfOq1rjYZHTm5RKa5hD/KyInuG2TEycwVoJsCKs0UYVk7rVBi9K8XxIoI1nyatB+5PO4XpCezMa4
um2J/qXLCiEc8a8l1kvCpIraaYKlzn4Bfz1unUAKjWCZvhkqbvOAiLo7IoPMhZN3VRiFDQxi8s+1
RuQE9+m4MtU38ApAifrdMr9cVcAKwdOFGQiKSmAv1N7Se2NqswqDr0BXxA+TOvty6A6WIAni+clf
OyiyX4aPpqrlOjSxsFSBEN70pjsLnXqQQLnmvNmSSN7q+twBwgGQBVoXoGK4QssaSd3bDjqdHjig
X1Caqd1QTf1Sq0dBpsw5drCAWRo0YyhuhAVfpoYS5zZBIomKyk6z08jNMKkWtvG3cBh/LY76Ghca
5B/KkwLOmNvuef04VfDhqFQx4GiYuWK8xVriMY4aBEti7tW5drUoEli43kcFkyNgvkU4po12JqhA
9wGFhh7xq8a0vzvLYxpkXeFAEL0uBaeatxjUjqE18CeasC9tdNRyKVctwD2j2oUyh/D1ds0JgJse
ZIlAnAE/hdcUXezZXdw3cpY1IWLVZIDJug6NvVUY3Uqa02MsS8ei1Y1dqI4HMFPubLvZSmr1Qshy
V6tR5EslYk0bn9BD0pH+DbtK7TahhIwskjURD+L1/Cr9qdAEAoaH8tOzwLWxGQAdyuLKayRzVSvF
Ro6B+zNlvx4cL5lij6ShJ08/owW6AkrkOcOXkZS0VaCpqC6BPAIPd8a32jpEB3KWKHZzF0HnOGoe
wb60vu3AHPei5CGg5wYFHOQFmEhe5AUp6hkK6zEOT9jKaxOS2Lpo9v0PxpoJ49AlBWsXeJzRkWdr
A22uL6nqIPhMK2gF3/+Y/OJ76za+jSq0u55/Nm+PFOpb7g/ZsXHz1yfpOd7V3yxfCK27QnXSXcVz
E28ySNhfpfV9SkpFy7DgasqCsn+x5mbBxPW0WUjjN03vY/7vUakb2zVaUajibjYeatQ6cjiWAgBp
N9ESA7b11Pk+Tx10TZV9HovAnZxzjCX+NcNmvGXjQGUYZpIKnabcvO9i0fgP55akzUmMx6t4K0Cu
/PIg26BqyAoJ39NsHvXwfijfNUC7pke7fdf1TR8KckXOA165sEcvt7PA0c2dHc5JCuJO4lfNfUY1
MLxJ8ccFKn3fQMUEhgNp2Nw+G5yCKKzSmoFBYSQOSyyYDbVD6iavPGcjdWv7QQ4qT/3Ae8j0db/Y
Duvs56/bJnkecm6RWaeGnKqoAa7y6kI+zhokiyLjmEjvX7eCxh1giUB4oq7FRBaTOACY5hC2NHII
Q3XzljStj9EZQcbBi6FwEGh1oyNDJWaYcN85YzbZU4WvdowP02rYtgAcKt+qg/4zdYWQfhU+wMaY
c2uM20NiNkSVHNa6VedLG3OdrJV9s1/uc0h5AgR5ew95h0yDahzwlkAZXTUYxtSOCfJ5HLK5dLX2
N96utw1cY9MQqc4t0PWe+bxl1SAGKmBBg37BtntXPQwIUC4rU/Gzw7BbvO+oH3+9XwdEC24cyE3i
hY5a2aVVNVUWezBbxCj5WTF2mhqMucgvqBezXwqgBgw2gQ4JJTImeoRGo4bNNFZeuU2P9t2z+Uvd
OvfLTn7KfM92Wx/TQJ6U+Lc3lHe2AKmC+ClaQzR0Xa4szOa4AgAAMato/LIxMYKPCoewQs15G1Hk
1n9mqOOcfba5jKy4qQcEjWM1u4OPjLDy7GegCrO1dVcdmldzQ/bOdhGEjj812utd/WuYOW1GjQGC
usD61PW3CYaXY3kYEbVW2hNKZr/rA3HBThSB8kA9onP+Ju2Cvvfy77M/u8ZWCADmXRHn+8AcR1NK
zUg28XO6NjA21hOUDPamXwfqU1357WoKQOG4IYfkmL15WSc4PFzjAIGhsQkvwwvy8iNEpl05qBLi
dJr7Pl8XLTT/xocs9svwN3TaChF9K8ejgTbDmAgePBD2YYuF+dA0upOBIVRLZM/qJ1cdH7rqlNgJ
FGISAL4FFyLHly0MIgDiIWN8CkWHy/VJ82AQVIMq0MUOEDi3fw4RUlVN/fIEGG4+9I2AQaPPAocl
8So1pQ7jRKbP70baLaPaoSVtTIIn8DUoFWYocwtYABD0APi9XE4KeSezGGcczRf7m3XofMttvfDk
JO7K9Cev95cdHVW9s1eRCA7BC7MXtpnzStJmJj2BbdVrP4vX5pCftD2YQWw4qVN7i6cRt36R324H
I/pXmcN6YZU5rHZG4DA5rLbFfhpeKxFjPOcAQFwLlSjQvAHuy2IU1d7KKsBxKk9qglpGTyUDnORZ
aQ9xFqjRGhJvt9fDy5UuDDK3VZ1lTlfX1ODeXHcH5WDtl70TSL9bf/Yx9yPv281tk9wlUmAJKicQ
2WVBEsAUGmMnwzetatr1zrRGwwwUTZ+a9QPvTBeE+WtQ2wjYHrnfDTRDFjrSlDib+W7jUJIxw7MU
KXy3saLxvgAxzu11cT0SywKfNYCMeKswwUvvtbgy8D8vQllc0l/zZIuh/g61mh5Coi8qpt2XE5Q1
ouR73q8HJFeizJe3yvNfwHzMzJiGiZQ6zkS4SDvN6tWjToyft9d5HTOhmQCclaqDjRboP/ojzi7K
QjLCCMRFNaD9T3KJ/u2um/adfpTkna7/vm2LZhSXx+3SFvPZAFmQqoLG57n/bunrEnMn00FJ7hwR
JaBoUcytRyvAkDaEoQ4DYvZ9Gr5AVGtMH6vyMKlfLzijJ41eO6rNDmoEOv0xZzvoyJjSyoAT9eLE
3lbxm6wZkN4F4Y8VA5VurOfpJ3ghnkJH5KJ0uy63E1iUMw9l4nWjZQrOADw0zeRAwr/boduCWFJw
i3NSqT+IF4zAASOKZPFyfbMjz8nk0NsHb+Wutj0FulpKciSVSGeKtyCKrfmfpT81xrOdNJolSeJC
qUACuGwKHbP1Thoso/l42w15C3IQqqCBBjILfLTLBeWZQtIeTTUvQsvScqIfU5PcySgwYZxLkCFc
qxvR5ActfcAxoO8O4tFLWyYGZ3Itgi01rfd9H52W2VxbTeGiSLPKsm4jaycFk8c5UV1nuleVJ9Ns
DlFruET70WSZYOm8J/z572G3GEKASdX2+D2LEb5VgxLojbIz6nKXZvGpRbskx9iBhaIMQAqxO5Vf
jjbYDgyFoFah4u3B3haQIZgzCGyDhKJ13ELZTgqYZSARl3iFhNLFx+0PzfEnKAyi4Az4NmjH2Lxp
gZr4XNQJrC2T2+Ek5t+XQXAViWwwQdoIQffrhHHtNUnpLuG6nCOfzCJico7LXqyEcdmI1JOstFiJ
nq3t7kPC9G7ux2lwe79EVpi7IK6dvtN7rMWcwbYFbOAWVVZVxJHD3zGqowqyJ3QLmCNhK0tqwQ1r
L1dAmKBvwCEGzMLqX5bynxGWGSee+lFeGvrppbtSPxbWJp29qRegE67vGbgzyvQYDwbHyhUNISmt
MJ0sbJjUasjLu22tkUOv11CcyVUP9G9rdRR1kHjbR/scmHzCYwCCfJcRJU+trHEKXDe2naKd6hzk
olw7nfJyewM5yYeN5wDm00DOhFIpY4ZkJFXmmsAXTPVuXjChGf64beE6G6DFPOSNDmpT6pXqUDy2
vdpoeD1ZdgL18QG8O1k8FgFE+b6Nc9ojLkYiRfRrD6d3NTCMaItZgCkzNQ/DbI1+wQMdKvTydpKc
PXG0h7Qx74Y4FnWlrtengn0JdT2AK4AuZJECEE00OkdHLt4l/uB86FoQ9rtR/9aLZMO5hlDSp2Nq
CK7sHZOEita3FbLhun+fzI8Qas79a6PuFhHNz7VPYEV/DbGXR1tlkL4ccT8rzTum0yEZtr7tEvTo
X2Y0Kgp5QDShmAcGcrb31erDUnWdiYxm2i/dySzXUvzWRBsy7mt1H7WCOQ3exp2bo95ylm9UUZn2
TQ9zeT17s7xd5mYdJt+kadOlIlwv1xaG6TFgAJQywDaXtobFBmIB+HhvkV87O93oxvJQaU0gNb0L
aIwg77gOEioGlygGH2oW+Df9NWcrM6QujSp6K41j4VrWarRfwjq4/bF4ZwkpDa5X9BB13WDieJVC
tbkaM7wcqt/G/EjSA/gtU1G44/kchq/AXIEkFKgOZt8UhRSlZlEryoMJRbxufLi9jOsYjkcJAvgf
wTVEIWarepnUZU3S+v9I+44lyXFgyS+iGRUorhSpSosudaF1taAmKEHx9euofduTieQmrPsdyubQ
ZhMJMBAIRHi4+7QKrPqbHv2IzTsj25eQsslldd01Lzg2JrwVUEdOhqHAteQsppfme2I/EBCF2+q+
k9UC1lzARm0Ko6tIP88G0fvRGSuSYOMacKAX7dbNgUNJZInJqhVw/YInA/kcboxTR0taStARhuCH
qzzMbu3p7qNiq97lT7TmaUgX/hgRds1pRs5zByMLDifdd+mPRTuoWi4xs/pxOGUrtg2IK1GMq6rr
zoYKHj5OTq5KcGDsUMHoPDOePuzButHjqJQcoVWLBB1QhDsVIxLCEUpIUoF/FNdRVP7k1zlYThtl
r0AntKfbf9jDP6YA0Tj9UMys+i6jFO4w77p834y1B1HZJJOYWfWHIzPCcbUi0gzDCDNREVrsfUge
6/Tl8kpWNw09GRvNM9s+Q0m7WWK2AOzXvq4/sGzTk4PqRsCF+pYMj726GAQfyI0BhQl5xNM9S8CW
MxolFjN26QYkiH6GOYEJXL6XF7Tq3kdm+L8fBeuiHB0r42ZycG4WmT+l4axZXk8lHZ+1UIq0589y
+MYe2QEjWqFrOey0JNkbg/NSLfG/fP4jE8JJRaE6rtDcgf5P/EjSu9S9WyZJvWX98/+3CuHMdKY7
NIQ7cqflmyS+GvJtE4MO0KQekz7fubuKCcnRlonPiNYtxq4xYWyoEtCDjR3qt8tWIR/W4ECTswzZ
YoKUcsggcM92+eL+7/ZTzBosG/PaTQz7CK+D/szMbdTJugsSLyfCC1YvwPTj1LBRtG5gJ3dq73q2
DP8r8XFxuqex6KipkP/wtThw+5A5G6IfbFkBadU3uOQmuAEAlBIBLoY6J4k2wcpY/4gqr5lDVjwU
UezbkJS4fGhX6sPIG45sCa6eaGM62Qy29K22GQ7pLb2l39BR29mLByoPJA/3w85+vmx19VvxQSxs
Fi4o8YpKTLtDDbJGeFWfDVAQlr9sWQTnv/vM5Y9M8ChyFCWyuOgNJ8K6rOrFqT4n7Xvu+sx5ckbd
Aw758npW6lF8F/9bkBBio6QvtKLBgmoQAKWe/l5dtZ59o2zTwN0aPy9bW3eP/4wJgdZmUA0bTbxp
W8XwjHQIkmnykX+P5JOSl8u2zgm88PQ7Xhn/MUf7mPdTR7oExiCLVoaqn76Yfhzat+zQ7vK9+03x
3JCF/UHZGtv2MQ1qWWom+5CCg3ZxzNSGYmuTluwAYGDTKwFCWDPe9fqG6f/w4jherhCWATXM29iE
Nb0yPwt7Tj0ArTZzq+0v76vMY75Abkf7ijmlGuBF7Gsfh230TKrABuppyXbTEFBrR1PcockuUmVT
RHwBF86FCDJdtCkhNZhA/KjNX5ib7d3pmUTcJkb73Qx8T5nftP/yOPnveBhCbIawdZfEOYwOY7sp
QVcF+WJwJejd+1hSrxwl5VlJeBFhJxiTanKVh5cKIpgzSDXavn4sFFuyKtlWCiFGV3qysBJmVPqD
ZH7dH+whQg1wBwnh2fU62ftBtiwhyMRFnSiTAXvRjIGeW0qf9ebpslvyn3zJO4TQwpqiRikJJpbx
aZo/jVmS9azgq0/CyRkC2YliK2Mw4Ez9yzIrj5qbebWWPIChMJwtcpVWd3WBUcHSkp24c7DmqWkh
kLSO3qhZCtOWSV+McrjOivjKtudDYaaH1lX9pa48qlkhmVTJ/bAew5DlQ9oCE+tfweDosFfgCRmM
HpdRpph+of5Qs2SblMtGW6KgbLMbUJdIakKrvoIEAmNReDSDnuQ0bBuYFJyKjJ84MoZWM4aVZoJf
6l+Kg6Bc+WNGONjm4LRuNmNP+5RtSoh0t2MKnXc9KI1fiSuj5FlpQ+ETHnV5hVVZePmlZomGaPSh
JF76UT5Y++am3cVg5tnjBjpkk6e9Z3sZOmD1+x3ZFZZptb3B1AR2tV7z+jL33WHb06BVF2jBveZM
kpStXvBH5oQ2iUmypdMVNLMjiBIDO+y8djRYuo0hu1vXIthxHVk4EppSVVSt4JeTnm+TOBghPbTs
UGkJXcWLE+R/mBS8HGHW1nZskv+ko6NglnHdFClqBV3xu3SulOH31H8DRaifKEZw2dTaV+MPXg3g
bIySi0Kr7cAgeAR+LX/JN3YEzosP3bmOZrqBXKETy6iYV0PbsTnBSUpqG/XQwVyDLMU290Wie4rz
4ABltLjX4MWvy1+DZUkWufYiObYq+kpS9HZt8E8IRNO0ZZCBywFYsWREeGsB5diOcNkZFGPPPWpL
Ph0/ctVXk/tcRly8dvnwmjmkmdFQAyHeqWugfTLEVoOYRR16y+roEXe45BKQmRDut4oqtUP7Fld2
HV0DDBGCt2Zz2etWN4pPooLylnPICA6OQk+TVg4OrwGGBC1579TJy2Rck6sH94+Rs/krFKdSp5sQ
kOx5/lj659RN9imKsNNnpzxlqfbggLLw8rpWtw6AULQ7bRejLMLXqQA2cKIOXyefP1r33vx7Fgv0
tI7+/8KnmdRqZgpP2lLL2jluepfk6KXHUGqMZlk9YvXQoNGJ7j2wiJAXPvU0CF2mI3hQ8I3A/gD5
4O5+Hodda6bbJpG1tdb94Y8tUe9ysKdCzwlsqTUy/fr1/44MS6KqZEHida8inbFTPEABwsccfeE5
oN4ZIJYteR2tYCvxkcAGjC8F1AlIEE43Du1g3WFAJPvzA1gyoodg+kEP4BiPNuW+eo2306HazkG+
j7ziIAMBr4bzI9tCfK2Urp8dA2uEYJXjxUXiJ2WK2bIp9Rd38uq82I14xFz2+pXrCoSGGJAGtzmQ
+Wcgm4pkCUbcALouwhRqrAzsXV5LA8V9uWxo7UEIEDs4gIDA5cwSwvnKQQZmlZYLMCAZQnMut0qx
bKIcs+ztsuvNX+iY3xLUtbLZus6IDAKwtk5giQA35mQM+O/ph7UWdazGDIAac2iGwCj0KtTG3PWG
nPY+zlEVqAlYIy+veeVoaODgAT04OhWI+YI3VUnk9IAaw2vtZF/FoEGpUMwY/n56VD8xIziOpVXz
Qm2kHEBZtnrpmUPsjbIBu68WkfB0OrEiXMRL7i5xzC9iclfeFnf9xvXS8L7agKBviT1go/L77pPd
gIGFyLgWV0IzZvswaAGYAwY7RRypXg3VHGno/RURRF3c5XOcQZhz+VutYHKhWgDRPHRhuTqO2EVg
C+msckAjzprN+5IB+wVr/ZWjOdVBmWdUDyblHmU3+0pDKufrS/Yd3B5AiVks99KYU9D9PRci/0mY
CwDREngmxD57PetqORlYNyM/SPOUx3kApSB47+xFliu5/9ac9diYcD8N6HKrtQVjUzwBH6WQ2det
lnhKMn9e3uqVyx3LQqMYDzfssxhzqga1GLeDv7Yzy/0iweumSFMl0GZl38wp2bSFq3ng3vvVT/T5
su2VIHvixdzVjtLzilmNlfJOAZnvNd3X2UPfPer5dYnqnxb+72wJEa9gjbZMHWzF03hdDZbXZp1v
si5kWXKfMXdb60zyEVfuyZOtFZbXV/MAxkz0RpXF8jFpbUO4vDdCUyZatRZOjz+hsLQ5Q2m2q9Hc
i+fu1ubSzFBUqltfAVf2SHeX93HNX6DqjClo0O8CpyMYS/oFIpPQ/vKHroMuuqGDYlW1phdaYbpQ
NaufaQFVCdqy7JvaDqWk0rC2pUBROhhuxMi6K07M9xMosodJAQx1qVsvW9r+nvRdE6Sk6vxlmQaJ
vbWtBT0F4QRrIKYX6SLADMFiM8dqG1B9sOHF7Q5DtNPim7SXOMvaiw7zvX9MiXwRCy1NkpoIeeZE
Ik8jzJ9p8kZ6yzcq8gZU2RZw2x9zre9n6Mhd/qirxjkDB5gIwOuGoHt6Etump3PDGxiAZEX7YjbK
DS6uN7uM9xlUGj1o8RA/J9kTdd2D2sz15vIPWNlnyJhD1wXgPGBOxSjEmN50rAHnggsK+dGli1f1
lubZVav5GJYAnZ0lq++smuSPPzgyKObEMlky2TEGqsvSn6aNOxww2oe/jxnkHLWsPbS2vRgC/s+W
kBSYqcUyy4StGX21MtlVLAORrq8ut/0SGMbDjEPbKpKI93UjCUnCiVUhSbBAnke7qUAQKHOeqU92
dqNrtPuIIme+qS2SmX40Tk69ifsBrAaFpUb7WNUY1FOKKlgWXcPgnTKpe1djLQNpdOdgosgYNBAt
KK72I+liK9QaxRl8SqMO4++6Ue+iPI2/JZU5F0Gj9MkmjRj5uOwuZzkIijpIkOEvwOiAeIp/26OL
Q0OHJi1jipWpxqs9dw8dSDT+3oQOiiUQZBo6zoVgQp3GYQKlLprk9YAj2GB+TIllggpnPoh1mPAL
0PbiaQhC09N1tKlNa8BkIRlTqJ4zPhtVD0bAR8U0/MWQhLKvyCy6A3RpbB47QSJ9FsvmjBFjQNvf
2KAwHO21AAm4N4U/tABSbJvhIQ6NAxjDFIhFOV52yPaYtQzLHRKC/XQ1h9V28IbwSb9unipf9vRZ
SQW4aM7/+3Fi9DM0OioKxyQsBEOHxtPg7vEjE3M72jcVk0CQ+R11YSfEWh24yImr8J2AtpWue6PS
qr+0sXEeByUt3i/70dmNhU+MOUSMdxMwK6GccfqJ06hkUCKHJtHoPFnRb0ULyuV+mF7+3gqG5jif
EphAwetyagXsRYDbcGUgNZ4eMuPTpNNNXTmAWSyyq4JHjZPN4wVVnYdplMc1QL9OTTUmBh4rG6Za
3LvTcGAGTvzOpTvFvNKIPy2hZWFIaXzP7Kvyr+dqYBzVAFwRkAIB9FMw7g7QNgDRKGT1KhB/2Fvb
2XNC7RTFm8sbuvYCOXFIIWTX5WJbJXdI66FNQu1KDx1o+oEAEUzam+o2CtXg92WTMq8U1jZjEbTJ
+fmMH3tzX2vbSMYDvUJjg5N/dMyElNQkoK3vRtiwn97ScNmzIP/Q/eTuWvPvl919BP02z7xON0YY
S2546YYKLkoWFw6jw/Tw235e3tjdJ9onWzQcDvfldgI1nOQLrm8nMiqMO+LYibFVrw1UAwakFAX5
PVX3oB2UTnmtmgDtNydwsjFdIJztwaVZOrYgWlTJDHJh1cNrOcxrGT3tChsFvhqA/3B81EvAp3R6
5PRiyPXhyzNSKKjP5mdc/SiH4lrvEJHn4mer2b5mZj4p892CQYo4T+8v++a5rht6Gl88OwD7Ei6/
d/oT8kLttdbgzgmQbIhxilcVSm8b4o54BBQZONuI+aS2TgE96vRqIqnyboNsudQGZAggm/Uv/56z
qMp/DgpHiHUQmMD47unPUUHJnht5VvqZ8avXwhFErM2ys2Qy6DIzQhCA9EczajXM5PQ2yoI6uhky
fAEimYda/8AYFQSvFAR6oK55upxhLPK0a/LSj3M72zDgejI3u87m+dkdXpOquGmLwW9Acz5YyqYq
lj3R3y5v6Lm0E9/Ro5/AL+jjlErLkrg08RPsOEiendrLEq/4PYdNeKcr3usYxE/a7HV7d89GL5Nc
yGd5EDfOby+QC0ELWRz7YHFXMpMgP+5NYHpf4GzeRLdt+rMcJXhOmSUhAIJnABNhPBNvexK4+ZuK
o9PZ9JAO476ORsmHPctT+bq4RBfqZcCYieuCLjzDtA4ycMxVTl6ZT3PQDqaM5HktDJn8QgbnCio4
Z4dhTk1Mk1fYvSbI8m8TSvLqEkj8YwXQgIEFFaM5DsgiQIR/6h/N0ttmo0A3DSKsI9h95pfB2bTL
tYOOE3DEmh3Y0aPE5lpSeGyTH88jn4zTCEh5FzZ1DM5QDNAizNTfmXFrRJtGDxbrLmn8GVFIeWt0
H9SzHlWDvtxbdO+CKPPyr1m9O1H843UyXm0RD6lbdXxAiivH0avY9Yj5K5oegEBTIm/Ukduh8hpq
mIdo70h+ZdAgcrykOQxDWI/vBVRwMsmNuhacTDwfkO3hq5/VSN2JRk5VDBCZU38t3Vtt2WhWOL6p
yVBc5qolSGuZvCdhnZXObTeKk9aCpS4sArozt0gdNlpQXDPdYzuyeRs9bWPfpZ57q3jddmAesC3+
exIafglWnOlKC/N9deug5e/t+rcZCQZ7WbaR91AH0U0Svlz+UmvnAS8qjD5wHpWzp9uQd91EzBGp
G16u8JwlvXf+odGGex85MOc6QEYqXEBd6tAhbeAM1QyKGAI9OKrtFK2TBMaVahvUmnDeQGiLOTKR
+WfMCxoXYL0Hmr4Cp8gCQPAdQ+/k0KpNGRhtrz6wQR8O5dyrlj+XSfV6eS/XOg0WwcAS3tv4EVDn
OT2D6tJFLZ3xC+pkq6sH1oaJe1Mpftls4yJwmmLbqgcLxbjO/BE5YWK+J+0+Gu5TGSBtrR148kuE
CJRncRpnE7wwfwEB3xK0n00AVlr/17DNAX7YJ9fkPgmdcNhZtzK0wNoJQHmKY6psrmorfG7SLOB/
cWBbQU1eIzsQAaXxi7tI6hprnouEBi0uMNMhdRXyAHcsmlkDGhNET9q2nbSN0yXhHBmh5KOuBXOM
umkg/cYUzRkXSEws1o1fIpizW7CwHBPyW2HtkIM3W8+ijZsOEXhIm/6xqMfB9hmYBzWklWXS/8u9
ghlMnCE+ZIrG3Kl/IYlT2pLgICk74KwG6DlC4pu0G2UDiWxDksau7S/m4oCLQwkbsA8hn9OyfrAj
runM7EOCMkYJWjJZA3Dt0jq2ISTruTrUTbLwsBwHi+3l0MUs0I6iG3BsQ4Dh8pdcWxCBMg3nX4dq
jIhwxJhfulgDTqfS7GP2rkbbUhb919ZzbEJIDJvamAFsgIkGb0Mlul6sMF0C4KQxcOqgOy3xzdUV
HcUb4aQZTW50TsvNMd03S/cmmUg4p4skt1hd1ZEZwROGprGavsFXQucQeDe7bb1KebW6Z1fZ1zLB
iNX8/jiICj6hx6m+mCOsoUzZF28LtLmS8hvS+6R+7Z2QUlT/fqnNHm13Sdaylu/aUD3g/CA8pggR
BUwLthJXuAuL547eWv3dtNyo2V36dNkP17bz2IzgJKUzNl2tYoFR/hR3pgfmyc4MMA24mFsk9pJF
rd2KaFgCTKMD82S6PFof5YUmmyo9ZhOS+DdQQTqJp79nh+hxjr3oH7wRHWgEfihZInDwX3JkqUX7
BcMWsKSSKyfbFjp0xv7hKXtk4qt3cGRCn422GRv+hcbXZfypg8+y9ct2e/kDrb1Ejq0Ix0pP9dwY
RiykBymNPnTezCSRfO3gojAIajcQIPCa+elWQfsQTRwCzePKuCZT5ZVLYBmSVax9eLSpeCoCQaWz
UR53Aqal0yFO3s3o1GwX9DzLZPDAG+9N9bav8iAbJR6w2rs5tikkQFaVaxYuTITYGENK1XUft17P
rtRyM85+F98C3NGOEgfne3VSY8WJ5TwVYPlVMeUqphtKH2dtUqEvoOuY0ANqzC1/ZfPkLe2nEe0u
e8ZamwjGvlQlwcSEp8Tph0O/Nh7SNkJzyjd99jSaXll6MwSCX9Krfm9sSvB1Vo9u4aEP2Ny7e3c7
VJ4bWF4Wmp0vKwWs1QmPf47Fc5ej82DRKK9aBWuvrp2t5VfPcZjfRDtw6CVXxiF9Uh8vr19qUDga
8Tg3Nc2w/tTynH0K+rz4AQxpMDW9RH6xr7c/JRZ5uD//vH923NJPl7iMZWSwHBZHQNk9xcv96ZBt
7hf0XyqMxskEWdderidbKlw/yTCOTtnAXh/018b1wnzXyz3qVXemr36nt7H3arXBLT5xAvpChNON
ZMEr0efkBwhnqMLIO4hZv35Ad9PpG/iYtfkRH17RaIpsD+UeIHok8MEVv0bHBeU0rp6EkCRmliQu
hspmgPANhOM8o8BymDfnIbMtDED/dDJ0mtFYR1XLhbapqW3Q7fNysPBly02JQuvQ7czp2rWfenVv
OY/xUIF4ogjsblPKeAfOzzv/qRAIBfUArmkxdqqpO9dLiZ9adGE6PmrlO6osTEUxYfp1+VOcfQng
fDgBBXIBkF2cFU47F1iULoEW6UBBRdYsZu9BeFVGc3F2F3ArLuHtPNycZ/EL+sO1VaVQrQJr13Lo
aPdtcnXMAFfWt79fDrpqOgDQoCBAYeb0JDGjjwCFw4NJTeLvJYrOix5L7uez1AZr4UBxIARcaOCK
hOEQUjIKlCbRLKzfZ+OpX4BQROcC5LhV+gIR0ssLWts59CVQ1QEJmg75idMFGVU95wtp0XZO2xei
xddO0r64cS0pg664AUSM0LcAKBm6aeJgnmOAssGFbJk/L4MP3qDbKTYfLq9k3QTyTsA5QF1mC59G
p2qbmARi880c79F0yryU1T8u2zh7luPJyHkG8CbHi861hZwjToBMB+FAha7xp4NinP3egrhD/esR
P24GykJorKKRiyLA6UeJhyyHllWL3TKvIA94U5p2oP39xJ1gRcih0UkZDS2FlbautkvaAnhr/iwh
vfYPe4YHAcdWopIrjgz0KbTrKIOZ2HpLMatcRF7TBZ0MV/jVXzu55Phy/tjBCT3dtNrqKclG2Cmq
LlCaLYRvwAq/YE4F4nIecW8pnlyNX8hUN1fO64ld4TrXG7eIWcTtmn3oKL1fMdfLoKPKJtMzjUcV
xau/3lEXZF8QHkP7HSUywdOrKUpB84gZCLxVAC+kXgpt0ch4iSbJqV1x9xNDwjVqpUqiGTMMdUZR
Ptmpoe8B9qBXc1t/5ODulqxrZSddEJ2DAx8iHsgLhXUNSpkPmoEg0dX5C0BfQR8PgwfqNC9TqxsD
lYbIlLH/ri0RU1RoMSLgOmeFttzWFCfNhso3JssfGfNYErgVILaNZDh0JdACwKCirIrnBK4QYXEp
G9vGgRKNjw7DwSkryHBq6GQYtgzLvLYi3Og2yKW4dMdXZ/Uon3VntWZjjhXNKEWn4KNwHwzA+1tD
8rVWF3RkR3AOqNCYFksZYmFkb1Pouuh2GeTdsrns7OedYGRyx+vhv+NoPRNETDWnxHqipQryHCzT
46azQ9AfQpMe/EJTDYUZJYAulDcsV6khOQOrywTuHB6C7IKISMXKpbwWi2W6mR5qCjihZzPUdCp5
FZxlZHyV/5lxhOgVmYMGSSGYiRPkhtHHaDRPpkqDXtd2tJY54/lJQ4+Q8yUDKgtpFzEmJ0talwwS
ED4ifqZcAQuhRNRLJsAxb7JCBuE538Jja2fzXJEGrk0d2sS+XaHxSbtd3UWe7f667CjnO3hqRYjD
bGmHwuRrmifAA6Nmpw2AcqVPJUSUyDIHl62dl9iwf4BGYA4OosQOikKnbgmWHosO6IL6JEHfbfFV
9YGY0M+wnx3rMxv9ApIGqflGo7tBphF0fsJPTIuEN92kkNyZYbpvps2ob8phwEhyDK6yZ8kiuded
3qmwhBoHWuS4vQ0xEbHbSQH8GpZK+pJEmxZTAfGNrqL9ZhyKLLAXf5ERaq/c46c2hbTEXpai0jC4
61uIX7m9KVTTRxnYyTYKubJwr0ehpYAn/btkrTwAX1qr8EFT5ihD8aXmWDK/dfdtf0ssgMz8frwu
cQ0pfRAVm4RuBh0DGLIzsvpN0efFaBTv9Yowd63L5twtIWtd0PbbMGYP6Tj6Y/JSKIkkoK6exiNL
/JccxdN+YgXAprBEoyKokyQwGIizFJlE2tqCcJvDe3DjAWUhbCfV2KSk+hdyFzKidgaxOSfGlEVl
mh+5JsPNr1qDECsqpvhDy/l0UU7TlpqiQgFM0SGZFhme2yegK24eEFj/+t5DV/rIlOCfRq0XsRHD
VKJAHSU3MIZQOBn0Oiyylbjk2qc6NiXsoU2qhLESpmh11ekfuntv1bdDc53UP3LguJcPVXvRop3O
Xmn+qE23rgxIvhZTj37AV6HnyFeqqbG63sEPGOjPsjyozjWHfTn6fZnKSpBrV9KxKTF8N5HZuXGM
Ov5i/86Tl7wC9NFiQa3AcaAIysxCsr2ru4uiLrI+JJ1ngD2orih5xyJ8yIrs3W74NtRJ0DBZSX/V
NY/MCMU3w0mKVDNhZh5R36TmZoGJdCK7ttQl3fuVPcTDFL05i0sGooVwegoAJv6fz2UqJAnVuaHh
qJaoF8f2fdYrKvqc0J62WddKshee6wmxE+0ePtwJbthzOHAFyHpSltBVITRVHo2htP3Sdpjkg3F3
F60Ad2RhphLzY2djnEtjRLQ0oBdUNi/WEKjpNWS7u+jDcWevQM9TayVwqi+wgWgRQHlgOoCTA7cp
d6Ej/28oU6y2QQcjBUDNgCJQAazJsAD4gvEUdyQ7VJnCVDchYayArQ8DJHYckj7d9kvmtdC8SKsx
iKwxXCz7WaWa5zjFtnDzTebmQV25fq7Liq8r7gZaNS4dSZDc4ZV4+pPnCT39qQb/b9V1ABAiGwGz
aPaz7B8uB6c1XyMA0eEPA1Jn6CSbVUqaMwhfTP2WAGwWJft4fNZBF2JyuQ8qiboyc/zfj74E1dpF
tRduLv5GMf+pubcZu0uib9XIPCns+7wJw9kgLPR8IPUIqIGIPivrJp06FazD8RgU6Dq7vZflWtDp
LylUt8h+oTc08i7v6NqX4+9eyH0hJJ3pL8f6QKakGEEC1gY9JOqr4lc1P4+q7Jm9EtS/3tf/z44Q
kOLSHa1GwzEizo65B8uC9LHpaQsYlmWN05XHGwqYXPQNvTMd7w3RG+MJck8pbNna/WTeK5OvG6Cz
Sf2hZ6jJbGwMhdSb1okArN067NflHV39jGDm4tB9jLmDpuDUa0pwM0IzG/TlcNJe/ZE3HzbZ6GxX
u2iwlt4ybItJci7WQuGxScFRkz6aqs7CV7S6FhOC7lNpKJJou/oBj1YlpAWJZcwjYTChNMl1w7Er
cbNh0McgefHKEimtFb82xCh4tCRXeJvqVtHVDqZxfbsZf7bJnY3hIQzu3rnteMB01pMSOxuXUa83
3zpHlhivPbQQYP58Q5FL36VuP9cuVpt0+7wJG7AgjfWjMvyM4hcnuab1k+aErfFcm5IBpnXnPbIs
HJRU0fVqdmAZRd5AaS1v6YH5srK71gKLZF1s5vFxNpKtEmOsIXuajReNFbJ3pmzz+bPlKPDlhgUC
7xqbnzc/i+hhaMagd/0yu2NftcxqwVvstZNBfFdjEWp5mAAADTGE2k6tznOsTpUJq4kWVP2T3d1H
4yarJI68FtT5BNb/WBHZQ/IsGqhCYIWYuNMH3K6bRdvp5EMH4G6UPGZXsgeOQAMfAxjKMRglLCm1
5woqwQhFrvNNqfKtVb/MrvIESWpPoZx1QvcKIuMUkRgVn+qQS9aUsYdRRgPKvpHoCjOQfUI8Xb22
Y/AvVhJ/4QFVOKso+4G6HsAIwHTFKRRo2bix3iJjKbWHutc9vd3P7O9LjAAJHBkRDgYprTLqDRhZ
pvser/TCRdMFOZiMCEi2GMH3U8XRqF1zO85n0o5AYUSe8/czkVgMqB/4GxX9A9HVqwaQRJSBucSr
bxYvLg2dJZwxFpzVso+zcqpgygTvAdpTSM+F9bh6GuVUhak6ulvYr2Z8suMn0v/9K+DECr+hjiLG
klcjKRRYUextw4ChcEIrCpvhPTYaf4wkDrd2x0JbBfVR0BvpnP/91FzrzDH43GDOLu/a+BOFS8DT
XyzyYC87bQzHAVTMkmRw5QJE6RIiVBiXBcW4SFRMKGb2Cp4MFqQHLrb3XDuk8W3rXDemTAt17QRz
tChBVQpJoUg+BEAs1SMHtijgiBSksNq3hL450+SR/sdihC0i8OWsZc1L4B5A5SJhgvCKsKFzYxVx
NsIiOPA9pY98xYyvOZmiXmj/O1Pi+x6YN5A35dyUMvr5lO8U/dUgi7dQ5/7yos7ZDaFkj4Y5BF0w
moK5IyEV62I9qiHRTP25b4ufVRTTT6fWlLdR7+qnztYjoC4pOCtHkhTXxbLY19asl/0WXfJknw82
pZ4zYfDknlUY8gIkNGlYAGooJsnfVu4kcKODUwfc1JhPEne/JtPUDbNNkaEWcOSN1d0TipFkcBUZ
NAG1zvvljVnzZd60xnQgcn4I/J0en9gaagZNA9y0fePlNDTc9wnpuKXeO2kiOaura4MWEAaDOX5B
hHsrZksHg68NCu7a66Qnc6jb9U0b1wv0wevblHVsO1rx78tLXAsR0LQGhY2raVwMUngFRDVx7JFr
Ctb0XTdvdLcIiPVQ6w+YUgK/86Ezw6mVQNtX1npik5+yoyho2kvLTM5UBz5pbymWoJy/84IdKQqv
B4dOXzBZvsgDq3D3npgUXHyax3iyTW6yDVW6oea2XLY5gOyavau13kvrvRvfmG7QN5uqfqhlLFvr
S3bxXgXUBjmzGDhYUhcMnJDoRdxw5eD+0empZyzhWEEqbJbEjrXiiK0BA46nHQoAZ1E4KYwmRVkX
bDqtFYGGXJ0f7djUnpYUsEnfYEX/PlpGvtPNkvxuyOB+d6eEhR0bQPU5WWzYm1VH3hDH8dusvnQe
nSwn+Vah5jgGVgO5p7BlVv5KwAkRlJbRBcDua7/jxUAVS9Ni7V+eq/iCf3ZQTNfytMnrSIOjZmri
G/qOurcz2w+Nr5RAME0lCv8vtbpDK6u0fk6tjID//3NQ/rPPHwNHTkuBcCidGF8wXvZZ7pvpa535
serP6bfE2E1Aj8WZ5DOu5FgnSxbiz5gi+8fA75dSR8J+gSLEHCTnf+UKPTEhpD01Y8UyqdjVBKSr
FLMzqrYhBgXIdAfQbsudNbwccVaCKqBTDqIquBA4Q+rpPiqj5o6LsYAc1T3MTqAyx3PbzzTa2tJv
tmYKVRuMZZkm+MnEQ+e20MCc45FTlH5AnYgsk+fkoQEmtmn5e7CC5qCagl6cgbTgrEJk9qAq1rsJ
hMQlOn7VNTL9MMt+MBkZ4ZofYu4aLzOEa6Q9Is5JY6oVsUIDN9BAMEJQ2Sao18zCTIKx60GWM3eq
DmkxV62uLcXpIROeYaY4aOKplJRgV7f36JfwmHd0IrqiN1VmqABUJtNDt/yg6VuPnuOco+uy/DVL
Jxq66L0BBQLKNSgeC24Dbsi4zQYsu1g6CqAoBIvBr/dGXftNKexaksWunbwvBTVArgkYJ4XrAjrk
mKecMd+VNNUtjel1URle5NgSMys7iPVAjRCjV7gZxEcH+GacXls4tR0UTJfIU/Un9E/d/NMYJanT
2jkH9g68VVwDTBdxSayqEmqmwMiDtSeqXmoobKrdoZ3QiJu2JU32iP6Xz/lasxiPAIyKugAVgrdV
uPIcpW3rBvQ8mEn9rUJ2E2BiDZwZmIBmUw5p2ndKX2LjJaskqJDzMUWAAI8Mi/wxUz3kas8JEU0F
hASQXe+UIHPvSfQdWi1eM4KF6OA2W7LsUhejKfet/ZbG7wu97WROe44nF36K4LVTP5cMAnlIO5TW
JziXo6Z5ehkQ9Xtmd77R7vTyOl4CoJpixScg3q6mf7hEUFKBAhx6DgDiCj/BNiIjNjl7aeS4YUbu
ksTyVPou+dgraAS8xHBkgIlExugIH1u3e72MLFhhaLSMm0L/HpXb/0PadzS30TPd/qKpmhy2mERS
oqhgWZI3U5ZsT855fv134Fv1mIRwibLfhVaqYk8DjUajwzk2NeQuyNZDl03gcxYBBXFeYzBpOpAD
mj4MozOXl5xaiNvrrHUXu3yxm2Haqand+daMF26XRCIwfY5TAMc3YIDQI4vObDZjDTjE1G6dvHXl
bLOJHEWSt9o1ZiEGPRE4Bp5mKNahYx0o4jiyjP9J0bboJHLXuorWhElX+dU07ZfU2gGcS3BcOJEx
WhpMB9AElCOOLadgHgBFxx6ibKCUltYSJlYveNvwFs7AuPjvVhU8NRkTjBJJbk0NDZ4ZBqgIEB5+
WIk0eupm/fx7MwQCGBoGce1jRJk1Q8wcKU3TzRgFRruWLo83aKjwnSnaN7IVykN3l6stGtOaQIns
HwLZVAvmiQGMKMBWYHgVW8e+pFC1GbPE2lrQza/+EG1+PRR7pZwCs+2Os5nggdGTEmDzZWmA5jgR
kbZzLhO6iUheYfoOgKHMEezGatBaTW7dZjYXUiyrhXa86Q5lnsTXMwnzrdYoQtLk7eyZTDYoH6UJ
RjkpLcJHzxmtbzIusqpQY4EP4x0HcEkgBQhgc+0TRXxpTSBRidQWtLNOKM/LR4u5a2PrdoDKCf5h
G+k8IXh78RTH9XUZ1aSdU+ibgXRcPatuVTlEn3QvrkxQtg9eLifEHluvnL7miP2nSUQAx7s1Mfvx
RzwTVNkLusXiFuL7cbH8skQpU0/nYG509Jak0uoi5DotsbSSNovfLSO7jezuXbAGHG8OCCPKe+n8
xmVmDmwK5GcLJfTWrZLsHtiAMxm0cd9a9RdlVQ9ZpIVjnt+OiQM849kSZAd4m03ZQ3RgTADjiJ2z
rOxuBbmH1bq4045zvzw28fYoxfJruzmCa4tnvmeifsfaZxHsCowM9LLYEDU0YCJaq/KUTWbimp0u
ysXy3KyNMicaALCumIO5NCt1HWwtBmaii6ypj+v4bdaNj+vb9juIYz2Qg34IgKIqtB+W2bZyMNJt
zVWw3dn7Vvfk9mZbf4z5rig0UvWvyWDemPHz2uyj5alVfmQOsEyLo9QE5bazqhDEjMbmN3FoNMEs
mk7/vKvoiEdkgNDMxlQT29YKFI5YrycwtyqtpyobGcvYXdWPzHm8vghcOQClwpAGqkmfplkWZ9Im
1ATB5YBhBgNFiQxQMIV20Cvzr+9oaASV4PQxKvkZ/VYCj9ZM6U7XrSLD9mjpr2t0Wsrv1xX6bDgq
VoxmuGnjgcp2HzoUvsSO8EYY5sJENzVAYKNIiAbHWzacBCTTFXQGfnrw9KNk9B0lmpmapbjB41E6
1p1qeir6HON1FmGZfD54NIuLEhtGw2h2lbFUJZKHZYsQLnbgR1mGMTSALGHWVvj3awdgYESG6BTC
a5l+xtn5TgCxnGPkBAkAa1dGP9Ti9frvf87qQY3fkzMGuFTxBr38fXB4T6tZTpg8NjytIRGGZfXk
BnTtJNP3+vjzujSeJZxLo/8/00ZRolQrckhLZ8Pf5PjWLCzvuggaI1x6EChkI1ZTQK2EMQ8mhgAF
1xpvNbIY8qjdSRiUUeo3Z3m01K8qYCyIMSJR04rQlK4L/dSDrhV2axoD0jSztOvHIDHCVXalpQxT
E80oeDI2IkoRjvlRHnHcbUDkQr6dUdNeksyZwGjmNn0L2PpA2mQvF3IzcqSg2QsTJSbAklAuYow8
WuZ6xaQoegGM0jPrxbVsCdnDzFXX7GXNzC9T/dWQCi+PHoAJ+4HhkBvQXnaO5rWqkG5T/byzFx9D
/39mPP2MjEZEY3DHeZA2uPnBj+PUy3EFksF+qcb6ZkILh7NJfjEfl2UVuDHOYiBtg1wALj+Mm7ID
ROqS6UlWL61bxvYXvNswkzJOvZv3hSiC+xwHqzpqnSjjAocRUGjMsteNAsx6Pe7cetVTd5IwVt1s
8n1rxR+GOZ5A0WeJxos5i4toRQe2KyYoEf9T5c8WV3G6yp6tocOcuvptw9R46n+8ZR7KCn7uJkHn
q6QCFtHzTAzyIKr4f4brA6ScA3ofHfg9iJnYiFW3pcRQ57FDDZ70HYnvqvsNYj3Dj4+Tq33V8EQN
k7vyyy4nUnDdYXBagLCdqgMbx6VhI96+VD3GW0PSavRTqcfmViP2wd7n7kv9Wu/zQNSuyxeGogZm
tegTj81iLVo06umAdZaeAPG+Q68N0ELL/eajDXsnRB/g7Cpadv9IY/xtUljxZjpQrfXNQ3yQSHIq
vBSNIac3/aYSPd84iV2s5Jk4xogsp2gVZYJy60PnNUhUkYVYmDEPwXIjCF047VOXsmg4cGawppLh
qI6QNR9G/325ycPxtX1FYggGspxEsd/vVkLmWrlQjQl+FX1ETYyqNryO/vrdusEs36HGC500JH4a
wu75oRSdyc9vmEsVmYdUhVaPWQHllms/lLvEQ9eSt7rJrUMCrSStN/h6sITApZODKvwqOBT03v+k
L5qzkKbGA8rSmbhgLhypXzvIVj6cH/n3IDqqLnANAlys26HeC7eT4/IwkfxHHmOpRjrKeUO3Uz/i
nX/ChJObYa1bNw5BAaOe0JfmFkfbrQTxFefmvpDLmOwAuhcMckDu6DYBqJ/eH41QlsXmytePQpIq
FtCzWQ9XKGqTKM4ED3dQw/FnedS8xJMI5vDdzp++p/vvyWG8AWSDYB/pun3exz9yGRtyKk3LdAwu
A1wo/47UBkCFbrv3zlfcxa8K8vwgGmDhCkR3A9qeHHQCsAUBY9CMSqWGM0vbLXqgb4aq9a8rpXHd
2pkMxlimDbA9VYrrgmK8OLe9f1L2q3t6fI28KFg8UAbdqftj+vzTJOvb7CUkDsLkJvX0O+fLsy3w
RNRCPq0wMMtsDXgzQK5kIrE5NVI7U1WclPpLsz4WYPESnQ7O0wZpP0R7wIcCyAUb026GnbdRbnQY
Al88gBEpKjBYo2M8ia5CriB0UlBAOcTPbCZVqjOlzisdiE2Jux7SHTg633RiPJhoTppJ77W3MrG8
7X4UAVByrw6EmHhea7aNQidzDhO9Hdt+RTf6Ekz2rrkHTI7rmyewgMsCJbk6nkmi/z+7OFK5TJVy
gaTWn3QXgFsEkxLXDZQrAl1ytAdew6gM4zzTsZjiucB+tdNzAryjSNu16d4WRS5cMRb4PjD6jWCC
jSW6CgnraYXlxdKtWT2q7W5L3VU0D/oZbwe9nkhj4TQrQMPC0bpcsNwu9T6ygBQ2fCze7AIEMLT8
mJh7+zYpyAYC84TczaTeRUdrLxo64p0uvDtUAL4hJQQQqUvhzpo0S2vBIi17vF9NezcOTpDOumDH
+Er+kcNyipebghbhBXLWA4pbk+Y26I5zlRA+8nEOHX8zwB3iQ0sfkA+Z66C3yQPtyXW7+V0CZn2J
QhkPkMAAQCr7xBirNFHyGoZjHvvvAOnBo+s2BVT/+mEF3S75rm1E+9b58Rd5V7jNR4rGeMFCcG0K
Lw4602AAi5wx3TzWSzRu4QvKbT8vD1bUEtPwbTQcXFdVJIdx4WvZ2iAEgpyo1IIECG6wsOcxAxpD
vQrKQ7wrHimB/1RiXEuaG1pmjxC1St3RVKJgNhyvbgEcp0xfO/Oj6JqgUQTBGzc+PZfKnBppqLRt
6iB1Q3N2lxNH/bkqpG3xXqwJKG7rxEctYxhUDDzu1d6/vrycWxj9nSB5wiwOLSQzb5oOMX+VVREM
ycpctFNjkO3vNxA4NRZK/kgNAJKKMZQS5Se8m1ATrhQQxWN6wXrLiidgaV5XhLeOSH8BOo5eDHT8
8NIBNGqMvoMx7d2yACxzc9L3UWAc5R+DP/lobkC7n0giJ+y+kMjsnKWulEIOEn/jQ7vq/Xzv9GTE
Gu66v6YfBCrSuXbMs2JS87Gpqay0BXSV5c5IJl5fQI4DvZDABIDq1G9DGUNC4+wNYKlLPUYuREtG
zYnxWxdCGC9dNos5dk7Su3JoPiTe6GOipfBn72kNrR/X9eFFCham2ChlCi1is4wtW9kXcleD7k75
wK5IZCsJLqKFdKF53N4EwlSeYgjtcJXjxa6zFdElRUNAbBQ9cOyck+xvN0ATdgEPDYJGkoXC4Tld
II4xvVZrtNkoQf5WTJrXo+NAsUVbxUn4Ik79oxFjcXmkVxv6x3qMW3nzgx4mYGcIOouSl3ijQwZf
e6BPkobUt+kv44tgPUUKMta4xDM4fCpIB4gGTS3dvU+B7Eb36KJ7qn90bvLzukDOs+tCW8YwpWWU
l7bBgs7OfVr4AGFWNcxaRqQSEVLxJGFuH+0VBkYRkUO79FPassDby3UP2PKbbkD1HCnQH3XqDSKE
y9894uxhO5fEeERVUttNUiHJPGYSmQ9maPin+5PckGa3kDgsyAFNkCPQY0HWen05ObVdioL3R0vG
QLeus9TBgez6YSIKcdzolIeT/2u0iKhNkGeo56IYQwV3kFrMSQNay2/VbXIadtJReuh31xUS7Rpj
j8NYApmuhj4ObrFZAVYoKpvobUbDuqiLiRfcYe0siiBBn4tsR8yABqNUyVuq0Bb07hAjV4XZbn/Z
d7u3JKhfnaP6JXlcbzIkCfL3fBWEdrwc1sUHMMqiEbDvHEAbu3Y0k7h7bQGhLJG1/jBWj/JtzB+6
/rH1d6gcawYg8FWQYggMSOXv6p9FYA4kABRBRCfTRThm+/XBDJUbO1xuzL38o9xPBHj8wQQWtyhQ
Dh1JAysEgEK4nBzy1dqL0Al5zuhsQ1hs1rbsRnld8S0bBrAn80GvBe2lv7M6n44q7VgEZROdMWVs
OO/SdkvlrncnpCUQwoQlGe8SxDBxgqyovku9cbfdy6Ho7PDSzBaosf4TzGx1JWFwul8geCvcbS/j
rSu7G45rS308mL+T8Po5ouf+mqLMtkpyXeVdCXmDAgY6VC66iKgKIPEc/7og+kNXBLGdkba09mNu
Y8/kFVPfbh/d6OmBFshRHDf0QEs+rsvj9D/C4/1ZSbbOi1avLJtqaPYtPqDU9hM3CE7t5iLo9WQA
vdoiPyHSkIYkZ/mJupaUKTah4ZjtqsbrdNR9gtJwFYk05S+AdV5XkBcfnuvHxPG2gSEtY6CWMpJB
9pbuPR7ur4vghmznMpi70VjacjQUyMhuZXf8GX0pbqRvGTHvtH8oi17sFnM39oPW64OCxRtG11i+
lsodCCEE2ghs3WLuwMLUh/j/rViApmNXPVReGaKPaIBF5Ps+6Mi8U1/0x+tif2dzPls+HRhH1xDo
OZiNMtoiH0wLqjlP5sG60V4cZI97cj8hF6MTOWjcF3hOt0BqV97JnvL2D+kmrO2fD2B2cW4z0BWn
2EUFDcDt7Rj7iRYumWB5uU4ZJUAZCCyYkfs96Xdm/hgAsKQNuUB3yWSMxJfEEc7B0JX6tJIUVIRi
VgNZhlnJxFkKebShiBmiLuZmPxL0dd+l95JX+EU472Pv+tbxo6YzgczKjZmdRQkIA13jNxj5TF7e
VNI/rbt6JwI64pvJmSz2BLRI5XURZNW+DCwzf/RzIrsL0fcDKvbEpJyI99H9R/MY+wOKV/mtBhIs
gVPhbCJlX8Y8PNIumM2jT+yzTczzLipadW1dE8VrgrKrNxmLCGaaE0pgeAQYeWCYo8y5zDbqVr4N
maOjRNR2nmSGXf6KltxtKkkznhLRdDVPJXRkoSBvozP3U3tRW+jm1iXofjMLeXsyh/Z5xZYKhqvp
5jCWiRamP0KYaxuwJVVdF2gcnNOOKLp6GEwdzxVzd90gOStH5yQV2s1M24yZ27rNIiWrJiCsAiQq
CdrJwpBB7jSkqupT2zn2Y6S37Ze0aA2BYM7dhoY2xEFobEB3g8EY5zAl0WhjTtJN5X0MbiPnvkME
mB3b/Fs/uHn+cF1PTnR/IY7x1HoM9S2dQlStOAiyn0uNn7UdUnCegp28LoxjIA7Yh9APhtFxNOUw
usW604wlrfBt7X4qc7fAKOh1CZyL50ICo45VFEaTDAvUaTD1WeVunz3q5RGs2N51Qbx1O1eFCVuT
GW4zzyDIlB96sJxVceNv7Y1Slxhs/YdM8IVWjM03ZgcIHRkVynGT2lOZ5Is/gjv5odmcB7kaVIFu
nCOGA0Y7sEFLRS+ZS9e0lqPegGC4c4FcW5V7sDIKc+i85UPyFV5Ch2NCN+yliKnNl3JVN9R66/vU
IPO4m3MMCD9NIoQTztg7embOJDFrB/RaBXNqkLSG4Er6tQXDzfuGuoXlG4/6U3zfhHqMxNh16+B5
j3OhzApGaoSB3RxC7WxXwj3J99bk6aO3Jo/JJHhB8Q7VH1nIwV0upT1OGca+IGtYntL5YItKybw3
MXrEaRRAgfowxXYpIK6sLVJyDaf2VNuu7JfHOVwQyxl4UOBunBHjOx5i/FZQH+CZ4blc9VLuGicL
cqaQm8YdxhpeMsBlyiLSCF7gAe1QmUYvDGWPYLZqHpJ2Q34MHiP2osUr+tKLTdLLX9XhdSh8e7nF
pPjm/LpuIHzd/pPKvtHKLZ/A5Qvd7PpHUxgvage66b56/d+kMDs31wW4NGfohudmmANNpSzqg2ZL
An/Bs3YgD9KedHSkYzDncqMip5p6TJ+hACn/qovdXD5udU6mDuyFWMj36zpxD/S5NMbFq4muDHkK
aZgkMb/Z2ZLvTWfTFbTnRhsgOzTNX3D07gclNlyj6utbCxN6e8wK9b4sFam7FFO/T7LS9OYOXFxD
3vy4/om8Sik69DG5i/ESGcCFzLqntVatpbnixOSqPw0vIx7fY6J6WeYEc/sBamnSTqO7NBj9kqfj
oK06mVtkvMa3zb4vwKcoKfoBVaOTIUde43SCW5K7hucfyBytpavpbCU+0DwuQXY/h/GuwAtNH9xo
pz+V++qAQfEsRDPw9ZXh+apzuUw8OieW2kYZagJ1/jLox1KU1OFZ4vnvU/lnQXWtZ3qu6/CFKlyG
hp7BYfKs5JBl99GEaXdB1ZR3iM+lMXZfNZOUqRhQAvbSt7WjefOvhghSghfQnMtgrN0c7W1uG6yY
VARZ/kVD/ib31PXx+r7w0g+YcMDMMGbaHEyWMBsTN3O5lAVU2dSvc2wBcG3fATCjRkbRCM3+oKOd
oBUlPXi6nQtldqt3tNaODFjhPD0X+RejwGv5KATk4t5fuLcME6zwGm14vzQKHb0s6bqBY63zcPA2
79SHqeVjt/zmGAFrijgz0R9FZUuecYBlwEJBDLN6n0bZU2ucStXGis5N7qctKnA9KHArU4B5wrP4
czHMSbZLO5LzFvaRDOFWezjTZNo2t7VWIss56C8E0QbfUs70YiwFKHz9LP82yHVwlxyTc5hOw0vp
ttQy0P3KlltoyakG5ovTivBnRWvKGIyaYMpZk7GmkfyQjm/5CMpUAUsELzA9X0/GWCTVqjc5h7Gk
S/E42SpZ7Srsre5Lh9l5dBIJto+XO3XO5THnGw0Cgx0VkKc9efqhCKxXzfGipz7Y3HWP+mLQr971
s04XiXlAA7ILfHoYfsQAK3tbozBmpH0EiWYh/Vyz+b0qdIEIXlL/QgajVb0pcu5IsEo57B9td/an
GwUFjIrou+h2cgEd7Mk36IQSuDGufWh4rgObGJCGbJv6HEdTOWuId9LWfkmjcqfU5tFODJF61MY/
L+EfOcyhU4B/1nYF5CRl+ty3z+no7M21ADrt6mrry7JJoTqNT306+/Hck2ZIXXstnq/vI09ZzCLQ
2U2KxswWTkDopA+UpAicqfdzflcA31jIlMc7DecyqPc5u0/Bzbr0UwUZluouNxiqfpTc1Df34Hba
Hsb9dCiDIlzelB+R4FxwlQO/vQwUYHS0scpNdhHbeYkgz9j6IJpyQJH3DSmjSJBN4mVbkIn4z2IY
b6ZbpZLOMpWzaqcxStxU7/2s0G8lMz6g+8s3Zt2rsYd/v3fnYukZPVvXKVeNRW8hNu80gow8aRSM
AZv761JEytFFPpOipfUAhAFI6QrXhhrLs5YGmoYBxu9FfhNhDOm6PO59fraYzKmXazNvE4vK0/0E
7HuJWzkvAKX6BymAa8H5plDnbHNLVSQyyM+ReQHtqLyEIF2ex6OmvF6Xwo8azsQwW7RumHItqRj9
uL0C1EJ7R7JduksPw4u5Hx6aRzMmyk/RU4r7HAWsIsaLKEcR5psu9yyNLUDx0TVM66+drpL00P2y
TM9ST8D3xaDIMn1f6911XXmn/Fwmc8rjodestYFMZQny7NdijGReX5zsbkgGgYnQn2I9JyXaQdab
1vd1Rr06GSyUQOE5DfvYVccxOXb6aWi+atsDBvCvq8Uzx3NZjFqjKm3rWEOWXiSgIPObyNNrEO3M
gmMm0okew7NjBm6BtDYTehuMhV8vNmnrH6mpAq13ALys5iKG9/8nzVhAhm2Ox7aL6So2pzr+aU3P
KeDuHVmwgDy7oEMKGH/WwE/POuGuKuRZstCfaVg5sYs7cz5sxkSi4UZtwusa8fz9uShmrxa9WGqM
D8EhZvuo/i5beyP++b+JYLapqgGugEwQAnIFIOgoZTUfLdJY14Vwbe7PkrF5HafX8zJSqM2lo+6D
Na0Db6ChkBStoCfFiURDAVzbQ/880sPAsEQa8NL2zKGxMcBNg4BF/boBDNDdzMXr5vVGLiqghGkv
gKVy/0FHCryCCPJ3/fFSpqMnStzNaJwta9Cv0ItkcNfEK/Snf5ED1BoNPU50xupSTgzKAR24QJ3r
VPO+yN1sBXS0FLvNKjA++kOfnBLadDF/DziMT4MVaJXP+n7DIrbT977BXLwGpNFwAXFs52mVrywC
edxzdSaPuSfLpopndYE8ddthZkRTvXh4s5Rj1QhANnh9cJi2QZ0CiXy0OrP9VJ2azvDsWML56NwB
hFJ5yXfNLj12h+IZnSESiffxfeRHP51xl7+LquHcy+xcPHOqtT7pZYeKn4L6DgB2oOqs3tHYEKZe
v0vqv7ZLlFEVoDoDeRuDRixXiFpKSjGk6HqtFbzY/Hk4Rpu3qvu/tUpIATiwiscTylg2k9sr9dxQ
1w3trm0GPMhbQG10iyeJ0j6cpaP4dyjA0GkfFWBDl8a/RpuFlzZ6kqvYl1CjWDYCiD/X0F5bpNul
261+tlYKeiRYxM+O+FIuox4QixR1pK3DVQRg+0UiEfAockvgJkVS1EvtJKuokCLOsYirbxijG01B
Egn8PX8J4T5ksN5StDL6EWf3ctw6el6tEDJmT/EGRKHnzQhzNDFGcVimgdS/d8nzP9AoYQHPpDKH
W6dtp90CqVH/PW2/pkrm6dONNO21/CkH5cV1a+Qu5Jk06mrOdCys1NA1DdIk6S3VPnTkYzbLvy5D
uJDMMUbtMYsjB0Ky5iEaT6pzt8jgeqwP8Pp9PJCqRoHByxsRzepnP0mXEu4WYLoAvWJL4U3iFAXa
W9CH3UVgk8UQeJrcjTNwxi2MF/dlcF3Pz3c3yvwy8BOAoUcn7BijzOTMqI1+gP9w7qIcsZsV5up9
VrxfF/P5trkUo11u2Tgv26pvEBNv1Q7ommE/jaTT7KABMOtoVaRaTrIyCGI5nqGcK8c8Z5w8ip15
pFLVN2f8pQ4H1flyXTHR+jHnLUX7Sa8qEDEOS0FWzKWRxlbfQGNx0yuP12Vx1QFkHmrU8PYOC7RU
WUU5TDqgJebF8AEaeADQ0luHsf3rYrgqIftAKbUoxDJzvJqhzlZlhBhDTpABsZ37sdF/aXEdlsvf
RwVgv8DoIKwPRxaX9aVddFmqt+gQpU+j3UntAJQy3SHJI9CI7vNlrHMphWp85jCqVa8TxegxJ9vt
mm0gXSuIOTjmDTXwaABrCRp6Zca8V3NN1zyCAAMtJGVmkU3Rg3r8snUG0BSlj6QvSW+L8jif42Co
hUQRHbMCvTn7VHHAUQvo2AEhHPiFKhlwQ6b+YDUJAfDocNsY2cNfG8aFPNYlxugciiTIk6ZAG0nW
17sC5aY+F+SnOPnhS8Xocp/vV2KC/CeBIKXdN/reAMSAGea9nztfgcCpAqanyHdLBpxT9KaiF13W
RWwInKN2rir7pJHkxZgbFV+wrscCJCOqvctFA7ScqsKFmmwLcRmPtrPR/cul1Y8WzG5naMJe+tve
KRF+ZP4Ib5Io81ONR4ngSPx/hP/GwsMUrS0zZyLfrG2d1RE5eMQ8BkrXkh0U6UulP/USRSHeI1dD
MEdy3YS4BwVYcfTJQaUyvkVqCnWWrQm51TFQYq9S3anoA7kN4xpdzMDOzf4+tMNG/hHI2OwMYKAS
faNIz/XH1j45i9uK+Mq5S6mgZRTTCwbGodn8zqpbUYNiIsxVToe7xUkWANSteGGAVtxbnAokfqY6
EidRM2Lom0lAYCfixea4OLwWgcSNkh9AQtlHT2/Bi2KCuHc7WfphN60X98haXN883qHAaxFkcYAz
ANwA46xLc1ilfEYlKqZU5bGKp9xdUn+/LoQT/4C57Y8Qxi6lAknCbUJ9tGpjlNpeCzVEO4CDEUhR
vxKnYIN+4jNRjDEOstOhHxX6mIsfm+hMeEiNl6R5Am2bgzzx3PhFfkyKd00ON/RqYWJCI2nqqdbb
dZU5F+7FdzA2OqS2bAOXEn4VyIGN9hWcBh7CT5I5f9/UD40NAPppwGkErhJzT+WqbRtJC2QAoPO6
ax2sqgR2jOC6OpxGi0spTNiVOE1S6AWkZEAHU3pvWd9t+TDJN0kbRsbNZJVBpN6m+VGx3GV8M/Jf
0fbeixiHebfjua6Mta6NLM/DSIuMqW+t2E6Qq7QGGRKLmJ3fScM/eBoFpJ3gCNIpFSpzaZm2FQHK
FfJAv9egpcrYQrx0vxuDIXpIapzDDkAsgPJpEAMwCUZUkbVJ3iRYYAOV/dZfPIP0ZHVzkt/lJNtv
pPVnPz2M4OD81e3WIL3NXn42fnlS71IPA51EfikAGCTvRKjgXA/x58NYtASzmwGWMOPDWvspjxKw
gOxzUTGe5yCAXouOK+Ro0SrM7OumzWsBzHpk4rqvrQwfke2G9QB4T0VtBQ6Pt87nohhflK6OsmAo
Fl2G6KKyc/CmihomRBIYF1S2QzHnGyTUJRDOFHDxaJ7gNNKkCRv8nivBeJdsWcpUnyAizfZGd5Po
/lx+T+RdpqOf9hD1t4qonYBnBYCpQCoH/Jc26jmX4dvYVeWaKdQK9EC2/Ta9dUQiON1mOsX6B24S
RaYGaNqljEhP8DrJYAU1aQ990IeO4/UfafiyemOAoqkXuRGJFlJaGM+vfUnQBcVz2efiGcuQ6tIo
Vqpi2qDeDz+N6NvSD+n2L3LwnkBJB1CfsPdLNW1zlrM+hZrrckpNT8/ezfpkqE/XbYS7YWdSqJWe
xduyKs3ANoSUDOU+U9qZcQOQZtG1QL+VNUQABGNmDmRQoDRjdJnB92JNNZKIjl3eSTLaWEBa8hV8
miPQS4z6JnfuS8jXQetZ+I7opP3+eUY8KnCWDaINPNOQzbxUsljNOFHqFSP7y6nXZ2+xHqzkxVg+
1OqL1JJk83rzYONQaCe1/ntHolKUAMNS8dbFg+1S9phP/bA6JlJ/oN0iymoEqC4JXmec+04FKQBu
dtQngG/KnDp5Vsy8m5LBNRKbbKm/bTrp7F9j6mPgk6S2YDs5J+BCHONWzGQtZdChDa40Z0Ek2UdN
AtbChJjeWHbXzfP3tcFuHcajUSsD3IKJ1Mfl8iW2PnWRUwzA9KtJEsxu5NXESEjujYc6nDKMsNb+
u+21xHicMIFpuRmJvY/S+z3ERKy3TqA8b63PPoi95yQAqc+bjg/aRlTVfq5W4sGdJl0BCoBj063/
8CAGG4SOeuRvTkA2bpvAYKdbFeRhxM5BH3+pA2TI/QDw9c7JydtcommRCAfDf3cVfF73P2IZv6B2
ExKHIMNxv5b+IpO4JWOIchSJ9vp9eguUymC6AQIncXznGzLMJfnu7L/3uwikdYBW69/v6s0bgtUV
omXyjA9VMPSI4hGJ9kbmPMVDKmdDhA+LnqWguY294WNsAU4a3cY+posbshLEB3sRDhPntqakHP+J
VS/tMIpBcLlpEBv3GghwJ2K/XLd0zpQe5ijPJDA+UpNBsdxakLB8TJ620/30rr7LXvvn1I2eMHsP
u37SXxuEes033TskGOL79T9+ArPpZZMbcRGXKG+6wFHxh3flFm00z/fl8eOtORrh/BK52GnJs4nh
rTci2DwOHMLlEjA3u6PGMRi2sATS7ricyl82AFANc2fvP17rUAZiKJhzv+lP9pMTWg8r+XFdfd6j
8GIHqOmd3YWgV1Mz0AnBjZ5ONiZBp3fFW0hN4ocPxQVUua+53UIEUx+cxhsoDZItlY7RcuDM8iZt
MB8xuGPk901gqCmy44W7mB4wKOThKMUHVL7kzLUHV/6WJuj2fxcozrmeKaUeSkeqjD/2dY+KaWNa
M9Z9G/Dw1QA7JFNCSNvV21DT9rVzAgluPAILo7rb7LtG9DblnmkbLB8qIHzQnMacaWlRtxqEX3Dy
xo2deXG2r5wY+eCv1/UUiWHO8Ix5dLWXsb+RBBfW1reqYn5IXfKoDJGgrValV+4n/4mWH0y8As4J
3QOXtpRUyaAY1JacU+QOXhJGD7Zf7Jcv9hcl1HbTzfIoHatfT8YP5GsCXCVB762Y1e5fRKeK9yYH
ldCfT2HU7rLemmMJq5uvOLYT3qd4NmZBiYouBKLjSyVTKAfbwdpfX29edozGPAraGtFmgMTC5SIs
qyInip5hEYbV3cDCI6mOO3TY2qXcSJKuJyRYvw+D5qv97F4XznPYFHMH48Z4JX8qZRRSp7XtimOl
xsdI/jlFj9d/nxM4qyZ6NTCARhvt2cY1eTWcOaYXJLDxVmDsNLUVB4sSF4BqKWPRUBrPnM6lMSFX
FgMJs10grRiGfdWZAXrY/NWe3DzVyZq8XdeNu3ZQDYV4MP99ovXoLSWex7ke4HJSDxXl20UuBK8b
XqJfNfGuAfY/slLIoF7aRpzVKyhjm8Gt65WkaPbbIg2cibafRwBtr6pDNMdE0tMdZVDceoBDKQUS
gZoLXEjRYeU5BrQdYEaXMn19quGoUxlr09gNbiXZfoP2Ht2JbsoVrb7RslMKNagqdKrPT2ivdktZ
C4tx3VcqoPvshnQYBwAurZtI9X4cZ3jxb1n1PUdRywDHZZUXxzW1Z9AqFyiwiqj2uCcMvKuIjzG+
ihuEOWG5riYgkcGXK+2rNd8qDlGHt8YOx+TeaMhS3ZiyqKVRof6CdW3nMulqnl2TZmR0stxDZtzn
JLWA6KKBAWD2S00K5Pq0OEcFc87O+DAZwfgPqT31XDhjNkkRAXQfKNTuOEvPQ58dTPtLrwzoYQb/
JZAp9fX9+lngRgXnEtmjV9lGvwxU3QZdgcjTJNVbjqSiCa5GTE7OrQfCOxk0qZqOp/NACjlMJbcq
fqIpzXJ+Cr6Gd1Wffw3zHkL9pIjlBV9jZb3nLLeDpJHc8NTF36Lct6L7tnqVAZdd5S9t8VOynwTy
OSklTPfAFcGhoxuOzUoYGBVpE3XE+v8fZ1+2JCmubPsr2/qdfRkFXDv7PDDElPOcVS9YVmaWEDMI
IeDr76L2Pp0RFCe43dZmbdYdVeHhksvl8mEt/bFBNGTGz3hB6/reIl5jb9w0sJO1Gu7Sk+tY5iws
xUCTVvVm1/o8e4i7jcMOg0I819h0PTDp6IpnWnC1LljDQUU68WSR+fgU0DPjwlbR/QFUQa9V3Ie6
cXxmZZ7DvnfVWsFz2q/ZYTqRNjtMDQZTCGXo+XALCqO5AjJBFNlBSe5TdOGn/Mpcw61floj8M0bR
pmahmcsgaWwWABxFlwnQ73iDdJn5koDjReTGgxQ/s4j6XbrWv7Dk7gGTgYAK3hV1snmZHIDjXUsw
nepr2EbrWudAcNcxHwPiarnXAcMHVCpTQXvNmyVKr0n3tbE7b7oLl9rJL5hZUTxIQ6EuVtqwy1fQ
54Abu9Wblatk0XiO1JwtLkjNFFpKqMk6tBpS5k+kjSB8QZVn05rSO6/SwsGASijJgScSF9ecHM9O
0F3ejxNUHVNDWx99h72AJ+SxLZ3NkMBqtWp/XuL0+38z1y+J805shG1a0glIrFkaVHq2izj10+xv
ZN+hGPp3AIuHp9E8OFAwyiXLBEB/Cp5kXqWM31X17bwmy2v3JWL6/OgWi3Sjkno6PbGSYoekpUf6
zdR2UNCgj5mvK6/n5S1axi+mTXeCwZ/ncYye6WVaAsQIgJOdYmx4dNOwrZP5mJ0OzotaPmxHsmam
3hUYi+QSsuyxVG+HtrpyGbkTo7utuhSlGV150E3GPQ3ZXq/n2XAbId8T1hYIB7I8uWmdPH9a+U0L
Fxdacyem0X/rPzsZblfJzmX4TVGePINb5XuuVtdZlr5H8jlHcS6NokAq0RYoI95oFnjs03ed0LW7
ZCHUO/kZM39blhagl1xYFi+uO9c6aNxEreDZFrvz+i7LsdCaM9E7g0Lm1LxGXpSoIUEOo76jbm2a
7sv2wl1t4lsKT6DQl6DZXpsWyCqNCRyrc97VWGzJ0CIlGtlPNC52RvaNuM5OA1qFMbRBzl+43t0K
y32psMLAi7lOBjVgbr7iJhYP19GPmm12ieJ6r8b4UaoFqKdLE3Eid7a5/RxxsimpteIHF73SkbjZ
piqKIpRGx2KLAbnvFkNDQYl+mr+zo9hNtN85BIZ8uqNS7YumT9DuB4K32K42UVl4FpqvUm3lDlle
vC9B0+dHnqlMQIU+oEPfT4sP0xpvbXYnnI1VBGJ4N6K1aZ5lQ/2SNoULR9IaGXOmCUjjhoGXq6e6
fKtozfXqdM1i3IHpzf+s3/zqKHMwDloTHmTMvnFkzTM1yFtAjFovNZAvnfSil9vzO7aUWsPViHjV
QegBhLzZlqUYny6Fgtt4zPtdX/eehlaDAliXmVlep0bvKwQML9aHED+t4lNPaw8vQU8t3ICIfOXH
LNno8W+Z7epo6XVa5LhvuEyKiQ9NC2RtxIHJ4nR3Xu+lLT0WNdvSyiozJzEhKpV0n4G7mjKxT8bc
H/u12ZgVrX7Vao+sZxBVr/cT8LClgVuxRsbf0HfEvjuv0OKFdqTRHJIHVpOVdgQxkZJtBTNflDJF
IqANFWp4Wav7Kcg3LUm2PYYvhi4JbaDOc9P0mFybRVs6nfDqOrgrLYJU6Syx56gSUFQWzJhTMBKV
jUda2+eudSnbH0zrH2Qxrt1Zk5nOgy4wvaDrASOgGnDHT4+oRJQywcwhch2MJ7cBdyAvkwxCizqo
DX0IKNVWQojlff0SqZ+KjKoILfAZRNpObYNMZHTChsneiztrrcA1/frftNMI6luAJEIz4uymzDWp
MAyA4r3VkitGP9xMHHRVbNU4DZP0p20liAJdz9bFvlS7lYtquh1/E4607zTbYkzJ51M9HS0xDFlD
eDUkG5ZY92k3riT4F5fySMTs4OsJUCvLEQ5WkHRjR9pOzbKgjKtw5YwsvMzhXb9UmZ16o8AuZZMj
T7JLI36SQLDsyR3Xg7Q+kDjxM/VVwfDCeamLrsZAzh6zu6AHmae5i9rNXc5xKRKBt04ebYpEbO0S
RClOvILEsSZqZpLCIsNATYiKHRKCytFLBomqs3sDWMHb81otnnHUZMDtjlEk8HOfWkWagXCXWlhK
JfMRrbbFBohPaIx9avIflvPXZyjNiU/tT2mT4kc+tKEpN7MpsIi0K+KghJns3Zghq7MSVyy6kSM5
M1t30bdjZwO0GigYBmMJ0OefrsoPffzSKZp/fgmXd+tLqZnVl3EJus8SSiltyDL3KrV/tJG84Wtm
vxRVHC/ezOr1grWpzgTC34G5QU2jFMXo9q615SvV5bUYJPMp5k8uMpIA+O68kovC0duB0hkw9zC0
c7pzHdqEVC2HcHDVBUoV9P27wvduPqE3PGTVT5pszgtcXNUvgXN48ooaEtxHEIiRP1m/iTZw05cc
uDfnxSzMUcIkj+TMbhxUYetI5RKYySDt8GnIdlEg0CYLVGFr+6ZcDQG/GUMgxz2AZmrFkS36yyPZ
s3PeuV0y2ICg8Fs93VpZskGv2T4H3eeKjmtyZvfOaGldXgjISd9MUGHqoQn0i/sqHDbFfQ04dFx2
W/ViFUtlbQtn7zUq8ZhzqknscxlmIPzbRaF5JZ/Nz3xb7IbMH4Tf/Ey4Z604tUV94aXhqdEI/FsT
FMbAWBlFEOzoVy6wrqI6GOxmJW5YKg6g8+9Lymz3FL1lhjZZTtJsLX5j0cHP0cA98kAF/yctQzps
a7zNcCG53eP5LV1c2iPZsx0tchtU7Apk09a8GDIIUevLSmHbhq3B5S760iNRs13Ms0JNKmDdoGIk
t0o+bsF+7NU5GhZIhm5A6+m8Zmt7N31+dEX0VVSJrIA4zf1WaXfl1NO85szWVm/6/EiGlSFphCQp
Vq9huBru8nZH7QPgwv6GKuhVs1UD/VwoeZ2KAfhLGzupiluouMiUoKneY3MFTGepKoa5D5CugLfQ
xD8zGXXbVbmjI6qz2hfNEQcpqwb0Hd9GhV8Bfifsxuq10B7Tonw4r9xi4HAkeHbrMV7gO6fAgSHB
59Z+OcKRtJEn0RdFEiANE+tvVCuOVZ1dQbnlMFDgTaGKWller9ubxPnWR92dVk+9YurK0k52/Vu8
/KXg/AKKCzWOuylWSVqMDwj61g0YxDq/iGsyZpdP0TSZm0/5DxO7hpdB5KmDOqwIWbT2I0VmfmrI
WssUHEKEqALWqZYf6U442hrCr3ItGFpqQIVBwtqdCcbnt9HsmtfaoA9YNgzRl+OWlbdJ9A391yZ9
bA0kIIcX3dqL5LaK93ytmL80znwifHawpWxBJzaNwppZmFoXpn5FyYuV7NC1kKGgVl9qlud0K7fN
YmgE7FwgkoO3EGSUp8d8rCublwxCCyV/6WNMHiQskLoeVpbpcU68Cix0av43IBgQuRzJnSnb89jp
yRR3jmjxGRjKtMAtipwh7MtnjFD72vBcxGgmcJ6tdA0/Znmlj4TP/I7gmWGP02uoTTv0LlyVxbVt
vQ9JEjD7IOxtHQW02UVr6ZFFWz4SO/M6Ch2pG3cQq+ghT5y7WhDPiuqNZj+fP5mL19CRoJmzUS1g
cgMjCU8wO94PeEw6SrGZZvDPi1nR55d7P7qJktZK+sqaxPRu5NWyf4kNQFijuq+JNW7i31WyVDQI
gUoQABcA/57ZKfAPdVWaBrglhmsCTNN82ND+87w+a3bx6/MjheLURO9ADYUS/adWhb3hR3QfoWWg
Vlx/kBsVJNrc63AOVwQvryQGZTCbTMCKMHOlZZ7T1qZ4L7QN6J0AnpH2FJMEytYxcs9oyp2eDfj/
zd5Uk9DEZiqj/ZBhAC5znwfjs8rFfuUXLWZ7MMf+P79o5nerBiOZQ4MJ8666iwFa0t10Geb94oM1
VJ5tbBXUY0gbunR3XvBSIzkcw5fgWXDIs8q0CgdLMdbfGmpsW6J7wNu+IQMYf3M7rBTgmyV3bT4c
OqdHVVDdW3G+N9QHI4sBjRc91uSHdL4VXPdVocMU40Nno1gl9Xjbltonz8DCSlOgYWmq13HUVwDS
4cvavj+vyWLoeaTILPQES2tqDRYUybrbrt3T5L1GK5KpBrQfVnZr2Yl/rdnscDRR1bnR9L6t9YtW
f+BRv1WrO629MfFuUWyUdh7P6/b7aZy895fAyZ6PDgptVFDpSFhHZUYeHMuOqxpGNPvwvJj/5UB+
yZk76gJTuF03nYv8xrHD2vEpiAyoigazfZr6uRBBN4L8bbUiMVnZafwE9H8Ay2P+GQwlKCufKli5
6BiEw4GC7JJHbBuZBwKLxxNJJD+A72r3id8Vl30eNALIY3LFgS9URCD/16giWjJVQDycyldIZ3AU
vhHk160HCtNk2KQq+LL0IKqdILfAoFXeNioQFAt/5PeWYgRZfKMOxeb8DvxuxKe/Y3Zl6YASEHGN
3xG3Y7VBAkd6SR+rgVk0N1GZMK/Q7WFF5u/GBZnAQ0c+ENBX6DY+1V2OekpB/IuQz73OzB2tH9M1
ZMHpZ/+2vWi1BdIfXvGqM1vebuQotQ4Y9olIhToE3apWGQrHxOAP4NDd6JJjdmbFyf8eLp/eYLMz
0xOXom/exIMq9h0FW7raf7W0cMd35EwrNtRZ1E8LBwr4Djn64brOXs/bw/Qj5wt3LGJmDwKZAVdR
IMIubhSgT2bgKaKXLf/LOeTTtZoFMBK3vTYdAb+vr4z+o8RAQ37nGCsljeUdQa8DsixobJ2D1OUD
kXTIsCNCl15LN2n7+XdW608Bc4iKiA3OoKYQUA0PTTPV1ePoQe/WeIJ/d/9YLZ2g/UZzNLC+zQ4M
tRkarKfVijpqlB56zOEUxyqyPkgiihdqKenHaFbt4xglMeaQszRaeUXoi0uJVkM0WYOMA2O/p2d2
TIjuDCNt/QaIahgh39PvFvW4hQmfMHu2/MIn1xfjh/FgB/LVwexP4jeXQPE6v94L9UeshAuYeCR5
4bvnQ0dGbYxolWFoDM4C/dAH7Dv5hlnTXeTllynIcEL3UalWhC6r/iVTP1XdUTozrl1M2eGqIN2j
/tdLt6c6zXa3aZVEAwdZ68fGZVPtiPvkJsH5dVt0HEfLNql4dJ3nzJWK6UAEca4VC/ROAGjnK+W1
Rc/hgjMbkwZTwmd2pDuHjSpJICOvJ3SKNzwvJwAF/teHHi1Mx2j2hPWDHOo8hldT0cPKpzGdjmRb
B4QmD1nkxGj4doT+o0/jcm1ydOmORKoWDZMqWNMQvZ+uHtIJqdE2Crr7AC6viZ+UqF5SwurtDlgi
/cv5vVoyN/SPqyjjgcLD+lUSONorVKhqaQj4FLMH2pND8CIpVix6USFMMaKiBu4Z9PedKmSPamLk
BLejpvdBQcLBSr0GQ0XAcWsfzmvza9vnFwomGJB4MDAk+Pt28SrJMt7Cuvfurn3Vrwzganj9q7xO
faAT6O/OXm7Ga+I9FVfkZrgdbr6hc2Dn7mwMMGIoITz/e5ZW9/jnzA5zLUd1jCv8nGkT+6hESuv5
vISF4TkLxfMvjWfnmZW5oUctRBgb6zq6wsDcbRvYO/s6P4hvStAdqiviZdsOWuaXBdiod+d/wNJB
PJY/M9dW5zXKYZBvAlEoyy4ddh2VSlDiEXRe0EKNYdIUCEI2kmnT/p7aUZKhEM0l+sFxal4VRKrp
UASkxww+ibZZTnamaBNPR08sWuCR0Q7UUvz1wje856+5XJxNzAPPbLlITKmWJo6LTmOAi+xz1eNA
Dc7N/XllF12oBQFgNEQyew4U1dt1PvDRRio7/u50GDuNADVH7s4LWTqYaH74U8jMOklsK3U7CTHh
2djtKB+y7hlPFU+INST4pYNwLGpmpSWNQE9mQpQTXRIM+xciXzGPaeXnJ/9YwswOMR9CKqWDBGm+
5mzXsxsErFr1xGEXyWspV+6fpZAft4INt4ZY7zdcnbbnTZlYLp7j5WNhAEtLN7wm/oird9P+zooV
c1hcviNpc+UwCi+RNEK/xbCrsx9KtVJOWFw8UMZMMKwQM6+cpEZKJe1w51jdS0svDfU6rZCQcb/Z
5msy+LV8P295i+Z9FN/NjnLRqUPuTPFd0plhjew7/DYGidaem2tiJt91dLk1du7msoKYzNqb4OWF
T/HQ63hel6W9OY4QZqdorA2q0BzTjoV86aqD6j6d//4lB3v8/bOjM6ZalXc6vl/ju6r7KQ3mucO2
y9fqL0veQCeI/KdEAcZGZ3IGTUsw8ggbUPtAk7Fn6btO3TuS41W2cmcs7cuxqJk5KzG4WKIa+1IZ
yH+OaWDEL7XDgvMLtyZl+vxo95WOtDRpIQVQVLnW+eiZIAC6+ztCAEpEJowtNLOdChkFWD1ad1JF
/4hq3zaBXBivoRAsmgDmaP9HyOyZ3FB0ytEYQhjGCUeDBQTT4mmqebF4PK/OoiQbs5AYwlQnjqxT
dfQKKfdEQ7hrm61nRjdJv4vUsFsj514o1eJdicelgUcmwajHzNj6dGA6Q9HE72wwbln2c2LaYHEa
Gw/wE96Iy33IATwQ0Q3hayMZSwf2WPbM+pyhNUqJPhdfL0ZfWM3t6GorqYAlfwpYFoCCAzkPl8T0
+ZHp0XiMC9jL1HOFrncuCtBicqoj06ZY20hlUdg2EQjOnAbwi1KsVGuXDB9PVhgM0JJMPJBOpXc2
eDlHhtvCThA5UMAWV85l5LQrr/QlWzGQ5piGZzU0Y82UFJnimrh1cSlFoY7RT9qVQQs4O7fenDfK
RX2+BM1BwuuhlHE1PSAMlWvS05qofSjySoJBXs9xIs5LW7bNI3Gz6gly+OWQl4gkCOu9lKlelqg7
p8clDz5mL2GF37poXe9vRDWuxUlLYQUylZjtQqbSRdbydOuMQou0njnIvSBRa7r3VRUDeLW+jFM9
MLWPFvhW57Vd8vrHr82ZQNsVvdkWk9cHE66ntjH1qcWKnV4DE7pDCbd+PS9wcXltNOUDNReoeSiG
nKqYRdpYmxxJlSQVh8hi+5w4XtKIjdCBhJBRrxtukxgwgvHHeclLZnQseOZFUYyvkeKB4J4WnmC7
AhOsbb8/L2TpUNjYPw1kDgCdmmPVqWCxTAnBba3Y2zECesnWIT+scW0Rp22ZR7voKgB+t+aYBAjR
p4uYCmmaAog4vkZvSTr6mKr3WZrtOo3vu7TdMWt4INW3ieFtpCBEqLWDXsQrnaWLurq4+CbgfrQC
zxyAoui6guZj4He0YF4iYVJSL2/Cau36WzoU9peced6zL1TuoMMGFlMk9wZLwlqrvo+RGnQ69ar6
Y2Br7XrTL58vr4MbEIzooP9Abep0ec0xx/xED5SCiIHuD/dSvmtKPMGSPro1jPKql13s66US+aBp
KFeWdelIoiEe07Ko2aA3fXYkhz7nSTMAhsGwfiTytss/R+n3fNP/9TnSabTAcNGBjy5gY/6YxdiC
QlMdT3fivFR8nyTfOHtPq29CfV+DzVgovUGWCawbkOcaiIJmSiWyEAM8DFYUKWXRbQbUm+QG1K+a
tXG0jaPHiKBe9LVX4WIK91ju7LLv09RQVGCx+aq5+ej9O2XHm43z/V55dpqQ8bB5XvEyi7tnAd9i
mnfEPzP3RsYM1ZhpUt7JMJhrXZqqZ2hvavIUryEiLh0/50jSzJ9lliwdNklCiOW5ulepbzL1zTXM
8YUuJmzdkZzZYaC9bfTOJKdo0Smr7Tov84qDcdciIx/Ut3XkW49/3YkeSfx1hRyFT5FM/rOGbJrF
x8Rs+VKm4APJ78/LWZiihGp47YB0ARhz+jzBP3K7BDJzj+TVlvjaTnvclL5peM6N9p0+jH6yrW8B
5iG98dt5wUtX0bFc/dS/tBlA1UtHwir5D9rtASFH3ZWgSZ++4zcfdqTb7MR1amaUqQIZ3SbTPf25
PkRBv3f2HLyb5aMmg8I3fBXQQPQt8y8wf+D/nRflsZazs5cltmIoGVZ31PVbo499XikBQbMF2J+7
utmfX9NfRfRzCs/uxMGy24H0UNh+INsy1N6VG4wFmD69xljFIAMtyAK2xZNWeOPgma90Ox4wPPse
Pzubtbfn/7L6U8ob8JeY1J+tfstsSsYYTlzdWptyG233uU80z95o17XPAeoWmgG/ND61PWadi22y
JU9rnLnLRvb1E2bL34/R0DAL16ZIDuh+1cneWQPUXnRB9kSAgIfGxFJ1asc5N7VaLSctqw/R/HTN
zmPjA+l+nt/aRZ96JGbm6dK+rtDTDTFo7ubdD0BHROVVqffesA5zsywLeOou5reBCjSzonRM+zGO
IIuCbiATqHQSNMG8tWBZJxIFfSJ9vIVQmUk/W8ICe+iuXIsHY2NeKYmzUbLbnqYr/nAxZoYl/fmj
pn04cogmByVop9a4VAw7FOBFUHLfHfYDCwzyOtY7R7021lIBk3n8dpwABWWglxOLMZ+GUht3KA0d
N2fuqHdpTh5wnlceH0uBHUZ0/xQxU8uIU6UfagQFemGETeJLbaummKih+0E5xMWaP1o8EEfiZtbK
hdsq8YRgZOBRJzvMc2fINZhrKBaLFnQkZmatklRaLyIsHEm1HeWbMlEDlPt8pQ+qtUHGRZXwToSX
QaTpzllCKeLQpKtgGBoHFGpNPLMN+1VmJHXBFDD8OoGCgW8YkLqn5keKJmsRlaIcr/2MjYDjsQ+G
dhb5ChgH8sSPCVBddufP/JL5udpU4cWEnPZbD6M99qR2LGxWlQODsTGuM9ms5EmWvNexiNktrNQA
160Z1FIYhk3jmwy8bYB2Mqqn86osGcSxnNldwGrgdTkV5BQTwSS/KXg49oUXl2GrrFyCa6JmPr/W
Sy3lJkSlehEAFbhqdIzx+k17mbH381otNmkcqzXzlE2REiAC4/mg7MTgtbrnXLV7M3R9/aa6AItV
kHmpr4Xj9uDcxPdPif9Eg7WH2pIHOf4NMw+SN0IKtZ0sUxRhXoRyLDdSuJ6lXSgUzYof53VeW97Z
QagBujGUDsQBCf1RmZB3gByKf4HHPElDy2bb8/IWLRT4oCiwajgL81yJJuvRUARCb7PejMZlZV45
9G1cM5rFRTySMnNYrsuyXBcorLJ8K51upygWmDwvep6HlXNLV2HBpwfD/GZxj+RNnx/dZkWNKYGo
g1aAAHR+2kgavBqBeme8gDeOdl5FfeV5CNSdfl1v2k10RR/Or+qS04SrxEsUNVxADc0MtzMspY8H
6KsgP5oCrYmZPllrUFn0X0dCZpZJBxIrvxY1Klmg6i8McMXn1VgsiIPnhtgYQp062GZ+ZUxBIdJH
08NMuanL24KiwxmtpO/M/Gi6GwKQvOqKKttUfTwveHH9juTOnEyka2MaTwefjxRsHygV2QiM1h5n
i1ZyJGW2S0rT5d2Izga/Lq7N8tMcLnWRe6BFolUBhDRwEJPv5/VaPG1HEmdb1pdV7RbVZBf84Cbf
WHdF+Tdr7cpekALwUHQsoRsVoPRzKL1OrdSx1SGlihQ/sY1NJksvdW46ja1cBkttvyeiZhtFU3Av
2QVeRD1AxB+0zhtBijpulSvztmm8fE/94cL9pq3UBRbcycSJAjx6VBEniLLT411xRRhUIjcJACoH
CWvSBKOIPVOb+BND8Cme37UFazwRN1OyNWRmyxTiKv0yV+61ZKcp9+dFaGsqzWwRrQXSqad0a2Pd
SwzcNEHeXYksAGApUoSh1v1szU3jXKjOXdNdWMUtZzecBgKOLf736v6f9/7/0s/y9t9+kv/3f+G/
38sKLzSKyZrT//zvm+qz+Mdt9vb+yf9r+ot//sHZn9t+ltdv+e9/6OTv4Mv/Izx4a99O/iMsWtYO
d+KzGe4/OZCYf30/fub0J/9/P/zH569veRyqz3/98V6Kop2+jbKy+OM/H+0//vUHRpOP9mT6/v98
OCnwrz+uyuyj7N5++xufb7z91x+G+k94Pxtwy1P3NRiOsT/yc/pEJ/8kGkhRQW4IPAcNrfd//KMo
Ma30rz9M559AUNUIeC7AiAxoORgOR0fQ9JH1TxOkAxOGF+CpTVQp//gfzU826GvD/oGGlduSFS2H
KkgYn9x4U985EKExETdxoyB+ntcDR9nTitQmC5IciHZgJmRIXkeKeLdlBDI0aaTgxsyjWAmkGmEa
JqEJaKgGBziudhMDYUNEm5HhbSlNFTDcwo1EmI3kthba8Fpxt9rRxkU+tbdjftngUYXKGOnswAUF
xU1ql2DfGHu09yRW4ZVIL78Tp3ggorDNXSIrba9h2OK2yXKuhzlFhG9Iq0q25qDZu7g22k1C3RI4
KZh/yZuiPmiYoxxvFTcfpD9qoGkH3Fme7+MJrDjERAEQyYw0ULuurh6NHqggbQlqTNWK3Q0HRlm3
oZmGnIsDfgMPFxwg3oXrtkWQ6NEFoK+ECs5mKX2Fmo9GS6qgSSakUcvMLI/2XD4XptEe4lgdL/Mc
mAVbA/ny2woAEFfOyJknxjq6xKDBUGACPWk1TxWW5RWiTTdcyaMrAlQmvP8McZMBbXAvLKldmFGS
31BRWU+RaH7wBhFtT6Kx8IxW++FqOUpFOjK4BoYMtmMbu3d6ZikHEcXxxiGY8et7YRw4qEiCuqw+
o7J3A1vtHi2riy47Kkyv0mv7NuvU7lqwdsy9mgtyH+nIhXl22gLreNCzn60QxWMLiCEE033WIDtH
zfhNa/T4sQRoc+K5lprvHNeMfgjs0LWo2hgwrBID9nFM7TTQ0Bh7b3QEXS55Ju2wLeLxe2qldag7
2XDlNPnwTNFfjE/tamvoVL/qEgKsh0QT6MhsqsrPbANdLNisDrvS/Eg10MSqACiQeakdXE5IGYy1
3A+pmW9FWgDkGMSC2bYyAeGeoKxJAsdiHXptCudHlpnqj8HBXK+X1QoLhIHRqxItdkGdx+BwMEpy
wzsHfZGghvGbGryPSTbUu66J3e1omt0zxtiERxWAdqVN5aWCRLtMAWIXSk4vmUIECWKVm5cp0gxe
ZvXKPaaVkosSJdQbK9MeNW0CHtCSPHDjPPPAqTEGJOfgvRna5paP7FPj1AgGGQe6ypz9aD8mDlOv
y9RV9m7zgOnqHqi6nYMLtJIVIPJz/Fql7vKN4yiJ1yVNHuIrgHNeAiwpKip99ICpP1wjK5bfDGYu
DxwgiF5W9CQP0ywWXtqx5ClPB1d4dQV+6zx1t3FRs/3QV6Vn9/pmJECiSF3h7qJKScMajII7N8OD
Zhxgb4ypYM9tpNwD5I9sMNsHJPcGm98Y+hsod4rDEKFYrROzAK1jRtMSgb0w3jO9qMMY4NUDYHus
/IKiawnsdvyFVLbjd4le3jkikZdU9sN3ZMFe0YkJnNY8KdF43FJ37/TqJ1PBm6cnURFaLsLmxkrR
i08lC+OIOh+6Yrfb1hm+87TMg5G1VmjIoriZMojUG3g83hvU7C8Go+t9o8tbT7NBT8Xc4okxx946
dYUHY1wi9aOZaK0H+cZw0POmN9BgR4uwwgTqB7RzQMNkxeR+UFQZWCyiYYauzetEGdKDjKz8wQEA
PQvRYuIeOFfZFnjY5S4dXbFVmGs/d4Z+T6ss2uSDxl3MficAcQZJ0QjqKlV/UFmqARIPQMEbpnTx
tlZ4toPTcS+d0nAHL2PSeCJZjYq5k+Y5Cr0FnHJkdNRz2q69yHpQQ/LUfVUGm7yJcWJSaQEx6teV
ke7QhT2ERjwEpoPEb9WYOCs8DeMsvsTLSxzcVIFVA6APVKDGTSlZf5UWIvJLpXK7wHJHil3pYnMj
kewOZVlFAVdGzbddlV6ahZ5d2yXpnyiuK+rblqje0CuieEU7Yqyr7VQb/xfpaY/ENMaPacyLSlW0
bTtyAErXZXRdJypgxkZUBz2VaW4FX2WDl1TYMai31CYiHnNL4AiV+P5MyOpFJuiGiHUVCULDjBno
xtQutIDHsC8MoOD2Us0C3E/uoXHtfh9rDnJVGOm1zKjfi1S86qw3QimdGORkVvuIiVTmj0QhFN80
yJ2m1ZiTZbUCStbKSFKflUL3I1sD0kKMiUFAj2SjZ5oFfSNjqoZ9YqafaHNzQDpo2DdVUdUXI0Dn
LxR3fK7RevC9pnbtZ+ZQHlQngXNOY1GHcOiArYz4cO1ENYDfkdwKBZPNywBc0k3eoJKXyu6gsGzq
x3UvYoca7ywaAY+TWuNFI3t35yg6GuZwUQ21R8f+Aem54hqEENwzKFDLHbUtIi+GQwTIhpkEMQBD
/ZqjQl+jYfnCbGoa5mk5ggtEQdHAyfRA0IheZzEd7k1dw8xcSdV7I4chF0ju3zdJZb/wgg+HJG3k
FiDd2UWtGAw4EHW9H6u0CuK+U/3MSF942qh74DEnG7T6JegOAiQq0OlZr1wrUWvcNwjar0Qsc7CX
4rJ7yE2g6CWZjC6qste3SDOal6pBkbmiZiWflWgiHs5xr+BkW0P5AVKxofMr4HOZgaUlDRwMUe8T
F90D3ljasKmGCoYjkrN6kxdWdyXbIQGtDgX0NqjwXAct3WrPd2rCrhjnh0EbzbAr9eRHo1QNuhhk
lR4caWTfVWYYT7qTlGFeTwWBzAAOC2/q3PSkRQmCltbZomoQAUjCpY8KRmps4NUX4iUd8xHgqKT2
ANcC8lvbHnfYpMrvlNJoPZUq5YOFaOVCNBbQsY3GzC67RssD1Oxsjs7LQUMrFYYXoxZPa5fZ5KUc
4+FFmGn82ijwtl5XttVb2+TNjisa0BdHGyFHYgo/zZshCVKNkxen062fIAFWn4o06oKi14GCW4PH
edxqTS3zS+lwe9MWotlY/4+689qRJbuS7K/0DzjHtXh1GVqkjnxxpHSttX/9rCgW0c2aATkNzEsD
l8VblSJcnrO3mW2zdhhvcUwpxrOtPkxpHD20iiGwOMo1ZSOOvp5VDelzzubgiquF+0EbRYQJxYJw
jIYo8us2E7A2rvpgYsgeC5Yu3DB5lXkrqqrFXosl2SRmWOKsXimORKgtIpxwJ/EYOFUnb+pJ7nnL
6g8lRFCCgXhkD9VyAbVdHGk2dLsQrea2DFLiszMMN6tnxlQK5aAtOzfRsw9wXC8lzCjBm5FnzdHW
dtuL5HMq2jjwnA+fsxj9mFQZKIYwpkg1rxqsc26Iz3c7dgiX9r7FuRppNfju17qnd9YOF+xARQ1p
NZpbRWVzXc3418yUxeuHnN6zTEVi+hRsnatc+EiQNplGfGDD2cDbMzWUSFQE4aqftPxDsMavRRjc
GiPTrSRIj/kw7PsoZuVO15sR9+fe6ivee31xMDbjEndxdGEPlw/MC1/SSssd1s5NUhqLXQ+sjN2K
u5oSqx9iMuZ2rKYaYse2xsqe+IjUjGq/aoX4AfAbaT9ZOE4aIiqBUnNLgV+GAco+zM14nyu4Z8Ty
06g2JF9h0Y6fum2qhZPqlDWrFm0E+CdWkymorGTYNKtGQoX6u1hauRuHybInYizMiaPp1YXzWYex
cCaln11daIpLqBAZMbYyVjkLb3kj9n4sVyk3VmJsJZkCs2XJDU2qDAQj1i6U1EO/Wu0J48HqqDbc
GeTjr/piIkGSGrfGmOzWK23qikIOypCnsk0ce0U2qpoFNY/CNZak9oMR+YQkmrI2PUOPioOgWcaT
EWefMa7pOz1PCxth2j2uZixcUW0LlK+Co0g4LeHtGhBWclbV9Ukyox05IaE/FfltXUr5iPkBQP7c
IBjIw888Ea7LkD9YaX2Op7naCeJBWRhw0PXJrXvL17R59NNaPAxpvNiKOZF0nNe+nqSN3aXWLZeV
W2Vgh1lmleZ1az9sB6oGW2OFFlYr35h9lJP/Ud30RPObUUnOKWXxQQxJT2qLUcVfYPpKTO3SlvXg
zEUaMwZkxZ6SIq1na/wg9zL0a90U3bg17bgL5vE10sP7GmR+xAhNXqol0p4Tcrtv6tKHol02ue7l
bf9RVtO6nwRSYcYqPYl9i0ooCqpYW3wj6oStUqpfSqEeQoxKSQA4i5bbxi0Z6hUe0OXAdtLIXgxD
wQRul9klehY/6sszvZK1kwmDoy9ZxQ0D4eZOmNN52+jW4yTkNdWAUPv34kmuKkfr13yzYttDmqKg
i56eDJQGIfE/ubL6a9+FTqS2ld9X03bVJVouYSuM3WqLs/CmJ7RD49zml0gQE+aZRcMmGeumJjjn
r1q9uFWuNXaVUWWHRdXQfgjDrsgkL8PFZrHyxp30e3iCWG6EkKeaxpPP1TziXDwOmsos4YNE0quB
tA/tlDb0gUMahGF5K1PywWs8gueOMUW5Hj/SUKb1vKu8WJUrlo7ErvMRzXWp+IVufSY4BWRrx8vP
izljpGxbTbf63Vzsh4hJWQqnhkx347vAaN7RJuNsZN1v1ofkFGJ4Lmn1+5RAlNQWp5MdoVhtbQ7r
nUZV46ZUNQBZmMWr4nUkT2i0iIYu41L2TSb18a3z5ExmgZ2+xzwMqoRFNWbyu1+S5zIeNwzhpV6Z
K07aKNehpNBaSJmOTcydU0lxS4PusRZK15hqwTHwFfTiag6KpCXDJLX2qsSTlEbg8h1WdKRgIPBp
1Yhwj+HZbPTJ5v30hSXEM6VXHWPGTqgQdbYNzJXFSuB0O/m5qaO3NVNzu2gaBs7YEZMp/YwEvkwz
oHqRLHwnsVhTbOJKn4Ttu2Zpz8XUXs2yLn2rWTSnCodzVVLVmWWhOEs4rawyvNWjQh06hV6rjsHQ
Sc0BSwFOSyyPpVVQeIei3zblYbA6DZNg4aWmq7OXPNqU4bwSsaEGABiLp4WaPZrlcg7xYbah19lP
SrKx88yZst905VP0RiFwskaybT3nkf7SWwv3NplrdxzztylhlTWSTkWepLtgGGem8UVMpefcz3AZ
yjL1lkfkwFtivO90fp/cV7wN4x15gGvIO2bH6mpjNVMw55IMAEwURzf8mAkJcKVeyjaep3zedEr6
SnSqWWy8KracIaGDbELcY5RF3RWz8lqKeRGkk/VUp/KpFXil2wHr3MVRheKNO/g0lPq1saCj8/TB
yuLtIFSCo8bKwEQZBVK6NK5hZajwGQTWY6J7UCDux3mJfNnIvFAjP0zMp/3aZZeptd5DjGX81TAw
g2z7QBwSv1GkXSzAchOHfbhT367J0KddSD1OG2Z/u48cOyFPad0sKDeeqrwvvVUoT/NqnKP7OEOe
fyYmxctsJkGmG95cjA8zsnl7qZNdlHfhBz4+9MbGeaBS3QnV6BaF/trn0mZqV9qEafTbtjvywLMR
WDl3OR+cgfKlwe9BLyvyR+bG01PDWzN9T1/4tpbtOwYwt6Q7C4r0MIyEmvKoH40oep9KeCG5Dqi6
Dt2aumarPhA+ZGwl/JdlocUfkgqqmCsfLuujwn7eyrPaNnWWZs0KX6L6dbWqb+rPt7mOAhKcbk26
MjM4NbYI0ONw++1U6n6qNhWPNeIHouhyFzWEHU3wXnn2pi0xSnezf5lUQT9O6/xTC1s9TA6ldIjq
7kHqm007GcfQeGF1in0xy66V/BoZ5bbLdMFZ5EQD8wHmN9VdF9Kp6tZrj9FHNVCNIDL3IUeT+q6M
yiiGgQoq7prih8b8Ekr6ecasTGBsytI+rc4kQB2iaSth37i27c+UFNMpTluiI5oXXZHJPDLeaXzf
ExBAey3BSXR9yLxpfgAWeo+TwgM30nDGua/ZmW1gT2TL7UHpGzfJjTc8Y/fNNP2s41fX5oHUaYVn
WpOtlGXBmhwjGhU+5Xpyl7FpnCV5agf1WEMDGdryIcnLbznzGltS7itU7V5e5Jt54rHtxLJxlKw/
r73hGT0Aiik2tq4JhFdp5OFpJuY96dCMjtGOidNa2T5cVOw7VNORc0vwmymDyK6LlxTbJr7Jary1
mf285ue6Cic1ksll15DW1G4n0w6t2nAVqyEUlmaGj6eOmzMMAbuq8/scwdK9d8+qSrQXw+z8urQe
c/IElpZtKbIGL7NKr0vCd5R7Og1BKHlpqe7xAH8novSBpTCwhJJtur+tkwLyFT2NpiYQoKwdEqNz
tTWzRTm5qrk5BG3ckyKkOBUzOG4OLGSbQ8wiM4snNAKrnemrPQCl26YWnjQ5F+/QLz1aoe7USP+u
cxpbpaNtCefi1ufVB4XwbIeZysI3y4dYss6yOUT7hUE+G/Q2tKWx3MYKCpRFZeMcsfGyW7lWAwuv
vVBWYw6A/qdbB7Jih/FNjkxHM+dtOZOZM+Tb0aipJHTtuZzZ7ldrdVZLc+uVCipqYp8oNQRgZvNk
GJOXFhFrJ+sLri9PNddlUIevqHqLWll1smHwFfWxHls/S8bNpPV7oDvVmYRsL0j9Bjszm45gU2bJ
sbKAbqZlIYbd+BBMphBHMqqL/mMyVYdyiEUnpbfUVsPXc4HyB7VgMpxWqb7qFWGGxcC1/THT9pQW
+nMaV6fB/KpV8T2q+h+GAZ5K66Yr7U8ppJ6okX+9Gj2ACmgn3/CwSEFrgrp043cuKBDiGJ+NWtTb
fR87wsIzn8/4i6qrzQ7rwlho9hLqQTmUnxEQCN4Zv4tYOfJUbaDXIrvR9ee+mUCXpNG1yDzxl4GK
TJR3a2iC21mKK4y/2aBtZ4HD6MZiZ5qDX8r8f9ME0hBt49q4dfJ3pLKXZDw9ifYhLJSBle6Fg3lu
Z/UzTMnlW5YYfI2NTZCY6NfeZsliPE2kOB/jZ2EYvW5ePBIoI0+PwSHrCEynrhheFATdOMSh8DTL
yReDoIa9zPniCNavMokApYJl62EcOopxW6gkwmwWsLQjU44nPu/ibRG3R136bvX7q5mY5kNL0Rm1
r6MZvkk9WOVgnPvRqjG8rb8MMtF6Cru8S4JEL/EdHa56UT9zoTK7T/sgVuXantp59Jbm0Vikz7Ci
y4i1MsajYM+rE0yIr2yt6rFetT6M2NzVOUB8KXxXw5DRyJHIO+S7BDQ+NMcYfC59Jh6BtWmcLcda
a9aP1NxaYvOQya/LKD+OkvgoKxtlNfZaagA8EDpbTTRmcLVOqazXuPguLGiTpKm2WmvYpsG+/W3M
rMihsu1lwc6H+mDMdj0epiE0nMUy2Jb0n1HXftrafKHMdeP+suCi4qrNrhqTt7Rn5sUqfizAICWM
bxKYEV7AWVBOpVsTjh5HFPyhsK2Bo2xws0sx6bMrWAM7iCB+rHO3H/V5O9HSUytTHN31eUODcsrI
IjfsXiV9aJxiLN9gWzaNXgYqXMxWmJoZ+lf0swwQzCrZe8YJpVpV+OOgOdyfb5KdZyii+RZF4WuW
xK84J1J2GJkvi5/mmDSc51HXekz62DUVKotULlV7vL9/80BZJ9TofCNYZ6ds68ItKDdsY2haNwvj
YNF0u5/acSsYVeJkauOwbLphbXykehcHhppP3MwwqKvpW2HPbGvR0yZt0w0Rk69ats9q0Dmx6AOQ
Uy8xJHRVhQIiPrVsXnP3aFbSkzizpE+dul0l5VGasqeabcJdze5BL8rUmbHgw6oJoxplsyyM66xm
/qCk8q02ElqVvnmjcDAW/asbf7KFaDbJeDeiZROyJrgJyOF+UOFosvGAabyf5JKtWPlD3RrhodDS
cxkzFa5bl7QfzrM+tnjRYXDXDNe2LFFjqepDFK0aT8mCwdbY3wqj9qp5Qc2f66RTfiaFNTkI7B0p
U0iQrz7Dpr2UiVoHTSxfG7Xcqpq0XcLnRpJcRaqCWW02hYDCjDqVfdeYibBbvZpEDG3MN6BndpLr
2V616iA0HnDhTbZ9j0/VWMbI6WOMehrFfO/j3O/UcN/I3cYaQbankvQn6Vj0yt7S9Ze5CDrIOKCm
ghnKRaY11gXGmESvi4Zjpi4lxB6pdebiwrjmpLqMxzg2tvUCOVo3XjiZJ/z/YOdj0x7qmKAptZn3
sjGzE4Wk4Aqhv2ThsTVfUthOIk1Y5nR1r3N947lx+nzxpGY9q4n+0KgVpnEGr9V0G+gIQ73bmXl/
XRWZ0LCxuI6F9j2JmTMWvD6ooWwsYXdZTH6gkVWDrWFO6orkhJptv1vqGasrifT6TDr2A/6PzN5z
fRGrT48WvoKRGL4ubQl/O4McQawj0X2e2vw7Sz56sP27x9jRWPLL0j5KMNrYm/Y/c6v/FpL0OFXJ
dexpZ6qK8lAzon3VWn+OPf+3VAhPVcGffylAOCZfbdVVv/2//K7/UTIFpCH/6x9igP+LTKH8+Kr+
WaXAD/xdpWD8DYbIQBZDggzWVoxB/UOlwFfus0LoeLGQYzjq7sLzD5WC8jd03yY/RUa4gpifadR/
qBT4EnlUCpgM8WoYa/+3VArWH66g/ynLw/DUlDXQTdzL0CZhqXRXAf8XWZ4Ri9pCBNVoN/K1axzk
K/sree/O6sdO6o6b42K4A9Rj9Gg64m7ySrcIksA4rwvqR3w3Fnv/Eo2yU1ROgNGmx0K0vM2tvRt8
xjlTf3pbNtpu9PrdFJHvvhMHdzbt7vTSeZ1dbIqN4Zn+2h6WlhVf8TB0kYsXEdsah7xgm3AFBzq+
OI649YNPc2CLM/ujS08x+yE+p++aOzjXgaO4UrR6lpsH8Vb34iBxM7vax1dlwj/jMOzpFQb7ZbDj
g3iSr/lW5HTAA3x5Vx/0QA5qV7vtBTfnlwiu+Kpu2l3uyZ+JH3rD5gVw6FHBLej+CbhVGugrbOUQ
+krC7mCLD+NNPtJ72tfQ6TzpTJ2h2S+768uLZR/3939Z8CrLt533jgOpbdjtoT1U9rLL8F2x9/D2
9pv/9BTZn8jFD707eMVDxX/MXhoGK6kQOsPei4EMaGy4yepYlj283OOtXIPfbdjvif3EtbLTbe9i
BGTPrvFl2YKtk+ljf7Y3xc0eehfzsgNiy9NipU7yLMnlQ6I7SZD2vT1Ek2tQ/ijX5mtlXKbe9Huo
qky1K4VCzL6LNA/aNbkw6h10G5jac7+OdtR5ceHJ54Rz73b80c3zZFzat9XPXdNNDtGW5+Bl9u5p
5Pp7vmvQVoAg5i7gNeDqdGmopC8JBSIhCdf6U2VPUu3hpz5LTLX9AK1eh2AIcrf/uktCMntfJtw2
Rdu+U21pggP2vHCvqd/Xn/Go2UIWKHbaBZltvUIB2qMtPiucDRfuOOL77bXv0Xam7Y63s13F20sZ
b28t/OTvMNvpcJcapn7k9XtxiyLm0N6W94naR8bxjk0S1G8DqG+PyBhQQU5BI7rGocMsYXxdI0fL
T9aVLcatA4Yrj/EBK6rH9jAFw7NuXIRP67NaRVc0E2e0bEoy/iLushMGq2fUEE4qHKfJw5AzO2Cr
JGp+wT+JGYB3QIODpq4OpoNB6wQB4EgxUKe7lJ4sHZVuO8DP6vbwWyb02DbZ0JPm10/DB7YU2qE/
A/O21XZadridVvFGccNdfEm3xFlTz/2GV36l+wncZl8uhx3H3zjiY+MiVXSr2e7hpN8w0aifgEho
LhN621/9XT8W+ziwtqHp540jeMoOmJAH7B4pIHjaFxbIPANS4MaeAcfhhJUfXSnf+tEGhRcGHLp4
6kBHCTK9kMGr3VyB8vRR/Ep9u7eJzgyGjXocFWd0dbrGL07Msks/9gf/smzYuKmO9jQfXB0VQsKN
Tso5fBZ8pkl4g0XleXmNM7fDremT4wodarr6TWPdoP5+C6/pJdrP37rpNT/CJ1V9SE8F+q/4zbzR
gjJ6bSJHXp5kxZU2yxHza8dfvMUbE7vfru659rX9p2CDP4Fn7tPv7KRDE9v6R+lKdvYTllwSkb3/
ln8Wgt1u5NslOlofCpCDXaYX+UG5JNazkm5HGQpjyzTHVTnKN/NQt70dVfY02F/iVlqP5tlbHWQS
b6EtHIvD6KAr+pQvW+UhMBzpFP8qJ0brHDLiH5XdqdliO+8TXS1GD0a2re1QfVFbTqg91Z0dbzKX
Zdn7+Ig3aetYW9F+jDfVZZd6ivPqkWBgnxbX065y7H3JruxCaX3LB/5mY9j6Vn7cFBZzMp/AL/ze
G9zJjz8GF5iB/yI5szd7+UZzVm86nGRfck7E3710JN+d1x2nQPg7bo7VYXB7zzxXW5FvAUKz4aIc
3UWeYPE9VkCFmp+03eRyQPx5PUhObufVhq7AUrYqjPFRv2VbNdz1v2AZ/DX/vRnBH0dx6l8WyQFs
DWgrXxicYl1kXmW0u0NzmPAb4CGPwWp+U3nXubQmUmuvzuLrdkN/yzkVW/56sAIQM9zm7K7foRAI
z/l9tKGXgmHxB5efwXY9yDVGv6j4nZnHUzyqX8Sz27XmK1500YKbcJQ4B0t1Y3uJSJjhqXSNQPJQ
Wiofz6md7h6dza+wLQdX3ut7038+lUTbJfButvahOdm2Zd80jtIpm5zlQuiWO/jEwLlKcP8fiXhX
o3aEd/ZYDt8ICtmOnsijL4iLC7oDB2W+lVzJ6QB5pNvrZMdHq3lfGOH5HlXX6Ak1h509h97VohBn
+8qDJTmP0Uat2ee0W84hCwgD/rBYrIWNMm4sV+pFbN92uvWn8+b/7/Lyf1ThiKXqvyodt13+8x/V
738cP/6ii/3j5/5eQQrq3xTRMKkhqfsM3DPuQtO/C1350h8JE4iSMGRlnlmmuvyzhtTUv+FRRqQy
hhF3YyeZkvTPGpIvMc5F2amgzMPIgfLyH8Xt/4PS9Z9lrqYsmSZSVw13Pjx9yL/9i/I706zYSsM5
tGUGXocAYVTQbPvg341W/B8T6X98joI/pqaRGKX8VWGuN5nQlMkS2q0/eJqf+6j3LhpL0OrJG1Ry
/0bQLv1Vss/n4fVmShgWYZbAZf/nyjifdHS6uQjCOfv3/dQT7GP9GG5HOOnCi0/KbnH7ADGX81+e
gD+v7z8ph/+qbf/LBxt/Kcm7bkxj8f7BprQLAc4zUXQ76yVjHCLexMY1b/VAyahI9E3a+8gy3fXD
ROv1bw4DaSBn+J+9wR93Fo0eBABTvrjS/DW+JyQApiK+B3RS/h2H7yzFr8uT+wIUqLKj7FJZr2r4
sxKSNwkbK/IqVrr2bZlY/vqHLtkUONrA8kowwssE7ImcVvodx1OmHqUSF8XcZvyQvnkzLWetP4n6
TdG/w2IF6FDJavls6g+1fh3nRzl7EfvnYXZl7YJNzWAMnhn9dM1jJ11nEUrxM0u/6oLZFFL1xL08
Fy8wkG67TsdZNZ/qfraLjokVUz1aQ+6lWCfo5XbR9uTbOPT3TQJ2xC6Rgzmoo2EbOXSbgp5hdvO2
OucowcpC8GKMjtryQH4tQsXVC41ks5rrxkCRlT+0ocpk5Hm1mMGpaIMmFBiNUyNoMl1CtBxNOfTD
MZGEoMWkVP0q9a0gvQiQArPHKE/Y625tkma86es5EPKzuWo+LsuONLxWsUGoPGRtnG1nM1BHR+xP
HLYM+gMGaJ6kaWtoqW0iLFp2E8Co6qQ4+T001Us97Jb8WADU1/BgUjz6a4fZPNStjpqoyph2jjEr
tyO9sFUdBprcEpNvFhRbpLqmJoqEdguFl9XfVr8xY78m/JUdvA1dSf0R0wXGlxRv7cBoNgU9nl5U
MuPFLDwlu47zvh9umuYRSG2VR1V9v/OU+Vx67VVRo09D+UCphLum3WXbZgrh0QEbB29cXqt0Fzan
InpsE/ROE+inJ2hHJFPGWvozpeC6Xhp911W5I0r7wpjc0MRPn1YgtU6NcVWlkwX7aM17hre7jKDo
9phQU2nRti7U/bj4U0X7xv7Yx660BvC1Xo++og+K8jhX0WUaEREUvwsaaSKWCmW31pojS62fF2B6
qogk6kEU1J3EzjmujW8x6zV25s/SKp4+kqM3X6Lwo8uPMFsni7siL8cu+VDVI44FjzljkfL4rNF2
WsBFwy4dLnm178BXhWXfm3VQD4K7RBAxJ12sXEEN8rv7hrxrVbSY2ew2jfBWFIOnSxShbf6MLOWx
HIsHWfjtozmYRNhiBFprFe7NqKSv0gZPxiST1RXlRVlC8j9gJ+et4eQUGjEW0edkHkpZJqLo0OeG
18VHrS1pJPar5eUVjUjjqUhM6Bj1fShxpUfgsVtc+uS9Qt09tsYBwJ9a51qYWAoPG1PpvAwNifId
mwfZGI+ogvvmlkskaUwpnlNPRvrSSoKzqoyqboqRZwqTuzlxpRnL4DX04zD3QM/sWbnoZn0QVhcB
JCbondcLaDERmNEmaFS0SupndZAan7JYecZQYv1isnLeWAYazQeKXdrUhszV+IFlVl0L7DaZUHnn
d12Vayl0f1Q0+eqPRskC76CXEBodoFHyBjXepwwypbFsG2GPZgijiUUjOOWcCI+dpjhoiK31ISs9
oXvtraOavSghYYbdm6mUPILDySrJBdInuyunoBwbXxVeszp+0wQ0B9ZrZ5BLlWu7fnxksuFrhMwI
+/ghrxAPJ5va+kiylsYEQ/b1UozvWn7EbdsbpDTImkPZvObY6QmlJwr0oSxz6W7JsHWGJyM1dZw1
EBdWYan3pGgAC37NFTcBR1XMp37aVyUdqchSwItk8RQklT90SN5rR1wiV9TGR9ACtqStruxDWkzQ
mwZxjhhtLeE64z7cPoxD5kThS0g6mKgNDqabABT444qIscWCuOhLVfDWW1s5bIKq/6rK71X/GsA0
4n4rz55Vo1B+7fKgt571aVP1BzgVYNF3EdC+EJ+r4dNsP6fxIMtP2AbpaMugTfgst9aGIBkPYXGc
pZci32rdqZNvUXNvMiNbBiaBb0nXAX1l58f07wtVvSb9SjTD8zzaY/4hDxc52a6Cm0Y/uvmoN6e0
d7PlO9UZ4bivaLFdIZ2Rv5T11AkbkwkEbZtbH037GKfPvYQneOapCJ+ggUpa27zIAhadfnxRl4+k
+koqb47PfaSgiNYeaSBM4XtRglqBAlvm75k4nKnWjmFf+JW2bvu1/YUBgBqBNIHtGUy6cUPeRear
llVwYVu5436IjWPF27x5aYfVSy3k2qrIVenUXRbWXqQPv72ATCuUcKCGPUA/dmqN9TbqIluYCb/I
OgxfGjZQ15g/okXNQrccpWMNZH9fxj4msQSDow+NZdSXAljBPE1BphqVr4t4yCO6ogxZETjW8vIZ
p1KO6Rib3kzHvvbLK5rGX1T5dDwkilzQgKt+nFnUDgryvjVv38MxZBJB7H8bKcn8uRq+m4i7s6zw
Er0gv+S6UboRFICP6O5oWMVZh9OylUTC0mbQ3/tUugicJVd8vuYmO1osFjtdhP5ESVdOZ0ygmBkl
rJWKDY87v1olN8shZUIxAvOfPLl7rADBRNTjqyH6BkS0dWFdiFITtfNhZPK0Ty/tzHuX/erhUcq8
3nydqm3emTucpJbGgyy+SMgyJePVSNrAzA9SNLuRpPrllAZtep6mvRI5Wbg6sFetSRS9xKcr6hkf
zF1S+KLGZmvuGzgSWfjQkqAG3My0QJM8gfdPXd08OjYKQzZsE3KSXVQgw7hlLG0/tc9SoiIs33Vl
sJie2iBl5pdP6X5U872FUDtBP6SFiBj3dWYi/WHkGRu8SrrM6GElAz+RaMtkDC5y+DnuxnQfknDA
ZBGqJHOzVgfmDOxV2VFwBYDcXgkNKHf7Sj0I+QvTA4k1OMiVIeRALMLCK4lMJm8l/pn6DQoMW5MH
W55/zDolwJ3+mYMye7+egHm/Gi2Q5F1ODuuCqplXLFbIunxADM+O896LhTcM2BQNO4o2Q75O98pC
YIAL/JXlD6hAqV+qhPJR0ByBOifNN2pM1k3IDjNAxPzoklOu0U7XAnlgDWUxXPa8iRnUiPRSVRsl
lwJM951yOJudV1myE9cnTTkm6FNS87D2D6P1oojXWkfYfu3Nhrv4PKv7XHvTm129XkLUo+G+iIJ+
3kmiV7MWRi9lfy/YQRWIAsmOQ8vitrg1JovW01w+a7JvzCdRPIS6Apml4iJwTLiQtXpLmLPosxVS
O2A0SEhPivQuQ2NK9UHrFaI4PjJqOuapvKG8IIy9TJOEVvbVyDaG+thTg2nSW4jewojO+EEQZ71F
H4P6OHttx0OtvC7GXcvL7V0f4QwRxHzKym9enqLJ77rTEAd6wTpAtaomyHxkKnzTi7U3a94M/W6U
/DmijNw2/Tasj5B/cnnrukeyUU8RgY2q9VnXXoItSLUeGACs1q8Y5Nc8MBLAXnIk2qmmRakiAAdK
xjJpPWVhexeZBZR2iEMrAyIs+UjnwbbQn/GwxyimptQW451oBLlUMoB1MOPnXMLiIfmtubUS4uMp
8Xnk2ukqg4FGtfO/2TuTJbmNbct+EWQAHO2kBhEAos2+YWZOYNkw0feNA/j6t0Dd0iMplvg0qzIr
M40kkYhAAO5+zt57HXxgOHXOWCYtPK5z5kfaJwdILMAmy8AkbjT3c8QQNZ6EamC+ImKX7/NxQHE9
tgTqyudxYeZXGeTRtJ9axeuZHJWjJYoERJjzZiXP2WqLJBXMojVczfGyiWgRot7uCA2mSs4c6paZ
5ZgUT3aTr01HM7sju7LJOKIb8jFMxqCkoTPWgdAfbE6KPUMKUrcP1nM3cJrCeMiyB5u2drL+LE0S
ea32pkOdJ10eGKQyVtl2mZ6T6LIxr8awvldNiqprE67YckLVdPtk69J+qz6571N5srJ7w/BFkgCK
+9BZhMeu3tZIPCH1TGC3L8J5SDNW+KdyOPbqU6k/JuIsOHTUmRfXN00ajLxqiQw9XjPpfmnqg8z3
xfLWL8/O+Fh3gRVrHJ5w0Gm+O1/V+akP/a69s3Bkcq0m8ZlnzYZcBFZG5YcH23fj62hmfcCGGysx
2FqMAfKRznBIS69QWx4OllgGsWsYOE3twgxvp+qeIiPh21XlQTgjFRNHCAxH2cukv8p0n3QPmbWP
jPsqPi4sZcYYKA34sfi975tNHF+35lXYPC7ZxcQBx3WPVHnhdNFwVmxVia6jb2viPaTTuvws5UsJ
pzDkcJjgTVbPGUfIZVk8J2bvzjMP3ZrKJNCKPZaKRP8QhBBLlS6ajT7S3sj42FinUn51lQsE3k2p
PNvNFYkLPLgwDcxiO+AP7PM3LTtEkqb1wBapXbMjjf1xwdWVsE8XbbAYxcZeYjCpmBRM662xnV1s
a5yTxV0k5TnN8cZInWZe/iirFO8Cljjc6S75KjE6O5OzbU9nepoIC1L/td5oAEtxz3goc9fcToq1
bcfXeLgy5i+JYR5F/Dn1r3n1piQHm0GpZeYN/Y7VSk0qb7Wzr6Ssst6SafNT3dzUxhExiHDeZlyd
EyytBJ3rh7EfMKQAKjxli9zNUtk49MzxizisjeNDuLwYGZknk2/G+Ufch0gLC+CySG6z5D4kDmT3
Qd8dJKGCZ8T1bk2gSHubxPptIp7bjIFLFO5zdtnXNwOFeYZUF9+XOecLnefLtMZNa6u306KCJYC/
Uy02DblzOH0AOlnd/EaB91+/qOLr3ub/LWfcAcgy9rhrdHEyamqselP1N7N9rA0WwHtrPBUW8oa5
yZQFwA4afb01lWs5vwn2cmYsltlDlJ974zKGydRt5urRjS5iHDfKcS6y37WKVirxzx0aOlQa8jIt
Qv1nmGeacdqLRoEiSe+t8Ktdl3rzk6RvP+9n1/vnjtCv+lKQZ1UA4bTg3J/HZ5KtLjk5cl7haLix
OHixqSa/nWC70nT+9pUEyXlwyGt4/6d24pgkFL6NzVdqHga036V9wMq9KeUUtPXqfvqSSk7OT1V7
X3CqmrNzY52dmj5KdqP/bpQLHPy/fxwd0d7ig0BL/VsXkFBjXK6pLwyTZhAhHDbrIbdCX8AVGs3M
YPU1UmcLby/HhoTW+0QZhZkKG5WwWJ22bc4ZnKhB+uJy5IHkUzUbgeGaXlrLfKu0EN6SBUQ7pvxC
jO+8ZmZ9LLqrvLuZipvaeDHGT1ejHTPsxhHc7rvE0eQ+pn3lU8SVMYeImUykfZvTJ9SM14bEkqV7
3XChJP2+HN2tqK7HgewLefAITUq3tsxqwk9q3EXlixHDTtqqy620bxCj5PQu5aWKLS6xPNHcxeou
XG5Hli87ClwKUiyHnlM028Q+OMXNMNL1Ek+6s1GLZ8W9ndPzbB6V+YKP1pYhMHdPt55s5yYsr2nd
2jTJBqbimfNz1J9nG2FhfjOdS+ncY7jZOOmpDveO+cUd77KQHV/HW7STyv3cnQqwdxER7vhimH9D
+vhFp/f73/jnhqvMoUlUHb+xqX5Sbxfp29hcUhT98+uj/aKdqmsGoAqYbTxP36wY31ktwmku5WjT
a8MhECC8+6EnLsctapLf7nLGEJmH31wRzsXP7xJXhPMLwg0byc+t+aruOzcTfLEO3dLa5kHy1d6C
bQuwQOKq+91q9MvLmSDuGRtsW9bPX7B2o5aWW7xerjxMnuFP++bd2tAm38Z+8eU3X+4Xa5/O0Aoo
SBo6BsFNvvx3t7MNk8rg7aQm2Ep/8Zjzd+qPalD65a7Z/+Zav/xmLEnYbliZDASTH65lOoNj6AM3
klw2pIknN37QGZmVk1Axh+dWvW8nv54CaKchJNl/vvgvll1uJ4+LpgqGtXzD2X73PTsGzcdRmyho
mK9Re42JZ9OOv3k2f7nM8Q7o6sqVYrzaTzczN9vFSjRuJjYWXwRyhwniIvXEPsUE8G7foLpsa6wx
U7Mpt799cNY1/ac1X2dDYUdmFAlqw0+3t+ijEJ83EpK6w2YTdLvYw2B3xWReD6V5F/7uQf3V9dha
TJxUK8DU/Elh6QtrQGdaEDZQ9PvrZkdpU6ECW4G6Jym7M3+jJf3y9rJF49gzdArln1Ewfb50oZ3R
39Z38W7wsSJ4+Cv9Zqds+83oU3NtkovWt3ecry4c/58foL8hwxCUEAdXog1CA76yn35csod2QaiT
JZ8pMhs6Ct6yKd9ITXvGuYVC+8+X+8UGzhx4mCQ8syY2tfXmf/e8tqnE/ChSzEdWvUnKu8j4WO32
MRyb3+Eif6UJYpzTmUbBEDv7bw+O3UiroDelbLS78ck61jh33C3Vdu+rQeUlgf3ne/KvJOr/mb1x
pTXd9e3Xr/3Fa/2zEXK93l/4pv9LUEwrSO4fPI6vef/6g8Vx/f//FKg14w+TJAqiHI5E9huHje9P
fZr/okG/YT9wMDKC9ORZ+Y88Law/sB6Cn7d1jIcqK/hf8rQw/+CQqTMNYxW0BTvXv5Gnv5klv1td
+PtVF+C9Bdl3nSpKoPjHB1KVUQHyXqEdRR0HcMTXYRUMa1vMGm5Av22T+bUX4lrLX5f42hkehmrX
6+nGmuMblcSoABQwpeeiz3w6HhLHbtXtW/URWyVdLsriQvOjptq2ae6Fy97Rbig/KI6eFqbwYZVf
Ly1rKlcaBHiFT0r9XqG5KWgI++jBmm7UfGe3uG7hi9nbeCoPfcQRkcqD9llYhR7NqqXJd9i/rJBG
c9weK/6VnauelXAIY340IxFUOkBJ+zWniQOfZaN21zUhzN74alTXVrG2Atu7ERUiqz8XiaHFfZpr
VIGiedPC+apX54MicqAWgsjDvqUPlqkFIJR2MxVPTvZmmzoEjhUiYm0UmhkWx0MNPIl0/XYGKZ69
63V9rsw7FQJAPL5Oono0ncifQhmYMyNTBHGVInx0xzLQ6igoqvhEwMe3RRQQOj+Q7uMm9oHUxqCK
kOIAB2V2vZfV7GnT5ySLHZpAbd/MyYvRHMgZbYzqmSRS3CSgCJWNmjHTsb0EM7GF/uCHAAdk+I4l
piCxxVirXP2qLe/Ocq+4r6QWVrqsryFLxBxAF53Rvcm1G8b3wxrtsPdmG/ltlu3UDr+p/aQmC3Ti
ZjvQu1RoQw5mfxGONIa0XVjFPgm5btJQOPHrL9kO9NPVtLrCyB3o3RRkApUgFjuCbHTBBtIGo29P
9aWgjup0JK/KJ2sJzKlDSNe3kFIg9ryWOUjMlEcH4o56gvl7TEiJp4xP6gacuXMCwUWHQHQnGoqL
j5L4WpNG4GZZ1nt0YtrN7YuKlqaj7JQmABsMXwo+IBmJ3QSN3DIZyQcXZg2qlvxVRA4OVrdTKtWD
PbQzpH22ivFk07gpObfXZbJbnKu6N6mQ/SghQaHnR0Ky4/hcLzWZ/wsym3xRPgNvwnrFyHzRQL5U
pCGK8jlbfVkTT6o4pMm7PUm/bmdvRGRveNucWjCofPFGLFQLroc55PBvKAGpk8BIln0ZkwUhHki4
CPwYY3lBGZTivciY6VLQsZ7K2cshMPTxHDSgDy3JCZR+Tm5fWy1fXD2P2l2dTVdF+JvDk/3j6fA/
CwwTYykQbYaH2D/tr4LKnNm9dBmBeSX4aLviIcM0KkO6XZgz9OtIiI2raN7SOmejSQ+zDT9qjP16
IZEZgnAASgRuMBiFFozAiCPjGi5cYLkAqBR7W2tv5XS7MAXM8fqvsY57lz8DCEdzEeznnJmXgUTr
bjOC+eOpim+Roytb2RYM2JihWBmS+KV4IQmi0wty1EdXqXygMlsL+MTo8I43G2c5W8ZHzDj2tFRO
pJWb4pvclMavAAG6VRXKdoq8z/kQJdoifnd2+Ksuvi3wd5jTb04RP23tf7+pa9H23TFisGmXVAY3
dckf1B7do4KcU2ebZUJZLF/mmva++mTZ3JSdRsd1borf/K5Y6b8/lv75EZhzxbkfez7YwJ+OieWo
KEzCg9KXabYvrHRDmgXhPequ89hLrbdFYCvZLrHtm8CZsADqt4Z1KJWnxj5MIZHPK5YKVX9UGeqM
e2E+TOYpcna562U0kVRrX9MsVIZ/Nff826d2VR3IKMd45levvq/vb5zGEwO/CQdL674NfY5739ou
9pkE0m/uz/oX/fep/X9fCP4/1aVucLb88UID8c1BlYwk5C3TsXuT/Qe2Mu0SZx81v7uW/WORztUo
f8CRc45gSg4ltPHj1aQDNUIPY4w5ytkprVs71A5JJ/dRUe1HC5oOUlnpxnA3xJOsc/ZfsdPMQ0ZZ
Tec8kxe5baOX0FHK5vTBwRWsZXkQrXaAvPgCAsiL2OdjBes+tL28rO7SqPCkeIx5eWE3fCht6bP+
M6G5OSQE6tR1NR9qQo6XsnuHPLYjaX2Nxtg52I6s9jhdgXNoHOop3CrRfNPSIrc1EzfQ54xnoBXu
lrbvRkH5IEoKfAecwoJOFdYvYyEOlTqdJ1iJ4BlwS0y+3eZ7PUIWdVhjm0PdooPEyj7Cz7R8Fso1
KbFjG+9ACBGw1TdY8lDVL+G/6lW3iQrdSzQiWmyIDsOz+/BezQ8JUBqz39vlTSVmVvU6kAkMHxuE
CbfBfh6jNoD0pZj0lWfPbrOdiaXagJberFSOZe/G7XYkdGvDx6EyntULiYAzzR8a3XKn8azVc0r7
Jk22Tf4xO8URXc9KzeM8IBW4n472AcZ1I1RfaZKtLF+HLNnGwDO0W8iMY78f1EOGEMfOYUHZaJQv
5OE8tfm2AxTVl35wPYDxOIDADCo4pHTAPN5KC1NmhJQKQweyp4zn3SJmZAB61rytBoe23jlmKLVd
NbF60vfFJGTgEAb31Vrupl9I4C7ELpfinsTXLo6cFQBnesYovRyA5gTWs+vTbVrtZ768yIA+sLUt
iOpR+q43vPe5dlrw+mpi6yb7uN1F+Ur70Xb2/J7G9Ao58Ajek0pnvWfvG9qtGZ3zyPUqA2s/ZzMu
V8aW77YGAK9w47aPmb0cpXXUu10pdl0M3pJsQGg9arDwxqHZ29Z1D9jMWez9uqUK5LNiSr2ag4xS
tntVKbd5TvcP+FHyEQ7Y/pHacvAkZGJ59OAJBIX+5GjLRjf5Y0O0F5Oxi0xnO5qnEdRjNsdHM3UP
ZmFvpIMNCUkrXsFlNOvK7nbRzbtcPIxQvoQxIKdYR400YPTgxCV4IrEBu4iLzQdB5mUYfYoQz4zA
EXEdhxpOt5tmeJeT4PSFPEbe1lCP48yRAJSLtAPpdGAVMS9zitWLz0FanEcs36n029JoSf/Jg4bL
X68/K3Vv9UQlR5KjnuTdCoW2kQa2/Ax7efSUkEad1dQj7Y/vRT/E7jXHP+l8Xaxi66Ai5+7WXtgi
tcfGuRpMjZD9XnDiKgSbeOGyUSv3gMSG6V4V6kFBuHNlfAd5ebOM0VZj/EqrX4X4cey63Q/dO5ix
XWc8ycHYxowRnKU8gk68W4+UMu38AQJAgS3PwJ4X1+9l9wWG217nrDlnV4alBpjo1CR+MKbMWzp1
a0GM43wnOlwYF53rR87jiOa0QI1Nok+95qgJ9EFN7C38JweGBofumQPp3KubyqS2KKytnID+pNd5
xvsCLkfMtwvHUWf4YusXEctsN34BCYEmy3OpGVCkFt+w9G3pTN6sP1XqsVOQvHnn0U7j6lASDWG+
EZLmtbaHrOchOOrxY6PEx4hO2Vxlj64cfRy1W4fA7VpKDFp+ZdtExZs5ECWuYdBrJuOmBL3jcTC8
Is49hdglQfGNGnZXjebAppr2KQJmbh1Ey7nFQkgjsdyR6mnnwC0aKEPaZpKPoNG08rPkrARXd2Na
uUf87RDOnJ3Sx87G8VFpXnqXTx8mZU9TDfupqLn0LUn1XT8vx7jA4R/igorbG6W7bbLlACNoU9o4
tlp8FMDTFsYLWbhucD/oaEeLmHynvGNr6LQYW2F+r8pTjFl3AXOAxUN51Qi7rh+lJxeqKdeZzD2b
eiVCR7CYhKJULccqZCmTHry5dTReW7X1BE8rnntAoYzz0TeNqdCxRyrkVBtp5XZgH8qobJ029yOk
U93+Ys5w/ErP6fDkZNUxdT60HkuUA7pWO7HV7iLScLEJj3ZrvznLcXT30iBvYF6QEDyF/UOm7gdJ
SAIvwrgf1WcJSCLrz02CIgxsxDSuGGk66dtM3iCRg1uI1F0dHo3+LKa7OYNVs885FTjaGfiZh2UY
TcTdd6SlOuVrNz2F1F6cfVyTIBhDLjMdf4q5Sa2dbF6W8rFer1Pkl0WbvightkqzebEcdxvi60sf
mwrWTAb70daDbrpv7eiczBQSPLSuCvsNe1gZMSZ0usrM2ZOoGzbTBebavlSov3vJVAVE+3asXpxk
n426p0zNqZcpcOXAoIbFM6BO91p1qKzLMXse7RdNzx+01kL7+CwIQ8xLUKeVN8dik2MlLBDS43Cz
YK1aYt1bXqaxBRYVIPSGFERxchDDgrLoO063GVovNApvVokEghjACADuBo/gzcIPli5kPAB3TAa7
No/qhGqzULrW1iYdvUljk9F5R9s+aDDmYh3wYu2Incsz6x0B6v2oPSyugQxm+pMT87Jku6wdg8mB
duoqXxqWelnR86S8iuu7qTsPQ7OxXUxrYX3W8ruOXblX5MaRse/azE93L4VDn6R5CKevijJfdqI4
KGT0dN0A7Jp9qiihDUyJJT6Urk9Xgh/mWRGgxlzcQmAfzXza9oCa3CJEEmMhxo9lhpTz97DotoCc
aS8MfieoV3is61WxnVCk+f4OqIk6jjaagdiIgFs10W4o0/sE+WwmI+gs2XFpea17SWc89NNJ8XGT
K6XuOXh5phIsAf7FBWwUD3tasI5wdwXf0AxJuy7lha7XYCpiP2eLgdEEw4L9vIYO6BbApfZxkeKF
ABOKgSeDbzrjQBbVaSzZfKttnhkcTojlJOa2UKdLhXc5pq/Sh5/NVHgdrhKEQ8+0ryf3WFvwFKDz
JhnfBbeosewiQ/FAdPPoY2dttY1TmbhOl7Og4lfC9OuoQg4csbAW9a4lwGh0eVCozmW8nlJEd5Um
E7lG1Uvwcc1FMHeYIXKeHrW+MKLKq0KDor3ysuFxCjEaIFOCfSpA1ozwYK10uswzjp1ZgeHvqgD5
MTDDc1qr1ql81dPmcmijg95m4aaIsUNihS6Gj44lc7Ty4zAywMyKAseQlKvtdmqulznxuyINUms5
uBxEY5eCPoLxV3wIO8Z/CyixhEXYvnTTFOgo4xm/I4g3L8RuOxcas2s4fXKPHHwRoxKwGPcqHp3F
m1ZAkpIEhvVcOHdDb2xH+CJO+cTTbISk4NWdAWUixca9MnSzKPby8KXDYxwrxd6YKZWrxZPVY6sv
QSn4vauHpXygKNDxrajY7I18YQ1DXn6NclJk40WxKEBlsuNgaKcmfYqcpwL+myLRIucLMVW00bv8
SmE2kSR6ufQN7g+5owkHrfw4cnQqyuT2W7v1X3WeaQHyz8/N5O97yf/rf9ac/n8oQkV3/5/60pCS
xq9l8kNr+tsf+U9rmkkAnDItok6OSUpqjbD8pzUt/hBMtkI1IGcvBKrsX61pw/rDsW1Xo9hcA/vI
YX+1ptcZAYiOjmow+o6GN+6Ef5GcYj7GjyU0RTqFOh1zPhx9aT7Ij0WtO4HM7UoSfzjnYj+saDAM
bcxUVKsPL6ZOHYg9Ykx4LiD47qQmxCGZKLmKjEbfgrOTqtcNH+IM3ggvc2zu5UgdUU8p1lo2YOMq
HcECJkViY9Y3dHLcbtZ+EUo8UMlh5hRqCmF3xiKuzAxi7qSgoLU5fPqGzbwvmWfOjTIvV8XYkTfs
2VVHyL83qM3scHrlHiXuYt8o3GiXU8N6SamT5Q5FOtw2alNvmQALuSUC8wdekxvNeICkmOjruQ7x
gh7/hsrCdpRKG/T0WIkkVniShs7cm2M33itxDWlj0mI+S7borW+ZNdyyRhRj4EpZ30oYICdVH1Oo
KXFxnaxw0Zhsby0/86r7mhh6eEZmIPOZDDku4GHCvp50Tcd0AcLkc7uwlcr0FTRTy4mYdEui5+2u
tHPDxyFdbqM5IQIxtlgcR8e8YVL3AtDETj3b1vCL6UV1F9sc953BXbxGuJk35nlzMZSZ48WmLoNw
dt5DB3wYWYjqNmxnkvLNbAVT2TDfl8V40w0YI3D16teGyKEQZcw8b+1u+TCc+YNJ59HRWUpMbd3U
7NNiMb0iSpSDCUt/Gxux+ajyN3u1YuHSKGxsTEpSjm+aq+lwtBs+t1NKDnBtT49s7F375ErQxGI9
GecNJNQuS/pxG624tzwmXpPZTNSa+C/wpGjTMnag8ltLlrivi/DTtaXENTJeFXFdHiqNz9Sq5rLN
E2Gdc0QBDKc9TLRCOVWh0pyYBB5d0FufzqoRUYS0i+2XjRGimxvYUqUFhFhUgGbE0PcBU6cpzecF
i1klwrdEtNperZPsjinD1j4PQ3Wf5esaGd4sTW9z7M/ioI0TpjOUBjTVVF+fHvdjcVXOymMDacHq
cf13sW0HbQQIbTTq4WxV+e2kwJNwIVNuFHcWNLwjwiBEMsYnWgGT8JqJbpCqx+SkIhp2yxQ7bOZ8
vyknmpJIyvDMzNP9UsDdKxiGwmCCVt2rlc6sBTA+gW7U8c3AO3ysp3EtWiLrMNXgXt1ioLoMB6Ls
ycLjWTL7o+saONBo0nfR2DAMC4L6TtVw8js65R7IzezQOZX1VMXk7QznSavSisCRzI9haUJITpND
5VTyDEGTtrFOhepkqx+pYluaEuVCpcoPAC/WnhIO+TYbpzdc3hRKXW+e7KLXPydLLbyxcrC+j45d
BqXB86LPXXqhTElIsed+XVzYOSEx1T2izrSx5yn6wBEY+bWo3ecRZOVTWynAxR2odLVeuqfW7DS/
yAGHuROaTxJR3fUGEHLVYkQ5Y4J2ZZyMGIR5qjQkq9zEdxq3n7iQ44cZyXdTa3p5OQ749XjLiZ3L
cq58y2E0Cj+tKsNg4DG6n/OxIglkQq6owvBUQbW8ICqKVdoZM1zpWo9tK5/Axn4oOWeasCP9JDUK
Q6QsxXMoJXd8sfYK2ymN70gQLBjQGrDGs44m9BpMDbkFZNmmhXW9kc2cBC5Ay30DcHejuebrHPX9
w+gsfFXkUFITLnFHMD3jSZ2V56lyT5Em+68zoy/fmN3ALKF8HulBpnX0hdnx2k4Wi7GblNTag7Qd
923uAk82K+1QRrW8qOyxuY+lVB81iHxEcmoc0ks82gdbQMFNVRp/aDhBY3TQhxTVSretIeJjqtPI
W2In8ebejPd65ryWFmAPszC7QztZtKskEqdWkJpa0hwS4MrNrSOqdsVw18QTibkmynyN9h7zKL+g
pbTPvTuhNGiSo6gaIjDVNcyNQuvO9WI/qj1H7diuPC4mvKHo5DZZ0jXQmTiMwkHFE2odJDQTHmIB
LXhTcxPvl5AREy4zNrZOP2V7ek+BNFx5wiT4bhrU0LAbT4Pjfo0NGOutaVanuXUZnhBr+JsXwQbS
8TKNcXItBj0btmk/P1nufNIM2p2iUoiipXT7jksq6CuY+ehMm7Eo431fOvEXBZfeu6SjzQyChRdS
N4rspekX830Aeb9XmjwCZA72n61EmGlEZ67AHqqG2vUoegN2n01Uwo6c/qPrsuIS2qlCOmqRr6H6
oTGyIUg7SC5hqVTbokmmg0E+i01I5FfZt/ZRz4227cTdNIA1FZJ1LOtrIYe8GqnlsSkSl2NwCmuj
iKvkVncXBnqoBaU8X/a6gGgXexYhiw1bDySTVpMh86hymM2zOT67okWv66o0ujRYh/m6BQkKWMYy
6HsKqF7yWk1aqN7VMu+CYjCrw5KF4oKBFPrNJIFijDpzBiACZtWltImq0cl5XaQOsMGW/ZPDEKKn
bA4/nT62XzMkAzJ7srcZ2RFGxo09dS65Dh7se4tPdRt1VHq5oXaHRFRMXAvB1pLpMmKQuSDydn3e
MeRCIBubHRb0ocXismkspfccJ5SHSAzqIy1SUitMvdgtMhlvVAakEF0Q41M2UJFX2ggERxE7VE7g
E0uq7VBN5JtUTHEQSZtCIVf53bIWs3KZTOYOkii5t4kDDrGwOgaFEOlSJf6qmUwccBlFsgVC6d7r
vLIPiypdrOxTAbfVtC7dagajwFyAs16MzY5UUHaSeZJ9NKK8oXPdfV30rEHfn+ZdmWCdHcvpRZko
/B1qfH/IjYqtsmpxk63Bbpm8Esm7V22g2SUOY2Vtm5WoDBU0U1tT+R0SZYGb5jC2TiRkW/HKA6+D
jGQ685HlD6caVarX8hCk9YuSqee6P9uVc+nmvP0MxLlulDHbTFqi+bXNabKeQeItQOaLKKy9iLlK
ftJDqTbU8dHSk3mHsxnkf6qwdshiW9IyDmRJSM2V1h0DPGZfnfJTUjlnK879RLwZbnsGNX1bdb22
GcT0ObAcSUQ7ZsKkrnE1LZAWJVwMl4jKlSusPNqxy4jbuSFCMoDDfVRchVWOk+m7bLWU9sI0XrZZ
DwWp7/qEzV0ZeZsKVdwIu0GJLweANaZGqZZm8soeihHD6zDe59Ua5qxL9UJvi/pRx5hkr7ZcSN16
11XBohgw6WLlNdLq4i60CR0Bkod7JdqI6UuZkj6a6hSbQdhVVcA0j/SSpjMDq4aqHQ9qJ+TFYq8G
fCrvLXvoRawvqNhzUUhkmLy/jPrE8MtunVfSrO/oEumEOmK9I8GT9tp9UuIQkJAgT6Mt5Etcu+Up
odnhicHu73Uzmp96LSI7Axl5OCmcPS9MDexIXw/JMYn60bcs+pSMNS6eGfLxkSpg+1J7uBSlmwVV
vAomysSGFGaW89BIXds7ldOA9NVDP3EKOLlRyJIJBwHaLv3iRWFvS5Ue3oDaoauoopQXMYMnn/SS
3AoNYdhcsUu/rEhoZzJe53oklMKR0aH7txjTRAyYwUx/Otn+fxH8uzl5a936fzZnXVatfJ1/cGet
f+DPElhof+hwLKhnWf5d2zIRVv8sgQGEWCp+RMpjA8cnLve/SmCbPwTm1IEbwqC8VXf9qwQ27T+o
HQBj6I6O3wsC3b8pgbXVG/HfIjJRgrU+p0KHH+JqVNU/UTaWKm1bMa/HqbLtr+oMI9balrJpjkeC
oYuVVn0pzVa82W7F6zRXFnO8GsybD3FlRveuq64CtJnZV4rCogAVOSX3893dvP7z03xP5NDFt9TB
jx/TNVcfh0MEAAiL8ZP6nIiic3Nr9RTRPG2CtOwMjYmQhf7FXk/7Ww0uOOc9jhbE2hewpFBqlQyo
5xABpdXryu13ShcL9BcKt5mRN3GNoji1+tdysKvJN9GwAXqOTMDguLTQmdJlQjvOnrAYZFLH5eRK
3VB2YihRDJ0y0V773oAM4aDtzpdlBF4UbUCEnLMrQcyyqxJRPlVCNNXLYqf0wAZ9iqfVv8Re0FRJ
YX9UqtvfOY0NBJ5sqi1vWA/RPMrBtXOyvhMBglBhId3bSotm1fULNVRN6gYGbpjP5qZtTJR0Z4pL
8E8U6sCSeoZr+9GcWi9IXKHwTKr9I6Z4S2yaFp8gGlMeviYiV0k5q1T97ACm87UupTvvy9wIC7w/
BXJWWYbd6Jfz1M5HOjErz6OMuu2cmrFArZlbjqZltaLQmhIL2uTYxMWZCtTMaI1lHaJb6YRT8yYs
BBgCJeu247COSZjycM7uk0a6X1UB2Z1UqeFEFEoMiNk3mp4WGzc1jYVkM4PPkKetMgtoztYHKye5
4hvjWOQ+xeLamYwb7crtipi4XWNpd0korIOT8hqS9iX1MSjylJZo3AlDo48qPcSTa6Z6fM5ju37g
5ZifLWse32ZGCb3S15lw2DnW7IVSaOkhlC6aiUKi65EqfnG4yXXHRD8ldRyyRjU6ILNLmKyn0ATG
05ZbaebR45kOxZhqn+GCguNGmnoojNohYF5ZGkr64KrMEVnU/Nws6pLSv+lkdWzLmBkZo8pUocs4
ZibcrkuGGeRiVhbjPgnTiTmNiSRHV6I1jMfYbhQcDP00jhSfSg5yqu+4x5SFs7tXkKvQFmJVmV5q
xjO5QUW1gflhdowPDYGB3cxqY5pIdHaqdrkpigyKe5L3GcPS/ouj81iSFNfC8As1EVgB2zTlusyU
6XIboiweJAES6Onvl3c30zHTZRKkc347dmt/HagoRTPp+pKO1c7l27nv6xA3GFnrzXy3ZWtU/y2c
B/ivMh7wbz+XtB+EtSUrH4uQ8kpESyJrqacTCQ50zJvgHJ8lwamQz3RzaFzTRRmm6Us525CINqMl
nSmUUXqPfbgW9OyF5MjSSRWQxN3XZqRiMVTQnhO8YLGSvEF6JufnLi/qEkOlM01bErZVarvR3+C3
MDC0JkzVR7mNuILniMCYby+gJBPmYxFSXfCpSiRtHYHqMYn7kXHtXbDmMEn0Qk0JVjRC8pFyrEuw
Psf51pO6ppOVlJs41fqCSm32oXYJq/DFi5up+5vxesRHk0z9Fw02xj7oaLSYcZ2KnWNeSsl++NUx
rVT3Ym1DtCr0YqNUhAE0J2IjqFp5O+K1p75XF1SS/dS5C3m/44Y+jYvT602yX7EklkS4EeqaAEk1
95dTHlSv4+AS8rwn7S/lbWOVjC/U7Ad+AIQfa1Z56+rwybM5pNVWMoxfVcIk8ctgI9k8dGmwQMjw
BMUW4aaai0weFauN98gv2yeQ0ffDiWgcHAPezk39xCE6BzTpbLBh+J/oH7UOPOmyi+IuPDb+kG2I
d6e6PQ0kZWaLi1m0c3U797mRP3E0iO1msaRCXMFH9d5trOyWnAXAeT59LqWkbuvY2yxrfiOafUqs
k8gAZgQDWVgewkL0tyZc5/lCryMhNrno6OfY5iViy81BRcMIrl6OBapJvi1CORoRtNeDtHm4G5sq
JpxOxuyKN3kz6fymJY+BIa9fpoI89GjLVUtMeZ+Lp36q+cD2ZedZeJt5JV3/HFUcufYAWRLMAN44
Ruy0Jts1cTF5A5cWdIRodNk27dl+O0LzkiQYcFbIZg2/KOsw5S0KUhjlWI3lY7qI4DlZ4+57DVBB
EON9XiHYb3ras0T5CYh9JCmCSDkxSzDQqYj+NiVpxrY6n8JywlNQdBDhaE6YUPnkX7a+A49Ztb6C
6kEb1qSrh2BkLZ5yVeEUpqwRkcvqB18mM9751LOifsieQHuf+qbkzF+TIYHOUZJazCFIi2OZbh5O
8dEnjlAZ8bqVrX0N49KibARRJukCbqnOIV0J4WO2HmcepqEelgscoNsRRSTNXmrzMI1q0wM4OSo2
yN7Rz8E8UFFKX8qZ8GjQVayH5ybozIXwKoj4zhQ//ZjUh7lX+myTxBEVBX5l/oxwdLqxLqeUghna
1PCzq6AEYaJjlvXHCZy4o/oqgy4hp5yrJiDkHSN3yu6RNlFEYVMgb11h1jPuLbx3amiuKEbENK6D
+SmP3XgrKeNFWmT5OOmvdWQvDGGCDFwloKgUHSNyqcx4KRsvvqzDXr4hnEgvJI/CjdedgNDY5bfC
K8186LVSyMZ8dnyuZlzZtIlhxxOaF5Yy0BVLTEVpylGPw/wRZQ5ujx1u3jVx1F/FS+Eug9NN74Vb
fhm0ZeTdJPRH9HsZx+LX0ix8NQAzVSQ58hTMwnTYjlM1TS8lKotLMJ6Unpsx09OhEt6CfuSkMxsK
b3AHVyXta8ONIw+gm4hz7BwS95GTa2LffNaQBVgqiajHSdb5xQWTQQFeBeyj20gBxHEIwvauReT3
Kde0aI+is8D8zSy3U56izdBxb6FankRdMz/JLqWmjP5FZLPdUmy0MgwDrHJUxl3zU3m2QdAcc/Se
F5NnlpWUhCpiCCh5ZNit88Gq11OTsZ+eOTd4HFZdgQhUTcJ2x2ToXXaS0k39ZQB38CY1OXMI7+ys
L9Yu+i+skM1HJxphiqj0DM1WXehKDQcsBXzU45p9DoDOtiq+UWxEl4MBvVldH9Fl25nzvoIx6hrR
3/fF6PZT0VRfZVE9BrMg2zhAcxetXXjWO/7JjUi9z8vAS45dTFGJn8y083WgSVcp4tDEJHxVA2ZF
QFBlaEFZ3CksKYvLI7+JakdZY3hTyIz0A4u1gwLOjez9WhIuNcOdIeKxzb1iMLxu14rU16Lu/gZ1
etG13atPW/BzU6bddZNz+/NUZHC2S5l6ZMFjJjkIYnkITk/shF59Va9pnwLFV0o9Jxtl2eMCPdOC
PsKPYYK+URY7g17SQe36JCMpbIhJXliThFT7KEj85SnKw2Sh0iYZ9d8+qEirWxfb3gZblVF+SK7O
GR2B48WUjLhR81OeXPyhozZIODRTZvYEY0Y5aCKgIXkOCRXW+x4GsgOxCMZrPgBxvkX9AjYvA96C
vj3quH1ct5yuDae3HTK25WgrWfyDpzvWAa86qkEIJEbFPT9s93eLcwoMzPJXzHV5Nc8aVCnSDmxx
QKbbTDc6RnYaMVYfooFo6bjz4gNaiH0zYVHz2yo8xtV1PquXNR0xBU8BNyTKVUixrLjtrM+tx1Xk
7XVwOj79ysSfam6Hz3rKI/PYrAKeo+EBZwAaWxKkQnqiSeoqq2HZk9GwmNukkacQHO6GD9aJrDqX
XPwtWUukJJKv7CfUmJgw591ct+q6Kj2QIxtblq+FaKt3WjlhgBKxTPdpJ2R4gftLe//oXORuM5TH
dHQ/DsVv2AwRgotCUJFgxiR8H/jJ67OMuRxcnp7ActeDJtoj8mziYfw19NMrtWCREaUh3cnNc0dS
hS2uB1hMc76ClZRnjLztRVW1tKtm2sbpvlnBA3fMRwkbRTbMPyrHnrZrY57SvS7M/B3T0vhk66Z+
g90jZTosK0luVroOtHAUy/rW+nNDNayft8ler0S63zLVE3lMp0CzYN0ZkXzRmNnAtflm+QHDKz40
Td32rAwMPxLbyfDcJ2v2NZZCkW7VUm9K8EBLj6hZkg3xplsailPAfecL9NuLQwRb23W/5mlEzPcK
h/nAdOZ9irYs75Sz6r4ICgSnRTGiXeozcpro9wx4j6rN/caLdfJot0E3F7wc2EXjMdliFMDz6boo
jLMIg12woJzWi76LEauhiJIRYVxVP4n5jBpe+VO6Is0Pg+DE3WP42wjPBt0l0SFfEGjV8dziPV91
PDAm64WUvcXzOTsClb+rrupP5p/Y6atQeCHJ4JtfWYq2phWQzmN+wtqgux/XBwnmCEQq3p0KF0Dx
vvIrksH0SkQd/dcDxvhljIlxyvT6UeQiVwj/26XZxzboXuotFXe+9kKyaquSlAxrysrtSxljvc+S
0CfPAfEyic9ZQYR1WG6klIVEPeCFoFWCa0zp6AQcl8hEV0XNNmq4YfvqqgZlpNyaGPnZWnQvoWv7
K1rqyKtqQ5J9/LXsEGrRA8QHld8pGaHgk/64UtnqOUHDUtUTKZmNsb71kfC5K19M/1fyefJz6mpU
U0zXGC9kycSAQaxx1xSDRD0RWibCazurjPGoI+VtHxNZNe59teFvWTcWHww/fU3wlG8fw2lGj14X
ebSXWTcxrTR9ftsvBrXK1mQL+Wvj2lUcEuH2xGcFHx8Oenxums6RJ9S6lh9wCcR/SbGSrwywAMMe
1kH/svJZxdShFajm3LplBKpJzMgosUw8opYvBDIefIGmfU8MaQI7ZueNKBEBNLpL5NA/LqaNHNlY
YWP2NoBsOdi6IIp53jauliRtFF5mm+qPTVpiMBVd4WxC26w+4i2nBayehPqJZt3+tyr0pRs01Qkn
bVm/Eq+Ir7dwYk+YBmIBu1UG5ImOfZM/5boURGkmTFooIsf+PdWzoqpl2IJTSzrUQ196bY0fy8aM
BUamb3GnAI+XU3X9QeRT8d8cEZgHVk93a8yWc7ct4tTKRNEOwUjhUENKrMRdeV4X8QeutvfQ0/SH
DN7g/zcQTPWiRqve/KgLf3pj9U0eV/1LVYbqcayyANFzD2K3bzLV3rguHqr96lbUdOSdxU80kwNy
N1Ex3jqQ8VMsyjyF+2UoCBRqPB3kSJRcez+vIRH1CBOyPeq84NefPfnUCRH9zDKLv5TMSBYSpqyL
4+bXgn5iJ0NaaWPqxJYsUk/+jJgJkVwT/9cNA4y3wNaPILWoxocML2B8QZ8RRVBNmqFzi6JU3PAZ
VV92mcWjl8fFdYLSDQtzbrZ875cFDGm0VeWzbUr9L7ELRxQsHgd/KIf0mxWAB35m7Sd4UYUkU6WR
+iRah39vLMJP7RViuajTcLkJkLOBa6vTUCLpKSWasJjz93xa7DPwsge+UjC2n8ai5WFQZfE7d0n4
qpVonuzEOg6fmRfBA5VyJAz1ogufVt1kj40numov2nYiUzSouOmawmdmcZaePi9c1+kQ8Oj4x3op
wZMiE9NNlfVZ111qzzjSMsY+H68rDxoVBqaK0kOFooEcryE24WXSZf2wX9cGJcZAPOdN6ZENELSB
ole6LDcIG1xZ/WUxzwjcHYKb6ySLKbJJZSMw3tcj8+pAC3uPklkFP0sSjR+KOyI72Ag36tGFi/fp
tli868mvDjSYnvYCxBZQZ3hfALOqE+4RjSD+e6+U4z/UzOOLYSP6Cbiq60OTrNW4C7wQAkgnpvmw
I4MwK0tCwoegjpGAuIhZuucShmgKDPEghmsPmjWJifgdfE5capkQQ/Oux7uu3Pj7cMzYcQcyaJ5L
1fPHTMWQbK7e4p968kuyYjrfvIdV5X3PKRaFPaED9Pv2TqODNWojtUvQ1fg6yi1BizJl+meJuEsP
zO7R3STS5QvPExwznB8NEAyR74EspuepUYz7aBvs7Qa2iTodMdgu57fwb6VJjYUMp9RTPMXGnWUs
1tmpWSR67ABa0Pe4IoEELGJUwqppmJsgliIHpZHh58y3gFknRfN4SSfy6XSst0xcTwWjwD6glJj9
aFrzbxoLx+A9QRUx3MvydGKnPvFfFaWDRKNZPUYXG3KyilAul3KrDFX7s/C7U4eyJbiqrzcrryLv
tD8nxInyXHVAnXdN5RSVB0FSQUNmQq9ktrQQ5ryk4Y1OW94lvQ3zbxvpkQy5KE3+w9mA6UXyjJDv
2RfBh2M2nIFKmuGdGUM+E6exXOtsjn3ylqYUxf0CNrAbyTqlA2KoNGJeG1LokhGrehWUldBE22iE
KarJ3mTQKETIILr/zR4c5GGqbHQxRQs/Zu0nN7g5xCcDQ4azpEk/rFwBkSwjyE9SlfG7kohXjgrh
5Bs7C3+TGDLn3zrF7TZIWd1pPfdyXxKiRaFtzmN48OapT576MU8pmW4Kh+9gKuV8Fmxxc5eNUt7p
tqamZKpH5iXN6zeghl4xi25+ijWX6sT5dmoahLwBwYDvDvFQs1/mRLZ/5zEjL89uXI3MGw2DsozU
bxflOG6XYaISgsjWmoiottHsCsMI9QzqN913ZkW1ms4b/ZBySVjO5OaNPLTJ6N/7w5YAo22TFGdc
a5hvK1IqweYJ0WHZaT1CX4qKOo9mdu2nkA0bbyal3xz1GpJd4OMDji/aaFIgGN5Cgazn5c2jF4oB
Y1Ks87e0QNzCabx4VDSmLbTB3FFL0NDgCKcQBrM5BB3po5HykD3nvV1uRCy2t8CLyTxNSCScjwia
7HM/CP2fDqR6bJM4+/LakXU8oNt5um7nGaOCQfzz1iXA87FmDuD5Qy4JSMtpim4tGL5LqXrJsUnG
6i5wIdU0MnbdHYcGttNpjFLm/jF6QgDob9ebixPmnVSiP9d5pMrLxOv9N4dwyhEeV8NyUnpMC+Sa
JoTEznl96DM/ImAsszAOZqoN9WUCsR7SBZcb2iYj/dRENRDGOk5U2vhB9dCkvkQbcZodQLnRq9DC
SzjgWJvKHvxgaV558hRBhZ5vaCLpAgiHQaKHoIS6VdS/pNZR0FPiRDzkmucTC6cpX7fEbHC6LQfm
rvG9mTThbHK3LIu1OA4F8BkQJ1zHrqVLj7hSFGs8ZgqET6va0puiJshuFrv6vh7IN92delgfRWsb
zPhhhXSdpk302aWLaBTLCOszu6CuyYxGr/fI3QfMgr51vTDcQoZWRdaY3Qi6970pB5DWRv125TYP
71vAr6XatcyY12ix2AgzRNFcCUN+HrHa8BH0kkKkPoYXrqc+V4S5UzpylmW2tEc+6fQDwLsFiBhE
8z6sC8ptmCW+CFgcbZAkMRtMAUP/sID/IjpfxfjittF9rPVqXjenSFjsh5SJETTwVKxGgM2HINj1
QcQtdeWJGXFqVmVCuG6TTTleCPwfz8SJVv9alwXNWVAhLpMb2xYC9BiHe1GcQkRwyRC7a0Zqcq0S
rF19YbjdKRb07xp48BNhOJYooyiz47sVjR330I44pds2unNei6Maddt81aRR+7ZYppodp+/6Nyg1
8LyK2pxn0o4YfKWiubru8RrlmawY7EA2bpHNJI9VEafPy9JzdlQRg+m+Xlx/F/cKM5IpRMDHYiSh
rx2ZzBg+spV04LzIw5tq7bmfedCRjqZFrwmDGDXyUh05ej+8cpVk30zDWJ1XKJGa0+DsvIsg0M3j
2K5Aiw1TSo/ZZwrO4zntcPg7O91pRfMkmesyGXeMIEDSsq7vs26ofVoSAcAPq59g8ZRd/h3NOfYY
WYXibZJR9dmkzLK7MU3n23YVxJExf+RPzWjSf04OWbv3GdLlL689l/tSJdt2zDYGByjYMnqeFua+
vc34fMEUxESVy2Tbj5DPmM4rGl0J7OOjXy63dRwrTrYVG6XZTqOXmTyH02HK17cGAA+TSbeO3Jub
ibp9bMr+rvSFoiEnHaf/hoA15SD7tWoviipy3GoxRdmaPGn0R7FF7dyOA1YHQ/0TYyzuREH3abzz
4yJ9KhplwEvTEGaTpPKEdGkEubumWfC9OYL1ANTnJH+sq5aRbslFQqMgbirscl2o8HZnPMJpt1Hk
0glT30b0APzOuYaV6XyQeIAdi7mOr9tlu2UaamDHETPhkCSnPgFv3IKjqYR8R4m+LIe8tnFBaHG9
XJXLSbC89BFLNeeh9w8FHq+na7aV8TaPMe1mRjc3fSLWz9m34lF3LRmrvX8qTa1XnZ1Q5R6cejKe
91Hwcz1UXl3g4YtseRaLujOXNQM8WuDAhAjOTN9sZHi65AYpE1bYpR6Ct6D3eCK7CkPbMRAqDG98
z1t/hyZum8tsiQJ2yFBjQUtkhwS805ZjPK69hghAzpf4LzSlWynTlMVb0GQ9bIauvzwhJQceHAgp
UmsB6LrSFZzAZDEzoEThfDo4T43ybOJieGL1nk41zUYGmD+4ATs1RdxWLLk/Al5xwNFdxWSZu2Yk
FbfBCIzdy2FNrEKve9VmbT4bNY7/teGC01a6RrwUBcfDMSwCBu4hdHy67eLxvU+TZXZKWongC24M
RFcLP7/bJHHP81TmuM8i34wUACseA9MMinodaqV5XIo+o5/CTeqLp9h+ao4IsOvhdFqLwpsekbem
NFA5U99V0VhwzQfr1npXyi71dxdtWAhtyX+0s0IPlu9nmL9FFYcgPkE+v/e2kMUxnlaGlHrzeY1W
BHCfJQw14c6NCR+izkY3qu/i31mGjuql4CTyi7TYPpqtbdEmu3R4ROyDATMu4vXOSwecgpCcqM2S
qORV9XENYL/m1piv5jrxJ0bfCfuvkAvQG+hSEvPK1QnxKinnf7UZRQyuDsmJnnKc30aYaCHeWM7q
umdis/jedAzBGDVkiq7bzzohagasnEjbropa3RXVlN5Fa9nP2IV7vt+qHegqLkz/jMiSgwy+rr1H
z9Zyxkt/evGqsfuEMI7fXc65jqQI4iPwdP2O8G7sDuGkwr+JttwMXb+QsJiTF4hZDop2B22Axsyq
KKK5S1PLALmqUZEDT27VA3JKDL4W0IAk9cn/ll62xRdyNJyDopfJB62io9zPHvxobdL+F6iTTHqw
3umwxX3MgLRG+HbdYin/xOXw5FPu/tcQZ0mocmh5LE2wuteiLAnnbj0bPAyel7zFAFP/Km0oZFvq
pX/lEsgw/Y+5fTX8nsmo8RXTF8pEVB90uSZPXqmWn6iW3T8WTux6GX0wc9Jt3aWELPutm0FgJc4N
xoYABdlDDnvwAWIVfsVdDxqLw9nhmZ86NRwL1ujDzCCb7ha/avoLb6jzRwfbQjuaKlVOxXvUIfzK
1hJDVLBiTNC5XrYKL2dFAjreNqyKfabTxyxGxkCb9WRwV7IuEVJiDQZ4QfR9+uHqpf32TQXgIkQ5
4T1OTuEC7ZqzMIog40XBE9MT7GJsfVfG5D+Bb2f5M+oUUN05q/kgEEVi0kvbjNdlNBBsOxvOxP5q
zqv+vFw2KL5xTpOLKhv5rldXMcQFJi7mXbCV6nqbBM70nNEWeqgI1xfw35hQ24X4bO31et0rE2Hh
DWDFwDDFaCEtiI8++CJvrrI6lcku34z3l+sZ4Um/zFl2AE2LaT6IHXR9dZoY8fn65KUw76vsCjIz
fQv7ibhzF/b/UsY2doZJuudIZU5dc/KAWS42lPcTVJGie8XvqJVp068l7BOaq63OILWVcjeLiywJ
vUWZM8imZdLs5wjhEw67IL3rNFptPfTJb+mV4Iyugl05xCAkJB+lHp/SiE7iNU5QymJTVKx/SqfZ
28JdDw5ji4VWW1mtvISzpq1akrixUDg3FZj/fDnfS9XFr/nmquuCEvERgHJNT0/Jghu1cxVTjhsm
AkxcuInurIhFAWKAZIeI0FrV6iLSRE7JKPK+kmocKI4b2/K1n1IU5kMLmTvbNv7s0ZM+9XB2VCDq
kTgMEUYbgtWqmnFiQj39sj/hIlSTFQ/sikik2MtjjIYnG6lMWs2slyDa9trTiN75VpUMTzh0B6j2
71lv3qnz0fq/E8tvc1QDbsb9GjX0APWROhn8AeFf/cizEwHPOU90ovviAriNoJ10Hbv+zgVji+yD
mNeZNpaOj4RrJ/0PhXBCcyl1AvcmAOHnCV2nj4kicBL2pdGvSHLHrynAzsEjWNcfYZQF/zKsO+OZ
nlL9FIYg0ntBYct/WSXSDJ/VKhgmVcl4xH7eHpuy5GSbUHoPbMcRdETg9Tm40uCYDAZRiE8ZJDNL
GCkQ3IYpFD6otshe/Lom/1jlQXOzYDLhI42j7dHJkZSGTLcYbXkacXOXGsj2Ac49v2CbiflxvKsR
v/Ut2geWBy9ruvqNdQ9QNTYx+dqBJx6GYcYTBQZP/10qIqIk8JSY9TI1Aw8VIZUJgFlfLs+jauvH
eQ1QcUWb00Rx1KcMkH4h/PYSp+Zq7+fw9CP2kMH8WDODRtm0GTlNZommmyaIGCYBvGE7o8YFxJ1T
CV+eLZkTGQa1AMwRkHS9IxSFJs9tAB8/S8QAm5YpFzQXYZ2XGwftuFY3smvi5Czt6/kxXNblXo6p
73MZ6OCWGO3kfuRpRtAfhSXjb5YLJndj+y+vqcm4nmjC/geZVXx5K0/WjselJc5Ud91DtrTi0agO
2zBfbGZZbXz9iPygHI4waOWL348g4Ria489Iq40kbx537g8BmndRVm2RXPhzvKwXU7YNmKZUmJG+
JMbQHIiLZDgNbVSs5F4MZXnJibAaGEK3zoR4eP1DvgT+1cAJ3V+cZDzk8Ora9bvC0cJ9yrQBR1RF
PXswzlQMHYJolQQiLhnC6XKk12unlyj9a8lyog1kWBoa0/mOXkpZiX+5qWM6WfutRCWRtc19GkO5
UCau8OMtCKdfV3wmej+UNdtWwnT72eaZqM7mHJhonxMyUey4vkZKGhlayvO097BaWa8gpc0GqQa4
tHoSB2+KGAOFF/D8kwYmroV0kDhyou19x12H6yIoY7lC9lR1+DfgDc+IKknLVx+FodshLtevE6K1
4zJmfKqrXIGgjSfX8fQM89CzfPcvXu3BLIm1Kx9WDMMoDNuV2AcS7rd+3wdC9vtUNNWn2SA3jrwl
9rPgBkl31IkH+AZnf/quIFDfTN66D7mETFipPwvkCcgRL5LEwqIIfp//lBoHRvNk8W6cWWYy/Vju
aWcBzbKnOIAJ+/dkC95cHzsU0pty+V0c6q8zb1mS5FC3iwN9EhyNmNVK7rnMiI0aJRH6L54riZ9I
i2ggabyMiORnTSnJY0976jViNGbMs36sCTqyZXcDw7yQRAWmcleWlrIRpEaGpWhq3QP7fbO9N4Ns
X4IQcBdDdibK/G/oREQzihOE7kP+Mlm1MMPt2aSn5KlZJ1YckAZiclod9ocsUNn54k2cPn1KpQqk
l+PJioKWwGjErcurrlvznZMZSfPylm3PjSYHmRgkf5ieYzE2GQKoZHuAg+FjL0CS9XnYLiYCo1gC
dQtMn2WX/RaJW7wHY0YsgkXAQJQdEfrgpeJu2grwkiorKeWDBVw0E2ag5FlD6IPlgyDx6FAo7mFI
rRkYjqQOsJsga8hEUVVCBT3kvPkOtSQNBeVf+k20WPLoeVFCSDLqXk7kYqYcpPDW+M7GHbJTUB0g
9gm5tbsut37zzqIe1BTsZgG+imS9nvCYxv2tW6idnfHF8mwLVMvIFQvG7Ygx+itKTD7tA3/Kfzwt
THYky7Q4rUq6vy+AJIl1HCbctHO/1mCIpLKx8Q5IUm7HNuQvIfdyQNSlUs2tXvX+TeujxYDFpekK
KCOz4EPSH8LlMLnR4PXlZJb0m02uP4ArqVtcM4gM841FDBrHo/ZkWmJAljFmmT6vnCVrp50qM5PH
kKTktvCyg/CXUfJg4rqTx2SC/YyQKPFVi5O/RSIzR4LNdIOGjwrD8ygG3LlJ19x7k+2SmoP2q5ks
BxPp62Kr7XCxAYPZs3SzeDC8tIIl2ZCsYwkk8fI+26BcAE5H0j7q0rMYhYB9zuvq9BHCylJDkZq5
fu6rCPp57rrmjfvI0C/StPOvJQ6G4hkbYUnosAPr8wk+GC1A3G7Rrg7n9bvPzPpcyQiOyVBfVZ55
rm0tAEGotqtmylpLBgCI/FnZKtzTDgXN4zCZIQOX7imfyGXIxgXzJ4ZrWAYUem0laOVYZnsl64Gk
9q5X0YMqGGJmlSLxCLR0isvHc+RzBD6XFKmX8kUgftVnkZ5dCEe9xm+NMJoHKvO9lwGRLPoJ6pII
77Ul4SvDEpx6WpKIrAQdVLHmQgrqnBESE/huALXs8JsV+l01La9SaRvxsKQuQHPKV1t5mtZM43D2
pFeTfKJXmOK+Ky9kPEEEOcocmO4CWdE3UZYZuSKLxTJr+1lF+6KYCOUro476DYSlPKYmQsBzMSJ4
n//W+EF5Sb04Rmdg4/mXbWrGVahrxQ2MwWuPWXwMbnrjQp60HKLs+CdD/ThwpiOqbYfwbEsNZrEq
bTWt0gv309mfeQlzL1nJvpwTVybnZWobNgvW7EvB/gi05Bfr1WgxqZ1q0cjHFG1N1AfSWv2gVN7/
+9O3YTBWDdbifmhX4Klwi288u4hriXS03f/hxAMQRTS/xxRL28/YNeW7o3QhOk2GJFOIeYioHlyA
TPd/BrmWBn1KvmeCDK/HqrMVyMi6PBtXanX2pw86xo9TylSdhfT+ZLMcN2K4RBkyHSwkmtm2yoZj
k4TeBIuQtfrg5lMUUwqoSKtNmJN4NgpusssmKeLo/E/qwRNXM4ksXdkwsIagD3qH4jh8VeEKovpn
QVJKLwZRGE1g0J/U4WL9C8RsBabbcpL3f2b4Ng7iHj1FsnFMVUbKHx/PcwzUgq7kEPD7hMmIKlud
4TmuV0avumTLKVN99Udjq/SNjhagL4eqvZDpfDcubEr1luTff9qpTro5XfARxfR0lfyg+yaAvQYk
jb2HkWj1ZPeH1TUBOTspRAQw3N6m0JkdeXwojl1CKGgHH4FWeOQ7UdWSeITuzXO7t56V2VEWSfsB
bMH6rDcoK/73wf8Ze9rTbJcBUPVqLCRreurdFuQNTLs/GVlYnKi2pZxGJ5cjuzvBe7Yxb8mmeM/+
+EzF4zx7BSbKZX5hEnEEl63NeOcEVCT3d7/yn9V2OXFrMX8P9WNYV/0aCHtdGtQSGuERyhhrL0wY
ev+tkcjIhWJUfV4QcH5oK+Z3k27RbV0WJUExXmUObEURGq+4JUIg7X2qnCfnIYBEszrs0I/E97Ed
9BtwZWZJLxAnUXIVjiQRFaL+JZY+QpMfjIQKMQGk+6gxsT1dEut/E0RuQbqM1a8zyPDG862N8Sft
aIycHMp1OTb1Ez1g3QOCuwl/tVh7PI8FaMyfGlkDxSITuVTVSaI5G0QRhBQARu3/nNQK/gKfSRwD
TRDs/YSf7coySJ5ctWH2JukBw0U44OnUKD5v0Zhm63Hyi/QK1Z+89G0wYO/23CeuBfcRk73E3iNj
ZDB/8v+RdybLsSPXlv2VsjcW0tzRY/AmEUD0ZLDvJrBL8hJ932P+vqx+rBZSelX3MiXSZDUqq4nS
TCkxEAjA/fg5e6+NK4k2vYlZYdAU+EY0gFchhIf7MBtQ7fudZImray0B+TJZTYOHZKZKRWDrDLet
qfG6NjzfN02eNjEOiIF1u0dNiVuu14ZL1QYys4ZrbN44vUQKQpdOWwaRPpEjcF+c/tCqapt71Txb
kasrKo/ZJMb+sWtLXb3g2GPepqoOtot1tr75W960dq7YUbDJhTI9G0oM5A0BUO4NIwcYLjXhRPu3
AA8TGrsIBoI50cIdRa6gpAn1N9/Hs9wr4P1UKNU39WjRwecHf7NVvcpXf8MoJOe4HclKJ8zBcTHe
gEIF9EM6nhOp33idFr/Vr0YnB5i6ymzK4E4ZFsMh/v0v2FWnqlEtl23pJkikWjdsOto2RZnAaxtS
HYJS20v4VRXQYA6oMQfuFW8yc8evLVfy99wVMq41FJeWZarSccCAy0/XEaZ+NKVg6904n3HIOrnd
QtyilGYcqoZkZNLJF9sURdvigw3Ko83oi5ls1Sv6d9fy2aO2XIvDOF/VSb6RhvnJ/GWFGXMgfKvu
CP8jW+MbWdQoaqRNyD2sGllBhlKOuqexX3RTNsXJjLDRoBrpwD/MBtKyg1aGGVx61Hk3MncQn3dO
xdT867v2O5GVm6bbHFghhBkmMRWcCH7/8UJVLbHaRR2m68Ki2ZRFxqu0wgTPrhHV2WaQooBTniA0
pPAMlXjz9ef/9Vcz5GLoEzCQpW6q5ic3H0lUg587BvM20VbghUfGvBQx6fhcFqjcwG3WquHOc0T1
k/e5g2I2TDDx9jFhh99cjLr8LL89yrYpoLzqQjMd3aQp8fvdyKJxlqRRTS5tTJvRr+VHjqvGDZuZ
GTD6Rzht9EhupiSr1m3NUAWZKM2LPuvlZa4qjG4dqfg+j13UFa5Fj5/zWVMYF7GD+66aTfqSdjPl
d3YRxNpaQ4kjN1M6Ww9N07Mdk66bPxhtjPzp6/us/s4N4ofmd7YMQ2iGhIlCqsPvX62tIivGSA9/
sLG7flvMIjQ38azAVbFp+OaLPwPjSxckwU87jKcfIqEaBX+r+7cmNQ76uTijjAmjiKWXY2JK+IVC
PxFLotW81UA+Ci8VZo5KB0DHC8c6Gp1+03XT8euv8pf1ZkmP52nhcC4Ej8ynR9Yu8fdN+PFcqdZ0
O+WIZHE1tpPywkiAgSDpcTwfczqbTDsBf/zE7EAV+vVFSJyunx4VEEw6MCZNU5cr+XQ/+0jquoGb
xg3FnDx2kSAQE1EtwN6hqav7ph2Z5M252nB6BhP0WpfK8DjMKiPxGRVIu/bpadMe5Bj3YljM3+HJ
z4vG16FrQwcjUN6/ueK/PgE2hCpNNWGl8Ij/6av9dZ32K0p2Y25dVGpD6Oq+kt02rb8ku6ITeZnj
cXxrnaR60iMGvysA5cSNjtR2wAREc/3N1fxltbZtB5kam6suBDaiZQX95Wqw7ZcSxmoDbFXa2nqC
SvOY63J6Q7YFJRfqUX/BUIJ5Mr4y5F7snOmdgYFy/ubN+HNf+P2lX1ZqSd4JfmIT28nvV5LXFAk5
W4aLdJxFxjJFd0OmKBB5p0sQnQ6cnPp1Y4UUWDi6agUOZq3aG8cfzac+4wlbFSFiym+u66+POUYc
A4k4T7ghhf3pASOrKMI0oldubpnzK6NNsD64r4OHTDSmXPvRSHsUrSfQzLzth9cu6aT67z/lsGd0
wZPOAmLiZP50bzTEAJM21vQ6A0nN0/nokfVQJ+lH2nBrwe4PwwpvQXtutAGkmJL0zg8wkxzqeyZd
JJti+yJEssjKt1Av6wfc2/otrmaqwHjq6BH8+Vz9W37//+eCVJYkk3/t1cdu/iPnZf8JEqqd9u//
+R+guP7bq6+Sl0IrBa4/4qJl++Q9+rtXX/JvVJXgINPQDV2K5bf7R5KKof9ha4YGZEiCsMXOz7PX
FF0b/ud/6M4fAhS8tMjGsekG8P/6N3B1/MWFR/d/3i5G+TbFITuPQA5m6sDVfn+CLBRkSKsdZ22M
ixqxL4etrvYvcW9cRto4/sTCxoDNJiUO0WykLqP2OIBiLHB5ZZ2CKRdn4WK/mCJ17YfhAa6Sm+e3
hSMfZgdRKs1WX5XouxwTRnnkFkZzGHVmC8lw2fliDzlsP4jpgO4s3UUkjljBCH6YTMka5Z5sP+hL
L3o064UZ4wXusJUMjeuMjIS6kiCcyyPijR9K2W3LZjgR6XWTZ85R15qTUij2qm2L12psf0bG9BGa
8L/z8lHMjZt3qkfBxnLSeVWm7fAreG1kvzuRZbiq2d3mdv8Ulu26h5Eu4uHDzEheJtZaU4KXqjbW
epQfolTeo7nf4wgjntUZDk497xnRIiItKQincLjKHOeIeVPdhJqBK7Ad8JKhDZ6U/IF2Iiya8Th1
+b3fJJsJ0ZEbouRYKVP0EXbg+yCWbkapXiR4D60W5YIIxn2jhHv0CZdkGazNKWRGbjfPo6m91vGo
ryxDPTSooPZUA09pDu6qD5mQhTUCzElh1jKP+YXVGRKDC1SwoGFQnOjF3UDjZs2BDUOYUsyPNoXu
h4+M4z0VTnq2CKs9IyHT2D/HstwOdG1Oltrbupd1+nhT6aK9ogPb37UUW8tcIC4fKKs5AFIAVBs1
KSYVs+KI3brusRJqhd48SIesG3QyXJpi+LSIAi1H19eJ3qVBI+HxTqrPILSCUmqgEFNnzHFmN/iI
AcS45A/mMekNeUEuKYPI+IjFvmGUm0KmWdWwD81dkrTBTdGFzpMzZOkWozdUh35K3zIdt5jmOzTv
x1OtLlbuRL2NEtQ6tORr0PLkPkdlBnI8CUyLmtMx6HuVZpWWLoMNhrDlYIIUwECSvNCL0mjRJDqH
aqoM9qnGz/Qdwpaczn0bn2u9jjxUyv4l/UJAgTnXlZ4UZZ6vcX2TgUsvQ7uLUdP+cEoE+ctMfrlX
Q/raMnfeMMbCYBzh+i4VcW3jCTyrmGjWVdK3NAgN6wlvxGs/qE8BugfEunwG5wrlEmv9VRqL7F4Y
1T6ge3BdGyBYbbKgfdDfW7/sGDoNFRYRxu9rS8nzbT/EBzWcjyW6cxdj+wm0Glms8qFdEt6zpj23
trb3mVNIOHW1T0JRKpkfh37/3FUxXO9ZQ1+VXXG+Xrfi0fAnJH2m2IJSegy6ej/PULPyqcbOOnmz
3p36ODibljFtx7p96jWdJJgowSZE16CjiGtUzTMy/eC3Ch4I4IpxDv52QiiA8epa0q/mf19vaPJa
5GYu2MqI4J8G52UPJAjlsQx/NhhndJPKrhiMi8rRnlA6/NRs/YeTKeuhMwS09WiTcoZdMyykRUh5
Q/Es3qLOfzbL6WDOQb8OhZl6aqdf1OmMOZIH5wA8Cym/7WwQM6OPE6rtFnOJBoK4BKedCIU2NYLk
62xfyk51x1gdGbnFmkPyOxnBPllBo+OpWGZXYQEq3yB7Gif4GikcKZ50BYU5PnWa7hYa0cQ41iwL
aL1fRLtFtcWJ50rkPsLYEHYbeUJFqwGNr3+EIH6w+aZeM0VH5CZMUMUDiQ9Hur75xggU0o+XvO4M
/LWGRQBZwbnCwoaRDu2KDSN8jOobziHXssg9fDxvFfQgia4916Nyaw3yYta6G3qTOzqlF3qCvnAh
6dUwmStyIiPEZHFp3hrRTIY6I84Yh+A8/YSncZoCTIl+daE5BjYy9T7KDK/skiNeaUhFDTEKKLDR
xh7sGq9K1uK7C3X0Yhzu4LwlhwJbncsp+HIwCKkepje1Di9ECuOhq1kozWOBHFcTpouZ9cYMJhfy
zC5A29CnhPjO/h6ol4vL4YSadUlSIoW0CPeiJX2njIwEtB7fPMAolgQxfJUcgFqcw3UjilKOF6SL
Xvf8d7UR8XbXiNe6pF8rlr9h6Pk4W9PZhsoCiXHdEN61alXtPu/YFe3kFTYO2HoeapM9aCo/kiZD
UVmiuElsImfbAqlMXBgfyAg9PZi3g5a9+aCYV3XYmhd0vS4SExSG344nDac7fctXuBwQ7szgQrGB
gydkvA4Imqu8/jMveo/S8nV2Rlw7dfM+tHm/bjt70/b52achqsNO7ySNHxx6970Qb3EZXybIy47V
2F9Ulj1h3xwOdPaYH2CdXGtZfaVFZN8wg+T46GydEcn7VP6I4uyk6OOtVBT8ppPn2PmxUYU7V+Bs
Czx7aU0O68jsjGYBxi/H8hCJvzSWAQWblHeI2KaM3/Wa4MSpvTVQDjSxuCxV/0zg4w4nUuQpwtoV
hX7rT8Nt2LVPVOdovDWczKYz3vgZQS++o68gRo5e1CSYGSZ40lGk3VYyvuesihHKDm/bpXCxFn9d
Wmv9Gm9xsQL8M7oZ4tNurulnZMWL0+sfyxWIcHowLVRotWTmhhMdcmJ2pS9a6FiHxoq7DifaJBNG
m3BmUj9P904s6auhe16IZq7IrTubd76nr8E0P8dza0j63VBWGX4anpzLH8UcX425hWEiAfuhOAy4
+4hjVxZv2zHYVbP9HuvdwyS7OxPJv2I1R6y8XjcLWvtpVhymKFHJzaIvb6vtG2UdTE8DiHm2Zb0f
D11jPWLNOPtUE1JtPyAY/0A+cFOxUyqZ+Syc6BbhVsmcYHikK5bicwTkWlm3VQQxJgtOoHdaD2EU
mjFyyJHHBcApM5gycjynyEeA3RHX4KMj7ZBxh03GsIL9pQr0I0NXjtW6vrP84uwnCB81RG6ugnBr
1YyoDQe8lizVGbLNGgux7vs3qekQD4yjKpCYOXDWWpueM9UpUlR8PHPxkjGzC4cU2E7ywRO0Z+g8
rsOw2mLCfBto6nCX+2cwS0h4URTzrtgkjZfNu4FihVC5E1JfNHojHR6WP2pRKM0qwhaCseg6m08l
806kk8Z5UMyWEVwXrWFCYfVmULGtEzJ8UOxDO0nJhsYExxIC+AhdNry1hLjnUadeBsyzyUsax2Ce
CsqwDZP3HSrL6DbSeoIeZL4Tof3AC8cn6EQfheXFwHw3MSDYavQofoap0tEQh+CQqgPLWhy7XRfe
OAmXg9EawXnDOMTijQygFqwY5Cs7p9Mvc9yD8A6mO8Z1zV5rhc8yE6D9lbCZU7YLVHvo+b0MJDYT
VSJBEGR6tjO5pd5NVGoB1VfnkzPVV0f2KeHZY3MCnfkQqGwWBIO0MDjT/WJmj2pjR+OE37hkG/Qw
yjgrR5seO7pozHr5AkUHjkDF8bii3rwFxHRM0/xlkTSvZktcW0xk0HDFOCas4lL6+T6sIiouUm7q
ygY7sWQGJdW27Bs6DT7PGIFSXHJbnLIwvKwy/wzOZu+MMwOkudtltVVdycJ3zoroumOYqslxLMyb
ZStS/ZTGPvuBh7vvJw83HjAhMBpRgiwC3Z+mMvy0kLmxeNs//TL+kNwZHEwJoUGmeE5nhGAtsTpz
KU66BhyhcxrGXuWMEGVu3iLLBvyN8IlYSAY2pw4N1RofyA0LzrAWfnjutN64SiWllKc4M5IPiWMf
oVweIDjo8lB1GWc34V071yVMzbQP7kaJuRXHId43tViE1+jRFPugOamBentulW2lAE4ex2Tt5A7j
wflN0BSt1NJcq2yVauxsYYRtcn84qla/CnA+cNBwzbrhn2jK0JHcNWNPmgR8bnWr0C+jiMBMxF/P
rU0aYPHCH+SEMR36Ib639FG/QKKFSBMBdewWtFp5B+qnjqoFJ3lq2HeNAwi41HD9mmEX8p/CrHHz
sxAX0xmIqGsGw5Of1hsV2QwMm3sJ5agjY41jAW+24/ZlB9+8Vh4TtB4TS/2glAcKgSvf9re1au1q
v9oOLDYoptYcp7ddwqSaCbQbk5EUGMa2MjpPRJVXoVufoYkW/OxdDVEp6S4nk8J5iU8xZnZSQFA7
Age9iENWERpe3zmXhiIpIqQb4FWPNfsm/1O0IK/ggUM5dXAHOV7dLeNL5CJgImCmABpHDw/xronH
674On80qexL1cCDz4DrQwotQFjtDTfYAtPZ5pN5mkQbGo6UWl27LZqwQrzEplKpB2OduNxXrsskf
61muy5LwmMEk3pK5+GxdWWQUhbF1noiJbAfurMgOWsKYFuhoikTZJH8S5wUywVcsRLQ5bWzgJR47
YU5eFUKR5NA6jjZNIXXatwLDqqMsVhTkMSjC2d5q33hHPXzFO0uxFaYrJCVr/CHXjT5h6cUgZjKE
c3p6RWCW8UMTwiW1gxxbTwUwvrFCCzn+FMJFu8TnWPNg9zrjcynAXe1jtavLfaew+0FOgZ/p4uUp
Dm3eqBSUOeCatvLT+6Qx6ztWmOvEQc2XgmVbqchThdbf+nW41fJ2ZA00tnZX/hisx1SCFMyjJXmH
6g1Rj0dPxlo5zksZR1e4Ikj/MrcM5H2fk+yI7bAWwa3OAtAw7mQsbHTJUhVWoJ+bnvSTAKD1esLd
esC51lE96pl2AR953INvzSsXjwsLQetgTFtBYNDXGeaAczsXBbSFCPx71Prs0yjvRny1xvwYojae
XcPS0pta1eL9UuJ7A54tzgk17u48Ca8GxVbdJgeIrlWqYjIGRtnvZsawS6qqf1RocVB9oSC6CFDb
VCdTApG6sHpfU8l5iqCavAxpYNLtbhJsFLcT5F8v0yMOvt44jc2Vqsw6QU0z3QwSTKZ57opzRjeY
zqW1aBp3ep2Z450q+6h5piMVNB9iDiOkqsnYlq1LL7LKn2NAbh61e3OLjkFiSuWA+4wB5N1s0/ha
yVEgbcjQDrypnyPIbYmO/4P1i4RUe8p2nRbZT5iz+o9UhdlL7uV4CSgsRjGlPzhZb//kd3KOzKBg
dveLfLIJFGun1hNSOnS/5XM1lvIyy0V7bzI92WO10pCHJ6N+6DOw/+h4ofEcWri9SAPhpKGZ8rMy
vpIw8jdmD0R9ZS0BgnEwDi+YTqCujBmciB8hP/PEMiulRiZY12n0DEz/FbwqOqVMBMHS8PHhsawT
nRZq6/pUZtz6RBl/2Lh8SO8RiIdWFdruYWPSMikW99rQqS9QbBAyx21khibNcyOjScRXrG8SW/ZO
gbhiKhqYfjiLSaub4Wo5AQngTwmX0WyxGFr1VYSqSEmRSaT1iVF8U22hKcD3cphbn+ah7rZJyN1E
7ova5IWVpHxGP6zUV2zeWnyRZMhlcuJoYTlJJE4V2BgObZqOzyBEFuTU2RKn5MCqyxuFu99EmuWs
SjMAsE6OqeM6hMKRTZBeCgajSPS7OD4h26tfGd0TThOD2KugwZD9Upi71h9Qm6TqR0w44z3eifbF
4j19RPLzA+x9si90A290EPQng8x6akJLtoeU0ew268aXQRnnH4kfcjxCDrsH4kSnu7TrK1TOwPTm
Rh7ojjCSb3UkppWRIRVJTRB8dE8GAGXTTE+lUNeTKLUjzuXoPHKiPgrFqu41WkP9lUEogzcgscby
Sv1LjB1Urr064CiJaKYekhTbjNs6pFIgQrAucHGnuFeDdL4OBbwlr49iqW+dkCiPTRCYc3+Ta7bY
B5bqcHI15X1BnMJt3MYRAR+m0671csovyiJIjurit8zaTN1jYco3PcpbSHNzFwIs0bRL1IH9LsQr
kdP9KovtPBt0VS3F4hVAN0DBELbleeyCOtgGYWPfaR12g1n2EzNNkSWnERfBBpjcFQMI7dJs4/Ba
Zdi1For6Mo2kyWEXnDxkhY3J6YkeQF+afn/AN5RdCnraa4LeROqSx+WTOGcRaYllsL4K0U69ssYO
V0En2OZbFNdIFEOG40YTeUPtuGOk4ixvOv6urhZrXyBRkVAStkjNKldXJ2sDInPyAJ3igqtQC/bF
stS2oIkUQ32sFeuDCJLyKI1Efxx0Oy/AtanHeAipK4eZBAHMiUTwooKWI+I1sO9MLQxO6Ta4b6+U
Kq0+hXaRqWjW1nHK7H1KnQcJPGZlp2p+qCsLTpJzBydFuhTaBQX25NDddoJNHIWxa+fzA5GkldtT
Wq0QE/hrjgbN1inNyGunfF7HE+mdsaNdNSjkyS5Q7iyHyLK0qnRPol062/WSpJWlbjBhf1jxMLTH
OIzonBMZy0bnB9s5pCwRhYFLoKVYwU0YnVN0KxwWdQvZ9aQ0gOFw23wgTO3PvhGZP6u4AtiVjNds
VYNroWPDb9FmK8BKrDQNCQ0o21NJczGMH4LYDGkWgDM/YOH0yrlz9sIMG26P4ddAH6bu4EuluBjT
vLpjjaPLp8/Ybtwxi4qDI+xDRNfKI4c2PqSjQpwNbAjPb7DdpBRgJNBZ8XaRtEC2qvUq5TBTiyvf
AS+G2S3nxIxGS8YTZBWa4jRZNN/cKx3dU6x9ybUxZtwaiPzGc+OUyQU6EXFvTxXB2l2U0Z/n6ikk
m501degN+944ZbM1Hu25f4wDhbeiSnZj1yNUloPRr+kRdGvgDYRGTob6g9euR2vVpZeOIqTXpn6K
ara7aLCI9auGHuCWDi/Vf6iER8dHfwJaqHhPMtQAY4xIrvctay9QFZEaHwxIqLIpf20pabawSowN
44LnEKrjKyICBdMCOc4GlrIXwIr6ATBNv+4qWT2gxJQfPVK+u8QhL1xlPNkCqaEoj6c9eCX2K4hg
/aNW5n28Ifxh6yvla5g4PXA1Qi5I0PRHIDs24XG1Xxpup7MUZCnCbP6OSjJ94N9i/aCgi4v4g+WT
6LzKrzjoANJiQLMMa5t0ICa1ki8+x9ij7nT3yFspJjRAWSeVHHIvwuG2a/Cm3mTImQ+xZiX71h5/
6E577yu94nHGje7Mrmz3paDqoGYpdvXoB7sQw++isuziXWqDpZkb3XFJcd/mZNNsapi3G6MlMkiN
jIZqJO4OVqC1W5ll6h3Im3lf5tW81+tU3ySo4Q7IDLMHvw5Yv4gvuKs5BV1Z6BEvsOdijGanWbqB
Gil4nBsMPYPTmSWjqyDvZuAQEVNqyS0kbWIMMc4BG878baMXxNeH6nQ3EaZWA8xAbIRHfJzhMTMs
NTZzjeY6RlmKm9FEHUaDRtGLd7xxsHpVa96FpXLfCJmwdKSAdOo8wb3pP+IbV3ArhP0eVBVHLjNj
dQhHyeEP8h/1ITfUVhSWETPs36F1Ag8wfPERYfsnbYKclX1jzdatXiXJ7dz3zTHBruwaZR2ziWnd
W5/5ym1nDiMEGvSKgryJDXv4Q96ltafnEzjCepjd0KGti9yBX1KZhweiKe4K2T6Bcclnr5lLBQ5d
bBhe4E/NtGzVjHBi4owAp2RHJZcorOOMMeAwTspq5pDkWkgodk5dngF252s1lOEO5+0Toy3JqWMi
Ol63SUnzm+kdI7Z2oCPmHJFcIIUmrin8EZZzeNXLOdxaDbONVU8igemBc7HhDPd19FhiIqQHVKi0
0YvxobTL9HkeCBFiIOgMt1UwJfDdFpqr0pcFQZ4tkTAaNTxWuVZCplv6RKQ21BAQZ/nI1DUet7FS
iT1idboqczO8iajT3FT1D2m5HNd1qWwDMYlXagZxEmpd7CzTD6/tgk6FDkyKb117PrKmO4qB6Xoa
Y+eAglecA6zsR1TXwT5JzXZvMoChDCrQoKOsmdjMNcVPr1XoagR3EqWLxda+lPRkeNDaAEVw9AqX
hhkhuYfEAaKVwQpkWcMpS7rhSAV9GUWVtdW0eq+WUfoDv9miPBsTC4pMPLJwgGV9KHQCvFZ2q2yc
qZsucQQf1bCbeV1pd2NHCKNr2M2GZ5WENffLp/XKhZ8U/i6bMQrylRJ6MRwLpQEvsihoN+LOkfCc
DUwIANvV4WefoSwI+qiqPZZV40Ba2Qy5fG5IUqyMHyyKpEVw+8INY2RCN+vHzLTiEzUoeXp9Guac
oYLx2DWmQsTEmG2SvKI5QT/2SglTGBuK0zzMFfiwQBFXjonDJ5HmjZLSoZj8qjuzy3D76pE4TocI
lHLJVQNq3XDii+L2qKoNCQkxbxf7Sb+h2UseRYspMAzHdm/ZlQrkLqvOfU+pAJF61yc9CDJmxcWN
01ixl/mYf6exEy8dh7ZdaQftHZiObK8JC8QrUtNNXPfmHrwHcLnZ2mMNkRyki+YZYEz/KnDqGlvZ
DvlV2+uY9yr8cqe20mk+NhPZTNGoi4c+Jmm3nnXnWm/84AlSdeGWBQOBUQ5YZWmnkGgkIviosV0z
JzHDp5pXetuyLkgoDMJZzN6LC0qRwjqmCIWg7ubma+DLzB39UjkRePmOoErbGj0BmiGG8j3aATSN
tjneYA5P7kyao7m5cBMz7RRZ00K2dAhLtKgcIUMW805w3LyAkpC7oSEzSuo5uCqrmoUy5tjr4/Pa
OFYEriEN/INttG9s2mI/TL5rofNiA0m73VRpAEg4wYw7/vL4BhCXuMjJ4svAg1qXkeKfA7qt5zRR
OH7m8zK7bLss3eWJRW6rKPtoa6N8fwj0icd4xC9aqn19HUEgfy7Qnn8gImXutvT8g0EY9wJ40MKG
UJ6oZ+x7EJqTN/JItCvakM1DoyfUMiqA4Qa8YWHNZLX3JK9X/Ojc+cZ8zxcjiMfGERMFoNvVLecT
Vhe9ljPz2tFGqKDJI/56hLq19I1NNJacgqZhDGFvCNJ7GnZ14gBd4YQ3FmDpPa0S1VOrLt5ohSo3
gw8KRiNezQ1E+VAalb1r61gwevPjxwSGzL6q5TUC+eI9QsbsRgHEo9nX5YYm05UgUf4UYTgFfJct
PtahOZq+rN86h4H5WKn6SremnMEtglVTqKcmYYYPApFylQh0plPjyp9inxe1nw7FOL6QJZCdWl+7
zg1V24Z0qt702lQfiywBaJU2hXZyGDehS4jME5SacF1X3QjAsWhfzLgKjyRHA1XtAv1cDN31HJiO
F2s1bXaYZZeUn9pdr9rMS1STQRttovVcmQUj2Y4TGTLj1zRVZ3slE+E/z33KA0QLH4AIzJN5DR1u
aklHZwSpgSRfG6i7iVEKko1RYCCdfLJHdWhFaPAkWGJsqvFBcfBh+7FaP2qtlm4U8uPOOGrDvUX2
wp3jh++lb8+PxaTT6POdVJ61Rsc2VI6thqG/HQdrzViGlq6orpO+JxdYyPam00PjUPeTdsOEe3q0
AcO/FmUYb0RGBHzWxf7Cw+VPYnZpLA8PBfVgPlZvpUJqoIH/Elw+Ysl6RQKSU3l6W1pgYtrxlbZk
5HioNmdu3IDUhvvt7CRG9GgFLQbFzdT7eJt96Vw5pHkdy1RTmKss4To0xLVHMdbFukKPtIX5YBy6
ZbubJnmh6374Ms9T+Fp0o/1YF/j/NB4IBCNhFxA1WXKQgErmaZZvugBeutu6t4Iz+09wyRZWbBpD
dCcgHADuMAbrDmaDDjF+U9fNtT8FGqcTbElxp9r4HeHRNZUTr1nbDpB/rH2dd8ERMYLYEzKBeyEq
z8AKgKDoN0o4f6iYQqzGuET6oJxVsrKOhj7domGGx8fMGMRk+I4l4RKvJbFFOt+xZla3LSPxHs/+
vR80x1SHY/Dva9Lu/j8MYrV0DekmwkGpsTypmr6Iv/61zu1//teic/sf+2b5R/Or3u2f/qG/Z9Wo
8g8UrZAyhEnKCr8vyrh/6N+cP/DLY05AyY2+TJcIKP+hfzPFH8THLKo5rmnR6SJa+4f+zXD+MOgW
2JbFgJg/bKr/jv7tTy3yr+o3lLbG0v9FXYrilqiM39VvnLGHQNNzZm0rLLJrsClr35VHOEb2HrLz
27zWPIbkN9XjdNT25uUv9w9Z4BQU+a8pNL9LSNHUf/p09fdPr+GZ6CVSE1ffUpZu2h3ZZhs8jbuv
P+ZPre5X33LRAP6i5Z0mQlVpFWpu0RdbQTEGUBQJwXOj9hcdLZMgvGe8xQw7Ig0RQYVSvYU2Th3q
DNxQ3+hmP+l5//6tcaEYaPltC53jp3tOe38geGzW3PhUnoxNs7XdZgN/0sXz6Nnrr7/7IoD9/NXR
UwusIyY5P59lzN0cDHMWNZpb2q8Z0bdmZ68TJO9Nffi/+6DFyPHLPY7aZMzsboBPw7x0avQt7IgP
E6paTLrD1x/1zx6bX7/TJ8kmBMN+0gUPbSgRpe0papFibsh7b0hIaHtrpcbnrz/xn95FqZIMKwTv
pLGI7X/5conU1Sa3a5J/0KkYm9YAi2avi+j564+Ry4P4l1/rl8/5dBNry1KqSYUYL7bWmebYRodx
wpxjVeyxCu2SV+rXbz5yece++shPN5PQzTLFbqu5jSc3DDo32GWtNZR/T+x0OprfvYvffJ75yR0h
ZmOEE8E733h0KlbWcdyZLjqxbeHmPy3362+nfnNDPxtmFIiiuVPy7cwL44zOwVXX6QmWwD4/O968
NW/VDfbaZ7iLnr6hW3apPGv7r69huYFf3GAW7N+eHfrlOXk+xMLnDJoqI7goK9p0uERvwehtIuta
jAXHAfHx9cf+00WPJvh/P7Pmp0WPyB+s6mOouQACe9f/aNbIltfhY+MiIQUEtqbJ7BbfeF9+d538
Y2375UM/mQKKQirjJCrN7Z2LhdYRIv5H2RBjwa6+Wdk+ObP+8lnOpyc3hnwPzYV1FALExhE3JHX1
khbhVQ8lWB/oZ5Nl/82P+c8X7//9BQlg//3XrAbN0mG9cFd3ndfuEdTtDC87CTfjbhrfPL5fLzuG
+LRTKA1tnHziXVGsc2aTkg24+8asvlm5v7mRVEK/fydouRJrLD9aGtHglbvaPI3iCik1hz2G7C6h
ZevM3H79fH7ysn3++TB+/f6paehXIbIhtsF9sOtd+nZr6PMrZa2vjZ3vlkf91rmYvWKDcfxKuLEX
cH+1q6+v4ncf5F8v4tPzCs6kAE/eE7khP4zhbcy3NEW//gj59QJgiE9OIhobah7y/V3tXO5JBCaR
dZc/rrRLukprYx25wy73Erd5vf7ubfzu+Vn+/S/bFpOaEvYQGyWBShxOr0v0wFawxMOvvv6O6nf3
8dMGKUaCxBGeLKt6vocssk439R474hqcGya9FYzIrX1ber2nrQkTu0geYYzzi043X1/I8nv968UW
w/zv3xgOT+9kOeWOnv0U9gWAu6///p8F8Vcf8GnRgSJnq5HPU9t49tZcV1vzKnuiWUmV/L9Iu67e
yHFu+YsEKIf7qNzJOc28CLbHo5yzfv0tenfdbbot4pt5WiwG8GlSh8XDE6qmf99lr9P/hW/l1T9/
9TQ8Zhl7P7gn3w9MBZykoo3Zjh9mB/mbbfGoeBBWtKItC9jIxnxdlyrhOaLjVfQemZyYkrQQ6g8F
oKaXMc8y/erjPYT7ov55HF10v6zv4nm/PBojX/HUWJ8I4D7qJHscxn0h3MsziGlQtF7ALbVu6bw/
HC1RZy+HYGUlyIDrXr/gAnQWZfVfWqDOmIYRbTApCAiwg22l/DSq/foKvrlxjkugjpaQaH0lLbjm
5GE/NTtNO8j6b3Tsg3Cria/Qrynxu2LZQm9s3fD5I/1hV6I+EkZoYhESHpJdVw9L+qR2Th0w/IDx
dSTq69RQup4aVBdA+XgRzk8QxVhfAsOpJerbgHUZ+ccRS1iM+wSi7Xy8Rxpx7L0ElB2g4l63xvpS
RHz21K370kApg0eVBf28DgG/4cWwwCW2LV1EWo/r1lifh0K6UEHFowhLXNqju8i7AdFcw3j1MEzI
lAegY6cMy/eLSxstnS/vQDtn9krFiBkpNEASRhWRQRF5WZLRG0BP2GOkP8NQeiHbauvqJVLGVwGI
mHrnf9ov2opGBW7GpGM2RCOKQbknIUmn9egBDuuf61Yoj/5ihY7YhlxBil8WCd5k8eVgMIJexl5p
4mcXG4ykw4RXKdujimbCSrhpumQbiGj4QE8YA9mouOXLWugADWenKWIJRYmt4oIA3wMfv18xszPU
If1ihvIyJUUZ0DBiRNSNdtkNb0l006rRZcLzdmXMt3kdMICNfmV/sUjBjgY1ngYaHv88eQ239pbs
ELjhVWAmZvGzRR81A8Opg/TFIIVDVQc1OciP4/VZXPH3PUoxoP38O8ejsKdeerzh0eBkq3q2Kzh5
K7eZ+3cmKMSppKzKWzCL2ZPqN+kTN/jrf5+1S1RohaJRpKJCIdtJ69TprhEwJstIODKOp06BAAYT
s6QUYsWuQGAo8jeKykAZlm/pFACEKMUnNXqakdLEqNZu2aWedOjekwuFp1xxf/dNdAoPOLVOghYF
J5twxTb8tJFblWGC8Vl0CgbyFJUyMCCTJ9JDmu4Ubm+MjF3TWTYoDBAwHYYKGMA5XxJo746YJesw
ZvmsFjLqKpOLbkuvA/EMl10Z0TOG5vZgZLmGtCYa2WO0GUe3IxqgkgGzIWgWlpXnaejdliPUPumP
UJodUAjYfSzcYCTyQi1Qa0NP31UvqGbcaw5YFJ1OMbyleegl1FYxB9yEqC3yiBK0MbRCtfBD6SKD
NqQiQkhxhCQ0tKVAdQ7+/KAsH0u0+FVGt+9l4Q3itfc8h0cWfvIoq46uayAdAGtT4oBx2zME/BCu
s/VhAdXo/CsYZ0vWcvDJ6WCx52cnUyGOnpWdbaTaQQNbGPS/LIxKvarxZLYqCLC6V8WYL6rmqgVC
m2ADQ4v7DJGkqXQmdJET9ihzUbJ9C/UFxpVAgOrklfAvkKkqCGhEMPDSr4RuBn1RAO4vW6s3GIIN
MK8i+mp6WAcC4fyVoIG4RNBBZ0HHhSo+MBSSERdWdo9nVuzHTn7AgK6BMrUZ72dXskDUer9wZvtY
M6IROm/27xqPxskenDxOIsjINFWDqR7OLzbdZrrFVKoNGu/ZNbYQG3IjJ0MX2R9t7NEoBd9V1w8d
3wBbhxDc6nYWXYJJe24Zazt/zI5WKAQHtSl0JXR8vhR9C8aDmOyN4nn927FMUCDORTnahoxcsbXI
7uocTZ8P0INh7NZ5GP9Yh0zBeNSXoA8rsFtRg86zy7pnXBPn3fwjIn2HqxMXwCiTVgkCIC/Itqly
NZQX8fjQjIxYjnzTr4fpaIVyNB1c1nwg4xUczId50lywzKTpnRw46fD2Jx/laInyrqIQ+rEyIFTR
Z9upBMUhGta1h3Ub35yboxHKucoB4uediOUIl8Um9otbjIJLF5BFvoh8xKiOcMXZCWMLWR+K8jYe
tJcSJPQQ1BOKeZV3oBYPfqNsKyZ3jOUxvpZB+Rz60aVqQQ3ZVscXCKNCuat0ZTQ4NF3vhsa0ySrB
XjBfC01IKxavNYQAGIFEGzEnbsWx35aFfoEuUm/9Z7F+FRVuxFqcgQkV+S40qbvtku6r5BdYVzZj
hU7+LnfXrZ3H5Y9PbFDRhjh1nYzZDaQEhh+V8ZZhviNQWmh5YtI6aH0MDf8RYB0NUrFH3IN2Ejxv
cFwVw3K3QQgJhyK011dF57/p8Nygoo8Ks6wBr+F4yF63SbeBjRmdvYpyEOtuYX0tAp4nuALCz05X
00ixM+VFNBxD+akanlxdSwnjNcB4uhkUtHQ4GOBmQtkLjd2+5Kfe6HJe42mb9Z1jHD+DrPdkPQl6
UaO0BU5iKKkEpSgonGVCMcAqUrL2jYIWMNGg/7+Fl6OFjp+gl6P58nALFgJoaOXO+proLM4Xb6Aw
RYGQR6KD7esjixPZ8Ijt5GCK2WfF7wxrAl1PUjDUJAg1trBzR2fap06wmW4y0/AwJXKp/NX3AuXS
5+8Fdm8DfRAIs9G6LmAosOe2cYgufQZWrnufQNeThkLMK1FAmNEF20R+APMLxPscGd3KIkQMJzKU
761/NJZFCicgzwEFBJAd2xoEX9FhbyWQI9JBZQf2XJ+XIb9V/dQgS7tu9Zs49T94EmiOvUznK7Sw
4piFD80eZAE7CfQHdmQvoYmOjlcSK3ao73C/jDvDX7d9Ps46mqagpMxBjJjViLPU6lUr45sCY3I1
uA7WrawfPIGncKSppjgtkdOyFXBBteCFGu1Y2jVh46TQP/47W+S3nIAJFpN3Czq27b6N3Si4a4R7
BbM6k7gTFUbFcx23wF332VQ9DCBsWYAnAeLURLDBNpiCyDzhGdcXyw4FJb2oCXFLSv+D8pKB3iN7
RtbuD/Mmx2iY2rgx0MpE4pAJhmYm+Md/Tz1YwNz1j3N+JUcb1I4FVdFjNhY3P8TPNhxe5I0CMosW
TbZQInlat/UNJh6NUdsGuihMAhRI2/Pe4sb+4udW64Ih3cJzwg4YbkcRZZLWPZJ+/rCmUIFdnQuo
zqrpfw0pA3BYdASfs4SfmFXpnNASTe5KvZkYdzRjS+k2sH4GiXukwjnUACP6fg4qcTIfwkhIf5OQ
Oi6Pitl6wveFiUkSChR3lTv5jd9AqccUrNCqrOQeszXrn+88Mn0YpDNgPQbsCqPDOQZdrJHdpfVh
kh//zgS1pqrixB55TsWuORATaMiRTAL4ympGYMj4QnTmC6yFHQb2AO9T/FOsnpEKsqvxkHGvf7ca
KvxMGwUCDSFCgLBzIR9gcu1P8CWs2yDn8+tb8/hRqOsC7s2HIDhUMBxFhjSkHzNXxWY/JiCNMi4h
m7PPdIFxPbK2j/z7CaAnaYYZZXI71mhwDP1WfAt6t28Zx+i8g6MRB8TaoNUGwfZnM+MQgW+hURFt
2KOT+pm9gFDkBkRhFgY7r1XQ7fvre0n+4Je9PDFIYSHfaVrVx41sD62P5n2IG2gQsbjhMKs2ac66
rfNvkxNjFBZWJdK7kwzCAEzOWEnhNmg250GCsBHlR553u+TQzAz8PXuAjybpJPkAvpoCFOXA+uUi
hzx062op42IkLr2yhTRGhFHDVSnPobFB5MwC1EEhlAbXd+6s952sgsKItCh0iWsQxhdQvwDnc/oU
FU6PCYx1M+cvqxM7VOg5gwlZDBq0bLYONKrtzMY4ACYXLNHNXbCjsZ6QhBV1desotJASXejaoZZt
/nq2MDtuozPESmx0UW7AOmnH0BgzIyfx1pfJ8gkKP6AkuAhhOSD70ek2dCXMXos2TdUy3J1xtHQK
MgaQm+ezlsi2oNyrspMarddqG6ibeNBqZXw51kZSuAH9hwGzwalsp5D5w0A1xtKsZbwUipv1rSN9
/KtfjMKLnhfQUwNpYnveihZEKm43kf2a7x/BPGDyvvSDYY61hxRiqLmkgbcBDgKlugI9WMtG8LUL
4hvCDaeYkhNtdSfb8Dud8fEYG0pnyAqcYWUJEOGqyiPYQ0xx2g1kSo357CIrWEEPQjZ8erGAlbuU
DcR074ivP9ReesC0GxbYWeJdfJgswZo8MFe8VK+sUQLGOaAzYHHeQDE6xyQBaOjBQadiUnbyA061
1z8iywwFKh14ZmStC0nP8D0YEUC77wasBhIWctFpL0Ptygnctag5uJKrWtktZ3EPwlYgrWyQPWPF
2QRw174aWfNJOAA2mwBie8gK6AfQmjjhNtstFuiqzMpC1yXDGmsDKSCBHiOkkBWwMYCq+mkIMVk1
YlZe5Dbr34nl8hSG9GlXQoob5Vc+Q93N8A0Z8KuAqY5xX7KWQ0FIIhmzGNaA37jXMYQ5m0KRbJAZ
9daXw4ql6JZqMdcFEYqZ/+QNwcWyU27CPUakrX6T2gVkTRmfaX3/dDr7NYmttKQDAnmQZEB48MC3
ELy7H6Lb9XWtQyIIlz673pwsuQa+C4QbZegIUwu+VwjJpb2np5XPIam8bm4d8HU6/wXKpiqKSJW0
CQ58lEIplIHxrG2TPq+nQ2MOmF+QFg/bt9LQwBP4EI0QLCxVFJLX17LueTqd4orAUwTdOgS74M4E
3SlGo2sQ5TL8jrjv99Cg0x3SDVjCFnSaybYk7vnyth0PCdTnNe52Gp24YzwYWCuioEFINQGNtQgM
c+FukX2M6ZuKwrDx3UGCcgxRboAY7ucvpA+aFlQjLyMqFNzI6g+DL25IUCjaqR262t36V/rGwT/M
Eew9wVYwziALpCD/WeAxnEGtE1qS7rxoO10wXLCw+OvmzudMFDy5/l0e5YCZmHBQ0UJeULjNNsOd
4FcuUmgWHq+NMzn/rBEN+67BWOc3jvJhl5y8k3Xqeo6J+QLMLyHwIsd8L5ZYC81OrfWbqF3MpK8Y
/v9dvP1hkgqnpFQUl0XEGE2gWYIr2PEWirTLY3hYtrLb7hFOIcfL2Qur1eIbN/3PLh1NTWqNtABp
vwXJ300B6jddi6/T7InxJYkjnjl6H2YoR9XA16EMEXa0sSd7vJBeULY3wzvlAURWf4ZaH6YoJ50E
tPRBuQctasVOLPCg/T0re0FgXJUM35Tf69QnPgLiJbTBkZGv4KcOQYeN5i6+5iSFyW8Wi7eNe9XU
tiLeSJhuW9/Mde/E0fjsnfI8ykYq1iDAxag5VLkJpxHI8FNL5xYMJkbZUyhoDJvfXAX/bqr8vhsn
qx0yjH4aHEkxz1egEGymlwXcoQMjzmGcAvm9EnJiBmQxaT+RGxRJlt945bpkXCexcwsNOflGR1vo
cBh3rCjuPKxhQlaEcAgmlMkZObHKZyCEG3lcPjIIO8NsJ4Z2LZh82TmC8Xv925Fj/PUcHE1R365e
glCIRyS4MZ4PSpVLLvPaymzRQVXJoJsL3iThcd3i+YYJImHy7+rI6k9Wl1exGkgZQJvcEfOWt1K/
POSH4Ff0DKYUlJ+1woq8daPnUeVok7jwic2sFtJEV/AWBZs7D0c1funRHx3zowmy0ycm4qyUeRVK
crZap/exAk4G6T7KBEfLWIX783HWhyU6cz82IGWXZjSOy/kuT167iOH1DPejM/QiZxTiBPYTNOtt
JHUTiK4R/qi6h3Fk9Ad/kyI4roSCRmUZoHcDrgCkCAKv3r4fLJP7CZppkwyFB5bAWNr50uXR+d5l
cU6+UtCDJAuy9ui4bCDNkCk/w2L0YgnKKOMz/oU3Yx5DzkIagsJHuUiDH6H4qxibXaXy4JmcIDzA
gStYjLbqqLFKFucx7bgb1C0/l6GKwRBcufp97xgmsEbyUVTNTdlUTc6DRgwuXVaG6zx4H41SWGM0
0A7lRtRJlqkx6xrdo7WVTZDOyp/AXJ+xmr/o2a5/yk4nH4ACHE6doDrNI5MgXk+2bAk74wItr5to
x/usQ8/aTwpoQFhlNAr0i+08rjaJ0D/IvWr1kmpChcRZx5dvAt/jNlIAI0qpCjkAvH1Akuw0m9wh
ceF0nZmTAwYcl3VDsJZGgQ0PmdeI53HZc2D/DN5a3cvkxyD3/25V9NB6qYi6lIskmTy5EOv2a8w1
5uXesHp7hsS42Xgsd2RgGz24HmgSeDIrjAyMLaK/G36x15dE6S3+W/Y8+h89lr4MwGTwepPGk/BC
344H8H7cQCTDKT29sEAbaEU7EO3ZkZd5mcPZSAmt/wLGgaPn0+cGfSJZX6IkRfgbwotugiSRleN/
JO4qYrYuM24+Wl8ymYu2n6CLhJvPzQWw5zlVyCiynf9mssjzgqSApYH/fPMJiW6AXw3OOKg53CO5
yKFXs75p51dxNEFdFBwvj+AqRbjeyU40/OZ7T4gf/soE/V0GvUo1dOMjexHdD6IlQpVcYY16nL9Z
EdNB8FcSlXcUObl9dInQhYxgwiyk0dLEfcTfjKWBp449QoRtfT3n/exoi7pNplYq5l5GfRAS8iAo
NyXw2AyX4/SEjOA8/V43dt4FjsaoWySN+jgJ5k6260SzwB3phvXCeOCcd4GjCQKJJ3uXDvM08Doi
VdmALvjUgEui/C2H6P1YX8o3N9TREHVtlFlaq3qbKLae3uYqpKwsiJ5ZY+MXUJ6IH0ZtM+l2CGLj
dbss36BukLFewNq1IHWbjKBvNYp7SdAcEObYU9JvBnAmr5s7W2GF+KwOFyA6w3QzeQoRFAPSmYqd
LMIvvtT8KMEcIqh/wHEMVc+LJs0uOAjYTDIorxm2yXGlXx2ntsm/n3zLsRJB/83jSUxq10jB2/Gb
5vS26Hae8oNVtz7nm4bBQy9TRt5GocdTIxRNIMQ3IlxGQqqWwZnLkio955qnFqhP10R8AWpblJ7Q
eZyOTqhvwDj0J1t2sgrqxhfCgq+qWsGE5bZ3CEWObgdoDgIfHQg4WP3lZ8/AyYpo5xD7DkzFNTKT
KFTfQUfeEqICojgdBNi57roMMwc4fzO2IRiJu8btNVYumZzmLx5yXK5M5WcqTm4SBZpA9hTaeWVB
6NdXqx+zKnjr+3r+04HYRJQkyBnQeQQIO4hcZKCSUQH1u00Y73mBlRQ9d7JBifthg3IPTEg1Y6sj
a1i8irNJMgjtPeQhrMpZLOWiAPuX7ELCSTZZAfDZ99WpZcppOjUSI75Gwx9EXVATRYwTHgjTGaY+
N7xbX0Vb1mE7/90+1vpOvHZysrsl76vhnVitGc26HyA+pIDNHNdpwcBLxpd7D/ROLPFpDlrCWUdD
QB6betxAKop3wBy47h+s9VBItaBFqZ4yJLQzPrjqw84Tq8nl1XBX6x3riEtnff64d+TfT1Y09CGU
WnRCW9LXu07S9/pwK5X6IR6Hh3bRoXQDibSuNcFsD2kaVCsNHA+Gs7J2lYoaiiDiq7FFLk+ZOisc
DzNhM+btv9tU8iNOFsr1Ws4HHQ53PQ8HMAXehqPqDEljcqCJWjdFM2G9vzdPjoBIPvCJrV5NiqIK
cJvP22aDwTkQV5rpm3jV7UALvFPt1pbRsQIIvYdC2UXlRR6/42/WfwRrU6mIIuQzdBPHeBwKjWOk
ljhdCKx3E+uoixTIqLXEdUqL49DZxWaxW2vZNS9gpjbzO9LwOD6KjEWxTgaFLdKQaHksAFvamOh4
mCn4wqNtwvnre0f+zNeL4ONQyNQBbGNxEsDngzAFdEmS3/mjG/nsd+f5cOgI0jJ1+CQdct5piYRy
pN50qlcWN0vxAPnihXei2VazQxF25vrSzmaXT3yTJpoYOIikpBnCIOWyuoN3+LnHX6GXPvC5a8JD
V/Jm6xsb1vAFwx3p9HLdgekbwi1oIx1vpl674Za7QDEYQMJwD1q9fQiGstIFgJme/c76rYh4dsZs
VsFIIbLMUEdrBrN+Am591HFexfA3CKrj4WJi9bN/Ew4dnZA6XEYeIiOfkw8FSrlh03qDPyEHEvki
c1aK9XGoY5XnSgPKRaQHKt0b0rui3evi87rfMfaMzh/HZIy0BZG73SY+RAXGMDUhndKHf1LKO3Fv
Oo8MCkK1GQK4QNFu03kbl5eY9V5fyvnY/uPDKBQ6qBBBUYIQj9xC99Xw1wxdwXUDLFz9kjBW02Vu
JTKD5YiED8TN36Dj8ghFTFvei35g1X9S2jrdNuoKRmPlomYZ6ZvjQVKd+dm0F7XAzG8ZKyMh9PfI
CkWrzzcjFxpNqpLaFqHtITdjuOU3mle6M3Pci5yPr6YwPQ+uG428Kz6byjCKok1E/qsWCjtIUvD2
C15fPfDFbEsQ+c1a1sjm+WN0tEjOwMm1D3Z7OQEv0Xtc30GhLM9cLWFA3Pm4/miDwp6Bh3hXC7ZJ
u9Uf2+lZAhtCaDyXEWQe/jdGon+DmKMlCn/yse5HLkbeCKIATiMVmzFsXhooczFcgrUiCnzKYICG
GBmpgcA2lA+aDRqvX4QLAaoGoCE3BbAiR1sRBOoWiBtY0+3fHLWPVb5f0SffDD1lgQA5QtmGCiEI
SwVzfku9GDMbgTldoBp0wXzmnoePo0XqCLTgaJelAvtaPUF1IL2QHUg/2Xxta6iWc57qZ17OSGOx
TFKIpYMwXzUC1HYXHWS6uBK7gbUshu/TWUbQgQz9oKJPVKxdAEdqvI3i/bqnsExQGMXxNUEolNHU
zIPqI1RuNZ4R+LFMkH8/8YZK0fm5DFANk3Mvgwia8DCLDBMMd3+Pz05MpBwmxwJoNdm6DFFA3dSg
UVN2FpKzqH4zwIK1HAosllTglVKCrVmvLF3SrXaGqhkavdc/zPlw+ejRFFIs0BCMihLMALXypFW+
LNdmW94XyJaW4PLQZrODwt+6yfPhxNEkBRpCHiviDK1caN5bUWZVyGRDFT2XWOEyYwfp1EILpaeR
I420CugFRpC1KxVmUB7XF/NNqPexGjqtoEKbtYaatQhGEuWhm3p7ageL1/krzPHeKXzndRok3JDH
aZrYj4oXhnnWIil4ABjwJR/BTTobuna/IEwq+IZT/U4gQg2y1OLA/Rp3rJmRs9VLUPH/dz+/P6JP
DoKgxELQEC6y5ZW07cXOsNP3Kti3Ex9te0y2ZKY9Cj5GpeU7aE/B3qV83ewj0O/nBx5Dlb8h6Gzz
fsuCRIaPvvO4niwwhQiXnklIdguqP3HPbY8hnx/y/Lb+9Vgfjwo6xFKtMBKDZGKQ3PKZr+Y/cJX+
nQkKRkLe4IZxhH+Aa2MYI1PgZzvTWSjCWgiFIiW6kyNZREJ7qW1IO7bTUx2xXgcMpBIp2NCHQSsh
QyvaAX8nj7nDo7dB26iTlagpapQgfeJnBlIxlkUXKlVISqMmhmUNtV0sr7h8leDhr76PREUUYTOF
ejQBfyFxWMuCWVW7PmKVkFkgJdEoIc9h3/BYSK886ZXTQgs8sxThKhreIJqXqVsVTX4xhOH+bnFU
jgTsEEUK2SUF0psOnzlS5iyZs26CER7R7KuZMUjiNMXo6K0vq+YGuuOMNTD3jjjJCRS04aLHIAlE
QVxP7Xoxx/zZkC9z6IENtSVFliZfJLpV5CwyD5bzUeCgVwHEgtDtbfehG8D08NPAhbm+e8zFUfBQ
phDzS2rMtnQ2SjWbxeecztQ8BLgei1SLAakShRF8pi5RXsKUMdyKve5B8cysuAheccNYFAMpJAop
ggX9aJqAB7EKrZLtgIZd8Gzfkj5MUkUBn9wFv+kcQkWP3kEG3r4XgFaernQlLCyqZgliGTFiltpJ
pe9rPPMaAcLzgVRu5/SOB6tdh+MWxNBOC5rSVEUBw5CpmWqTn+jzdooeoz5g9FywrlC6QFYKktqp
DeqBM8gCFBe5Q6vwB+wGoYw3mJT8jHNJp2H7MlSGqmkBncZ82aL0J0qMTP032dCPIITOwKZNWedt
jQYM2Ws2qRO+6/KUXuW3T+IljwmC2V8Q+LHOJcOP6SRsXSYJ34vIUoVw4Gl5ScqLrPRk1sgPOQ5r
fkTDTqlLkUGKgJwqQvtR2xloROsM0ZrAkFG1yls5hYynJjnsayYpxAniVkTmHFFWhaxBxu8rtTLl
AKqfkgn1T8ZBYW0jhTxRpDUR+upEWxuRJkDxb6m3BSaphe4HAw54xrIo4BnDku+5FBk5WZndrK8c
frqLcCPJcuV3Y+NVJfJLZWCPs8wwzYBwmQKiKQeLID8jiiyH3pxuFci3DowmUPInVr4ZnZst865r
CgGlMbmFBh5nS/rgyZC5Rv028qH6O6P+t76fjEXRWdpkUuJyJORmivRaqcNbCeLOutcYeXqWFRHr
Prl1wWbc9oWOrTMCQFTT3eHrgMNQeF5fzPsjcG3/qBBF64x0aWdkDaTbxUXOynmfWyHZWtSNbHkj
XUNxx+131VMLlPyzQt8HhCkERU9WWeqqhnoObipNrq1pnj0dOBJ2b+uLZN1JCtnsEzNSUAfgPcLB
VisLMt7Ck2CnDkoS152zOGlsClYAWa380rB7RoDB+owUpPC52Kl6hwUqPLTfW/UyD18EsWBcBQzg
omWnwkDLhrwltSMx/d2mm3I0IVC+jfN0V5cpY0ksYxScQO6dkNMhLhPAIZuMnob5cXG6TRvQMDMw
krV7FH6APkMBoRt4yMDNkBWHAkrSHAPzWXEB3bKb8jnfyyE6d0o0e6jbuHXF5b6rvbC5hvY4EYkt
nWTZaMis6u66XzKWR/fuyrWQpUmFJ2/Y7pPazoyriUWgwTJBwciEty8U0OF/6P3YDPXkNHJhDx2r
vfrsjPhJQoRuBi2jZCnAl/xPg5ps4UEKpW504ZNegdAtX9Y3jmmOwg0w7ER40oEgcbRIU3xrCbzZ
7Rqn3iz3nK0xn96MYEQl23wCIND+yXJ9xis17xu7lutbuenvIfCCqzSzRUW5NEQo/yYPujy/drno
aUu4z6b7nusPLS/BeUo7m6GTrnE+30mxOSd+X9r5S7XHPKspC+NNHOl21WtunuDm0sXrNKru6rK9
V6cYGu/I5dbNHqPJRFzZS1qzeqsUxUxKSE+nbpxOltyVJpThnZILzDgsXnkZ4la8fDGW6U0RLAtC
8ep3Vyx+KhlmvMgbrXtWcgVZhBE3ZbwLFeGlUTIQ1DxygeBxveGMEOHOusrWjfqghXhCdI+cFmz6
brYjMLtB1hX8nto21padJuAXjJEVieVLHUY/oE1rL33Vgv5jeY3UzjIK1VYU5b5KwHU+6lAFjjdR
LOyqsujNNNChd0800NUnbpx/Vpzwo2+SN5CJ/MAopysKLJoyRtSgUrA8Ahl5tQaGxbODabhcwhie
X8q3zXivpJBl99b9lbjjyiWrUrGeUXVNU4doioqUl1KPbsO8Z4QLLAsUKC8apwntiBaFOBytwaiu
ZKb8BgtKKDDOpFGL5RzlT0WazbIPvX7W7Fbi/2glugDmbk1TdYUyg1HWgG+QurahVzxymO5mcSSc
v78+DNCAD/7dXO5kQKIU8r6uRY6QLfaygBRd0y2Rq531b/8NVh3tURmuYOSTPiRBsALpVM4k2WJ9
g+S/R3hCWUmGM9ZQC1Gg+CopGgRg6Zqg2ES63gij8D4saLi4vlzloncNDz1bIKdbX9vXY/TZGLU0
eQTT8dIgFM5AgC6g1wga706yZfVqfX0qfTZDXWJyoDYcpzao5ipE5NJPEnD3cxYaDc319Xx18c+G
qGA4wZSQlg8c5lY5W9Yva90VWfk6lgnq5kqWesA5Ip0xcW5O00tm7Mb+9/oyzsQ0n9dBfsTJddWq
S50kbSVCSc645MH7hB5WPGVxHxu/G2/0WdWCM6mIzwYpPFVEWWuVEhsH6faLAHpnrYfBJ0+64J8I
e1EF3pbiwLLK2koKVeO4HrhGJQlxA9lV5DpuAybRyde38+eFUbg6LWmQcjEWliumOnmq8GNSPXl5
qpH71IQR7aVQK1cZbsjydwoCG0nlR24AQVLQiXYDCWIwW5uj1F9hLmnDcJWvF8enBdJFwhzaWnMd
G4ItJj4XQEbcX8KbVN2G3V4V3Xq5UgenF9503taUJyF+ZZgnJ+rzzfjZPIUgU79UqtqmyLe+Dm6x
qVySo+R/yZhwlN2KSUR9FrBUSEdBGAKCGrSElI6U8hS1WG1q8G48W4Ggb0IZ+miWEWN41VQmVtrx
rAMdLWrk30+OooEvmXApsAtCx1sw5fjQG9mAs9lm1iTPHocTS9RW6sIgDXykC2BDnS1C1FRaw6O6
iS2iKxaDDzV1WUxeLJMUME+l3Nd5FYq2oPlTj7u6dVXt7k9c5GRdFChrfdSDWWPAAKwHhnwnv0bt
E/K0ixWYw/XsizcMe6xFUQi9zFpRdGQ6j7wtSGNw5Go39X2bmIsHWUqwXg2DEz7+pVXyq078BOI1
fJIkEATjPd0Dr+wOLeuecRODITDyu0MG1BYZ6hXnY4WTnaVQu9EqbYzQdAolhvgCxY+dfidejjZJ
iOs3/ztBEE76iTEKrSdJHBq9Q0ubgRdGZ1Y16ENkRtsXc0UUXGsgYenTVhNw2iS3sGsMq77OT7Lb
eIa9XK1/MpafUCjdD7EGBZ0BPXp9g9KlYnIQ3Y5RTvwTM5DQURQRVRt6GstIoN8n50jQjfO8E9r4
EBSQHagia93M+ZgB817/2aG2bhj4xRAFUAt0tuCKz60VbEBS1trhVWNCM3A0jV/rFkWCDl+w/8Qi
tYHocNTnNqtFNDVwlwdMGfj1DTo4c0v/Nbqo0juzXwO+SjLrbsY2c2Tq/GXwsWK6UjXJnNaOUgj9
DVXypLSwtPERStiW1uJ9PfJWVYeOwrH6889e7sdV03UoSE2qRZThHMh1CmJdGaZe58gLAlbq8es7
hxy44/IocG6mVJiXRRVsTffGwa6DX82yVXq/Yrb8Mj4kXYjqp3QKVRHp1WhTbDA7tU2t3tXAw41c
LpuHm9xjK25D15/iRdB1IYxBHhUexPEQyvZUXApCZoro1qpju+N+qd1DMdnr7nqmVPx5PymEHoR5
SBXS2Bwc/iG1wdTpBhJTcFPWHBrLRyhglqRWCDCpiytvsDnDbbpn6HnV+YaxIpaHUJBcp5oe8jqE
G5M9Dj10AaD8nl1OprhpSF78TrIGrwFnlcI4+Wfy8Z+3ksKaLk4UjAjj4iHjAdVV5na71gskUzpI
W9VNrg10UCVO4Q0/1ldM/u6a61CI02UhSItLtDIgX7JPl9gSRwgzK4GHVi9fnxNXB3nXuknGHtP1
qQQYN84dbqShTg4Ll7kV6IUltfZERfOWqPPWzdEi4uh8/rS1dHXKGKJiERV804flckYAA4n0zejw
4P/NPUJ++iO5CMwMzS4uq/J//j78wBt6tKBuVWjDd6TMGOwz9CJPF4gI11fHQGx6tqDsMr0IOYRm
qGZeKOFVKQl3mXKTt9nlEA5Q8cglP8uY3NpnHylHJKWrVHxULUafIKeCforWId0U1W2OOvuAUT8X
wh0u6/yfYd35/BUprOm6UC8HDVdjDcon2ZJ8ziT/jZ3SWm6ggb3r92D5dsC0yQJz1lekoEef5mKU
h0Gwy8Lplpciv5Wy5/Wv+E2UdvQUCne0Koy6rsQrLNpUePJNfrgvTKIzQJTeWXyyIonXVw69QoGN
UfLxqHJIExTvDfp2YmcvnKkB9OQttDxsDUH2AhIT8u5s7cXBc1C1AotV6vwmwNIUTZANVVHomQ5R
6jiprCeof10mm8AjTIiDGbji5T+MN392HI/mqA9ZJEM5jDqim4lrLKThvXaJzUhn5bPO7+7RDPUt
A1nrp5CbwTsv10889NnVkMm8cP7GP9qgvmAegmk+6ZAkSDaihd5X76RJy1/3zfNwfTRF3RBTKxca
T7SMZ5RtOkH22iHxhWDyiy62i4LVS3NmhIMc9A97dLpWM9oBTCB4QYvXpa+YFWbOQwf8ys+1zbsZ
6PL+0i3eo5yTd2aJkX4hHfBqkXJXlw1zaAtzFDfru/jNCT8ui4o9RTk0uEQFigxPg02arTgLYlIP
GMoC+QKz+Mj4aO8n72RNBW90kLOVBJvbtb9roDOC0MQeXlTkkfTeRP9EbIYWuu0sJsv++dD3uFBy
PE5MV0pbjdL/k3Zdy3Hj2vaLWMUM4pWxu5UlS7L8whon5pz59XdBnuPmhTiNczxV43lRlbYAbuy8
1zJgqCeAfjJgjsqxjmvAZibEVO6ic3JeIRpLRQ0rhIVLlN/22N1ca1QF0Jnu5jsrHX3BR9x3e+ez
cRYkIYs5TuvfrQTWtojd/PXb4CpeGwyHP0unz9I4Q7JIBTWxIoNK4PQaZYlTDi+anrqXz7Tv3c5C
OEuizWacJjWOlCqRXbavef+o1wIZoq/EmRDNKmZqJfA3akadNHKJ+alZTccygkQXzH0IjsMXb9s0
TAYjRWksXXy1fytXLKEJ5iNEIriq4gAsnLQ20fWLk0e5fws7gPk9X/4oggt7rxNs3hBAnuoml9AS
oeTOWH9W5FpeZrsJH9RVBKQjEsVUfiMqrFsMFHczqmxrac/NSVp7m1a5k2Sf0rEThP4C1/gemGyE
leG4aGM4KDC1d2EY27IucFaib8N+vhHQzWWstgO0eVSvS+xsqoZX0pfLH2dXBgHfIKivZM0i3I1p
sjKDexAyavTeNFAM6LGbigDRmCX5EKJthHBWVC3kVbVkWFGpOSQzMDThk0Z7HEdB/rADpQp3uxHE
3ZhVKl2vrx3Dz7SC7jHz+tce/kE9ssCvDwAO/fBHNfKNSM6KVqPS5GWLDpJJb/PsQY8emz8hl/n/
5+KMZ9qD9sSasI80LNFDV8XfqnSxzcX0wiF8lsvQLhPN0ZLlMepGr6+IvShEWEHc1ffNSTnjOpea
tepVobr5NfOFxUPsGozgUIIzZCw3eRB9vaycu8+Z6Lqu4Z+q8rW0NLRo1U+oWcqSp9fPWf1F7W70
POhrwZTpvoKeBXHxDCjYMiOdoTdl2t0pNT01sRYUg/wCNOK3y2f6Bx09y+JeHJG7drB0BWbjaf5m
ngqs2EbP01v7NfSVB/pg+fJroniXhTKf9PEBnmVyD5CAnlLPa3Qc65Harfm9ppM9DcFQOY353ejf
UtF0975ZOQvkHqIcD3/3bmXrKTaUYxaDvl1EZ72vkGch3NPLUbwdswl5g4zNR7pWztD/iXfcKCD3
7salbmbSQQHV4qrLMttKnxXRJLBI97hnVYKrgfQVdK/S/T4xnIXmdjuAokfQDhI9Ji5uMeWU6EUI
I1wWb8CctmdzsKf4kRanSRixMx2+oG98VWyIhjyL2lBxQRCJnfn50AXWvXaD2BLTAu1zoghcseBs
fFVsMlfTKldUHKrstar+ygZQKQclNs6mROBi9r8WsQheviWbfEInW7Re54aAK5SkDrUOZd44Xck2
fX5efrL7RVRylsRFZsVIrLgqDMVtQe2VHDr0ey0M4VSOecQSIhKe4Yke6xtR13D/Ks9iOVOY9ZOR
Jxb6UUmT2m1zaGNqW+2rMgF38dvlI+4bibMozhLmU7FUZtijToR4MIQVUt7WVGD59jPwzTVypq+q
ElDYEbRJip+rj/nLB5AQgtpARyNUQ4lNcmNB0C78cJzt6ypL6q0ayshWljGohQ9XKk5O7PBT6Hd4
AmwwbIp97U37fvlC9838+UI5g1hPdaIA4BIG8RQdlHe67/8GG+p95/vj8z7L4cxiu1hK3dcwvJOT
H0GuMIMrlfgyaM0AjGinQHrWvhAQMDotCNRlVz0I75gZxUt/AWc0dTYIsWoJQ39k1LAYYL3FsCnA
zLAQ5WNGDYVG6VMblDdAMDdFKiV6IrwlzVqAFidob7Sfq8MIxE45kO50DGGtr1hNB6QAMEODCutZ
ItYxgfHh88GmVg01HSbVjafiUGalRzCuHFnD9UREg4b7vvX3J+bX/hfSKEYf4oxa83mgPzsR5N1+
Cen8LvmscFpnqdN0BYXFovoOLAFgwcUOHXuA3pW9Q1oQGOoj9Yv5ezXNKtoNzWlMEsEw6vv67AU9
4hf9h3Q0pUTFMUlYvA6x6kwmA+RRHXDePJjGsx7mDlkyR9F7Ow7NIF7Kz4OhfKqJ3aenRgoDVXpt
deM0xplnxOYDtl2O5fimh6MrW/kN0oEooboj08/1iCEP4HcPMQrDVRKEiXVbqC+AwBBhhe63FzZ3
y9m8tZHmvqjhpPTwhc65l7G/UxuOUfOlD1dfaR8TeTlkvRVIIGRQddkbzOpLnwxHfQXv7CDbg9Ue
0sp4vGyfBAafRx1oajmUxxavNta+TVXiIEQIdFPUGN+1DRQFeKpaRNX5rbRkpeGYlrD4oTkcpQiJ
Zg/ezwrRjpZdVeHXOKT+5XPtx/QU9VRDRUhgvbuETaZeYF+yGmusajJQxekRU0V26ocu1k8XJEjN
sQX7+ywqdu1PZW6k8kZQ0+WcjIjoWnf1WW9+BoGfdghdDRPB8UE5SUGPSt7ls+5+w41QzvgtZZR1
soGjEhoYyw2YuaTOvSxiv5VylsHbOUrQ2qhYvYDcsYZAF6RPFnw223mdf5SOIZC3dyQqK1RTVE2n
isV+vvl60xJKWhhVIKxMD2V1bFu/jY6CI+3Z060MzjWHEipFGBZEBg+4Ys0HYl5vZ19CV3r5VZoo
ERuLVvtF5+LcdDZImBNuEIVHRLlSzeEGXF0nrRBCMYvkcHo4GJLZTDruT79ZffbBilOMMc/oenBD
O7Wru0QMyLyXYWzvk1PDiGh6H6UDYGl8wGJMt2gaOQTgBf78kyFFyqkjajTuRpIbkZQb9QTIrSF1
GayXHqT3qMn61NE6tNxRX8KqfYnmg6j+IVAanuB0kjMtIzHW5+VpcNBvvZdMSTDltjv2sj0VF+9P
SzzIUYVyBJvVYIMv0ak+/EJIMESPgP0u3ttuZXEBv9xSkiJ9wiv2ZcthhFyFo2Axw2nA/IB5EATF
gmcnUBOe23Rtmw4LjUiihlN7/atRNUYY9Bxc0898416UPe2GNcDz00yiAsPP4EcYBqxqarGO0Xw9
yG5RVX1qr+gX1vuW7fRBEXy8/Yd3Fsb0Z2O4ZLn+ew8gMT5XBdCCazvTBR9NJIP9fCMDeM9jU8/M
yTQuxtTz+a4VlYf31fx8DM421vMMQpoMYW1rTFdSRm7CXBDnCT8LZwqBDIQVHQUmKnxG/APesqyx
68OCVKF8ELPO7sYDWy3gLCIpFMO06hzBrRcGrKMduhSITmwQgWXu/TN1s1eBqos+FGcRyzbXmpzi
iIpiZy9s8CL2h8mhTvtzudNODPJEvwVghEDs/pv+/fH4dStgnfXGbOGFKXeDZ8CxAU39Ojs2x95Z
Dn+UegGUWNUoblBXLe6QkRpns1zAWk2tvWJipnT7azbDzZrqA7Z5nPwWA2be8FVU0nqPOT7YrrNk
3vo3pd4ndZmih3Eor+UgW5z0U3ZI/SxY7prAclnEhYHFJxIMSDxFK1K7H3cjnSsG9f0SUYvlKZPl
JjS21fpkEMF0NVPKSyf84AkqcE3GsgKoIcNOJk/HKEv8Jlc3IbkpKlegN+xLfZRmYDZC0WTV5Hfa
B22g65gi/5sc2fk1cGlODmuxG8Q2XUaoNAcgMmSLRcDsE33P3RiTKdF/5HNPtG9l01LnhY2SL6Dc
yB5Y2cLwOhfEYn4U2/87EYD1rrT/kcdpLh4msvcEAUuIHWHrJsUObukn8l+Ca919judj8c/RMBfD
Gka42OU0XtfYRwHRDcYVVDvzJ1t0ifsa8/sO+QV3cIZ3oTlh+QXQxjbpH8I0qBViU/lO02zdFDRp
dt+AqhpoVBJCNcpFDy1S80Rm1Y8aY5bptHrI82y9Fi0J7irmRgznVKelTFKlwTP4D8B6hlWlNhDV
ckSnYT/f+NUmS0FbUK/QP/PzUPzVhUet/KPoZ3MUzrGicKE1qw6bVeWdbYYoAuihQ2TAweSrM5UI
XrPwc4k2rFbEqGCn/pi9Nsb8cFknRRfK+V697DotR5UFfUPrpBzMoxbEh8L/txfKPWg9x0ElCd8t
lnwMVTfTiVp/FEZsLpR7xLlmIuce4WNnv7hlfY3kmu0ptSAUyAPR/uN+0PJbms6zonfVZI4JxcXB
o4/XBSbHMkd+Ysu+PZa9/mRyjG6kcS5GkSWSRjmGp7v+UZYSOyt9KlpH3PeiqkEtTTYU7H9zQnQ2
OWYkiCZHvwYrg3prBtEBhJNw38AO8tJHyTGvF39FBZe+/eGFnqVzHq5a5TW1CixdMkpCIGqdJgCp
ICYz31cRF9Gs7Xsz6IOP25yWs1haoaCDVOCNl/0JLHPhejfMX5v6xezvulE7rSBXEA4zsxu8JJM3
X7Je1XWKG2b53OJ1dnJSscbAjijK5/ZN2Pk6OROGRGc1DAuvIZW+6LOdNk+TKHBnFurSaTgLtqZz
XWcSvHRMjk3p1k1glFdmIjKUu15z86F4E1WH46RkuDS2E6giqmTEjuFB9ksv8UXXJjoTZ6gK0F8T
mRHjKqlxXGT0o7B5nEX5dUVU57Lp3e1F0c3BOIPVG0SawkjFlLCv+GxXgLEerQhUE0cDtWPkFD5M
//QqMia7kYGKHimVVbCp8WCm8aB0cV5iZJO0p3Z0IvLJMu2yv5XA1541glhyXw9/C+NhTFEEBpIc
5rLd2ZicWr+JtB/EFNykSAZnuBYzUmnJJstqJbbzMnPi1VNFYEXsbX7U9vNBOPsEFOCuJTEKdmrh
GdM3tRHkiPuad/79nD1a9BgbYzqyCEOGgqemp+hPCHZOSqM8X1Y80Uk4K4RcZYrCFWWQJJo9jXaH
LEy8yyL2dVtTLUOngCbSKfdo4zBOtLaH+RnZkIGbP/WyTW6l2xo72JM7HcGQljrqLZowj5cl7wY0
mqlSmRLI59GCRiDfhNWMsEoPGCxGFhggLBNHiPv+fyOHM36SmqezCphmd0leO9ALaKY3zz9WbBeQ
HAgtpwhsmVMQUVsJBSfc1faNZO5qyQygjIWNesmTGw6W3VR3hhCWfz8F20jhDOGslrQaGvkXqNSI
T7jacP9u7VXH0svu9D8YgAGI5O/PxtnCrlmTprRg5FMCgjREvZ35VTc7Wwt/JJ3I9wtukMcFGNNq
reMcTSgKaFuzewGd0l9ZUwpSdpEUziqpatiZOJMCcu4BPJWvcfMCNPbL2i6SwRmldCpU0APDlBv0
JM+OUlzNmcCACx4UP4SqtMScZCYiPWLQJWA4M2xqQFRE2V2e22gA4awSyvdSNmaY1Rz9KrcHQOeG
geZ+TTx6a10X19k9EFRUP7z6L3YY2C19MO1n5SPsljfp3mhJoTrqMWqc1O6vDfCYY8ubQt7sMVZl
UYwhsh2Esx1yk6nRbMA46gFbaEOADdp0F5yVk8sq7a2IfXC/O7I5IGcylDAnc9QoaKI90zviT8+R
Z7rkIb9imEGAMv8hiub39ZICConqBJ07zplpgBancb+g99I6Zv0ln45UyHO168a0swxOYSwjJDOi
TwV7etHt4rEUjHhYtDzUnupjBSS1RTq666I3Ejk9qXQyzqMJIyVZaHiiVGxpfrFeoZIleNb7NeqN
JE5D9FjJyKCjRj05g7cEvyb1gGGHBGx2umu2BSKalf4HrTzfJ6ck4agMtGRhISv6sU5hCvwqUIBg
y1qcnoiuknMvqtmmcTdCQdTsUNYnfbnVZqcQcaaIVITzKpNGm2YFoh3mWLwoASqiaBBQcAwexqDr
rU4pBhbdNgdJe4lkyZlNuyGlSCFY//Kjifr9cfhp61Jak25kbdxM9xX6bMRXY/4wR8FsvqljIHef
6SgalROdjfMtZrNE5VIhQS5+NofJsQLqY27ie/x1uZvRKTGc4ily17fLDu0f3MD5oJzlAJR9lFU9
wmwdxYfMi/0pQPE3GE/W0TqyfQHTb9CzNt6GwyjqlwisFo9u0BpkysccLV1cchgdYvlNrl8vn2+/
yHJ+2TpnQ0iXLc2cIvYA9CNIIpHReolnPM5X5lFHkUUJsA6L1UPqzm/tjcjziA7ImZU4X9Q1pXB0
i3bSiF+u3iyamBaJ4KyIHkpWWiagFemqe6PxCuDNj4JKn+BV65ztaJuqTnvWFa/IVZLet8uny99I
dATOasz6lBZphymasW/8iDw1oxrIIhJ6wevip7CTqI1Hw2TbMPVLX9w0+SPV/GgQNKFFUrgYtBxk
SR0q1uusb6voaBpf+8RJhKtdolfL4w9odU97gINgIvGO4Syi4xA/qWgzPC33qzN7yFWAe2c+T0Cz
SVxNFN8IPhjf19e6ro5jrB65a9o5vaw7xiA9q0n4cFkvRB6SxyJAKFwlFWtwdkAGWI9s4XS01ScW
bdC3f+uPeeDstZcaxepgKRaM0TIyx9Bd7qtrhupLXSp4U6Ir5CyDFalylWKcxR0Vu8Mk3npb6IHg
+gQ+jO8q4uLGSKPYNRzAKFySyI/BKjAvpm9ZGEkqYM6LHqgK3XTqp+xRIHy36HW2uzwSQUVnq68W
BBxNOntRptmFRb52oP/qh+w0dbk9p9ZtPGvHsUuuzaywixqo6AjwIpPY4A72lCgH64re2qEpC5Jf
UbjH464WitTIMZvjGP3+WL2gF+SxtrUWyMeqgldAWnwSvpp/SPF/u1q+HVmXVVcqFFfC1DnEqgQi
PgwldDnYYlnNJF4CIaDcrp79oohUZWrKnEHClyYSJQlSrW+DJ/81BIUzho5yiyI1q9K8Fq+9sD+/
awQ3MrlAJl+rtR10TEGYpgtA/5J8iqlDB0G8JDoZF7isEmCVaYVv2FhPvZ64OfHp/PmyFotkcCnP
pMRVPfRsYqoIKizu0DshRNauc91cFvsTNrnwEGoz8I/QCk9UQE2T2l2Mw+VD7JvRjQjO1uRVmIxV
gZvq/eolwS4ENP3LO3qtNwjhnHYHcelGGheQSPVcRH0JafSJzTJMN1Jka7ctmoJItxlMVhjh7dvk
KHzV7It/iNk3krk4pckNbRw7SI6P1RVbemWMnfTRjO3sE9Luk2iKQaQdXNxiYQ4oTVZ8ukwvnAir
H2p5N4pANQWPid+xkuhECzVFIlIpp1C3ZfmqVAHcL9jtE+kID5VRK1lGxwF3VzFgDiw8ef1BZjC6
0T0blhJhSQiu7v3P2Wi9mU/KPEe4umIeP8dVfBziDHjvZBDUBPfD/7NOvNvkjaCs6uSMVHDq4KD/
qz6aGD9j5LGpG6K0qmAnZ3VGp86xo5J7kT8Ktw8Ez/u9UrSRny6tmUwrkjpm82OAG4WTjUENPIX2
Vme1Ne9/55DFbI1uohNpoRZEedjXulliA4t40Erzqp8fVVOA8rr/6X7/fr6YWySWClBZ/P40PM39
1VjdZq0gctlFS9ycgXBeK1J70Ies7wW76DA8A5TUkX2Ag/pqakdeDX715lpxKne6slCyvh+xbi20
JsxOfbQm53NyXgwUD4ncZSz4bGGsMjAVHFmUYN5ngId8Nm7JjWkPRwa2OQty8n2dOUvmPNuo6qZG
2MR/rX1fwi+V5Fx2CLsra9vr5dzaSBRw9bUQ0HgTmv+FB8gfOAU2rij9Jd0aHvminUpPOoalm32N
HyRB8Cs6IOfz1DFah7nB6MFKjrr6lNV/5vHON8h5PCSrS5e2+HbkSfEpRqv1T6bNhk0xnHIjau+K
HgTn8JpC+3vWJsxOI30o6RMVLYf+g3k+H4hzbV2JfK/IZrCnlN8JXKvhxNqLJdk1OvMoWbaAzJbt
TItscPleVpZ9/3OWzDm5oZAJplpxlXUJRl25ctQ+0KgjBGgUPDeLJTMbQ1mueVV1ZonBqDpy0OaT
za/TeAjTR0O0BSv4XhZnXMJ6ydZ+gEuIrM9gqZSa+6QVXNp+qH82whZnPDLsC6NhivmrFgCz7dt6
kO/ZvnfBsnFEIpJ/+SOxz3/BVlmcxWhqiWjaiji1hgpMQNyeHtrusa2CdnKy+fGyMPbFLwnjrEeX
WCFdGtQ4WKs5O2XB5LNcQlT8313c21gpfhMJSDlq2M44FLpEi7N4Q1D9yE4hdp8GlwTdEVD7juYA
ktD9ly/a4swHhkR6pWWmP6pYwcsanDz+Ey9qyLKmW6ZlajxtpSFr2J1rQ9TjFf17GNNDnYQ33SjC
Atg3HGc5fMF8rMu/QaKXUxj8MvRsSC+1ZbsUDuntquFGGPeysmQhbVtjVDpuDxrm0DHsj7Er+n2e
D60IWnjXXmxkcS+Mggu7qyINq0f1DRZmAYSCjLpKviSy4G3tmouNIO5tlcVC0jlEmyZKHACq2kv0
GOFZXX5Tux5xI4R7U9pYT3QgsBcj/Us1j8rqXf79Qj1gp9yY105du2IChCji0DAo3e6mP6hPbPGn
vQmd5PWyNNGVce+n7mKL0hq1Vio9qBnQSB5AmXRZxH4JZ3NjnNclU7iUeYICWvJTPyVXYAD4kX4t
rid3OMb2c3SX+UKDJFI5zgkv+tyucYY6tUkc9WY4lUfip3cStkoS4q0PbECufI4w/kqOgsPuVvI2
h+WcsGqOaquxsnJRqPYU6Q5m2exKsa4GM3mhcnEHsCdnAVb6lFmCWpngW/J1c9lqpjbV0NIj9U0R
IW83bUX5o+zzfD4esoSmZj0PMgyuDL5a2WN8tUC4XU+s7wrAsq+C62RP9oMH24jjbEc3dWGfTIg/
Gfy7yeYBbtU34jDdkQ8ayqL/9nycDRkUo1ZzFOfQhELlD9QYrJCd/2TbFfReFAyIvhhnS8yxTTMr
QpnRxBxMS4iTkttJE6ikSAj7+caemBIGXnuKBN5op2M1d44mZw9zuPxL7eMsiVKnq9UzyEmJ3gzh
Y4KmpAhXcH/pc6MNnCXJJCOZ4hRdSLa0xcpjgEvEPKiXn8SjL6Jr40xIKOcpiZJIBc/cvTnbCD/n
/N9FFnxtW280XV3Z0kvR5o4CZBWsO4zTQfCE9m2hhvUTQKjg/9z3H+QumTEzgUY8tcvc0U9ITbzQ
jWNn+jYC/xR7wH6P3Lg5iLhfRJI5lRgapcfqLML3Obwp0pdYOWUStrSOuWgo5B2B4aOZOJ+RUwwj
qpK2UqDjbEIelBf+4JmnLlhfZ0CKN3b+FYb/OF2rB+n7lXpD3dpZ2fzSUbSSz0708e8wKZawFFOT
+YkwvDSjtTSGMNNodqk/E7V1rehKMRT78lcVCeIsh6pExWw2OHBfPYRlCFJE4ofFcm2Z+etlSf/w
6M5n4vSHJMpopRJEDYtXytmRVqUzpasXagDpqUCPSE23SZrFkWasaSoipM/9eVnjLJ/TonhSw0zr
4FGROXurW/uMI1e5SpFFY+WC+Z0FGEVYnheh9eyr71kwp1QRxd6MsoK+1lTnY47NzbowrxaQCYVr
ezDy9OXyRe+H5GdxnMFptVENpQY9QGkIVupro2sqTq98atTDOIqMwr5fPQvjwpSml+sxyxD/p9fG
XXvUMA0clvbgszhTPoQImi4f7h+i2t8C+aJBZAA8NwFUIgBb7fxongagZRNvojYALv8LqHrB++Ar
B9oa5nMmAw4MBtHv58Tu19aJCQhbRsFn29+WOesnX0CQKI2TjtXjsyKyQ+VY00954U7pVZYUTp7e
DkByUSfB+9/3Tufr5MIUKdJIJ5UYVC9G/PeURsdKGAoJFNLibEypFnkKNgxkOt9mP8KAK8gFropg
DdT72tPvGNjCciCfEtmuPIG2CNSTLyjEusXAJuE55NPyQg6RBxYQt0IhWfNUcO5oglmQ3ds0keGr
BJUenR8hG0i5NJXKmofZaVgDrXu0FkEhlT2oD54BxWBAU5katWTuwbX1oM0yW9UZixgdZTtKj8YY
2g0I+2LE6lLu9eTz5VvcfQNnkXw/ymJsfdaEULYpgma4tsrrjgLiqxc8baYGF0727j828SXI/7Rq
TZCvLmaNvtC1rP28fI5927E5CJcEmDrtuoQNBI0AbFvBkR667YHcvJM4C8c9hNK4p9V3rFXY40th
2OJaxdZRge3F4mg4bRD5ogxg37tuzsY9simmfd3G0PTetzDU3QT1q/rE3Fp8akVG43196dKn4lx5
pMFFvy/SxGB6KLwqMIC7ZL5RNNZmrNzlbv+avmZHDetVpdNdad97rOL1wH3IvTwQU7PsD19vDs80
eKM662A0bZbBiukZ6oYmIlMUhhyk6X/NTnmrOWC/EViW/Zf++xm+BxsbiTpobrpEwktXgBtdTEcN
2I2TQIZQgzhPXpey3I4jokDWSYQoTM2bbv6CzatD6CmC9G6/RbS5RM6yyK1iUFCBsow1P0YvIxYB
wXT+MB4SQDyE14jziyNrDJu3a4046c/oFun5D3hv7G7uNFL0aRokLAb28uq3YCSdp/SkFo3A5e3X
kTZyuJolXdtoqFOmLe/zr/Nre7COmA0FdoWGKDDCHp0jWm3bjQE3MjnTY0Tgi4hlgGKO+nObgv4c
EHvRdawb9hCJnqdAN3lQv3jqMyVeUetoZ+Vai0nQT8tVo9JAYE53nevmTJzJyaQVyzctAAk6j3xm
gFBhEgw+45BUD4nb9u4frbhvBLKDbxREQSSWrQscUYr5YbyEsLJnjJxfPtb+7REU4YlGAGXHRetx
HZtRt0A7ZnKkgMkxU79oRFe371LPQriXTWa9QzqEFTr5lBy0A2D666/ja+Kkt4sLsMevCvYBtPv6
zzTjLJZ74qkZ0taIcbbV8MzoOZ0OkQhySnAyPj4PtRxFywXTZzk9ZuOx07+V1fVABeU19od+dEC/
D8KH5SnN47RpUfGIxrt1uc+Nw0JLTza8tjUcLfL/tUDu/a7hTNpxwQcbyHyHnoe9ZoWTYqGNSrXT
jQC2VYAxRB4u66LoMrkQwsrCNoxTJDsjFm/GoFF+1NotBisvSxFoPB+fd9HcmlMKw290x64ADYYT
Czcd2P1c+mDc05UaTZsoC09a4MWyeXyN2Iz8lZyAjvtDlHLo++b2rB9cQJCZNa10VhDNc+lI+uhr
lM1YvAYFZzzdGv3kocHtyWbt0/HnopLKBuyzKyXjrRI9yxXoOZvCJop5qKL2c9sgdKMPg9FfWQNi
uGJ5wSb09dTFfttptY0tzqtcb+xkab41pZY6rd65pOwRiki901LAQg0/wvQ17isvjjJwpuT3vWHY
VZjbSt558Tw79TxCm6QaZY/JiSXp9fIX3nd5SBYM1nhUTH40d42rNlw6GUXVtD1Vzc9O17wO5Jxa
9rXvy6uEGMdK7z2plN2pKj+1LVYk9NcVLCKNEDJLpG6cgU3SSl4KBVF4BniG3Ovaz30qqCHvZpyA
oPvbhluceS1IEZVRi8CJojmep+lhrUN3BRSqIukP6JrfNGvz6fIV72cvZ5GcaVVDDcgTBpzuBMh/
hP2PYTz7l0Xsf8XzsXgMrpKMsqpGOJYasMXNBAwUyY3u6vY7ksFd/CyJgSYFV8ljMFrYmQ+phSGN
pbVp/o5U1f0ov7beAOgX861B2ReIYyfzNbqrBEZeYP0oZ3PrpAgXqsKVWCV2vqPqvoIumnPjROvq
XL5agb34gK3U5GuNMjOQ8YC1sWrPYZf4CvAalrVyk6IOLkv7h3zlt7J8gGWUojoFnNOvwD5DRWR+
7a/YjJuEWkjsSYYj2hbdH0/Z6A5ngK0pippJwVRittjpOy/heIgwE3n4NcoRPQkB+XZ9NJFNQyYK
TA6/hoWdPWpNKiTqwXgsHqIvQN3wLJegN4G+m4YEog/KoPhaXGlv1UFww7vtU6LLlmkygAR+CDTF
olmsDfiYFawrqTDN4fVAG4k8UKmYAEpQYJ6LPwL1phupXERcZOsYlVjScUnvJdJjEnvVICNtWht7
uLI+JyGb2ZLz3rt82l2LSjCUBRw5CkQGPqHplTw3CIKTjLhVfV0WnpoKpmr39Wcjg3uMMXZGwOWH
C22Ryutejt4Piteeab9XT55E2ejug9yI4yKfvFTzcWQjrUnxY5I/L/1b1B3L3CPF4+W723+LG0nc
N5uJDhbpFJe3hOj1ICKIgMIwKRj47D3dVw/WrfQmGiMX3ib3GpUBdMvagnSQZfbIsjG1njn1Veey
FhqqQwLntF9b3hySi4doGVNVW3HIfiydrIxtLV3dCFjz3XWX3OKa4+xeTwRS2c19iPk2QjlHr45D
pq/WCqEEYMFr62uR5V7+eiIRnKNXFnTKog49pbB8URoMfGaCCHy/BrM5BOfXTXmup5bB4UmH4gVw
J1dJoN6ZthQY6DaIptD2Tebvh8w7+FXuyrRnDp5VJrogCxhUnLh4Jbg13qcnoIlWgUSM7LPrbSMt
ryPLELSkRSI4c7FandalbN7CCE9xH9m9iLhN9IQ+uGyzinqLQqXlANxKL796T8tdixUyt3fKQIh/
vVvuOGsC77RjlS55GL/PUzG6j9w3Jzt/Ze7TRLkj/RG9Xtbt/bWajUDOSGSZROoh+VWQA23QEbsE
V/Or5ACI+NPiFj47ZyokdNuNus6pAk8fYE3GOkoznlREX7P4pyJrdi47WDqwLx9v12md5fBTRk2X
j4nEGDbWofxUAoxp0rNjuX66LGW/67sRw/nGmHarNZhQk8mZPMR32ALpD1VQ34FIyJ18NiE+lXb6
LES/2yVmZg2a/+Rc3BOgk4X1vx6SsQj5kv0MHcPWTzpS38JZ7qm32jG6D2zdHjw8gCftQHldiCfY
RNfMOdKkleQs0jDqwiAn8sGpXqrb2tcnu75aESeA3xuQZJErGtkQaBG/x9tSWQLfGqBR1wTJtexG
mWRnQ6CpT5e/726csLlk7o2QaJCWfoUDa6TrBCXrGiOoBwCgrdPxsiDRPXIeNI8mvR0nCFqwJ6rk
dtR7TSIIsnbN/+YwnMOsl1kOTQNpwVwjCaDHLq3sMrqmI/CaSGhn6l+DkLabO5csmxqg4UxNpQCl
VCw+Sh9bwEynCWjty2vJ710Tk2oM5GU9ZU7rLS7SH6GX4033B5ncXWpzL2eZApk95muiQ+GFR/1T
B1IvzVGvqCvKIzlf9EEcd63jWss9BksYx+sz6ltr6V5WDT6E/CCAi0KmeppnpQWJrKV/ruQ71Bpo
eFIzN0/uYuzUILqzBrvrbkIsQWbqtZEKEmUuR+fl8+BKlgywhgZEza6qg11UNb7LzesKfp6sfMg0
8iaN1f9muz8I5D5gKyVVM1UQmMSOKv2Qc6cd3wSXyrnbXzJUTWXEJLJl8FVJAyhlqYKZQ7ba+aJc
N0AdalzzDq17rPQsV6LQiw/0PsjjLIkB7Jdew4TQu6PQsakdIVntADZb+ZEvSgC4l/5BGHeBwzhq
emyww4UZwAC+F8mtIX9ZYr+Zr/TMoSIzyaNHfBDIvQGj6kkhmwxw41t5zTgJgeJ0Wt6Km/xrCB6A
6p6hRhhuGeiPnZAFnnm6TSLwS7imGTJgKFXN5MEj1Das5y5e2XsPgxqwwSt1MWhyzL3lYHwHBJ1A
dXYf/EYe+/mmT9SX1hR2VYuhnV8NvgPz+pljPbFc1Xykx/+1uvLhhJzyoHw0NxEgD0ABY56mAJjx
buL0Xncd2r0juSIoPz6q+SCP058FkwX6xCBgsDyOuCZ2sJTzXCC2AI7wKTsmnxiglFzY/yunzgfB
nB4NioSBRROmO28P5cigQD1MAV/+frsu6fz5eJg6Ofo/0q5rOW5kh34Rq5jDK+MEjXKw9MKyHJhz
5tff09Kuhm7R7L22X101ENgAGo1wzmTEgFWBJ/oA4pcnYERcRqzWCp1d05rQQbMu+b6sKsQw/qC4
9Z3+zH/nnxubbEEmmFpoB6yAahfMMMOwTRqYTui0OAFmFsB7sIgJuH83tLXLyMJi6UUN6JbwwWCV
wogtbHgf3dBs4H5FF+Bzgtv8VoZEtF4g1pXvW1zwtQVqNzUwFVtlFOHpgYJPX5i6FtuGD6o8IakF
NmluOZOAXyQWEPHgHQ0AhjNLNqsIxWusdXmaPTyx8PmJMW5pTqLwIg40od/o+Yg4oA6Bnc4Xyeym
xYiGzZ0+3W7b7G/MCVh8ii6qIk+zoft60E7AK5VIfVX1iLJNZSZeftRudYGsnH8lJGixF7Jo0NYN
6iyYCj1ZOSRtl7c43sxpgFuuTF+2VWMJoGLN3CtCPhMB3ewIyYln8Wcxfl+ifr8YyxjDS8ieuOI0
8iCsjxlTeXTf5B9D/PhEEhW0mlieyyTqMaKwJ0i51cP8GlRm/V76vhGftGf1kul265feWShl/TA5
XpkJ49lw0wJns/NCN33qD0AywrRj6G2f0bqPfwj7lMUnVaWNMXxciF+m9Jgok6kHntqojKt1PTSf
5VBnJc9VDpwPyMnipyBw074zJ+nrti7rXnuWQZ1WC8TjLpAgI0WrINIvalE2R+Ni5o89ax5iPemT
PmSp1OtYb/p2hAeR2Oh7qhW76rWP2WWSJ4D48vu2YgxDV8n/L8JRFRdVFusww1B/0I2fIHra/v11
bWSJDK1oko7K0a8ChHTKtLqBpxKIMEIv1pvtIdsH4PkNXGbOs2rgC2mULfht10xzQva2D8VtDqqV
0kn2vFuDDiKysyeGbqvPgYU0yirKsZDzkEir7RE8beQu0a8DULvEu9oadqwJglUjXIijvFfhFFns
yWsgH4VXLvky1eJlmO+4PnLihNU3Ygmj7ilO9YUWg8OS7Ze1nYKzu6o1W0idmVNNg1nHZEijJ3S6
xmhnZAQITAf/RPCGE2BgAbYJkwwaCASza5Dl2OEPoG2yiC1XXz3nj0r3qUQh1NOR0IQSahkyBh7t
0fBk0gSvBqmFGGK4Cz8bk6jgdB/PDWUC2TRS4EgYd1LHmkZbjbkLMVTs6IPQqLse3qbOu467HaTr
qdwnHOP2JYb2KYdZSKGCRtModd6osPvcn26iMn4IZvmlJgBrQgkw1Es5Y40Sr4apD4k6T3laro3p
HIzQi6t3AYbSWOn9thXoPO1afg4sBhH2997kaP/pQLOOZ9vMUVX71QrSUo75goiJq9AZ1cM8OXwJ
tofMyjh7Ozgxvhg9IJ8XQjMK2O+3Y6OwEswFTTqr0bVtBliW+FWbmM/rLCcpzFBiE/gqBhptE5ox
xmeqU9V/39aHIYyGlk67OdCnUYbNaXv0182seFUU0dIFLGmNxyT/si2OcVJvJNULf40ioRF8DeLq
Lneq8HuU1E6oJt+6MsgBEp7+yfPybN8SdUv2fF0DIAGcIDVoOCcv0fYdc/yAYeN0TtvmQzCB5odU
PECP7iRAWDfA4wsgo1e8ttChEs32h2HP1+GB+cLcvil1OttNshTM5Q2R/aVDFpAcANe9k4GFw9vq
f4B2X4u2uiAqkiYqoPNRKXeuCh7jjykePtXsYOXZnAXZjDWD4WJrJrmUQnlzHPUTr81I1GTggRiV
pcQ73XhMlNwTfdOvI4ZJrp3fQhyNeKUk0xBLPV7p04FQXKj71sGSIhPwhCWG8mpFD6om03Ehil69
7zyM2r9diEwYg7VUbakOdSPG1VQZnEy+nie54JnAbehGGMJpL8ODgmH+2dz2aIZN0OurfTKLc0gu
LR376Fp8n6mvesY4orWosdSJBOVF1MBOniYJEyIiP/m34oAdRynFcn8bP6nqqzpEjGoGSxwVNcQi
LCK1Ri1B9y9AYW8Z2o3fVuYcnubJ2/56q/0RXTBk7AMQVkv6oeA3A18rJNedgI1QgWhN3/eWfiF5
nAdwBJRot+Wtq3YWR6kmzMGgtiPyJb/Sj1UtW0IrmvkYXqpKaxl9Y22Lo1F+3p7jS/Woh0NYh3Ev
DfiUhG1Kukjtfkfoq/X7Gcjc6AHV1s/wRc5MFgAvjQxIC6a9WuWzUSxyuEEJwnjZIn0nfxfnpnCb
fXmHqowdhTPVy3hv7AKblXmvJYwLvWmIuzKc/bgigTmLnqZhLyRfqughQsjc/r5r2chSDOXsQVm3
s5BAy0L5UvNgyskY70waq4/+jjT2lCbn4gDgRthnbU643IqTrFgYUr/TryubjPYVe98kO0pkOR7E
4E/DjgWYtx5hPmyW7g5hlGkG2yH+hFK+LfUXTjgMOkPN1bbe4kPSy6NaPvIxx+MSeMcMieGG4RO5
SLHXhj2o2JoZeRfjw4I77NeY1ua4SzkgrdqdNbqAm3nnZtUPhChCL81vgReDtwWs8hgHecgP/2GN
cNtGDZ561Aw+CEWDGjbaOJJbAioZ3M3P6Lx9407ZNbaebWkwlXsmFun69f7vcRo8FczLoOhr8OES
nrYpNWULqPOA/UqP9XFwZ9C0gVrvKGPKBo1Gd9tbVoOfKKLxLWAeF4vj1Cef9WEWSa9I64BHfZHJ
Tpl4aWa1LAY1lqBPZ9tISZ02ih1VVksIePbqCASf8LZTJWdbp9VDXOhEHaKBLK2YBxTewUqYBd9j
jJpwt8Vkb0tZjTMLKdSZ1XyOETI/V2zJTy1j0jBUGLT32zJW3Xwhg7qa2rlBE4HgL2k1WoaJo8il
hS2fvxNCPucik9C6rAzLFp8rqV3RsJKON9OClRKxvhYxj4WQcgpTP9Ni1ObEH5OINw7rVqUmnt+D
8vlT0cW/Iiq5JEvwCPVPJGXlQJZKAJ/FIyubXE1aF4KozyVxUVMj1SJJa7snbFX/DQyQcfR022qK
kq4vgKZH2N/45BtXRqRN9Vcnr5GwtDgUgcvquOnwdik7s29DU/F/hP8nf9inc6FeLvLQZE0+o1Vb
AQS7BqeMWf+fdHW0CLqiJyjKOIcKKQ6oZpYAO+LCYKW/9H75JxlUnIwwPjRpAUBMhoNoYZbrkHnf
CGQS275WZxX0s4HRQBh+IovZPCMkt9gVmw48WUMGXhcpVOL6I9dB5na7AFVm5Ba7bYtghE46tanG
OReKBLL9DuzaoSGBvaBSvTiKwONS/H9Dsv98UxUD+4KsAKmfMo3IHyCOVBD7/CqXX8aJ8fvrynz8
Pl2XkpSoSLQUdpHM+yy6S2InDG+qYv8nn+wshbKMWhe5USJ3d5u4aWzqemUrbWZGdcA4m9UeK+mu
/vO93vofC3eVDd/HXjMeKhV2w93JEb8CbtLinOlaOfHX4yF6VnfGs8BoH65H7rNU6jaVq7ELDVKd
r3yAn8qiExisttr6k2ihGXWX9nmFRcUKL774gj+oJ8nlrkinXr82rMlNLuLLEeBalQseOW/78Naj
7Fk56oIN2iAIlBHXkpz8DGJrLL2UtXy4nvicRVD3Bc+lepWSIJvk11pyMYz3RpJYInZ1ZenPLsEP
WXTtiy9BVpfO5NI4gFwK/TzOkTzjkLksfMbVhPV8YBJ1c+CB1YvVCEG17vUNGE9as4mc1H+qOrTg
WdCXDEemoWPnPlF7dYDh96PLieDF+y7oljzfbtvC+sX+8fFo4NgYm1R1S0ZBOcPThcKs9ckELJDc
nlA/2gtgLtEY58VwLZoOPQVzcVmEJHTkz7L2VRUYmd36ix8br4rEg/gSyLu/XvCZWEeJMsJ3w72O
/m55FTj5a3ZS998I82TuPIePhFoo9aAai4hl1bUWsqnozs+yhqwSslX/Oo3BdRm/NFLE+IL0Zs/7
HXKWQo/Rt4E6jrNcIoUpgJoTY1i/eq4E1Swa7Pd4weS2qddgXnnbVFZHKvSFWCroy2IOmgri1DIq
l+BfxcaZmYMZymyd7Dsg163UqmLr/91j+qQt9YjSujRXwwhiRzykJtVUhMKqeNEUkoOSOMMwmRo6
Y6xh9vVKgMyDy5uXBZgSdZRTrI5yJiGHU65ES3SM1+Cg2h2WtUCA6cTY0GGxyK228vUPiQJPsv3F
VTcKZYIGOyRyOx3oOvOuxnLYbPGY12JDVK4XHBfSqNOMxnJqNfJ2IEsSZPY1vlP3NeH4tKM7A9WI
P7GehTzqGFOwenagIXwfuygeFbfyggfV5l5UG2v5F/yueBUZ9dv1BFaWAPbFAyZRpq+GRMN45uQj
s+sBkCQ6sasgsQQpByFOG1l0aasBeyGMijtjpbe1ECCUBrxs9+HsGtPoTK1+0urujvExyceiO8T6
QhZlnFnf5nOU/ZMuI2tAOZWsEouYYRl2zM6WtC2NviTqROXytoW00lY93sltsoOuOY1NBqXZyLbr
8e2s3af6jJSWHdeHeG0mjVkMV5GGab6dqv9ouNNcX5TZoRxYoy2rkXshkzLPOpD5WeqRjVVFfTfH
gGIZgn2ZPm4fHEMKvSITt6WizzLJZtFNwCgtdk47nsXlsJ5ZnnWhKe4yFRSIFSli9oDeIyw4mJ0x
5512WQdm9qW5yJ3pyAemeJp2MyNxXs0nFqKpxE+MtdJPJZLUci4f34m9MxTXeqI5ETA3i3EyhZBF
L8oSSVVZcmEogKkKkX5xK6U//NxLtZuYf8iym1C5FmrWhOlqArNQ8ZOfa76qavAGNRBv1Zi3q67d
b5sJSwTl3hKXx3LXCVBJyG3DUL0oYqHN/ua2+YiNNE2doYcJCvowReDLkkbkuDNuW3O02kfebk+s
yYx1w1d17AyCsOhTgzouG12uOzQoqhREJul0yJA5jE3DQEpc/3BnMdTZNKM2qKGMGDwGpYVXgR2H
rPoRSwR1NnOYpmlO8vJRdqbwG6/fb5/9by6tDx3oaJsWXRFVDT7VYPW2cJEDZCvy5kO4E5+63bYs
xqnQgXaOc3lQYrgO6O84k1MAs1HpnCVxobktaD0pl89KUeFVHJpklsKJ5I7+QdoFL6S+k51685t6
1T6S6bPcUh0faNy5xZojXA8QZ9nkelvkVXyJuD6SMW3+0O/jK8A/AvONnb+tvnkXKhLDWYjBes8/
C1JTfZvLWH9ObyQQ8c13A4vZ6Te+e9aInOtCVNWpRQw0QpJLEbox5QiQwL10Q4AEuicWBvx6XnMW
RoV0WcnVVBxgj5pgyrktR0cjcMf/k67nPctffD0qik/Yt581EVX/DruWCehKK1NkIYgxvxsVHkZt
rsaCUKWmFwBzOiWnBp0m0QUSLjahWOOkjEBBL1XzWL/i2xwaBVJzSBOwHUx/tPUELNt/wyo9y8x1
tQgkK7RE1ZfRJplZdGifJM+/Io+G5Gow/yxNOgukjFxOyz7QMrzepWqPBCmKMdVsb8cKVgBUKetW
i9rwJYn0ecdLTT1F0lOnXwjiPkQXVLRabK8Yz37JSKkZoVClrLzvch6AUajL1uUpl8y6bIEd9vSX
mlFGPigR4H2BX2G3AXBHZBCyzZfghR2BkxofWGU+5nekrD3NGzHzeZzVnEqWMYDxcWotXwPSLo6x
MRNtNo3kadKTHHTBp4Y5dPebPP5sLNRVqUl9q80jDlIxZ1cCXCzpG4HRacdSlXF49JCHBiBAngvx
XZsuRTfErptXlVXyZsmg3sv4jkEZkRGLQZLNImnNQQ12xuz/Sf3+7NEadVH2Gj/wSo7sMuJvGqBs
5aPZlKZaM9aHWaGQHteKgiLGWgeMo8fJEL7M0FX3mkMKHK2nsd7G67WjD7WMt/9f3FhJ2dVdHMIU
yNKFcaXh9T9h2+6hcasLsrdo3Ice953hbuvv1n/tz3jrLSyE+nKqY/IdJQ5yTZJNj7ABWjEhxiKz
FKEn3TMErvZjF1pS/h0rvtBEZI0lml9SgAKOdzL/Q+EOc/e19x8L2YpHjyFy2yyNt7fgQkc+w7yK
CMYIVDtLUDwW3iSZYWuGQGubwMMbOhlvjpLJGlv5Tfno/G0p3zYCAZVcHTVI+fS2z38IbSEz/bci
BKgDB5P17GJEE+MtxVxoqs0cx/k5OU3ZbY1d4Y8msNDj9oc/HRXpMkWrBK3C7c+7nfsYb+uOC5l5
p0VtT26FIMd2lWILnGIqul2ysh9iGJ/rOR9f821IaCEnkbGUFIV48FWjbHOh6qSRb2UB7vCscHs5
/atnEmCgfs0f0VeoBYOwqlVS4nRV5Wq9zAgwJBHY0oj8/0IjWU54Pc9wWsbsxsWhrR7+7mSIXyx+
fwLSSNrV+P3kZ9p4SrYXwFbJnFEi0XZLCyor8MNmELMQ3jVYOtkrP9TH1NQIQBMZi9r/nUpU9CjS
IO8yopKWuEG4H6V9WlyrQcmwaZbrGpRSQhDm/UCWLwlrZYjiYeBEnmoTgKvMDWzWqOlvylEfxm1Q
eolV1/U+SQPa1MIaw3WJvTF+H3j5VeZplt+ZBuSC9QmQkr6z/UnX28fniGxQOdDQ67Kh5Ljm+JsR
45+hFR2ChzK25Kt3lnLjOfTSC2bPgmE3dPOA52a95yIkC70b3Q4esE7saD9bNS4esFk+byu5FaQM
Hv9+dQUED3HGmDz6BsOxVPcgLzFbYVdXOcNwWHKoDKjrRrnyGwVRQymOYXpRhaKbas9d9f9B4rw/
BbFbAIuRVBX06r/qUyVKFDcKXmmK9C0L3Hx8jJNdgNFA3uPqxORCRs1y9QpdyKNsBPRPfjRNOCzU
jELtOTce68rePqL1XPwsg660YDhPy9MJPvAO4zrufLd4ozbFfri1LYuhjkx9PjnM43rqYPJhfGEA
j0L8niaMxsrqdaVqiiDqAGvh6XWxVNSSqiNQJnMtO1n/lVP1A+8ftOkQ64/b2jBEidTh8GIalVIN
UUO6E4ZHGTVzRI/5KIQMQauf7ayTRHmRbySdWHS46g3J8RNH7e8yhTVdvBoWzjJoUBSQJgHGtkeE
F65am6xDlq+yqXizkwGFhbUUxFCIhtTIlQitzc5H6CsLa5rQKa5u2pThO+vvCJQgDBG8pYKuUEGB
48NAyN4Gt9zyot/PuwS0cEA/dchG8B+ptBBGvu/i0tfGRM0rsjsT9A9gk7SS3vJbVlFl9bsthFDJ
kQhutrDQYAiD2oAGmzc5qTeD8du2XTM/HJUgGXOoATsWYjJAkYgPAXBjAKwK9tkwxLRHdRh5L+Bs
HdiGcsJ6jq0mZ2cV6RmMQg9nbaoguyhis5RefFaFksSYT3nTQgB1UFFvaJ1Gwl2hHPnk2iieJsWR
O1Yt/i3/3pJDn5UgaNOYINaR7eLuJF0QDpjIqr6EqILl2IAjKNngQP5RfsPswJH5B7A+JHWIgzzw
YTSVSNnkW9m4LVSPYSXkGbWhIP1M7wcZ1E+kEyRj8HY6BQey2gei+2flBUzjTn+Ck+1rT4vNyRP+
0rfpCKJUZRTHMmoRjTPapMvs7xWnea8Q7FVnW1WGydCzzHncodkly8gugtEcRMX0i70y70bmRCGx
ia1PSv6QRRABk1ekNA1sprXnwtRcAEMeJ/d9LCA+BDbz4boa9c/OYJCAsxA4qxo4U0oIBPzPT8WN
DpEHmlM8znMncpnSVi/MhTRKvVzIlQkA3e/ZPRzjjfZK2fW78UDy+9TjUe/+D3JZWpK/a6Eln4V8
LQrQklhqi6ErXATYmwGcMoYtWA8zhrF8SuuL3Bd4Dsaipj8bowHaUGGG4mjN48Qwy20PN97C+EKt
IUoQJ3En2PV81+VfA445aLSuC9YadWQGPPgLfv1wYukXU1EiKVACu97jcXQcWpu/JtiIgVVg/jOw
ACvoCd//xN/OYqnzSnmp6zQJd2lWu9P8kMunWD5wxe22lPXHpv4hhq7aJOmoD2GHGNK6IIl3wIn8
w3Daw2DzdnPV7XhGZrpeaFzIo8y/ncJ/kIvAw1HukaEelWNsl0/AI47u9d30WlwFzJSbcYQSdd2F
QqdPcqhhBDU41Q1y0yefOw4NSzeSS32KXKidqrIq64BHpMX4hTD6Ai4DMtfRgKfLv48uyDXA7wLm
xuaqPy+EUVcrUDviJiPCCPi7SNbZbzH/hvI9AGsfWCP4q162EEb5QJ9rYhRo8AGe3wvilcgac10F
z9MXAqgYHAVyPDVgakF0Gm1AAu95i4DlJABWLgqTd0mltNsRSLJt+1+1jIVcyhzlSStypUVUjEA7
nnqZYhnJXmQF/fUlwoUYypnnokCdI8CTOahCc8ySnZBWZjtJx6YwPDnhKkubfHeoRlC9ZF90Pbdm
cJZgib46TUpm9kJuZulkluldJ0eWUADAV/D1XR1MV2LJosIg3/r3Zqy+hYxFSMXIO69OpEouZ14v
76V5P3K77c/+5nFbMiiD4mU/jZsQ04bhXvU0EwNQnuxUlm8rb/cSibOh++1bsS/c3EtMCSZACEIj
VzTvfgb2HyU3H+ej0u2PURyDeCDAgxpu/tFrUe/SXkdWG2zb2LDx9+tNMoMoJgWSC7Lu3MlRV+sw
Oc49ZvH99sddL2YstKGsTZR9IMmTsZHewOgQ2dEhUL5Y/N2FDsuBWMZCvf8xVKloBunhhP4Vl2BZ
4bERGVc8Q8QbQfjCHmPwbhvgP8ea/3wSk8s5au1IFa3tj8Y4G5E6mygdayQSqCSn4dcp2ImgkCww
VcwytPVn5flsROpsuCgbmoj09RqneST9IHFPlocx8GL+B6YgllbU6eSqonQ9KZqMruAS5IIB6zkx
aPTMb7MVPSsHxQoPLJBJpo5U7yksDWECDNNbQv02uhy6hpNckM5l4LKmX98ylI1QQheG+L7Wqq7A
RUgGpcOLHnMWDWA7iJ71k3aKv4JGHLUOflcd2ZjqJE5tCKeRVoJ8mIxoRm3XKPdqeBSZw6Is9VTq
Y9YDZ8yoVhP1qsfqEt2AgwEAGd/uTf7bZJN9Uh5YnSCacQ07etr2CtZR0p37uOerKiHmml9IhYl0
Dfwy/U/dBJGlx7ZXhrnSaAx8luqgCcMkWKjMdu+j9uZ/BTewp9b+flsx4mYb5/apjT+LDZb/IElO
nT68yLUbDrPMXW5qqPBsi2J+QypTC6S4zCQfL77BElzeeYOXdQxQHBMIQBZJz7ZBanS/GQWJTA/J
M92o9rL/U+0ZRYftI9LeFkUXwTjog3gceygjBV+nwstrzRp8U+lZVXKGHvS7BNguc50S2AVDtGb+
VUj+Tg+6c1yXzZxm5IWqp9eNmntGeGqCemf0rNNfV0RBFV4FF5Sh0/7LG32QGm/+y1vVJdmODG3D
AW66WYG7N7liQaqsm/aHQIP/NcuYyq7Lyxm55hi/tOBI5I9lGZtpcp2xCGXIn/7Zic6SqNqyNI5F
1TRI4t4p5BPvfeucNZu8vupjnOVQ7yolSHzNKBFkyXAK3lWHEcTWmtM6vlmbILD2NGYPdt3MzyIp
n83V1u8HAxfnGyAeipY5urCtZnbPpBBVudOxOXaxxTo7hrHQfDZDqY4+58NYouwwdLv6z6z+rBZJ
tRbeq4+i1ufkxLL4oHVeqR20LDQn1p3MMgzydRdi+gLrGjJ5m6aD6tRRvYvVyezq+Qtgf01JH64a
+bbQWJj263niWTkqtaoVqemjhhRqxMdYkE6tdhnPJePlwhJCZVSaHsaFUMAWRd1Su+cwsgLj+Y8u
jLMiVMgYFF8U4xGvkeJnbxM8h/pJxmqbb/aXictswW/GC+1Te1pttKZRY/QCejAB5HZ+p8RYc86s
AFCgxs/MTuz4Yb7Wb1lGsl56+tetUTygPuU8d10ZCVCT26V7/ZBh3JK/7ne9VezVXXLHSks3Tw7i
qK8az+MQDgSuDtSVZilf+WFqgrza3D68zcCh8Z+2A/BQKQICUluHts/dGpqVa5aRMwaEWN+O7leL
+SAiTkAZDL5gwBzjetptucOi5z2PAwvuWM88mjnpvel/PiyZisF+iM3IFAuXEMiDcbSxssvyWgBf
UmaNN3hLXGuW+h0FXotk26iJ3umOehJYcZn1damwPI9hO41kTUXJnvMKtFvjpS9cGy0r+2DJIXF6
EcD0ugVwiwZtkXnaHXoBdbVXSleqdYa5MJyPBgk3DDHptbe1tvROKZ2wc1r5qhmPYP5lSFrvxS1O
kArKbZYWfNKiKjAd8vvJqpzJAmvkG6JBhbeSXJoZqDFqs3zRd+nhP2y0sj4qFZ/LYvgHL7JyOme2
c7sATgQB4FTtxg5vIdkCuChraus36fc/0RQeSYUZOcvKzCc4DooJMios0nY/wMiBKTHxojyxggzz
K1NRpp3FiBsLSON2KoAdE4dQ1ihPGZZpNWe0hgu0eE4lFobJSkPs/QlQsH4+ZHrhAO9PCM9mXB1d
dOTn8Kos/wg8ZyGC8o2w5ZR0TFGqjQOHm27DzJ5YICwMr6A3DHQtLGc1RXJeN44+ov6rvEaDK+iP
c+Jth+vt3BLMuJRXqH0u+tmI+7wGIQD6OlYAmDPxHjTg4FDG3tMVK5Ky7FGl3ABz3bqSjEiOAsGr
Bzfx0fmov5XBRS8cstLGA9hU873aHZSM2csiUfq3GTu0pXwh1ebWn3V0eyownRAM3MTzL947xsae
ZYvrg4ULS6F8QTIGLfENfFu+RK8nc4TWLHdAerDHg4Hm44iCJOmc9agKsbg/iCIbitJ1iyJM+AFo
iEikuesuCrHaeokx5H7Y650lRIxZWkZmQZctZG7g85RsBHZpAzJsL5iv+cjZNtTNl4HG0wWLsui0
kBPhElMB5IobnZWNMVyOHmQYRlXgQlnFjTdeqco9pxy49DKdr7DfsK0I62NR4WMaVTk0yMuqHy9H
7VAU96nOyI5Y34r8CYvbWyllnfMJxhKp4/dPBcu4WCpQMWOa4xrAgfj9bBBtjje1rLDkZr/9nbaV
EOjseCr5kEOdBW+o4DZQbSP/sf3720oIdDqcFfIMljf8fpDstOl2qHcFsxHBkEEnw4GaGpKRo1gU
7+eL6RTboatckskY1a09ZY/73sae+7Ze24Ys0Jlx1qS8mFeo7KXRS99j6yE3OXBWdYlupi/borYT
GoHOiVUhBMo1CTJDIzl1q8b2kKmNKQPckatKxtQtSxiV+hp8nUUtsYdCt5Jw34q7UPTC+cvfqUR5
55wPJcaKEAYatbS6xG4rzSx8sDW8bsth3ILAWvvVRyup6sKJDNMTwGH9gC1qvCSkExp+dnmqGAH6
Nx2xf3NAgZ65TcA4NUYiKSzvwe2Nh2a+K/YxWFHY40S/KdifZVH3u9ga/qCQVeoaUHloZbuiVV80
l9KusPjYfJtjMntP/6JY/C59YPUYWS5H3fBzpYJGnEA09uEtH19rwY0wMDyMZYnUtZ4CglrjeFhi
FR/G735zpWJwKnK3DWRbD6DA/mofmGzwK7WAIY6YVJq/GMKhZI0ur8+ifOQnIt3oroderlpAvdo1
UPnLe8Jfk1kGIDqDvW5qB2ToLgvWgaUW7V9xH3VNC5FVamvKyyTa4l8+eES6mZ1xvNy1KmQQqOLB
i5z6Sb/X8DQPd/Ghlu3tg1pf4Vh8RWIui9s2CutWjAOIU09kChHtfAxucMjvgDi9kw4EGTJg8scy
4of4NlCykDpUfq76pYY63I3vgd3RyyzfVU0QD/wHPgVG/BDprkqTAtBGVaCjNB7n5mn2j7ncm1m4
K4vJnANLlV/E9E7QQ8bH3XY1ke62RJMPyuoAWurapRie/H6fGndSy/A1xiNIpJst0wQq0BCR4w3c
nncKLAsal4HX2MF14eKZemLNE7GMhm6/xH7RgB0XEgcruiTcp/o+dvNX2Y4fZzy8ZByidN38XW4g
0mt8Uzliwk9CPsLlgWVkXzoBSwROOt+0zwynIH78+/eHSG/wjXjicUIP/WRveFSt+Zh56ZG77FzD
C6w0MVMPvMPbMtdEGjxQ9XRFlkWeHtDlQk7h5Bp3nFhcjvEVJ7K2I9aMcSmAcnSpHRLwqQI8L3jM
Lg23OYkgN/Vt6bZGemULVm0OOmE3/RNc+aVc6kL1exlE3xoKDlF+bMZ95H81WPudq+FkKYO6NouJ
qwKhQdOM7NxBkuN/z8HBS0b3fCdiJD9rl8BSGHWBKjFgCDmSoirqrdZc1+A0Zg3UbYv4hFXXxVLV
zAaK+oNRmlLyhY8eJpFVUlytQp8VAYjbr6FfMEAtLBGsyMrxb7Bccoy86G11j0wjBDarO7b2qF+K
o3KCboqbJCEcHEJ5KoDuqQLns/8upLscdGn9xPAnhk0INO5+ntRjI0ewO0EwSwykJZVZamYDNgXc
aXecXTxtO/DqEORSP+LhizstCuoiBOos+ZzaHTFD8mAiI+LgGSD3N2/jKv0WHljpMcNYPiUMkabJ
Iek39aJd1qop5JlZszhRWZ+Tnn6L+7GPVICPoc8kuASesn0td4rX7MlQf8JwMeJCdPxdfEo6PQgw
bNmVBFOITLsLuwitaTQmPFZrejskYr/q1xMTMqPoY9Lo5OdDFIEMhi/NXrwTZlbOzToiKmSIbT4Z
oY603hB/iqOemnnVmvFksJarWDb4adhOT/0RiQ5iU/A1QpiXrxvhOmleq/G+mqy6M8viEjg5am1g
394p+5u2fY2j64B1m7HMhR7I66tOa8hfggwB5nJPxtIrW/6CDoWVyyYLDGg1BVoYDD2XVwHSqxuA
fowuweAMX5ODvsc044GAUYRHdNRsFhQtK3jSm5OiHk4FdmpgO97gtEiBQjt/xRaW2exlTKqJrOSH
YUIiZUJ9FXJqC5YfO5MPyFyVKTd9DBNvx7DtJESgK/fz0GV6SjLJOHNF8bJi3Wtr1Z3FMdHlej6f
pj4heWOeuFFtdWPv+fFLHqmASmAUXBghhK7T5zIm/AcFrZRcl4G7FpmRJLpcafnKlc/1Zp8GcMKI
dekw7ji6Qi+DN1pTuzc77D84VeOr8km67MEORqBRcI9L1/ztHxHYL78tZSCjhDI230A0GbMZr0cA
z2hHAdhlHWfy+2yf34oYIzKN/d/dP582bPQ00OVy0vHKSUxVcnmCT7L/G7v89CauAz/qOxEPqTEc
bK7PAOt5ty1h+yoQ6etNbuKsDxqiRHMhJmanPabpMVMY9rHtX5+evWM1grA1Jw/C2lWLh1ZljMVt
B4lPD12973h9JFoI9S7DwO58GmPGmsyqCprMizov8pjgo+bTlEbjBlFHHjChW1KGZqv0jI+0HloX
Iui8lJdzLAijzUW49UqUI5TEbBSrsUcHgLh7QAunf3RBL0SKv2YCYyc2ftCBeYfDvKJoZYJbj7tt
C2OqRZWAMy2RtF7CjUEwoWRnPvY7zcl3pJyeIDKZrFf6qkkvdKLy0SYM6rpEXmwL2o4Pd1p0E2Gd
NfjOUIslhtjkIu0N4wHYC1AMcUdys1155++DH2gSWu1XEVjeuaXY6UlkTYsxvyb5sxZi4zkfjYYA
bJO5AABsm41XWNh9A9yJaIc3rFSRZfbUK7ZNshIouLhONLW+11XEbzVlXL7rydviwKh0dNZCvzRq
lJ7JQnB0TEm/BUCXJulmo9xsBnbqGLaClWTGERLr/pRunwXTYLVqUAl9XeAFMR3e6+vvtTgikz0l
vhqjFsIo7x6TKeBnMrAWFYObpo3bgykAEPHOtlKMA1Mpj47bXjdK8hqT+4d2+B6Jt9u/v1pUNBZ6
UO7cFT1IJRO4c7wf7X9xfgCU5NQnnaEL65NRnhwCKkQpRRhGqO38/5H2Xc2R40qzv4gRNKB7pe9W
d8uP0QtjNIbee/76m9Dst+JA3MbdPW8bZ06oGiBQVajKyhyDoT7/N/KM7XLob9jcp1hb0rps6SsS
k6SA93hU6aMEmWvpZre8lIH3cZjLu1STSSRqjFRJYDS9B84b5/r34bglNv8rJr1tM8r5RUZHV06J
chHqS84rn/OsMFe2r9dZwiwYsAPdSyZMlqJGbpVml6XApOD1BXEOgcF4oLInKYbA0XkXlBjKFxdD
fx0WTuudZ4NZTmgWSZGI8OWxUnwia/mkJJCHgsDW9aXswqw2h41F1S9Jsg4lwVqgHNBi2lY+zo5m
Jy5odv0aERFszLerrdggpaEMEwEPxUPXccXhsSB7s4e8RyLAfl5jjtORxfth+ioa36rsIaxfry+W
c0RMxt+pdVYKMu2iN1DUEOyqH60epAgxD7q6i9fZbKop/3mDw14fozVGRJR98zS9jWdXvpTa0Vk8
5J+zA2Vl1g/yQ/yTJ8PKuc4m4wpBd6K3PaUB07qHUL/NM85d5v19+u8b39QkA+kJtFMcFXiDNpqs
mOdheQeC8X5tkkdFRQelisXVJqSAjyKmEhR1tWrM7+sP148EJ9KrhNkwsQjzdaRjOMknw58uxX14
qG/kJ6Qvbv5QvkROg1nP0p7/y/Pg75CFPsOf+0iWQTdWypvWoe+lzXa8CuiCcS737ht/Y4TZSk2o
5CVDo8NZjEehcfMqs1PxXNcPUfz1+jZe/2gqCwvoFlMNBQoUCrNHCE5aTRIMQ+NBT6yGuNLAOYTX
faNKGP8rj6UwFbEG3mTlVy7Yef0JKnbXF3T9nKss1rUQBjPqEixIWi9G9TQ1nL+/XybbfBumRlC0
MqkaCqSQMacvIGWuPcokMnmUDKNDUZyHxOYcBlZLSdSjJtfesFzh2UQmi7FZzSZKZIXcbgZn81iq
rHBpDF2ia6ODEIVLiy7FObF7lwCtZFzMr7wkhrObGssMmKpqlEcjUozOHRNMVzY+OFqLk/gIcLKz
BNWN8MRDB9AP9M+BS2NbNrMorSSm07JUJIqOhg8eKGC4jM/Xb5bGqiavwO9CZwKhROtPTXJAlJyG
c1r8EjEPxFNJ4CTSGtuoUaU+xu3FmgzzTh4cqN5Gq5/UFzn5NL5o8oVkqlXw8HnXb7PGyiObi5SI
y4gVIqXW20f0ovSR13GlAffax2I8YdgRsV4r2IiGhyr9ORhflvJbmh1K9S7VKov0l9A8h6knid51
P8I7JTQl2cRLsVPJRIa3TIBSMcxBdOgOEC8IrpvZ30MdsFLTJDrqQX+aacYylPMQHbZy+mwYkaVo
Vslr7TI2iCIZso4AKammrhD85582CpD6NKaWyE5VuOLik+RZHw7Xl8FG4w82mO2K5jJRxtCQMAjZ
Hozz4rZfE2AotNOMcU9Qilrge/BJZyUeLw/lrY6JKXOsqn085LKjduldriy3UrYeqzrmsJ4zrvHD
Aul135wHEBF1Riu3MjDrT5P0oxxdzg7SHHZz0j8YYOLKDClh8ESZ0lv7hQ5pzIF8ED3FXQIeLJ2J
KKwpVpnXCJehGlJsWS3dqeFNW91Fub2IR8jWcRbF2TWDSdyjDtzUJkX6U2FUzZZuUkRJnzaQ45vx
jBztM69Dzur0flgcc6PqUIjKmPLRgXDvRr2NAv2zcbecYyez9XvzaL7UiNOZA0R8+VPhJIeMz/9g
m8lJ4ayGtehSGXBYFJxyzSU56nc9oGDAIFAeAavuu1fOHnMOjkG/weZkFlKWiWnayQjaWCwwlhhc
BHqvtapbXpWLd3AYTwKsr5gptD+ShO5U4uxYY/tYCS9x/Pg/Lor1J1OYxWva4XV5ag9qAHpiC6xE
GEdJHB5TG9tn/fDVGA+it+ugSXMjv9UM1beBJR0YjjeuaS47Adca40gK6JNkZYEc+LeqIYpEDsg7
T80hBxeC8O+KER+WxjiVNiHyWGiljIlPTPdkg60lmFY0OMf+Dct1xXextYBlIfpoNtjBSH7qSeyX
ZfmQlGBiNCN30nrZklfRCjXRntvebYTVHdsnQYteRsG8hHpiEaJHVjevAF3ooy+nZRDKkRMnYM9f
olC3xnVoLc4Joyfo2m9mXNNaqwqAqAjwFB9hvJQn40h5KTI7O4mH9age05v0yC2BM2kF+0HYAsMc
EylaF5xrWSyDYkoCUUVdXwLf9wwxVtL+CMXVkzCkaLXiZ01ULaNOb6O0dmIDKupg5hhDNVhUybTK
9T4puk8kHxyhUPxB6EHX07R2E46uIVaBSMaTLr5A6sxZSHSTK81T2EuY4RxvBjO3TV1w1OlZ74B2
0cLBycIfda6epmjyjVC4KIl5k4eTU6uP2YCGPGYH8JGtWdIOUHbqnOsfYzeGawCP6BAwAIiKcWGG
gUEpLRJlxwyP3RS08+1afbtughVn+L3zGxuM75JFY+2kPpKd/ntR3PWlLUC32nzKyHejPHfGV7Hh
RXTq7T+csI1FxoeNTVTMQ6NI9KYvFiVTLmz5LgUPgEPfU+HDyrmH7DPgwxoZT0ZAChUt0IB2emgZ
EuXrDEgY6W8V6Unr/GR4MqOgVlJr4o1O7d6lzUoZn9aIRVuhHggotxnZreDIDdDjwl0dPlz/iLvx
dWOHcWckioUVHUDJyervYTrYfQ0IEOowNYAIJLQEHoaKt6EsLLiSzSoxcyyMQnBoUhYdo5Po0WSW
12pkAcHsx2MBwTlRkcGGmoQwFPog0nULuw4U3SLO4lHMT/oyBPNk8b4d+wT/YJdJmBKjyFLos8jA
3C10rt2CwrsTfpUu5Sf1WOERvoi8tJBzM1hssICxLtOsMlAoYdw0/gru15vsVBwUu7Xbc+TxKigc
9/I22b/JkNBdMMKWiuzqEOjSmgKwySJYjH/5Hv6wkYyHmYWlM+UEwbaOn6fsJicr3nLcGo2451Xe
X3NsoTg0myjP2gF3XHGz1FfxH0JlJf2Nkh2l5NJHh6w4XL92vKDFuOdB0MFL2dKU5Rj61TE8DF5y
l3PlwHhmmP2DJMDcdA1iozo/Ns1LifQ5/L5o/qI9zNJjE3PQTbvOZLORjHsuxnHJchndzVqU7HG4
kcMfS3SJUbMeoVD8b+Wsfp+OjTnGN+volYhjiFc4HfeKQM7WnMPTaiNRPy5cpe5dh7wxxjhknUja
GEW403l3XJAAxN9nCGKonHjDeQ6wGiKlBsmUKoR3jI2gab5pUgNQ0V0O5bFs4b1ydl3G3ytS2EKh
mIiDQQxs33Jc3BW+mLLb6Q+KXz01t6XNcxn0SH+I3RtzTHY4FMLSyvRrNWsKjg3hDnHnx/VbteuV
NiYYv2v0dRZXdSU76zJbmqnYg9S7hlx6182wPS3m4IG1FEvdeL8imfKaaKhcpAfZrqzSK3xUWj0w
L9oQUn0RPQy43BaPdvOZY5gu4NoeMm6j68TxjQ0YI4fogjpo2AHsLNnw+iAj5PXPeLvJOA8hzYRh
MFC6VqLGywna4cLkYdzF/R8XxXgNLY+nRZOwm4vfQk1CutGcAtf4TU3ivwWuzRFhfEbfRkqZinC8
s+h10qkebgvdur6g654CozPM6TCjOYfQMijQy0trBJXw0AGDGOX3182wk4YfTiGTurViO7ZGD+dO
3V8CbujUC38AX2zLEBh3aH1wCoqBd/bpNb1yBN8eBZuz38tKKGkYVQeT/uQmN0pguhNkbSJbDnjO
8Hr0Ut5SyY2pVOj6ItLRs5s940jbCslB8GVQbnI2kuMI3+oLGztJHndCU8iS02NkEwcwSM7zvXgX
nahmcO1zhd9YlBj75d7+fWNQEspWW3o8lI2z4cvuGoxWgnbXb3UqfruLnR7+YI9xG0OoG41AMX7o
IXv5F1o5lKzcUYPU64PxuF7eCD8DQDNtfmmU40bYQZCp7RqzLOCUpeoWtUoJAM2IB6v+h3KJDsgR
av6y9mFAfy2zXo5RLBd9HBXEsdDRbVRBgIJHwQuYIWG2jFt4SotyBIAdJbVr7uDGPxSi3n8FE3/0
EiD1RZckR7kN/dXJHfQ4znRIpPvP8fTdGBOEungURzUv8MKflGNdoeZS8RAx+5/u3QRzbsZqzpK0
RfG1AUYj/pxVQdk71y/fvrN8N8EGGTD311kOdyJpr8VynITvo+zX7b8jVfjrArxbYUKMmBVlLva0
ympc8sjp19zuO6siXPwn3ZEP3vH9OS0yPnkqm3JI5lWCNjOB1m92T8tfKEudJifFxIfp/Kdy5LtB
1h0rmZzpRSfAd0mOmd4mKLhNnI4hSzT/e/c2NpjMTczMtDFUpL7xqYdaBTxxY7U3lR+dq2dyoCTg
hSf4VMhPvk9ula98mi/OtrIeOjMMvZ5aVCkgLQzC+sSKV//6OWTBXx8WyVwnXVrqujHhQYbYNu5F
G+MZl98COLFX3qiXGRgfV7KnQw+S3cbjo7/2vcf7NrPDSSDZMhu5xC9ID+YX2h+d7+nsuYq5QL56
xX4Ou7HGJELprMl9kiEdL01LPhJbslKnD5TWnnsrPPWuYhuoqEUYiwRfFY9QgrtWJkeqar1Z5omg
kAfNH3/w4Sj91dfvQd+EQhCPIIFXqWTHlAQS112YYmulrrF0fMVUtmZjtksZ2XthTcWNVN/lyafr
Z2o/Q3vfY3YqYWqHDLNYym/o9PJNCZKf0Xl++A3+mD5X/f8HkHk/udgYZW6rttRTZopwQa3TfZLB
MYtHyaW3klP8QLWH9B/XF7mbpG3MMTGvh8RNL9IicHpQPZqk/ebr5Z2Y3TixMcNcTxP8Tkq9wgeR
SLdMuXBSsGB2pPZXhTsSsW+LaLJimMRUdOZq1EvXCTPtXuWn0AeA5kxpgSk5MLEoj0DtG255nnij
dP/w4d7NMncCmrNTVoBR5q19Qsf7NUd/GV3NW4LcFoKY4/H+4Q6+22NiVahDR7rA8XzD12fBHBAQ
v4do5dZ2afPUSnjW2A55pvSZPuVIA8Hrgr515sYeOdSu4Odu98qrNdCt+hiG/14a2yRXVsNs5jLC
xZsjZwbbt1adC8WdTEuQAjTN/ssVeLfGXIExTmWwQaHMLB6ToPE1jLXRWXVep+sfvNi7HeYO5Ekv
Te1IH5awI90YzvfFw3HkAvv/ITa8G6LhePM+kYukNeKaXgAQ20FEPb8NawvMVyicr/bsDt4AJSct
AJgMPZF/N8n1Vxx+t80khEO1rJEQoRg7CFlgDtJtV/DAGrtpLfSU/rrfBpMNJuqaYdYDvAzVul6i
erWqqnsdU/Fw/VjsJy3vZhg3QpZW0GYdx2JMITwvd3dzEznXTfDOOeMyDDmsJ2nCOU9mTDaZmEor
AFmINHBjV55GXvtM4HkNjnNkQfKkjgeSEiTs8n17GFF3aPz+Bk1UV3RG0AkgW0GWy/VVnL1k2+Ft
nA+jPuFlRYfvwOvlSQH63B7AwsEM5tPIG79e39l/iN1/fz0WIF92/RAlOU16DysEFjpfsNNXpEhY
K/iIIRskBjPvMbS/SkNUTUMzwI/AnP1JIV0iCrSuSB4adBUJr2S+H6zfDTAnPxSVBm4UBvRKuG01
ySrhErM5tLN69vrqW7a2AfRdOAWxfcelS1DdNoiMIM44LnOtmjSp8fwye7sqgky7IeDGCr/KWmal
AP53bi3wAN+751RH+JYMSSOEDQGQkh5QvsRS20KyVuGUdOdkPjXiM+ec0Fv8IdRs7DDOP5q7ue+p
rzReptyqndGhU3ISyKpGK52c/BMINhzzIN/wMqL97ubGMrOrCaHjSiIwZ8Q3g+Ki+eWdFBDFKoPp
i3Kk/fAhSG4rTrVs94xurNJ/38QGPWnNeMlixHEhsmLlpk54Hoa3o8wtILPW4WmAMEfO85eqtZTv
kBCEDCnap7mV36hHESA+MPr9W92236FnszTmdrRLKIhZCsxEm6V2kibWpAjgXc2+QB/ty/94bOgm
bLZRy/S/8D3y/eLnhwwEwZBJtIGoe1bu9XsqhpPf5/bAq1DwPh8TMaQRD6F5wuZ2i25nioC6Ts3B
de6G1802MnnlFIliqWi4EWQJVsGOk4O0cM4I54iw4aCT5qlXJ6SuYWcAZ6PZk1bYI0Zw6imx64RX
0d8Ns7qhaLpuYsScMCtKxTUnbQ48oNDHTr6+ylMw5z8r5VvceSR0rh+N/S/0tzF2OGEahqXNaAlp
yB6N6DnO3Ot/fx+d8L4adiRBwJzbIit4Z8ymVX/vTwSCYfWN5KsXIYMkHiAnr1xfRb3gRy/5vijG
S2pUZh3oMHTWkxMI59S2svL8VuwAyACZ5PolW76okj8OjtlyetJ722mANIqCwTWItjLeJNLGXM8T
A/5ZfyTls/qTs5t7KzNkqNHpikk3lTkbkmGCOqRCMtm57SHDVs4mpswnB4CWs3rgNpf2Lhdk6TRV
kmloYwvdST/ofRN1xGnC6V4R15uqmcESxO2JqHtXbGuI+WIFxCVXjGYRDETn0IypbycSekteXBrQ
chaScZvE6/ci1BylHb3WkII17N210uwh0ixdhZDJuJ406HvVi2BHeuyKCnC0anTO5AqSBPoxGxNb
LGvoxqnHWh+e46S5nSacC31+JFXsC7F8H5UJeAJiT5agD1HOTqf0vtSQ2zkEqV9eWrUMJtSicg0o
3jdVZjWldJyB6Ony0ukm3R5KXNBlvTRLZRWZiPKPftvIkzVMqyVjIguDvvYC+hKrGuOgrZ5m/MZ1
fm5XEM41zW3aZkcw+x3yKAJFEQnCSnwt8vamTdQ7CeSGVrv0bh2LvpCVXl9ol9gUD03VOH22HE1D
tDPgv8tIcladWIkoe0PUfUG6YutTd4gmyYqEwi20bxFZHZQ3waDTWJo4+nOu5lY8iGeIYlmdiXy6
BtgzLlJLl9EkIpPfZNpF6Uqrk3+JYE6q0xY/FL+6WjJvnAssrrDUuya25dytTOV2MGqn6IFPNPB/
Ckl+xDBGQEzREwXTClPdD9c0kIRfWSmW1jwDvKglwEOmtyNWIkfyQRh6T1lVqy1+Ek3ABjYWppqe
y7iHEokeZZawEqeV8AQQS0dKU3caADKtQgfaYZY51zejEF7qeXLDXv1uwlsvYMtIhdSe1tDKk8lC
7fWlGeaZEyl26w6GCsynIhOwGOrM/WzHep4XqmdOu6RUO6GAsyPgY6AM8bzH6+7tVBV4GxDOaCab
wJs1ZHxRR8a0F7CjZnkQp8e54QCQdx3axgaTpUSZlCtDpSCCJ5NfDvJtF8sBx6nR1JF118bGBnUO
m+wENBYgJ10ILdYsru5R+JoIiBIVYgG/sM1TBKTf4Jo5JinR+iHJ1QrmMHiNRi/K0D6dH+O+IveA
XttlMWdBySRxrOvwrwJKYDi9tXgGCnpcS3sZw8YSG8SXyjBSEMZQbmi8WK3QrdzyQFxJshfF+q77
KsooCLSBecdDbeyWEbemmfpvnemYITMKggMveQTj65EbPffWbBMPTH9e8co5K7ylMoFiyPpuXCeB
4OOldzFKAqJbe9JrgVI31aOT7P6hvGDLb2aeaMhuX3u7VOYFpGqZsPRTDcfjVW4PrQ0MWDqGo+G7
Cm6NJxh9q1N2qwwdlOR/XTi9qJtLEidD3mQmIhHoPW87t7oU0JCTHmC6cxJ/8RoUyyg/4MorE3C8
jEr/fWO4X6tOLQcsOx/8VgnU1hsUjgfgmWCczGw0kJfMI9UxpqdZd8LanXmVJM6lf0tANqvI5k7M
KsrQkx8oy2fk0/nUGt15zvmk5++Kc1EZ59JrbQyyNXymv0pHtypmAn3lSF1Z6o88jsH9nUMyqEqQ
aweo4s+Pk0GNuR9z5IOkP0lDZKmr26efrq9p/8q922BOXjplUPwdYlw58rCo9tqep+xS5Xaj/YhV
Tj12txAG6iAD+BtUTDW2kJJI9TKq1ZtI14jp7NiuLhR5Nlqdpy42HacT7oDLvb7C3V3cGGWcijmM
bVcYUDzLs5e+CgblUzzb103sJrgbE8yHEpC4p2Wb4ly0uWV8K8GdjFymWLxK4Fjad8kbU8z36pdh
VONVQ037WHyTbYAdggJc5plsiU4P2SbeAOduaWj7zRgPURZrsZTRTBzZp/44c8fXyDUfKDhscgBA
dyoPk7G8ML77styaZbxGVRdErVOQOesDurpUe2/5al4ap3gaIeyrg/qeN3m+n95ttpbJVMw8b9Sp
gkkqsySdQBLvJrbur65sxUde7YtrjfElpJnXOBKQqBjPix2CpyA7N1B8cGWv9/Mzr09Bt+uD59qs
jUlXwEjVNXWMvDppBxsADMfMYiuXb4z68fpV4Nw2tpySRLkUgjaUOKH5WSNWrN0PNccNc24bW05X
uj6vaxlZwpyIVh4+F0Nnx8UvYgYNT0mH57HYibBOGRewEVQE2Wvoyz8TwHJjR3cHwEaCFrgvvEiG
//GKszMERa+kyay9ncPRgUAHaBcKAH80SwYYeAp4D43dR8D70WA1XfFgBLBfM3EQl0MVQwKLF2I4
Z89kPMi4doZAoXbOqgWreVAQJ8EPZCYcvDvv5DEeIxTKJI17+HmjSAIwsluSXjxqRcQpWvPMMF6i
D+vREKcCJHXRg9p+LqtP3fRfGg7bggkTT4wmzhqxwvBILHjxEFRdbVcpSg2ic/2y7hIDbA0x0SSS
mq5tJ3ya3qOdqfKJ4va1Q/cFEKXeXRBRKq+0UYVS/ktQ3jylmV2sxXKYxqEnjiIoVqwWvqouTlFI
nAXu4s22T3bGyw5qNRLgzgFHyCDA0Sx+rPXnWX7oWjm1wERz1mXRWgcBpZqotwwdSh2TdGhqkMbI
s5WKVWWZTXYxwy+NVlhEKI9VET+b6blXuK0t3j1hfmshlxom8pHFUsLHJMge6GT1aENyElOvpg93
Y5tfuW+83Zx2c/2ZyKCUGikw/IIiGIq3q4851661lyKzpdVbyYM8ufn4qc3UYzj+uH76rvtxKPv+
md7iuVPnUYwLGzae2fqpolhT+ZxGsZ2EPOKh63urs7QyyQiICjFRupXiBy2/SO1jOyTgvuByKuxh
2t/zFp2lDEE+vfbKAhq+qQEHEGYRLBKWpZXooaUk+F9q8ftU1da6mK5kzq6Qml+u7+o/ZIhojuqS
oslY1Z/bKuYDkPwRHu204ALt3ZtZgmiQ4tPEAkFfTwFYvm6S/sUPyQVazBAnUXVdUhl3NUltnUq0
xJNWtyOmVjCiIGeuZkYWNJQtyfiSTN+vW9xf5MYk47jGodTMRcbZoYsEzNGBB7nQJzot9oADjvNy
2T2qG3NMCKuMAdiOGccnJidwaxfCQYz8BaO0/61ctrHERDFQLZJYTWKKpNKgOoZCdA0Jk8gavOKu
eiz9FSwSHCe5n4pubDLOuMy6pl9ozYyKi0Bx1zEO8gEVeLf3TeffMtm/tUYNQwJrgAiSNLAs/Xk+
p0WK6qZDazQ+ZTly+xojT/Jh+q7b+VuGE3Ez+92Q/W6RzUnFsqzKPiPQKF9sQXZV4o8554Dsv1c2
NphSWSKZS1RNmFds0bQH8ZhdZrbhEKv+1mI6OHFCF8oz1y+BQu/Vh3u3scm8bHMBzxWlQ1I/LsQ1
+uihXNbYVqTR0qPOE7LRihfpSxr9VCv8dzECOK4h6oVp5q0juZES5cdIZJBRZU4VnqpO8FK5Oubg
Pkj021Qs8N5TF3dWSz+Vn4ql/UVm9DhAd1DP2UkGVbBaKFYkK5+ur2s/K8G8IHphoByQ2XLOSMIW
QLuE1tm/kCNV8YFWuROekhOdzaellsVPuONc1GV83M13q0z4NRS9NssZM2rtOrsiukp4gb5eX9mu
GwFfAjp50EHSWPEKLCuvBBEFHcwvWnn0VW6/GOWpUh/yjFeS2D/z76YYP0IGTch1dUVnFupH9Tg7
7Vz5KB7wfMeu7zclMFiZsmaY7GOlb8zIyGq0ECD07teTNXsU7w4unfmGHGY7v9QuVJGc+VPu5mfx
4fp+7n4yVMdM0RTRNNWYS9eteqMYVBWpW7qjNOf3aNZxYtvuPm5MMHdMTnqxLDAW4wipJ2KEVpt/
KAWnDbOfpW6MMAE0kSMJMNOF1ljonACIDBDVMPLz2gZJ77Tu5KggRYq8Kqic0kclsHnl4tp3z+bm
N9C93tRQxZYSaGGOFg4su9ABXqqdld8K7nflWLqzq8KJ8R+fe9uLpihSLwNyZ4Rtqedknop+wlXP
Zs2X5fZJNAe7ElT3+kHZS/+2ZtjbkEtxbcbUozQPjX6K61/j+NQtnMvAWwwTR2tBTIrFxHGcxtcu
r6xFuJF5AOHdYL1dCuOmulhpMG+BepxxnlwV/bTCNp6iN8/Y+kihr28cb0lMsE6lWjEFBW2uTDwb
40Go7jrDu26C821YKeyyW+o2G5GvNqoO6iENRDm/2vRcVpxbtnfANxv3QQW7UEEqUKHSHTV34PS3
UujYtK4YnyBKz9m13bLR1hbjNdpYasUJxEso7pEjcAyAE/iCuz5IqkVbZ4YHdht/rTlmeStk3Ehe
9OkqFCrcyAwdJPFbhEEc5UBAUNJxai1vcwtssNwukPEWcjMIq4i3O0A2xoPZTT/hJ+1OLex1qL+v
+jfNlMBtU3hpogXgngHJcHMQ9NrOqirIQ/AokrD3jBEkzqrmmotiV13n5pCrEQHBKNtTAyG9VE9s
rXtMVWSGWWQbfWXNheovkXZoawAV1MgDKYs1KhiZnyHuV0DySfyp5i2wEKGrCIIVJY2Vm7qlFbVf
pdBLlUc77mI3EU3w9S7Woq52WSqnNpHPTV4dpqiyhMpw5yk8aWmF979uibJ22xuZPXTDaUZ5X1xH
p6vvlaxy1enLOFeeMGTenBBHyD4T+M8iLI+DCkxD34I1Na2cJqrtMYk4c4h7gXf7BejN3fjrPJ5V
GYIKaAu3jjhZmX6TDnez/ihpR9nwU0nguNDdJ5dJNF0RVdGQkcH/abBZdSNMclorQnmcsu0on2mB
nHZF2+MUGJyMetctbMwxV8hoAeCQFmyrGCfOoogA5AwHtfyVJSsH1sWzxFybsJGVcilMRD5Qjcjq
6BV1fpjjyhe1iLeJexnLdhOZe2OkWQWtabRvkl8axnoHP3nBg/kymG/jQCJ2Uf1x3b3uevDNPjLn
pBC7NNGHBX22ugKgKvUVPbSTavCvm9ntE21XRnd5cx4TdJGreEL6HOJbobJz09Q/ljr/Uqf5z1kp
nWIMA6nVkEeB+xBEcyoA3HLeXFSy+mIuumo98DabHpEPTkoVJU0jBhSa2UoISFYq1LUjCl/Ivolu
cWxFy+zQY+kOra8Th0vWxDHIQjWGCQ1bqUeaMcypD/HWUoydNgE2C1DSuBe+TQg74fw56wpHUpeb
mfCYGXeP1/uKWTxmD22uXG1QVh21wIDmXZZx7sp+ZNtYYK7lWC1FIa4ADaqPKjyBcSwC+jyT79Z7
uOZTb5fPPOr63RkiCDj/33dk60t5ogjDCAozYCPqQ2wX9+0jsBkH8zm+QDvBit3pc0+Lo47GOUH7
26mAHhr0Xqb29lDdnOneqKJWm/HA7vKgqM+rzklJdj2P+v73mVxOraZZzBdsZpceYsFPxnstezGk
/zJ7b4IBWidEVDSgDP+8mo1shGUv0QaM/CsaP8uxW0icnaK/9MNV25hg/Noc17JUgn7UUVugGHG5
bof0RU/vlsbOBOe6q9mNfBtbjEdLOyMe4hy25i7oi3slvFnU1075JSTf9eolib3r5uifu7Y0xrGZ
ERlyrUH1qKhBgEZKTxtqN5t57K27Z2GzKubxMEhhhpIunFWFdnB+I3cvk/qgDMS6vhqeGebImaUw
L4uA92y/xsd2RSxXZStciB+NIedM7G+cYkKBCwNIOkuZN2bmmhYdYL9hGt8vqtBYagxWEFLyxl13
wVsmSLr/zxLjlEpFBK8mxH6dm9HTjuExekAJAqOGBpg7PpNbKk04u73dgd7YA2j1+o7uZt0b48zt
WqJCGMsVLaZojM+TPh9InPpJJXqJ3lyEnGeOt6vMTROMOhaIgkemgmomZAOPY23a8xhx4vm+GTCS
w19IIB5iHn5K28dpNiO9NNtANj+Bnr4ZOI+IXTJoEwnlXzbYuizykhbcRhg5FH3iI21dLOhbnKlr
B+L1efFABGRRcNX8XHIHdHaLjBCTgYSgbIJmla3FpWpTCIkB43QoDzXG43gj3+kguvWk43Bo7cgZ
AvPJuPDmTfYf8BvDjD9RQqPXdOhSI3pKHgXEkjvlPLpxQOGw/4XGDEwTqI+huKJhcPhP1x91YtJW
jYGsLOtPeik9CmX/STEV7ouXnvIPXnJjiLmCeZ5N+VIJqAMe5+8t1GKLc4EyuKffU3AcCLZ5iJb9
fdxYZO5d3EZFBIUZKofRHqZzAuriQLeVo4Kx0fxnHQXXr/luhAMFriaDF0hBZfrPnayFELy9PS7E
gPmC6efYennqldGZdJdh5eQFu5fPlBR8OYDk8N0YW6oIQuFQAqq3eW1HuzBLe1K/XV/PbiDY2GCO
4UIWpesgeUBTxVD2lSoQmh8iZ9P2H40bK8yuxco6T6MIZFyZWOBodYsXwU1fhZ+/WaLyZ0W1ry9r
1xtvDDLxbVlNOa8GOs61DFaU9UBlSniZG562fqoW5fm6td1DYUKZiUhEFsW3Ds0mQRSSRVryN+xM
21tSc2ySzFpB8SJYmnxaU141bu+RBXJFSRfRsIfnZCeE0KNDazfER5vs+Ck8K54axI4oWODmbjAq
9EZp1lPFI97U1U7OtTXMFumUpGrFQsV37AfTkSfBNRWM9y6GC93aQOjCL9PyczJxza/v784h/cMs
474aY6q7Wc4A9UIjHWomVhQ5bX8y2pljiLc+xn2lJqAXkox3udKajglUV69iHO9nnASpdOwBdScc
JqSdK/7HyhjvhfS1WcUFqKsYjOBAzAErIHhdO3Ny5b230x92mHQhV0C9qKco4GLG/iS7lJBu/Nze
pLrVH9ML1S/Vv45f0/Pim0/Xv92eg/7DNOPFdK3X5JQOLmQzJrQfpuZCRldvvqf6iwzatBKsT4M7
p9+n/td1y3RNTCz6wzDj2gxjRLNBA8y4NQW7E6PbYSgerpvY/3wqvfVvCRLj15TeqIkkI7ddlv9H
2nctx61Dy34RqxhB8pVposJItoJfWI7MYI5ffxvyOZ4RxD04137bVartNSAWGgsrdNePkip7Rpwf
ZFM0lrDu/2czHJrRQcZom43qWkQPRfpd7vYjZllEg7xrxWt8sLMZLtjLyjls5Yq1AH7ufRDdQwok
9MB63wbFjgTx3tgJJx7Ygfq4R39M6lzzTwg+uN/Pnd9CCyh5gRMkgYhE7ksQHrm+W2usAZcL5Ecd
FXPq6UKRj49Cn7F0RH1gts/y8EnO79QsCBWQB4j6KtdSJTqm5pE6QB+OSfj0k6pGfdrbLbRv0M/F
Kmrmt5Kxun5X4rdJEpo5DGhED4S1O/fSLp+FAgnqIjcVeNwIHgjgtQ/vxxT3kZs/QV4aNbzG9Nv/
/zntdyY5nA7LKCuSN/p+6876Os/3oiH3lYPwzgCHz11NR00twaupzrtuiBxVfTbQkE57R+ApK375
zhCHy4wVMi0ng8kCKIFyZDN+2m3rsdZb+lM027WCIu+MceBsZXJFJgrqMtpsIXhKhsd++XZ9QaIP
x4GwolG5AzUV2ojLT9Xg6sqBkhddEURda9cMVgKSK5A8Eai2cXjYDOM46RPUFOZTeKPcWRvdT4MG
w5GYK32FWcieMhaJ9lnYR78S8L2zzEFkrWmtgc4Exatsp9kVGFEjqQ+dyYN1JHesgxVV0fvqc/pZ
lLxb37zzkjnQHI2oBwFCh1hMQucDyR0pRWOhJOrOWrnMLtf3lvu4CDHNOAsbo8UMv54+ytPLQgRb
J1gGn6VZEjBYRvqsoEzlxNMMtdj9aL5ed8K1UODdIrjjGyoV2sFmGV54ZK5RbjLcLdqeST2JBQVW
gvJ3xrgjXPWVmtTLhEuztPbGiFFvC8EcyguJRQ7JkmzaSPcFCxTtEneSEzDGkjxEu009u2C6YgOa
y9YErZB0Q2O3AnMLOI13AqNsIdwd+m6h3NkuKqpjXBJnm92hbFAgs3wLz4CMMa8xhlAh3bDIWbjI
qh7GYdEKPEz7ZZvVQYdxLRFnxVow8m5VHJSkkNpYTA0H2pJjXJRzdbvY/QmqwptQwzB51D3rmv1L
a/ON1HzN6vy70aTgNzK77VTH369/YtF6OXDRw2KawcoDAkR7HyWnzpIcsxYFef9xYf9BEp5SkqBu
pFdJiMvt1FtvV3Zxk36jSIdBksaTt8qrLCiuCtb1gU0yXux5gtam11itg1L+aSDxDbUSQY5BgM0a
FxYYPR4eRc2OPUj0IZFUdSj8S6cmCrLx1/WdWr/n/nxDjUMYw0pCbdEHvKcsKchCHIJG24QD8TVN
KDLLkP3KueNf/a0Ut7NKEGAxTbfYzU6hh4gH7VIdyNKtF4yL+e0BFfH/A9Oi6ItyOLNAQBID2aBR
Vov8QR41H9Uex+ijfTNmDqjUg3/7qhzCEDAfzlmJDbS1xEELexJmbj5VXp/W/3YNaRyyaJ1BSFHg
m5rDQVF9zb6fReVZAUZrHLD0dmIPA1N8ilXlthjnX3VTC+JgkQkOLwo7V4sxx/eaOvmmb2tPNezH
61uyfnRNTTU1vC00i9uSOcU8QZOySCvHNjwtk2eJKl5vX+Kjg59tcJux5L26xCqCYHlI0HSTIr+K
DFNKklsrp4d5VO60ZLyri9yZuthfOshKReDfiA3QiNRofHJm2XJS2r82S+NIeta5GXI42aJ+n1IL
gybTTiaJm9ft6MiT5KGu4+sjrjGp8yO6bDLpBMM3fVyfwiI+9hNGoKRyY3RfykQXhSarl6imG7Kp
sOQuDxxmwShnI+gCmY/WZviUe0ioVaA4GL3hNvWjO6GSlMgg+/tFQJdkUMyd5JFN8Op7pqkce4wt
dfIx/YkBXtFwxvp9erFADjLmcKLLmLAAcgNeAb+80XcNJLFrr3pS3BwCplTUM7uOxWf34Q8aGAmX
tgXD4lDNrqICmNLQadttJMqTr6Ph2RB33EbZNnI6ATR6cpDkb4v0UlnHbHCN8Of1QydaEbsRLvaM
lnrcdHkEkd7wGIbbst+CwD4U3Jb/EQf8WQ5fDxuTyKZhiu/GeG0VD30Vj9U3Rrdh7/Wt8Vo8X1+U
AEn4OVpCSRrmC9oC4jwY433R7NCwet3Eeih+XhF3Ky8Qb0IfF0uB4Cmtn9CX6NHhYWlADFS7tagJ
Yd3VlbM57mhNVgKAH9B/0/r63gwwZOqDC/z0m/jY2DWecGZ89RuqMqMDAx8lBETeO8Ys5+CjAk0l
Dle4Z21xxZsEh7LJb7UNJhq9xJNF5e7VS+bCJnegay0H3eaIoJQaD6VyTP5mKlRHYvPPorgrBuyb
hZoSGIielsAIukemqyc9INmZOMZGhkLQuO1ec3FNdhUaVV2xbdWwFIV/i5a1Coo1drcpjx1UuBiL
oeTanyeXveOTQNRYtL55Z3O8d8pJXZsznr6zOntECj+Fdfkw9YmwbMOSmR/uU6QANVBHoXrIF9NL
Q14omgo1b9HRouItkIaJBmdaQAEu/wjjO4m8FIaoU4v9+itGeTSxDVoRS4JrdsEUsEFy8M6CtsHY
5A/qQdS9sorE5xXyWDJVmhZpEwAyko6WeQgLMCHLxJHsI1U09zqorIbfF7a4bcOAY9SUMS40xl2d
7JstS1JXYslH0QfkzjboV+Q0TPC81u7IPtsyaZ3KD+/Aw4NrWkRqvtbDgkP3x0f4MfzYKMN07GdW
2pPuGEkw3UFudVOgsM3myOSg+MHI/jNvhPItEbwHV7cP8aSpqBjhBLXZexibEk2pUHB+U6xI6s8p
2jON3g3jDW5w7/ruiUxxd3a5mHSBJDx2L9uW2ROreqGsh2Fz8/Rvhrg7GwPfxaTXHd4u832IScNE
CpIKQ10uNf3rllZx5Pz1CFfLkJGyAEE8HLKpb3opdhew0muCdm/BZ/vQyJGGkV1UMWjU6K1O/bR+
7s3PfRos5P+/90DHjOb/ugLhThcKz3je1gPCD/u5A1V7cpBUwStJtBbuYJGolqVMQjI/Cu+psdeR
1VF+Ecmd4+frG7MeUV0shrsqu8SOB7tBrE1u8h10zcC8bR11h4AspwCtvqhKvnozX5jjLs4210gV
52y0FeQBmvKqJv/oadzDDJpAWt+BvNxL9EDDTEKSO/P0XfDRVnHv/GD40Bk1U8WIWlyLo9v7rIAU
+dL/SIr9H6in1w/Pn/cXL1WDFx2uzARLynfdLtuHSOXdaw/2je6ZG5bF7L/JhSPkn1h3wbNV9veL
gB7cvlNFOiTvpbRwm/5Qmr6x3FX57dD/1Xk6W+LwjiIkzTIFiake2eEiS4Jq0gJSjM4/7hoHdyNa
MHPocP5OBrMZwumQbAbX3mBAZSeMewXf70MCcYyqolOBEvpp8QjmFdXRDY/ZTr6T0bYH1Y/Pxqdx
j+8qOACrD7Gzb/IZRbArhCAnxe0RKSc929nJdu5eRMXpNyLPD6HThRXuHMvGaGH+BNdhOZYbKQFV
aWZ8AlGeM2TNNrL0zg3JcpuEIbhmpH2KPDTpm31SZ74R2ntTgpaABs22erinBGoGieWBjdanhexJ
uhIsSfLUSWgnH3LigvV0N1bxqU+hjiGDVKQthnijSdZeicH6U70MieVIkfRTtefHtPuSmtIhTY1H
iDvdZ/K8tQY2FQXVZHXApuefy0xx6VI9TClYIbus91TyJDeQcyuL4WhNs29EShAybSY5C6Q497su
PCpoB+lNck+6xqkr+zOJ240WLX476RDPnOIbVYGWNzXKz92UP5BW27c9lPCgfjK1RHaqyTjgf3+B
aHTjz3OPPgUVxzc2BYGfACr4HGGrplFmKQCmSpHcSb9j0+5mJgiFVqPLi73nkGFEqS0qNIQN6oa1
MQ7bPqh3KmbO/+28ahwu6FajdXn51spFGkf16w0L80AuDLYXvBqFPC/rd9MfHNI4fIjaul1UKAqi
7TQ8GUHiS6Yjtc6yZ2+r6mf8sz2ImKwEIMH3eEixWdaY7oUgfBSYnepUyj4JA3n5NogIINd7Lc67
xjd4UGUi4WICZdNdeQvyhdhRX6NNcVT2oVN447fQHQI0W1zfQ4E/6lyopLdIk6YMBOt0P7dBbf2M
VUECRWSCC5V6O9QgXIpiWK6n26GZjnKTulooKjKv1+8vvh8XKC19XUxRjqOlb/TW0R5Z+oQpX4IH
KrmhhwgCBh59m7axd3+jj4KQ849r8lTHE2lrGifIN4wuBLkgo+Ytz5Lb+IzNZXr4rZyap971zRM5
JxdKkRpjmUBuZFGUo1SfktHvddublyCeBwFuCS4tnYMUfS7SjvRYH3jrHHsIBvlE1U1aBddXtEYj
8O47cpCi5WOnxRLCjNYvbpOn4bX2owe8+12wpbv21+YQbumv0VP8bAd1eg9yVq/Xf8F6nf9iJzmQ
UYah0QsC8JQ3vwWsQuS2pRvNbdzYFzmt4LPyfU7toIOfWMfxWxR0MfbFRpIMz1i+gKFfsIGCU8iP
1Y2jbsQRW5aa7hsVCjenxBZsnuDaMTgsmbNC1ht2BirpRPTc0zEAEY2bMMrdeJpyJ0JQAV5FAYIx
j7gS6PDpS8xDZ00ZVXgfFYcq+qant9lA3WRwNfV5Tv7ROwwOZCBJpxYSZMfB/GN/j7YQtgGzMipE
ip/vJeHwnsg92KZehPjyAAG8aMTasuq7pTslyCIh1NqLGnnXBkkuT53BfseFnVQb0QdasZ3LXbI3
tqVr7ZqtBtRUH3XHcpjus/RD2ooKSaL1caiS2W0pmwZuV1abja1Toj1Eidfoz9fPtMgMByrw/G6R
bYgfVSl1mtpPxtrtJq8EUdx1Q//xWP9zDRgceJi6hGkPlnmIj9FXFnuBhM8NqVMcGXWZ7QkbNAXe
z+dt8jHMKktCmTM0spM2Pg1Vdoj62TGLZdNJ5GhPrSP38naspDuQJO7tzL6bOuoYLUbLLPB7pIur
4sE6h6K9FVxOfLZHn+th7mN8ioyMft2/Ek2CoIR8qzX9z7itRKli1odxBQb4nI+14LCoCsyZkDfc
2weWds9nvB2tbfZ3WffzHUG4kCa3ymFOJjzhukFxkjFz7f5OLnYCZ1rfWxOjOuCj0w2el2ju03yJ
uwSpmKOFcLe5S9AUmJzUV3BKQAkXPdSMlcv05oOoI3F179ALadqKaqqYGn6PB3NZgsKNqmBTm54r
EwGN9SmWb+wkdRRIklxfpsgWd2vkWtK3Vg5eOpBYtFUPzxw8a7mP0flravPf3IIXC+M3LiIazUJs
3DTf5uSUIZOa+tfXs9aoresXNrgrolLMsqUa0pwj3RRfKWRWym1h32jDlgDlKsuP028Ck6s374VJ
/p5Q7LguGOx0THBttzxapw7C1OjpqRzaoKMHmtQQH2BE1/auF70hRDvI3R612Wm0rTPUypWf8RhY
mpO0fl3f0F4Q767HZhfrZL/k4p4aF6m3zRQBL0u0KdvwNX1GSIFIsNqohSOi+ROti7s25HzJJowW
o4uvTL8RHfo7auJkoBYtJvNQFaEgPb56S10sjrs7JE1OYkKwiTotMT4te9A/dOvWC6dF5KKrYHk2
xY9CxZUWSSYrYOgg8Gid3CtcJjigoZNCxD8gcE2esqitiiiLJaxKLn5U6ecORMOt9VOlO8uAmLfh
tZC0+7fTYHKI0tJMQooJ/gjO4XFPdyrq2cgj7patfF+8MLlK1t5msyrw5u9yIheflkMYOjaziSHL
31oxjPcvDTKXfPotcm2I2lTWI7cLcxzYxLERY7wGO5keex/sx0F8Vx3iR4xH4MyXHspSgXqwvb9q
vrwwywEOsWMlrFvWhxY9SPN3237ux6fr28j+iQ8X+oUJDlWUfrIlpUFrR5k9LpZD4i8REQywiaD6
jSLqAk9oqFBLUm32agdd8WHZNls21Znu27/JgVwshoOSehg6eTRqbJPab9BC8iilndfJpsAM2+1r
34yDkL7CwFrZYFtGm2yJgap8TnbXt0Vwnnnh6r6ehzEeGEptWF2FiRMxVReRurMADC0uAqnkbLTl
Af3EZPLj/FjZp0o9qcrD9cWsDaNe3tUWBxW9rsd5B5ZLOIAVu/oTeG4QY+Wors1e5Q9+/oDEIoYv
BGYF+2RxIJHa4TKkLXxbB2+Qw+ZM8s6Rd80h/mXic8b7sEWfquD2FH1SDiqMQpbqDBGfpy71i1GZ
u9poN30qOyVS6NcXKFofBw+0X/IwonjXNVLQ6F800dzK+jvrfJ54zepU1UHzWAD2BpC+ZxBdzhV/
QL+j5qtb9B9uBmH/i+DKtLjQY67liKgJ/F4Na0euZM+i2U0c6c6Y0M08JegRDXHhJA90uhur6W8q
cBfr5fBDQ9JBXdipK+a7Xj4slVsPwfU9E0Q7fINPk4DMXq91NC7FsjP2Xy0ZRbBGcxDJOlYpGlYW
XVx8a0+eq1o0s+/JVCmAiTgDkmu6oZe58117DJ1pI4MmuhHdmG9FiY8YCQVkQ5GhvcxPKnQktSM7
Rz3dGPLXJEfegRRbo+v2jTS6eRj/XMrmm9Zk0PozXL1GVanp3Kgwd1osfwnlGU2/MZpPq9pfYno0
CumbHtt4j42D05DOL/XpoNh5II+pSyxw9tUR5lnMyS0SaAlKeXyfyLFPley5MaVtVy6+ZjazM5go
myXS1ihFItfrx/7Pevkyp6b1k2aO6OzQlG+lfMhadF2fwlH0/l53n7MZDrBNgge4nsFMvsvvqUfv
GKN5DPExCcIPnxjxf4rx7CgQpRn+401wNsxBeKzGPbEXpP3ZtGPs5sHwbB1/h1skElN2rIclZ3M8
dANAad0gQc0GJ2ToCc0+ZNYaVL7SHDKKJTTl2toXzkmxVVzxWo0D73CZCzon8Fp9k98Tt8b0mf1V
2zB92nlbCcd5ROY4AG9UaVTojKfPFIQYdqN3SILvtJO06Ta66Qgbx9bB9fxRmQ9fxGFNWOp6JcF5
GGM8az/Vf8BNPerFAfHmgKnLp27m9P6CnpfqRn+4Dn3r19XZPIfttF5IVM7AojIv/BkS3ikRbeBb
3+e1DeQQXBmjtFdDC+fjCPHWt4KGfBPfsf+K9vkza+hRXOugbQaf+hWSrn/DuotY57xKLjjUEjQA
xzKqtdaX2R2OGlLXbZCDDRTfFDSk3vVvKjqXfOV0hshso7Ke/fhId2+h4sHwpS8kSP3QFzHpCECO
r502CsYzoQ2FHZzdMtuAZMtBnzaYRpx/XBU7OBeeKuM5W9kM5jpP3y/wUMg24MIqdnVAb0SywwKs
0TmsybKw1PQwQoePOfjV0ge9om6MXhYsSvTxOGwpSKm24K9GFp6+hsXXGaQsmHT5C47kS/fjK6Tg
ps2LRSPo+6qeKD2VI6TsF7cyhTl4dpKunDSdA5NeKfO8qODnXdD7BEVg7ZncJ3sC/Uk1YEoGNvRG
4z15+KtR+PMB42uk02IszbJA6T2Ub8rR75RNX22v+59oqzgUSc0KKotvXVjEM8YjaCDm5C56/jcj
HFBYY1TYUocrrjQtF7xBTtdXDwno2kyab66bWi/an7/ZhwKonKvziEYgUJil911QHetfv8smVeUr
G/BJvoSPOiCDuorgEfYfiAzWNDSK6jaxuW9ZdJZBZ4I3hIkBfz/+YR6se+V22OcBiEO2LK+ISbAA
xS9MGPVb929EHRkc/7HPfeZap4YUduhmIeHt3IEn60aZBF2q/5Hg+F8bH/SJ0KoVkslE2NB21XNr
zV6fgOQJEqYSZi5Ha8y8zLyVh2mzoPgsgJX1TMHZNhcRdpM6WDGrbcv735mCt9QKPuV1F1o/Emcz
HCKHEBuf1B454WzaEvp5Sdwu+6YLgX91/uHPbpkyh8Vmqs7aiKjIg8Z7aHhpsy2NW1m1XIUeoGiK
rreC/hWvwYVNDpjH1Jj7WsaL3VB+LfODGfphJbim16+Y89fjAj1dGUAk3gKVM/WU2b90ZEalh3/b
IA6PzVFLVEwLosAz36vZplUey2FDKgGSsNP6EfXPC+FiuB4jxaQyUMKWZI8WQaU9zCW0h4bHyXbt
Uhggs+2+Zo4DjxixzdCjv9KzjMqpB3RZfmrTrawepvxXKndObgQofyx60Ge127YChGYbf806Bx1a
RO0RjXdwRnqQO9lJhTz8glP1BiwXcU5o1HM/VQCOcHbVKrDHI5Ugevzjumso64H/n117+/uFmTm0
4kpBpdEbm8TVJvkQU0yNTK0HUkEw0CNAKJIRjST5fWZDkUtVXgQ/gKHDlS/5FsVe/IC+LtVkKkC0
0fp0QAtjsrdd9Q6lEBc8G0J9HtFX5UCkmuhk9xreqv0CYoQHs3Ypwv0puL6o1aNg4AtBD86yZJ56
0ej1tA9NAG9i2b5pFo5mDeh32GdTQKTv2SzaxNVveGGPO+ATKnI25vZZSpg9bajXQfRlQrAFvqEb
Ye509RteWOMOegbhptlkq1O/2HeMN3PZ5ejyM32MUEFCZPSS1ywQpaNFn5Q77oSEcVdFOHBavY3U
jRyj8t7WTtsT7GMwJIIG3tXzfbFG/nxXJFPtCmscy9uKPpFQUCdYRf3zv8/X/zSM6E6ynCKJ0UIE
NIe6EjqpURt3rjviekvrhR0uBKDS0hDS4AEzus2RPXUZMW77OXMHaC5o7nCTIfTaCoyuO4ihqJoM
ijydp7YAw8ocmxagufW7Y7JFQgj07mge9JdNshmDFp3QmuTYglPwloH5gCTG2Szb0wskie08oZ2N
sr+Bmty2JqZP5PL0JtgTT2iZnEGPiIRi+r2Xq6OsSg5Y8Zy4Nz3FRsVpqYOI1n5sWD+twX6StcyD
RGPkzE0O0e9uqyy4TczyRtEjl+oSONdC9KfX+H6NXn+huG6mMjIcabmpxpMt4pBZd//z2rgoYVCG
bJjYi0Bpof4ygxq0GvdRC2HRYrwlSeHkUFwXbOM6qpxtcqgimZqZGA3OQOsrgY7ectkA4dLgKyj2
pze9kGNg9Ua/2D8OV4qxpTX6ZpHyemH2FLCSdnsKvjmM7Xr9QVQXXz+C5+VxiFInbd8bCcJWswXP
kjEGshnvmljbXP+MIjMckiCBgGbaGSFkFX0dtF0/HbpacMpX4/zzh/uQ6FkWKZEsTH2mu+WobLvt
GMTbv52yurDDgYk903C2TEYx9MVwRl8LGPHEFLpox3/RUNJPPDt1RCmYNYJvHfSH/4smfIN8W0lt
ZtaAMHKzBOQJDUNISmKK9lfpDlsoFG6GTQ4tP/IMsm3Bh2UedwVR+PQPqJVLUwpRNLY1Vx8drej8
UfseD6HbacKsicD9dQ6+piwMa8pKkuOebNjsbriz/XBbHJkaKbR5vl33y/UK3sV35SClKyc97zvM
J7G9lL+mwSfjlg3JKzfVRlR9X79Oz3vIQUk1qUqoK/iQcXmn9L/o/On6Ysjq4/BiMRx2yJFhNdKA
aNnK1IMSI62bZQfIFz6YTfqlnUDf16b3i/wjbbudZc3bVit2Wq+4U5SCYtlk2L0hbQVFqSRoDBlk
I9ltNmrHNJ7v+9yExOWyr/UQkbi5t1Pqjym09exoA+7wwVkghqNAqq2XfjZ58oRM8zElCpSiC3dK
u0NRNntK4kOvQ3avzPczbV0y3SkgsIBGuzOOuSdBAzMvfirz6I2W7o76V6U3MEcANhc73kMw6Ztc
VgmEuLpANRrv+scTeTkHhJWlViPym1B5bGOIiEx+DpIBRvdeqLUrVYMoPBDcZTylaZHqo112rHQ8
Z3fgPXV0MJrWuenSKDqU47cmSw+zjNhuhgBD89IOraMboAAKMQ5bb0dTuY9CNNmlRnD9O6wnzM9O
xKfCpBHlM5rgRDTe7DINxRpDD8ZtsYNe6EGUq1x/eV1Y49BUn2klSSk+g2Fuwv6hTe6z8dU0VLcz
HmVlX1GvRt+y1J+ur1Lw9fkZAUSd/zNdYZMdWKN7yTeNTda9UkhZ6/XoXre2XmU2LMOArCcUlHjN
bAgzlpMFWmxPN90KzJqpNxxy5OwzV3eKT+r32WOtYLkrrH6wz/cRu8+GWXRzEQ2aGKgfMEYIw5Xb
7DQEE6hr55DwAJ1KIJoi+Y/NPFvj3pV5hMcJGbFMVkwv/DhAiCZ9YZUkFAdF9PTrIcXZGHdTpKwp
q0E+zOuVT01+UuVfvSqS+/mPw3A2wl0P0tSjyt5Az3kIRl+FkCgeJyYeDYyB1XoQtdGLlsRdEIs0
60VvIr6lQ+2m4684nx2Zvlx3xnWgOy+JuyTmxYysuACR0BDuKsny1BbahvWxaeQAbRbXba1TcVw4
PjuHF/43o72ithi/X92HhpOC3qzOqp+VJb9KE7mz+mQ3NLIfmpmrFDgCJNlqYVk6iQqtv7j51Nhl
7IyQElGUeItB4q0sL7dZXwiwX3g+ufB0TmySWDNuZv2mN10VxZpkn230e+nWOjrZkSURhttO2F0m
2G8+u9UsVaRWPRudz8YHpVcdW7e36EMXQDo7CVdAgM9uWY05WE0ITZ+sp05WTHvNoIJnksgEhzPd
PJSG0iDtuYCespjzI+aTNtd9aR2y//jtWyR36UpE7uOkgt+iq/ZbTyOocTZHGodeU5JNZ0ubMl9E
fiGAzzeWrEubZtb2eI+9TXN0R/sQ+YOjq6jc/e4Kur5AdrqvbROHNbbdd2jYBSOsWU1BZSW3qt6A
KVI5YHZccCGJtosDmrbuOwhXwfG6lj4kYexhPkfgEesltfPRfztzF98u66pk7Ch6N1pUPwu/2yWH
xB+2WeJYu2SnuIabYlQt30fBLKL1En1JDnVavM9Q5W3hjeY2jjAuaT1O0y6ZM4F/iFySg42iSceO
dCgpREnojOgwGjX9bozVXZpmTgGO8FShT//kJG+Ae/FVC62lYcY6DhXqkLxw0MS1TC+yiBxCgEw8
fVhRSkpmsbBMo5+o5udIi0eZIAYT7NLbDO7FUvqwqaM4YYx27TaJt00T1PV+FiZUGPRcOVYqF5S0
gylBngdXeH5kQcm0NdBQazmqw8Z2RW9lwcFS2d8v1pS2oTHJHTLrJaQONTN/7ttF4AGireFgAlkA
Y5QjBAmhivbL6C1IyNLX624mCnx4LhlQKNfFQoEQ8wlUpfseHdaMPa7dQbw8EMnbiTyBC0kMyJd1
UlihVU/qbqypCEAMtCuMzJ0akWjf2+jjNXfgsKFpLDXXGEl7Qu07Q0tvqob6PdWf+5luG6tHO4gZ
HZr4e9fWu36wHL0tf2hQG9XK9qtSQQUZLcsY8DXHcavURubIUEhOmq+FhQBxUu+nyHLTIf465qEj
ybbLZN9GUIFQZ4kwOhebxFHL1tXj7NYunovICMz4l24Ur92Y+VmZe1SV78KS6m6GRyg1W49Sy6UE
MciUvxq5cipmyWti8jnK1cAw89YpuuZpbNPbWh0QSUyf+jrDi9Xa26Yowl/1PQJSQd1G6Vnhlbts
EkKAbkKbxFge6nGfy25RCjB1/RFxYYPbIKJL1GxaZCRbv3+qgjjo9qjYuxHG3snDdS9fxe8LUxx+
1y3EpbsF75UCAjpNMNiBqe6q6odcb8x+d93Wqo//sQWFq/fIgEJAldopbvdwnLdZKm0w8+hNUuZq
898McF1YYkHNBQZNcqXLqY2pycGAWAmu19pwF/KoN4/XV7SeO7swxAV9oyaXszrg82mP8z7cVEG4
03ej5rCu1yLIb0S1jfUxiQuDHJTXkdYRhdWb9Q30ug4T6JJqNwYvgrK3N9Euv6U+Zh1N5/o6r3uJ
KnOYXpaQRF96ZIbS2LrRCKi7LTB6RA8duvsicwr6fhbETqu3yMU6OYg3oo5kA4TSvDCq0fSe3ph9
LmqUFq2K+euFl7QgJRrNHtVSOgxPc2+8tJGTm/0pRRklkicnRKatIMe8jO/UAQFcg9oZ6cD7h6ZN
zfDHbEhdy4b6ck0F33ulWwgai+AuReUMMtgQSX//02QNsjvxnOLRWP3S0UWJLvZ0M1nuktwl1gMp
TopokOPj4XxvkfsYE81qqzUQ7gzJsQShk/JVMoJiFkxPrJDqvjfD3XOTHWdIhWky+otH/053E5/K
Tn6YAza6dEKbuIinXbQuDksxd5CjtQtll9zunCGqnBDMBrWn64K32Uq48H5lHJKSaRjqJUZQUs3E
V2nvZgNIqqFRm88VuqAm5j8HUOG50fJI7RjDHSJ8/Xhm3v2CD29puZ3NtMdTbVReO3KyRFLJK2j3
3gAHqxR5NFmv4JVsSE/+yvisam/ZK660LzzJUwUY8BYqvg9U3tvj0HXue0imVQTToR6aOO9rEM9o
WzI6umdvwOnTosUAlUgPrfeIZNvndm/c9QfRrxBtLP/qVuMsiksNq1Y35gtYd7eQm/HICxMLFxOs
fwwv3i+ZQ1pdobal673q2bIULOavprN3dScczBW5CocvkknUVp2QORyR3+4+EVDHR6jMjz0bnACN
QfNTOI4rMskBjNyMQ5qTGFXdCA3bOqSVBqdNndzJn2bvjeXPFT182JG75j8c2NBGxfgECkFvEyKs
y35ElVA8aSzaMw5ioCVfZ0YCN51Ar1NtI9CL0IfrF7DIBAcu5qhr05AnCNMUlOZ6v6OohYh0twRG
+Id1GUrSYAwwgukWCK1vU4I3YhJcX4kAj/lndWt0/VizXtS2CZTK01DS1HwMWV638vFqf3eM+Id1
uGhh1A2AQppIuykyvGXA/FwENrA8cvRkgcLP63WLonVxgVnflAMNS1i0psZLLfAdL+pmTiHgpCiC
xf0HDpuGYcvE0qF5/T46ALONmietIeP0skEcCnJ/yZfRJD17+pYKuavXl3Y2x2GSJI9TbMUovJcQ
9LJ+xAr60OeTXXy9/gXZafx4Ws9mOEzKkDXq1BF9vcYw3DcRWLhSjMz31m0OmCgkEcHZqrcjvLIN
WUeY9WFQJY7QSpOgWSLM96W0izS/Fz3kVj+c9kaArBBFl7lTm+hpC4Y9pP4t8mIskbN0vWtoQSUJ
ZzjZTfjh22mmRdA8b+NRyyHd2GT2bGsIq1p0YxCXTXCCbG9CmYZJPrWi98DqVmEIVgYjDcSz+AmS
DlyZuhJZECptak9L46BQFDcbf87R7EPW2r3uGKs7BUk36DFpJkF0+N7diz5MJZmin0vvG1cmQ9CO
pmem8u66mfVjdWGH83PZyMBDBYVgz9T7jWXOG4qOzchInCaKnDTttmZi7mcb5BUDys5js4kxM2oV
iWAcYv3jnpfLnYPIUDMFWrdIChbTQQMPmD2OUO3WXdnu3BEa89eXLfq6zIkvXkF9DOVZGuP2Atus
KyNJU1qfIYx83Qj7dB/88+LTcv5ZKg3ojWY4DFouprhy+vnpugHRKrg7WLG0VGtjTPyo5eLSsdjE
3XeD/F0EfLEO7kSbCgi+uv9H2pU1x80jyV/ECJ4A+cqj2Ye6dVmS7ReGLdu875u/fhOamU80xG3s
aJ8VoWoQhUKhKitT1lnknaDCmntABvjUw7AxqG+i4yJwBcGq+Bt5AToloSP2Rp9u6/r7Ql1T+G7Z
vCrfl8RfyEtRA9tkodiExrzpY0akdKxLTZzUiR3lmIGzK/o9/NCc+rEQJmgCV+evadXSohQCqcB8
F5fYPJXDoVNLm5qeLpq9Fq2SiyHVEE+BkWEiQcaksH5Dkn0welLZwdvPs/CVu71vpoJpJkUB8pt/
KI1VbdRLxWaEBwjFUHv2Wmd5wRXQYbo0sOUvc2f/9wIkyHkwVPofo+yOWB1kU6pHSZmxRDPZl8ld
DLEaRYBW3g6RgBErMqbbNJWH7FSFJgdShoV1WFR+IU58Tw41VCIVZzmDskjwAtwMG+/meCBOb0RE
LWHTtdCxUA/deP+JqLH6/9w+mdYIoF2M/0+Ku6p9pOoXQ/ju2UwCVja4bYkNI7eCGiFjvu/csznb
yK+Rrul2/dqBi755e3FJh0DUv9qAfMMfDGQ3xDQsbBkXc/u+gdJUCsMMtmuBo5k+LHgDqWg9Rnv5
1L4UZ/rlM9/z3SQXhRtLT5RQQphv2+5m7gHOXBI/h3b6dTPbn/TdDBeFU7kBFjPJEaum7zV1wmlw
pPAPHf3rZjZPsWFi7MsEOYXFi+OZFPzwxIIcOxjGfJCoONZkPnajaOh3u8CwssPdwLFagXMCk1kA
tmJIdp9g6pFpP5KvILl2IhHT0uaqKAQQVSqrCgZ+/g4TeaTEdZXJzC3YjEjmap3dnWr3bbzyyPjC
C19+uP4lNzdsZZNboZqp4zIqsFlnkV331I702wFsJqP0dN3QG8SZTzSQJ8q6ZWomJPg418iitCBj
o2AqfNBcYhb+JA1eYFBUbKczgKcOtUanzKrbNK/QKYKkdJN6QdPbYRP9nkEDNSyXpuwcQos9tGkv
eYg7cJC/Kub42ARI5WWtua3V8KZW56My/2gS07a04izR2Omr6gTKwT1C9D5RID+Ps6eqi7co0y8V
nLh1XUNkMf1M2rpaMj9CQttWkwZplhGTgcXGaEcErezKqw+MdCzzRfWwrTtbs3DRQFRLJdqb3OPq
mmmssR8jinJY1DY/i8Xo7baZz5Ji3hlK30PcoBId981bZ22SCythIGtTV9UycO3IurwMSl7VC/Um
R/LzXfvTFNw6/4s9SzMohUqCzL+v48CIkrYZYS+2mXRYC1XFV/odzykGGgTP53Wn3TodOqitVHQU
qWXyz0QziGlQ1wpuueRJGS6D9HWofhmdiHZi24xFiAEBc/ggdx9UGq2VwVxQvR0qN08kJ6X5Sxcq
D2Yw29dXtPkF8T4Erw8xDGLwD8Q8yWopVGCrIs3vVlPRLNKOoKK61dPGUbPGMWnlAypqB8MLycmx
q4uf1vztU7+CGHg1qujXvv3Klatq4ISV8zlERcEe3O4ASho3f6KectTQbIhvRfNOG1A/BB58W5Wx
GWkW37UxzC4jCXvlvNXH/eqA/OhIT9qecQ9np/HVOGIQzze+FV7sCgM7SyT40Le2zgXZKl7IYqRv
1pHa2pqr7MkhsxWH7PJbYVrDUqNr1jhvUgCWVKOYveg0ELVZma2OMqiwnvNlQExVv4e1cjYk4Mbr
1ptbKrhQNvtIugUoGL4yvjR/ZjBmazSpvqDm+jX6htLuBcXrHR5hmD4pnMEPhZJqW6noyiDfXKFl
I+dJz57Jxg2VfUP+KnDWrbiqW+y0yCrFSBX/QdOqsxqgssF2r4Aug7GB1o75rQQ74fFNteAcOMvj
vKe/rhveygd0C58Q969iUP6oLgErkoOiC2gQwN2hwltlqWMSEY54ywxWpmvEooaOA/J32qFopM5j
EzeiEXR2WBw12joWEbyXN9rj8IeVFbaLqxMfR5EsLeBvdeOsPQy5sUskUGqnKXnOZ/XOmLNDYVQY
uoCOB0ib047uy3batfpkgxHYVcbFntJBQP2wtbGGAupm1GrBHW1wCZdalHFlhQjvo5VCJRpihgvF
eRmp9ViQ3FWl7OW/31ED85YmEiDMXfL8cW2iV00ASU43xExKWD0OifWtnmOBw25u6LsVnjZuVlNc
y0snY5THturGTqFdJGyEb5261VJ4JchOzvtunlHp7uQ7w3xpkk85zGoVLKiuHIZMNY00CasAiWZr
j37p16PNutHjHaOBqsHSXJ6mWxGt92bOv14YdxwgwKKV0Yzj0LnQcEIWjkFS3BF4DGJGyC8FHsES
JD5Yr61xx6KWwZcYa1hlXYBjBfKI0EQDgj9HgNG+R5173f+2Eo21Nc7hQSJO9Jq1J+KmszFPWeY/
Yu25z/+fDsjdd/KkTpHaImACdjYADtPtzHh/fSWbR3flHezvK++AguwYVcjEABJG13ncJ/2fkR7i
ASpdfz5jCVK1OiWorvCamaEqzUHV4cxqwSEp3R5sdtYDGFTMOBLsDnsBffAFTdMI8lqg2Pj3XysF
KmigCYab4h+TjmxWf0ij37LxKyruzDmwVdB0XF/bpj8g8BO0J9Ar4Hke87hsqgxQKdfEEcsxet3F
8uuo/1FJnwoST4EpnmIxa6wc5pC5a0B7SD9TVfXSV9CeCFa0GfveV6RxdaM6LOtWD9BYzqIna7DR
mbXN/56lC1fZygYXmXTAf+LEwr2sVXtV88bOga5wKCo+iD4YF4fUIhnSTIU3DNGDZJwjioqUEy3+
dQ/YTNcMnSooRkG22ORRk6ESykkVQUBBPk6qzeJd4iqhbdznX2S3fIzdzFEE7+LtPXo3yWLi6uxK
S6CMUNNG3Y1Jjx4s2UkNEcp+E6GyXhc7bCsjc6YvYZzgbh92s7ccjB1kaOz4gZX4hp/huYI4kuIg
AdlFT5FdPNd3lR/pQtbGzTD1z9dFKvf3ryh7wyrkEBWAybJn4HUrAu2GOwzB9mCzur6Tm/5iwDFl
ArojlWc0GaMREhkS8m6l8ZLC0frf2fBDUkST7NsOs7LDfsfqwypSiuwtzxl0Q3bCPXtIxb8lzApi
nNZub+WXz93IK4tcrFc7I5zKFm033e+fWfYde5Eb/dTwWMwxoCs6Eez4fgjDK3Oce5bJohcmRVOT
JQCtXR6BK/LRjjjMX+a9qGbD7vePxjQL3VOTtWy5U16WSVgYbHTeUJ5jzEp8BtSBAd1//j+zv9qt
qQSUsmooMP/IA5s7I/6SAFYU/b7ue5tVhbUZLrGAYkGUWRn8vAHXtLYDxb7b7Is96CV3TNLnky7x
vizOCZMKM8ZZic+mKXb7pzpUu2m/oCSIfh/B9OMg4rISbRPngpIsQ+lFRzCeYtCOmpOtzqJPyNzq
midwbjeMk57TCPD12lKfoSs9LJonZdq+0PRzkY2Yd0eHYAyd2bhXUmlntdVuBI5aMVGwGK3DXELz
cwh2SSNqxWwMS+G+w/tTQc+CmHiL/u1DUVBMiZJj8f+anGVj1+l97hsPJEIxPNqTPWglXO3XfBIx
wm52Stamuau2ATNHLsswrfvJHVO7xTw0uas8DNTt0tusttVTKNbQ3A6l7wvmDmWnZF2M9j5GXW9U
JwJmA7gNN/UZOyaIzO6gBAXWbRHZybaLvRvlTupQE2OgE3JzTdrN5nMsEnLYvHVXu8gfUUOS0yzH
u0aKglOu5HYg6c+9KRoyEn077mQadTqRPsb10MeTOwOYTeGgUx/v9E44Abkdqd8/GXcqa11vo5Hi
k7Eq4uIqdvp9QB/3rSbzJLwXRCvjDijtizpJGqSWEeYu7cREFaggl0KtPD0CGYiWvw7B0wSuSGRu
bhP0RzMDyIfG95NV22Oo7+pxfLwedzdfDKs95ZIc6EIlpZkiujOhiWKX+j1oZcQwyu038budDyW2
JCqWIMGB6Bm82AFd7N48MDrm8k48ePy/XCb/bCs/Eow7sZfz8t9tkwDjmYGrfhsAZm7s4j64iC4T
wcF7W/zqiiTtOBKywNzIOvQKgbhzIcopWMT4GNzfl8RFlEBpl3Ja8AGnnbKLqd36qZ8eglemmKlD
gOYTs35/xey3LG61qLKvY6CjkQ2SocFAVurLViWAHLDTdW1NXEBRozykPWYx3chsvFoCMQmmW6K0
f0jUl6zsveuuLtolLq6EUWsmpYzT18uHKj/XpqD7KjhKfE8+AMYWI5HIKJigaXwM/XlHdtDdFiyD
fZQPHw06WCb0Dxm0hwtZSxp1Cg3wdszH/DiDUyZIs9fOGh+uf63NZGJlhotVuiXNqVz3Mt4ZXqY9
acleV05d85Dlx8oUEnls7s3KGheGBkmnYY/3nkvAms6YPNB3cDR/8VlfLvPCnZCZZdP3CKUYeKIm
mlmc71ljZBblgNkRNNUaO8zkylYM3V7U2C0l6QSqRcvu8wA6FNbkSnV8MbT+NFTUaTD4rBfg9YnG
JHd0S7/0pfWZg7H6cZyr0nJA+1rFtQThQ4Xs1eyVYMZkftHS1+u7vEG8hVNOFcUgKN4ocKe/M7MZ
U0E6iCxRI8VI95/iQHfLqduX58CVD+Sx/AqBerCMhW7kZ+fPQPjXtrl8BWPetAPxl4zRZbbl8TkF
Cc+nBNT/XiO31WFiqnJFYYepRi8u0jG3dIq9vNMwTydyrE1PXn1QbusSyaRxygqkilZ5qL7so04X
NB0204iVCS4CzKPaahOr+NIyADIXuk0Im4AoO40afLnuHyJTXBRogEVvaqCEXUmD8IeRHiFHdqsr
rd1KyeN1U5sBZ7UqLgTEVm/QilXNTV8K77LyAHIBg+A6wJUgkvR+i8Ufgui7MV5fq+t0EhQz4k1y
aC8SVFRSr/upog5sgy0JgyT5bjw1T4B+CL7n9nNkZZh7CZXEmicTpAow3B363yGIcJf71FcPoGEB
kRAGGgBK+Hn9y24nXyuj3Bsob8qChBPrUi3mHdExS0As0JJd+lTzLCJ9aZJAtfugx+hnatOyPM2z
Jqz6bKbaqx/BRRolNQYQ/uBgMCiLCswk046Nb+oDC+9CQsHN8L6yxsWWJmyLMdEbLPnIgK/KPvsJ
KJQd+7o9gdxy3oPeDwxRokb9JkwAaa6BYr9qYJyL298aelkaVQcWa2TIIjI2rPKMuUDPuAQ77Xux
Z0370Ml3cWRPhSNS6NhMDlbmuZ3uqjbGcwZjrx0pDguYvvo+2gEc4l73qM1UZ2WG28ux1DuMr8CL
52Nz6P3hxEQE9JOIdH57E98/JreJlaqqwzKjjma1mpuEtb905V4tal9KqksyN5/BBq03j7soKqsC
/QRhXw8Cr/kDIzKDqtQD0xtqzv3pUw/d1Vfkrop5nEOzb9E76Vqvqfa9hDJyuJNRk7i+W6LPyN0X
faThLZnCTmFMthEWezOB/HcaHeJ42HU0Esxeb98Z77vG3RnTaNagZ4C5OfnTmI+RdiRjbJeWwAdF
Zrj7QgfjwJJrSOAGeuiGI9W+j9GJCCH022Hrn9XwMGW5aKB7P7EECUP5hbuccid70XzGkAb+AdFE
syh+GFz8iLs81bsU5oqvyte3rOhJd/VbCREkB2yfweLKHXvuUSg0faqt8u6QPG0g2CIaa1ZZo7L+
isn0VP2tCysuAmc0uNAh0TZJ+wjXAPuevY/ivyc5ltO9GBfGO9weoHLZ2VZlix7p26HRhFgEWqPI
+Dh/AZBYA9UaegAgIGuNSyKfR/nn9YP2NtPwMa34xwZf5aj1OdZTvGMger84llx+DavFBZLpgBE3
hPvBoyV5sWTAjBPFvNRmc1ST5m6prFMhaRkqQtElsNBIbed+b+ijqw7Sa1Qlrj5mz2Yli6B8gk/C
l0nqrtRzEMbA2UBsqhT6LlwguRzPgs+yXY6h75+FnbFVKcEcZjxk2VsyeJqdwEdtP7JT3/D+JXWW
/Rap1W2uC6NroCWnGgHS8297KkrsRI1wb7CmtNl9Cdr7xaqd65u9jUdaWeHinBUCA2zquARlnxyV
r+zlJLWoaJm2UjnZpXTHvX7pvgpTyM2IZOpoBWo65kF4UJfe9WWJt+G/I1IHhpDmpPe2vsuOxRnc
O6JravtrvtvjrinSg0XNHAuwLJSyF4EftxmprcuZ4HuKzHCb1mqzlHY662O1lY25Al/tiVPVQoak
rfLJ6utxuyYNWafPLDEcMqfMQTsEZdNotK/7xhvr1odAsLLCBZsEUl9Fi0Yr0s8SkzTTPodGdaM4
1amDPlvvBnZjl4/4BSfsn1efzIfKF0GP3ypBV34Ef3WpuIYNnVWKlMh4WgJMp/ZpBBqUkmTOWPxs
oAI6JPtJLzw5AlbEBItxDFovEmPkwvpR1PqhrLLX0jJ/ax3oAdtgdKuk8sO6tgt13iXDOVkMNAQt
TA73qHmioKshq11kj4wWwHaqFwDTMPTR61Ik362k9jpduY2zUXQUN++U96/NX5pdr1mTbOKBH6eB
bRmQ4pDvk+rHQNxRxN6ymXWsTHGhTFeDMZuAB3Sz+IYavzG2byvZ3qp+XHeg7Qfqyg53TZKwiYNJ
wZOt9dRjulfQQNJ+Ru5gz7d1jCfEm9vIAB+Iyotvd9Q1r+GS7lxLq8YMENYyAPJbeznF/y5kCtsh
7D9ds8QiwupaGMaqmDsD24bZc/W7fkQL9hSf52/6o5kB2Fz5gRO/XP+ugiBjcLFsIkPXlh2yj7J4
xiyDHr62mnfdxOYHJLIq475TCKH8aFEdK+08s/w3UZ8r8isL7sfqe6BizLj00uwLGAHH+UFgc2td
BC1WjIKh1qXwWVWUyhFJZxbVdupx9gjSxcAdMEcxZLYGKQfiict3IpucozSYIM/nDussS6+tznW5
70RXz2Y6vF4X+w0rFwmSIOuTCesimVs+x3sF2vHWrvQHe7wbTkgbvcVTzs3TG8uIL3rNb64QPE0Y
8kSNy+TBtlEfV0EMvms3LWMb5alTWUPEOFjur++ewAyPttUWiEBpFUOHN+POnEw/M6QThExFeNit
8wZ8CPIGC+M9Mg/Uqkg7p6WE5y29rTEfZuxYD2n+ltkGnjOJN59EI56bid/aInfZkjYMJYnmLIop
u2pn7FJMRy4P6q3kQx5mtEUSBFsXwdoed+3Gk4wEYgaDWrRIGINpn8kA2ufadEmMIWdk5oJ7fus2
IPiaFPUe0zR57E02TGQMU/DexORklhhW9MfgNhsOn/CPlRXuoCUpSqM1IP5u1p278iWfIjv/zGt6
vRLuoBW0pE0WsStU9uRwH6c3MzkKxRjZ9+cj/toKF35NaY4mjem6JtZTMFd2awx4Fhmu1qg2lTBj
3D8ANilILDfxZmurXGZp9ITIJEEyhpEvFJdtxS6f9EN8w1J1SNmfxLK8myd6tWOc3y8znqAyDfCQ
JrdxfCm67yPdXXeKzefHelWcr5cIi7mlZe/QhXqyJUhxO8Zit0yF1QWHO4bSy50oKgtWx0vRGNpc
KvKA1WXBWdJvw+ViDIJeqsgEVwapFrWkY6BCqnou7CE4pcl3UvuCL8hytSveyIvOjGPcz5YMn0+n
3ibqLmrtKT8HxReifGtbSKlbrgx1BkXyDRG18hvzwjXbXH4XV3HVmyOexBgnu9H92Yuc/nfu033t
BHfsXtNAimprz8CU+pEXPIhQg4LIpXMxRWkBn04wxucGv/v6Rqv8znSRzP8/vzAfVao6kGaGKGXx
n4Ig23TlR8PHiDrgT/HPz1gDZRIaugBDGvx8MGb9p1lhMcy4ndDlUwC6jJ3lyDLJzBcdgu2oYshg
HzEN3Kh8Hz7TMAM/d1gbfRz/QDHdy1Cl63fBI97/XrYXv+dY0PjgMiuDXFCxhlRPOoozIUepK+vH
yLqfQdC7kMus/wpEV+mmgxhQikatjHEocVs349KRaFFj64rYnkH43YduJT22xmdO+soOdyUsVpjV
EaSD3DrckegCZuRYfrruGKKlcPEfyjOtVVfICkoFHHjmt3R+wciUPYhe/dshebUWboeGiKbqnMEl
RmfZMQ2rZAeGU5zmIzrbX8sdhkwc5VH79ZnlUQawxIDxB8awaQY2qCRIHxOG3Tyk4FoZH6dUYGU7
lyMYvsd0MR4ZfGerieaiT1kXgZ1lNbXjY7ePHYrUUbUJxv6EMp6bd8DKIAvfq9x/qdQIpQrk/lFB
/VQeMXoaY/tKAW3ppneszHCRGAA4K8oCVqqh4HP71dSxI5knVThXsvmkR6bxzwfkQm6sKyVJGD1q
RMPffWfeB133w5I1vy9Se5rS2xAj9qY2IU15pLT8vejTF0t/laj6ojfTjVTcxUKs5WbCjCwCU6k6
Ol8fiuJ0IIGS4Wi049NSfB1BuZ9qP/v8UDaC23b7KQfvJBrcBzVZ7hR2IdETVUJtnHVGu68jpmAp
ZCO7UxPa9dl0FWge7pIjmipQ/XSVbyKM0Wb4XNnnDmcQ5VlnNDgmtWndhBQCfQpJjlpae5ZUnJpJ
c4c6FvjWtgu/r5nL0bJKsvTQwufNNMcK7uX4aRLNFgtM8EiGINWlmE4qaviWrxm3qrTTxm/XAwxz
zA8Xz/uX4xmPKlpTjL4jRCfTKUnP07i//v83q6WE8SOA0wO8z3xF25CXpA4HPExHjI+BTwnUWz8Y
QjR6NLziOTv17uxmXgR5+v6m3EmucRCTs25i1Nc/gruIMgOCZUuR4nql2iWKICgFatayDH5ppWlP
leSmWbFTaWMnETkthdq4U3VTLfqvJAu/KNOEdhm1+6Tbzd0sEnnfhI0gsVE1cLtQaNlzQWoGYAPy
oHhIy8cSfellX/2kKWZZMdJnA8V+Jl7g5QIQ2uaBWdnk41WqF0EP6JzbtApoum9qK7QbMJ6A5gCT
zYHglbYZiVbWmJ+voj0o/9pFZRn/0pyXxs/iw9ge5MafREzKm2iY9bfkNrorxspqu5IxD2MSE0AU
dPnvdDe5ZPtxbwkiwObtsloWF/XSqGg6c8GylA53JpRPXcgZ3CAoeFEcuNfP0eY5Ba0JVYjOSLy4
R1Nj0KaScmwY0e6j8tjqT9f///Za3v8/dyG3MpivzRH8O6R7rdqXJPen4QFgSfu6mc2ItloG5+sN
pWEQqPB12vmT6hjRbdg9XjexnbyvbHC+LWXBqJslChGdu+ygyrVHSfG03E9QPuv88FHafQbKAmoW
RaYYkwU4iLsJDFOLUVZHVT2aHwf5RSLHpEc1IroJSSM4SZvb9G6Kb/t04RQRo8ecLETxSupI5XGk
+1EVOMPmLq2scM7WRbFO+3AGC4yOHpIS+VINNbe88gQ7xZzqw+WzssM5Xd+Swex6HKBpJ70W0GBY
7heMCWoepLRdEXxqM+StjHGuF03GqAWsIyFbdwpmlOoMwyf3rXZJgx8kFj4h2ezmx7XpKGkZ4HMg
bxnjKuYZSy+ndIRT1MPwCG1TfzYzL69lO64iyAGAIgwqLJUZOFEuIkTdvnOBIf+PbS4dkowRY1EJ
ZhbQkbuoP1Jk84yYrL9hpyD18t/EZddLDpiJcaf6iWcdBkFesd0psRRdweAfevV816JXIKiY6hkT
aTD3A+pXjfGniJHo09qeYgxNmZFDE3NXzMmLwK2Ye3749CvTXAAIoizuhxA7PYXWRbHSnyENHSRT
J7mErpUBYVKAu0lH7GLSoM+pCuxvntGVeXa6VjvfqkYfpRZCdavfj9pjExdONwHWg16qYKEssPAL
BUrABCMciAIx2Pu3JapmkQ4qEmAvzuB17u3yh+5AERGTPiCV/oMmpi99B83ZUWUDaYIYsbXKlW0e
DmPQuI5UVVtcQLB3UVj5lfkjXDoP/Bi768vcikZrS1w00jozyDVWrbB6vCVU8JYN3Xc1EUYj0Yr4
aASBC2KoJVifn3qPTfZBoOV2ACObhibp7GK83suEHN2bGct6dVxYWqIMg1+YXcHTe0ShMPUUaoM+
Au8lJEq+iDRoKxNbW+OORj8xGlBGGgvCZHuWDoAvJfOBYlBb4B6bJYW1Je4UkLCU5KpD/BuDwak7
zIJWu2J57KnfFjadbhdwmRW3UQjN2q/dIMjMhNbZXq/OYIjAoyUdQsC/lJgw/us30E4LbCZFbwnv
lk0XxQNDJhYBLojPABqtSOQmhouGiq/TZ0z0LcVnTsG7Cf7m15q0n6G4CUDp+AKk7BQfcmF3e+s+
Rgr4n2XwWIs4Ip2WhwA4t97komrnpE8EHLEMMo+v9uX6sd50xZUx7rgZC8nGHqPTbhr0bg1HCaFG
ZkS/VGiOVYPlXbcm2CH+OpJJn0dhWWG+VY3tMbWHFLTuojLEZuq5/oDc8TK7qK5zNOxd65FVqVMv
uf1XIY2RTOc7MRGz0CJ3zFSKpttkJmzmINxnAMnY5q/slN4MngYgfAq05c1/L/WL/hZI3SnoOk1D
4TEQFRhB9WrE2apar9WPZX1PysP13dqOiisb3PkFM0as1SMOVPAdUndoZncv5k3nTc+dUz2JYDGb
gX9ljHnqKliU1qCbtTmgs2w9FSoyhGPQAD4lQqBvOvzKDJeVWQZZVI2gqQcZKlfbMVbDwO0vyMcA
l5yc/EuyB2FF9iTCionsclnCrHRmoitYHo1vlvEyKjulfSjmgyri6hYY4rEOoBGiuabBMbJ0J5un
aPo1qF8aDRJYgtCxmfe8f0meXaxQsqkcG8QpK4aSV/8z1Ay7Xi6D4ZLpMoX3NH4W+CO7hT9kWiuL
XLDKgjhsqYXoq/v6Hwt0EowPfHTTu38J4IgKJpseaeEe0SkD/FhcUgB4RxQEJtxfLp6T1LSH4VUq
ZjsVnrOtVwqohHWcYgXEUnwnSJljaO1k6uKa5wrDHtKFnuvD/4W+eOv1tTbEHWiiz2hJvmEQyuda
PQ3ktYyeR92p1ZfxU8ITa2PcgYYXxnQZWU61lOeyWuyiwlDEJKrJbLnh2gx3oJUsrTvQEwIFjvl6
hKg9xB7xdBVh6TaR52s73AGeyrLUphx28j/xDC6D2VPPxUH3Sr/Zt5DUKk7Zy3jXuhTqzvNN52DQ
TNDs3fLH1S/gk321KqZasRjWJxsvg1zcAmjr6qQ+DKCIFRy1rSRkbYtL92uCW3qY8LCoUL5huvUp
qvl+B1KPBvSg+c/r5kQr4w52X0gFUh64yhTc5tmpmV0ZM5epoNy6eU2vF8Ud6GGkYyIb2MLo0Bya
R2h2YvRjvgVdyU4+BZdmJ1rXZga8tsilIq0ZlmHQF2iYd368l8/ZTrrMdzrqygSz+LexkGh1swe2
tsilIpo+zgFq6wDGZGiRDgcNCWRwaE7Tw3QcPDYXF+27M940gmSfrYSPzWu7XGjRrUppOopg2bfm
LssIOMAVgVNuZY/gkgdpLXjQqM73Rwc6h7nO/L+bIJigPxl97pNxcK/74mabYm2Gc8YyWEJw5uIL
Ni6mte3mIN3qXvKIag1g2BneLukucJ41Oxb2YzePwWqBnH8yPdSF4RTdngYO7fOzEWgHdO/tKH+5
vsitJGG9Rs4vc4gNd2iVgo8FmkrFfizcMEptafHmTAQdF+0a55DjQCKSqcDBGMqfQu3sFqPOytfr
yxF9OM75wmyqazDxIhmWiaOHjrQ8UQBK9U9Jk6y/G3enyRRq4H2OQDXsAl+5gX4NJqvigwbmW4h4
MO0//UI+I8e2NsrdcHKfJOWQwu+jPvIM0tsJlRzN1O8TathLlXj69Of699yOWytP5C47oo1dkbG4
hXFlwzZBwy151V6/NfzZxeMdc73XDQqchH9Xx0k8m22ArDxVv+nVDzm4HYRQ2c0r7X1N/Lu6yocl
7Vr4PMOOqI7uGFDBpA7jEBme6OH6gjaRKqtN4yf9QE41dRZ7Z4DA2yOYxGvRnMJ0Qb8zbyfEYTyh
HOlOSMa1mQ2tFsmFkKiTgxIQAHBEglf4lQLvz+ZigDy7D27NmyqzGVaLQk0l8BhCTLBo9t8/XAIr
61xYUTqaUkjOALD+J74ABuqmx2bfePlgaw7j/jed6wZFbsPFFpoBHm+WiCj9cm4qt8+/1SKUFvvJ
15bEhZY2Ane5kSJ8Jbp0lo3wJDxsm0n56qNxMWVqoDVDG8SUiuy72NOL3I4Al+xjL1f3Svft+icT
RH6DCya5RfUMKmwLihSHMXm1uqeZfo+TQyHtrxva7KivTwAXQ8whLoaoR5XzDXMge4U7IPoniJSS
z1KfBLxKwJALkjzBVUDYW2tVRoC+/NjpesyIX+8toHnASGRP5K4R6S0K/IJwCbJcDVOv9biro7o4
BRm1JS0S1CpES+ESkTg0y3i0JJRf5r3U7U3k3sBFEMGrYrNHtNonwoWMOSS40xJcLxImZRv5S1i2
dmHNngQZTmrWfjLN5zEPd0o0eNddhDu+qHBqBuQWkc2BShnTq5xlEkZqlhpAp5P51lR3StaCbP7+
ug0+6f9ghDvARtVJxSj10LO5ZzMZISZccqfaV97izDeqHXmiQhb/QT9Y5A60llVVoWK17rKAbxXz
1+OR4PORLwH5GUKbAKQVwk3kLjfeJv82LFCBLMjUaDhss4PLzVP2+oGAa0XxZCHlI+eYvDGV+6Tg
Qw0sYL00YGR3cvilMsAOrDpUer2+ddwR+2CG+46KmZHJNLBzZRz5amzujbJwr5sQeKDGRcMQI5u9
Pi0aMm4IDDxXsSPrArIGkTtoXBxs07EaQc3CtgY63Ae2MQygDXaDw/XF8DkH/8EIvxoFteJYVqFi
NNsM/cdo0grGxPSCflrxPHlMzjSXbfm/C1Qf7HIrDOehn8GJormBUdqGClCE8TBKoZv5ggVubpfF
ps5NxAzCqy32uZwWVTXD8fwClXZlH56j22RnHoJ98MhIZRXkdt8ERlkUWmUA/1rdu1GNuenqRmnn
3BrMFl+V6agDaOhGbvgEqhuPNQehsftw3Z5gjRp3uMZ5TIB5K+EuxV3SR7ZhOtUguJvZhlxZEp8K
p1XEyIDhkv8dJ+XHOKFDXwaIOgOTihrlafkziQYjZV8OwF8FrL8oskQeEekEbzzYMV1EoZcEQRtd
U/g5gdmIAx0qHYx7Gt0X0MFKNivnM8833dAPHkHzYGu/gwdhpP+YTP1tmTtwvZVEbRu3OpL85gDS
hR1zj24/AeDBmDDzW0Z827+IaN02UitmFwOTugyor8lzyk1zJmV9CGVA+V6NwOaXH6Md8HU/Bi8G
gQn4nP8PT7SNbtDfRrlzUAKNFDcJZZzb7Bwwgm/t0rzxiWS+KI3jTgG28W9j7O+rQ6ePSqCklqS6
SfHNCr4umCQTobi2N+/9I3IHLRiaPh9DzCib7U1TYL+Mkx7YpfqUisYj+Bzkw2q4myyso7Eru39u
5wh87JLX2Tlkb+W9iJtjg3Hw72/HeSVYUaIqVEDo1HoD4vEuQ4BEo/qMWQKnAz0WwSOwvG1/tvt7
Ebxr0zMR6ilUisCU/kFBsInGPiANPNM8m77mZrf0IT9jsiB1GAv1dE7d5HcvOg9sQatw9vZ5V0Z5
DT8zNpYSAuiaS8kT5HAbayeBXT8xduZyY01fr8fnt87qNWtc5p+ElgmB6Ux3MzLbEQif0nC870Cl
EcnVHuhiG2zuN8UMGRyrOdbA1WlBeA6hnpBYqaOY8x9UNu04rO70dHDNJkSlNqhs0Gi/JBTcEfHy
MMSG380YCEqkB70qXMnQHyLlf0j7rua4daXbX8QqkgDTK+PMaEbRkiy/sByZc+avvwvy+awRNCbu
OX5w7YddNS2A3Y2Oay17PQ7tnGLfvO3cfAQXpFHZTVcFUxP6kfK1isYvuhHbfVYeiQnw6Cnx6ggg
VOvPbNDcNsqdPn0G2uCOrqq39hP4uZevTRsRW277n/mkeckaes0cOWCTM2hyo+nTTS/XeNfruzUJ
T0YHzpFVXQxsikSTrcXNjUrB8zNk16UCx1PqTpF/iRfrGOqPCztzNmWpTeLFH7r2lmUSZVa6oZ7Y
hUF3MppCSZcdcmk8DdX8ZftDXXRY52rB5U+KpDdyk0r0P9DTHQNC8nT3Nx2YCJXyksM6F8blMl0W
y3Hb1BpwtO10+plI/kpEMGPce/pBzzkPPGaGMesZOMz7SNqrU+Jks7oD0r2bxIKgh/0Sp+Oqjh0S
8BQDTB4J2nv3G5EunRINEX4nHyTjU5JptuDjXPC+7yRwDj5d83mVKoQgahAGgyftGFUk4yQoHOmR
fpqd5lOOhXnR2MQFV3EulncVHe1mGnb4TJZij3Hq6cX9aFxF848VGC2maND6Qh1VhziQPYO+B2gV
fAQ0xDJRSktDmy6orgtv3tVXoZ8EK4CyGWhEIWpZX/K/7wRyvj8ZUkWLJZm6WVQ+WBIaFwRBahYe
444+qZLWOc1kOhLqkr0x7IkegUptkRwzLU6Ztga5kheu4Eszf/hRl97ugMsOVHkeqxi4AdiqrFCH
eVmLz3nVudrS5W6Z6q6aoTwoy44UP1fTmngC8Vz4zozm/Eb4gtCiRSM47/DMNx7DqWwC655cU5eR
UNQBSW0RxNsrptfGefnKEJa9ACNu5NprvifZjHyFIVUrXnsSNaX53PI/h7PAa4EBX9OknJ0W+qCY
cQErMgYNZAGp3fVfs2zxifRUpd+n+WeBdZqRhAJ83AvODnf6JpZzRNIAirIcuM/Y697l9UNZH6tO
kFOKRHAhU2XFEaApEw1LQYxrrXZlc/bWLPS31eOyo3s7CWcvGcGbO8YoQc3R4CZW/lCNjeCy/mKT
f2RonAF0aypHY4nobwZPE1KEEk90b9dXhlM+sfWi5GZ+nK5EXBWCC+TVkJYYi5CijLiLHGAyzVhO
8SI42YX36FwNdP6BbZK0b0sUaPrkcZqdQYltE0yimkDMpYccw9WKZaigQENwxekCEBvjtSUj1M1U
fhlwF7Uc2zKairYSS0FWKM+Ijm6o3rp6jJndUjpStf21rShcyvxqaed/A6coSko6upAEKKkoPGSH
LJj8/x8o7UtXeiaG50aLpXBtY6AGQu1BZthLzmjlASGqU2EdbvtEIlHc14sSPSnX0cIERHFldQ89
ag2S5lPUzLflXHrpz4/E+agaIPdjJoXUbZQc7Mn0VPSZXcmd26SNWxn147a4C8APjJz9j7bw9Zps
ktslL1vqFvbiEH9+qG/CW32f+tius7wOdEfJ5/6U3ll79T59FOUil6oR78QzuzzLXEmqScVAETrR
YHpC7TIYTd845VdGIB9lW3KtY3yadv3L/wdgguiLsv9/Jjqfc/BIRbBHzZadBMNQxc/ldgBElTO5
4A0Mll3zTD7pi0CRLnma8wvnzNPMDTKoJUyjoX6V74x6tk1s/29/VpEQzv6sHpD9NfM1WPQd1a8A
SKfVP/oZvlK7Dmanpz2itRC512tFZ77Srutfql+46UH0eF96egxGBAfOYrAD8B3ivANDgqY2YJpe
bwdyO2nB9o1d1oa33+fsDguzRo8QW3NT9IKxdLNbQkylNZmvlr2zLeriE3d+FnbWM82rjVYquj76
HfMwDihNto3r0cHT7dcHye12ZSAiDL+sEW/n4wxtZjAK84L7qwwXMaazQJwxC9RO9JE4k1rDlsZ6
jFqKvuxW5eskCdqVokNwtjM0zVCYIz6SnB6U+KgrP5v5afvjXPa/b/fEWY66Zo2FrWmCYK3ZkQUs
eXHoLaX+Kad9QIb187Y40Y1x0Y6qh5iSzFC/LgvJQ9Z/DPPe2xbxl4Dgz5H4mB6gN2E6NMjsGVKG
7rACV+gP7uphtdRVBA1Sdj98PH+m23zKWFfhohgKhGG91FmGBUgS/VVC8ptIr44ZMD3r2fy2fUCB
6RpciUnWTUS+ErRuGFdbzxg3F8ouL/UkaI4KVMNQ35ttNauNuejIhsnnrvSsabFRkVmHl06YlzJn
s3WJnDNqY6MA9+BrUqQApa50Z0wUUay1qD623U/6/b9dIOePzF6plmwpcLDG7dtABtizbi+iB0Og
6gbngRYD3Gb1Csuqqts4uaGSu32Ki6nkuepx3keXgAgblili+ENyT9zokDnTd9nXMIL4308Esqjp
j0nx4CFjagB8Jm00dxiAbpYUB2NGeTBMAqV9knJF8H0Ebs/gfJKRNdXQFUjKC0wIyd9U60aNXrYv
b9tsjdc47exJQsGBaFGOrCu0vDE7pvUhjWC6R9DozvRhW9a2vaIl896OhnVa8liCuhmlDVj3JQmm
3pOFedC2EYFY6b2YXImnbNXgWsfvjW5TL/kSnchpyZ3whjiyXT+OIsLa7e8E6Kv3EiVigc8rwRub
avddeV8OR8sQOHPB3b3O3Z99J6ss9HjQUcLoNWKXAI0BYvq+WBS71KX99me6MMN/ruTG68r2mayM
lP2sJQgih4Ou2cZgZ9dTwIiwlGAF9yqAvvvdcouSmEuczC2dMUh8InhOROflXFPXFQWARmDTY7Rc
pzXxjLpyJjQtRWxsIkGcd5KkQrWGBBcLH5gCxji9UrNjPQnQxQRvMVL09yqitQCuqS3ofu/OIHhE
e9wvHOPE/LqYVPayPqLQReGpGA7Ye2H4oktYlCjXmM3XrsSc+Z4ibd3WkotFNQPoHv8nhHsVCYBE
ACiCfIZRVo77BDOMrHwnX4kyANFpuEfRHMdkzRvkG6kZmOgWrJKXpk/bp7msBW+H4dRt0MIafFno
GSShN2muhP332nqAo3e25YjOwmlbONdWM+VEdSMMXuexZqfrjYQzbUsRfhtO2/oZwxFFuSJFU0cM
Ez6VmFGjpxq79tns1NW1Mbg0zwRn+8s7/HaJXJQuLd1okRat798UJRUAxQB7OHsIXYJF1JcW3ST3
No4KkQpaQf0K9U7prusyyNP/Ket4Ow/3XhlFgbXsESJC8zlVbKO4RkFe8KWYKX6M+P7I4MNmuVVN
oy0m6k7FL+1nlO4NK+hLTBFejQqmZ6zrAvsUefNfr6EwD/8mlXMQY6rkqrLqqLVKh8h8mtpnwbGY
8W8di3MOFCwioZmgrDr7s8u4Vazr9qpD8qH72AsR6QL7EFvSOA9B0mWK24LCFZm5vdLdXGD9JPrV
0Nu+9Kh2kzX/5Uzmf+qcbxfI+Qu1LpYkLSQUc9adpnpqfJ2JElL2E1uH4lwFLXslHEaTuq30Zawf
5FDgJC4gr7xXAs5JTIua1FIb/p5UkewScKXx7XJQsO3LOoyWUwUW5hGkwl0+K44GSIlITH8u0n/O
Z9RyZ3QTUxQ2LvNKi30r37xmO4EIAkukJZzHGGJjoQaFqZUUhIi3zfSSFj+k7ArNfNm0ZSIC5RbJ
49yHVSSZqjdgsujl72V+JJLhVOY+G29jvXZWC4NPtSRwwQKnyIPwZUksa32H2xxHy15HX9NfmujL
tm1fzhj+qD6P7kXjea61ErUYIHRn2RPGoCN6u2JcXa4xkR9sC/tL3PQmjXMk4EwvdWOAaU+HycN0
vD/u1ntqGwcKuGxRU1JgcibnR/qOqIsC0h53DL+tRWLPVPQyiz4Q5zcGQxpLuddUNitit3j/ixa4
O7t/vDTOdcRjNHXqGEHzXMXPX8gudBMHe+coPN+Y1/89hPM7P2JyfgQoaVNt5qj8qCC0AhQhRjuA
YyQEGhd9HM5TtGU7lLRCNzXXAVMaNY9SVAm6qaK4yeRcBMiGB5Oy9B5zQz4AdG8krXclSdnVYNp1
Yg3DumBD14iEsalIkCKI7IpzFxUth0buMMtXtpqr6s5A0JfBYJr+Mue3wrE+UbD2AQChx4p9lyLJ
G/30dgiKIPS1Q+Wy3oto/0h0rTwGgpLo80SBuOlSYt0spXIlLY1XKc/YOgCDD8JDEDmxzfoZxWmB
KQgMzuL8RzqqSb/OuNVqcdgeOoM1pz8QJQC7ja3poa/sihIWQTLBIyLQxKrSRcGk7YDvF80vBX2O
M+ok3exun050OM6bADkgxsQ8ijdjfL/Sm2a6SudP2yJEZ+FcyWTSSskypJLdulNCt4jum9GJRGgc
/Ew+H09ZnA+ZpSpq5Op1GFPx05cuCIEQUJzAa/2g21YQOeUX8qL92D6b6HHhiUjWRpoWEpesCUn8
5i7y+p1+zL+yJDZ01loQcAkPyXkXGQWcsK7xcrJYh4E9xq56ywaEe7v1FrdyKyBP7TJRLM60YCOQ
tDjHAhgtS5MITACIVq3dQPddRgQrOdV3XUERp71OvX8zASpzNThDT2hDMXHqjvrjCEtLbvrlxhpc
wQfcjh6pzOUxvWWUCfDI8WCT6MGYRmfudT9ZZb/LyY/FSO2im7xhSJ6zgvxaCtHs5Lb9UZlzLqay
rsbQKBBvjJ6a/Vzm1JdLEZy7SAoXlajS0hadARPMBuI18ujXxuAt1PS3L5O9n39XEyozNTqr+iXx
NIWriWJzqX8Py94fYreOd0YH+EFZ4JVFojinEubmEHcDwVRj6VV6Yxfhz5YBbxMnKUWxENO0D8fC
9D8FN4IOECju9kIKqPOCdatNoGjp7fc0/NRnJ136sir7uHJC4gzC/feL5zuTyV0llQD1L7WoKUq9
0wM+qfDQy3lFOqwNm9Hurd4Y1CcrtUV2d3GUki07/N9xuauNcsy0JxOaLajdYs+DcU9QF3Vbhzi5
Z7mied6Lz8OZOM5vK0RvSY6JH3B2/EDinfQYLIpu8SFEvvOiEZwJYld+pp2tRZdBGzIsQTaZnY8t
PiXBssPXcgo9s/kRGqpf0s6jyrcqAfKROQTVdCjlzqnjWBTEXx5eeftj+Ad+sAw5rlu06ayHfi8/
xv7wWAUo52JLHohZL+p3LCxcqbG/iHfHL3q8M9GcanUJwtOYDVBPzuyS4+/9RQOLcvGB3m87hEv7
GOqZLlmcLhlt2Q00RQ2+dU3Njl8wj++NIC9HIju4QHHzpBeRPl0OFc/OxylUIudRRSyEpTVYyVEu
l8wHOrhtelxUHwDnYFX8tMyCaphAt/gwQJn7PmoL6JYE+JlhtLXaX0SDmheLAX/OhR2s9/qbYtdV
TtIU+lspnt5nO1Uz9/msfR5lzB0pX7oxduKkeRB8QvYC/d37KXzbiK5JXa85PiGGKjFAHoy7zm+v
Bl8K5kDMDLN9kSCse3/IYpK1WrPg9zKz8sequE8zrDBM9Y/tUzEd3zoUZwOhUYAnJoH5DdW1VA0v
UZg/b0sQuFFF5VW/HvtZKqESeG33yyn1jXt5r53YonCM/E9ICi0SyHNAyaUaR5TAb5fHfm98m68G
NIqc6PZV3otBhAPYgm/Fz0QP9ZQ3M5yoW8hOPh2nxiulQHCL26+DwpM7jbRVjLLGh2Jz/eitHEzD
U/dKALozR7WjB9WGjSuOqCAhOhr38ZIyw8pamWMaCWQ3tZMU90X8v7QG3syZcm6qVqVQR8kZHbaR
7Iux22XGEGjV1+0LvFgSUOEJwOxEP9L6mWVbEbWBUmhAB9GuCX3Ki88NmhBGKdmNqHGuXby3M3Gc
XcUhNeNJmbCC0CAvjyzftMCOlWTf4piAPjcJ9BJgT1rlN2PiaUrlLJkSkIL6KzVTmyrdaa17P6fN
3sziU9QXfhcad6AFsdO5xD/stjWrY7a1Q5L+UGrLAVOgXtf1vhXK/izN9qIZgbp8X5E3W9l3s2hP
hrX6bavbcmPWdjK2Dhomqb3kk00ZQfkoR/tu1nZJaD2Y82ds1dl9Iqd2XY7XxBxtiyb7sIoX7NYq
tk5Enkh0Y5ymkSTu4n7Cja2RV814G5UA622C2OeiFZ19Fk7XtMQsMSlGMYGsYuXMcGJgPA+3NBXU
n0Rn4SOsGjSj4FyG814c2E6kHJdaMDoqOgmXAIfKAgIv1tRPlH0H2sWqPWnlV4O422ZzOa8/uzEu
411SSR4XFXk9IAjrfeHFfn3VPo8H2c+99Itov1lwcTwNYU96tR30jLoS1v/CF0q/z5Forldwc5QL
H3rwrVkTon63yu1kfqE9DGRyK1zl9tWJ5LB44izMjhRKwhTEM+j63BTNMU8+lcpuygWqJvpA/OOT
ESASaQNqufpp8FiWYt7OskPZRAmQgHvRfI7oVJxj69NyLtIRs/V6cUtR14nUH1LhhQoRWOqlnWLV
eFM8nkBIok1cdRoUT9rph9hJfYCfBQV1rfsWmJBGwJapzOv8VAFHUb3f/nSXQ+cz4ewWzr5dqdEE
CK1o/gDrE9szddB0YFKgI5rJOZZgAeEiN9eWaTrRsFJBRi+yAc55yEY0o9+LLQlJ/w4aqF2Ntcva
CgUBheg7cv5Ds4ayzhY0g8YEE1YG2JC8Nd8bvaDDJToM5z7MZCrqpINXT0gfSHJ+lTSNo2FtTPDB
2KV8iGPfPpjGFck0qyrCCMA/CI/6vbYrTtbgj4f4ObdZuzXztdvuW/Os3A6RQPLFZORMMOdN8nKS
h6ZCRZAG7b5DUkDAnlf4InQ3QfjCj+6jEiZLc4t65yz5YJTOSrCbtl9y83pABG2YovkTZsVb18ll
H+GwJs3YIaLNs8cCS1bL9GP7g4mujXMjS2Q0Y7iiSM2Wmxhn9W9YB1ENR3RtTD3P7Dgsi6EPsX+O
ibTdkj5ZBCGRp3fY5yJAm1dFKSL72FvXxrmNvlCWVR1eJ9NGl3Xgo4O6r/aVi10EQdR8uaJwpnic
mwipFvap9JoQ9Pvc13aRlznAd3BkgHGAdkQ4lS76ZJzHQGcyHjMZKpju2aZP+wp7LO/+MQTgdxfb
fJSGumeajt2B6Bi2N1Lz+E/Kxw/zp3pspNaIAkK8Nw/Krr/6h826ty/Ejw7qWSlheR7KN/aHUQvm
tLOBfK0CxmD7OKLXit+K7OJcCRcdxmQp6MHpdtLYQE0YPGAUNvRZ6QcnXwRhx+Wdt7PDcR4iKspJ
jRvIVIPZlbD3Vu3SgLGvAcDZX9GFuWpcEEgclcAKxmvAyQkKTQJt1DkHQssMO+crvqEkERAL2eNz
AzxZDLaa3Y0+PQ9rJrpldqIN49Y5XyI13aipOarf2g2QWDF2CsCfK93ujtizdiJs2W1/1YsvJ1oH
mq4CrI7w4pSok5pRQaDVt9hmikIwtAEcoaoFccAFDk+MHJzJ4XxWHLZhOLPZU0ZPgE6a3ezyvQbK
xlPk1VfWSTuFD9mRcY9Xfu2Mqbt9zItxyJl4zo11+Wh0WgE9CpPE7rAj1CydHec/06b79m+SOP81
AHktknXU1yflVMSHtPouq149VCI9udglOTsR09yzNyceSaYRtr2TkthOZV/PDlrmjO2xlU+LeZDr
0yqarnzFWfugm28y+dHHVkmalFqosa1LFkTFdF2Wja0V4Ik35yu5nidbNcvbeX2y+ujaLMynfAWQ
L2i5CFaaE6SPNCkf6umXYfT+bKHLMuV2IWWfCwMkYVp9XEnth2u567PcSyrtUNSGF7Wxn1rf5Kba
rw0wZZLIBw3E1zGURntMsrsulJ7VLgXVb/mZLJ/DqrLjJH6e1vy7RCfPpIVlS0p0QtXWprrph2Xl
yLNlVwToMPHXyupv2j57pDl9ieVfbVk6UkoecrPzpBC4Mi2S3elGTdHynQny0jK6jaPuk16EN1EX
CiD1BMbIr0eVeRiFWY9qbARCvNI1stNQ3G2r5+Wy5dk3VN/rDaIUY6o06Gfvyo4MAPx1J10nwQjw
0tzLf2q3Anns97Z0hvPgrV5m2BLVmLwRHvyVM3OP/CoovciPBe8Fc8dbwjh3XSiaanUhAkpretal
QMsF5ZCL8f/Z5XHOuRmMKUxBHuMW7X1Xg+oHvYd+OCorjE10caKzcB5TzRcTFIaQRYP0luF7hKge
2AQZqXoFjqmdmDZbcDqTcymjoeR00hATheWtkfqNftTb/SK5GJrdVoqLr+rbNfKTTEO7zNJr++Y3
tcVvzIE2EIXll8c3zuRwWVOrEx29DIRGNJiP6acMFEahGx7T1u7c6ajuMIHgLjsRFI/gGvkBJllp
NdkcMRKWx4+afMQ4k50wcKi69yblcfsmL2/+nB2RM6/eMNFZYZ0wbKOCWSL2SA3YJE3eV2W2BlEC
pGyzds21caJSv66GyZ4iYBGt5Ir2n8ZcfmmthwjFwyoc7lfNcjHz5U+J4ebL3AueLNG98MY5krJe
2F74hNEqqcPYR5W6lTbZUfFlWGqBKxD4Ur4VqteVtKQMrgB4nUvy3QJUuIgPWHQgzkIVcG5kKZsO
6sogJo81Zg2XYyKjKF6JFtFFp2F/ytlrj2c3VFTWQJNzl6Q3s7wDRcq2KgmthYtcumWx+oxhY6kB
NlkzL/oia45yXeyTFzZjGDrYCPkhCrAvps5n+sv5nL4e5UFvcDAV0wGjfKykH7IejEhi1PXYk+ft
M25f44chpzSO0nWqsUWRgbqzc9rwFmNA2yK2lYLyJZTYqPU6Y9YflYndAJBQ34XozWhXWelsS7pc
k/1zd5RnnWsbuTcBNvV7Og2cs56eYlZlduJdircVIZdAnuD2NM6Ah0iXE8VCBVsN2uN67EASAf6V
1hkBCoohWMAh5E4qghrbVhDK47qPdUbqAlD1Lpnae0JqT1vq60ilPp1H0IkTe8lEa/jbyQLlawMr
jdvcZJjToxlocJ7kugqDORLEEtuPIPb+3pu02U6SSWRIaapbabgOJc8igxOBj324XorAFNXCBIrJ
1wnMpLBqyUKxOUsfhhT8YhIiQNku171U3G9rikBRPlQK5EZlm8PoxVv7dvQX+UlDS/HfZHAP30Di
cVwNKOO69k6KjVf8hwjHFdXNgBIAze8/Eo2pZBUYfEMNJwwwk7EbMfjJpltr5OIiQCGB3vG5+Bxr
9dowTI44OVLgWgLrs0p91XjZvjlBLk517t2q2zVvAWDB0Kb1Q+lmd6arYU9D8pB5gcGp26dAj88d
EHP70U0jqCiKdIN7yZLM0BvCjKuaAZIQOdpSut3/hD7y5hl5wHCdVKU1K1DAoslP7Zza46SfUrMV
6CD7+n9PN6jOPV6zjF1kqiCi0btjvnybBkEOcNlFEADOEWqAHYqLX9dMSZeqRm8PMJXUeqh1w1YA
QtS1rpL4jXRoFBE88V/elDeRzCDOAg1NoV0zKIhp5MMrSTFeExf7V6aDpVDEysJlbtEROTPuVikN
YwTq7qAbHs2epMZ0pnb+1Gt3ZlMeJq3zl1wRfLcLZGKsGvV2Ss6sh6Q0Jb1dWddv9fMfr0mpm1T2
muIxY4sGrUNlO3cwRrcKZF/W/zfR7P+fXXCc94Vl6TjwWryA2+BmnQjWyqLdto2LpHAmbrVyDlIg
YIU1WIpSofjregPKi20hl5sDZ9fI2bJqhQBBYzDhI+pBYaQexn5ygNaLAmJ4TcGKaK2zN6f6XT/F
n/N6PdbYwWmbFOMptSv4W5hifrTFt3vlotekqetUXnUVAM1suT33Q1e+lfdYm0afbBZFJZct/00a
Z/mlIZUVKsEU/ApXYbgfh/+pEvTn9/lGo2lG7dQyuNMaVBRN3+5zs9mNmqhYeTkmeBPDOZg5yaqp
HKAmSewsllMvyXUFnSeAYu5MkbYIvhAfGfekSjARjIJGfozugd4NvgH9B4Mr7R4kkOZs64PoZJxf
qdIQ04AJ+vomRZxa/ehaJ5xkz0RUbA0v27Iuv9tvt8h5EzwAE2i+Stxia7eJa0iVHQ6OAr6jbTkC
pXudBjtzHcUQN7GlU9VVMVarthgomQUxqcBtaJzb0Dtl1sYeEOBqd5zybw32a0TUkaLL4nzGNKxr
LrPGW24G4QwOozqY5Fulp4LLEsnh/MFUzFTvR2DKAIjc6nZD5Vfzwyjys38pp759e84RNCq25KwF
Yz6sr0GdGHwQtumO4EoF7vI30CR4/6QDfNaw1EMKIi0VWUOIFd4FiEYCZRYYDp8myKYBQy2hzHVu
3HV0uCqGcl+2md+atWPJsuA8l9O7P/fHpwq1bGJEsGvwhICBTHNS5baZP5God0yyk2R/+/IutxPf
Hiwe/ltT4horMzGGsuJuH+dhZQ9d4vYEDG5FEShr7yZwFBUw6h2iV9cUkeMqDW6ZgKKqKo56UfzK
FgDsFNbnLBqdEF2Woq1tKZ3323+pQHv5vCNe+yGXERG6ubUfrMbVAMBU9auro+m6LenyBNTZnTCf
cOZVDC3MwmHA7Ix+Wn22aDa7qodOh9s/q4BrdXIbnZdTGzkpmr07IakDc8Qb7zafjMhTlBXhgrR0
OLDd59JN7uSX/nXb09wB2FOQflzuYp8dl/M/YTyQSFMinEwbsZExSDdxF9nrtO6q1ToUmWTaBlCF
dDO5a4Abt33ZKnMHW6flvBIhylhWKwrq/Vrsqjm0wSx00utwtdPOAleCcdQ6wyVKfT2nbbBg9a9X
xs/Fin5VctfX086KMSYTdQddyh0wGdsNsN0VLFuYa3VnYAhXkjufRl+JUZ5CFE0azIpXFt1tH2P7
IVJe7/hMZeqqMYcGgLCocHsa+BrW+Oe2gMu4m3++kvK6C30mQaNDZ1QTuuBs0KpzgCyN3bad5Aw+
459Rd8Zt/lPE8ig6lfreEGJSoKDLev2Y3VaU3J6nT9un+svHN4GYrRBDf829zg6lGlgnbUwUWCm2
qOfxMGd+3nhjGZD2SoowWh+LhlD/kuqTPyLZmc9EZr2prUuNKgmjzFJ/jZgdM10zcasTowgd3OJT
4dZOiIH+7jn/IiwZ/sWN/RHPbuRMvLoUJNegKljC7+24dIwVaxHZQclygWH9JW/VdWzRqQoGDThJ
da+YbWQg3mNkZNRR7CaIXe1koakpuSKoM5E03gCkaExVHZvWLnkYQe/QBZK3Xk/+4hautBdiTF5W
zD9n443BlFEVqhOUAVgLlVXmK6f+NoJvMrl9LUT5i6jUe/lVfpPImUJK81wCayIqUZQ6TV3tjY44
fRh9nsx6X05fsbAhfIfYb753jaaCWMmyZHw/RearrlSrFzOlgPJYvxM8A3Fp188M4Jk49RfJbZ63
bfFC7vpOHB9Iab1am/qAPBzFFD9PbeOqcgAS8VR9ipw2SNw20O8FIj8+de9FctkW7RJ5KfsI7f2n
GbFidqi/fdftY7wrbh6Evc+Pn/C9MO4Tjgl0tMd6mVsomOKcqsItwJVj9g9pCJ6ilIAxMi5fVCW6
UQtA5+pDUM+1gyEZVFGBaRWpqDEZT2M4eE2dCdKMV43d+NZ8HKYPQFSTM/xxnfeKIRTMO2arbCRA
1GC68JS8vwjOBfatQU2tRihjPqoHUI4763PyWDBGsebIpruLbwnI6H5sf+uPrv69UC6oSnVrRWaN
ysgKTJrpaY7BevdNmY+GPoG34N4qM8GTLLxS5orPXC1KSWq2Ih1hqTw9gB8FdCwYfcGWuwuMREHU
/tEjvT8eF0TlI+D9xhbfLyU/5Mpf9c//dn1Muc8OU1ddPiftqro1RXShOV353Jm/CAhpzZ2RfB8S
d1ue6Dzc66G1pCwlHc8kEh1nGOtdtzQi62f9nA2d54enTGWqIn1hnHrgsmuCefG14dfc+vq4swrU
XFonFWanzKNsyeQ8DpYLakCd4lwnFXEUY3f4D72DaHD8wov4TiN4xOUevg2z42hKT8iDJVhZisFF
+spJhVK1KIgXeFKeJzDVFqovyoDy22FFr7oL+ivzU3KcXMXDEP6L9Y/GZTD9OdNHy+rkGhzgjHlO
8aOr7GB56kO2Z0SZGCPb1sULCRmuEhV/VVdQ9acq5ztKPU1nPQGsQ7ofwe6QPWIz3imCPsLwj4wI
w9pXVzVox0snd8gPgfCLN3smnHMjJLGUimg4qfZQ7tm4VnwzvGBwBTwLsTcJ07+PAeL7s3KOxAxJ
bBigAXEjsBSuanSXZSdF7/1CF02ys1v7YApnB+NcSigNVmjluFVgk3lD1d+UIN+ty15QuL383JzJ
4VxJ1dFooibqTllrp0esQu6pU7rmZJvgzvPIgT05QCwVRWzsojaOR7huslqkpKcFvtvSHjM1aOY7
VUcKbx0lADxs64jgJnkqly6iCk10OLIh2SuWT5TKrhfBAyCSwUUvoK00yNyhVpwsXqk+VoWTiVYb
RSKYJZzbdLasSitB9RrsiS9uipKHKvJTF8OAN2XgKVsmsPvUS4mIb/QJQBqVq6SwybN+mzlGsBx7
pwwKv/2quokbuavAlEUawc5/dr7OKoy4Aweeq8/2HNfoAJ2kaTeMPzJRrV10Ss5nmKAPtGJFUd0F
gC1p+LXWsSIsY1zopK7f8mRf5YKh9b8YmQ7KJOAyGAYP56E0UaRImAxxC3QqWM3okJzqbw2mSis/
8QF7iX+imOdCqZf5qjeh3CPQ1BagBieU3zssQHZOdscQN9OnZt9iGgBbX/ttM7t8q2/iuO8Xtcaa
0w632tZ31PIAOmuX8suYn4bMt6a7xoy8bYGXQ8izA3LfsW6MLiTIGV7xoQ2/AZyo7hZ7RGEn0WWy
u/rort4Ox/n9NE2Vtmc0uEqH6bwnUxbtUVy27jcBH9y9NIAvDhFq2B1H+XFNHGkKBPd18a0Ex55l
ArNbV/hSuUZGUowDFKJ1B49ldN1jdAKs5h18vJO4IjbyiwZ9Jo7zietUgTfVGrHsD8LzbD/WB2sq
7aV3BnEyLjoa5xypZNCadjiatRvA7Y5avANyQVRlZbd1pL2o9CY6GmdaS1mG8zKD6HYNDzE43eRD
C7bY/IHWsbP90S5a1dklclbVL4SQhkAvVMy+/EZXafZ0J4qHL6rfmRjelKQhJjTBXC3qrwQ7Lqpn
iJoZTIM/mNCZCM6EkqgESmOEiBu8NHYXH+TBspPqa976auZY7STyDky9tuRxFpWaAy3H8TUGnrzY
0XbzVRR8x9qhnz0IA3zR4dhnPHu8it6Ukko2se96t97oweqCNuFmvTKBMSh/Z9BYhdvasv3/SPuu
5biRYNkvQgS8eYXHkENPaqkXhCy89/j6m829RzPqHU2ds/ugp4lQsRvV2dVlMjOfypsQH45/pWVq
ZbRFibSQXKX20mJnVa9W/rruhIS783MeW2nFZYc41DU/r+PNJEI5TrSn0evkhnD3y5gO3WpFFXUL
3ajcRmrQaBVFES/pxdn9DA3wqdvfQLU4Em8o3aqLmH4yxYegrRw3AkgVcF0MgSS9amAHub5tl7/N
r7XwgWcSV0VtxGwiQjrU+b1mPQjC9+smLnQG4ZI/WwQHsujNkeO1zFU0/BVPPbiQnkoXry9nrGzd
rm0JVHCxPT9C3ZyKFS++1c8sc5Cr1RbICWVAhhCaAWSsQ/NWCzQHcEs2R1AbycEteOqTJekAt+YA
cpL4kb2kR4qH9HK8dLYg9lecnWF5XtN9SVFJZil5CYXF3IWmlKeDSkiFbJoSXf901KI4yG36bsn2
HfG8hVq1FtbyS0M9GS6UU373Dg5zC9EqtmbHxpW3sqM6cI1j66c+cka+9ijdoaSD3rHaq4MYPOw3
2r9aoSEZiNoVGVQ+v28o7n8dzzyoNSigkZNeMtNuqK7aP3y0kw0O5TMoCrdzC7rr2U8fWr+BTJKD
CD6qwfKxPU2kWOAfDtzJIAdQmOdbErFD35b+2KOJon6o3dw1njDqNLldhFw8/F+4xY5SyMjO0z/v
s/8xjM6F33dTU9SpiVG5QogjfUtCECo7+GjIdWzu6FT3VMTL3O+aOS4VJ8VQP80VmFO3SBAOwnKr
a09W7l0/BMR2WjzBad0qU9m2DSMSBz2LM9hNoEGt3hlcDPeotuizitHyaYOG6P9dLpMdjtOGcgAm
Wta4izMenCveC529ioe8JJbHnOHaJnLA1eiGEg8T8pklyAEwUg9yAN0XQ+omu3w/n1bCIddoJS3+
icicy5s7798GYfveqW04rla0ZTvR5UtZ44CrFtHhOwgqSD91qByUtlV5TfWYCsh0u9e94zJEntbF
AUgnQf9n6VG2hESTJ2lS0LXroZ57ipT9cvR2ssOBSNGImI0aela9n74Mzh7Wfu6iS9Jm9bz86+Iv
t/lBeSihDERRtFCmOThZpnqbtaZC+q04bIkPJUMIUzlz4ZnQpza7/7ahfB0YUoYDivaoOldolduq
BlWKGeEPdZUyt77i9h9B3tlNWi2xuoIsCN1Amtcq9wo5a0q44Ed2/8yAOuZi3TM9PlZh7p7Ge+lG
jfaD7q4Hw9t83c+9FIzTqkXs3x8u1F+e8nEdnRk2d1219BWGJ+fvhnPG7FDcyR6YB916szMQtKLz
yFNwD4g3GnHyiNvO+igSn5nvVEVJBwM3avwZkxD+gNHwhzgs77Sgizp/C7OGWDBxC3wkts4M1nOj
SoKBLHSbvlrNu9UeVjV2WsxBXD/pl+sxJzD+GPY7M5Rl4EcdRqSh80jxWT/EDrRcnQY1C3b0rlsj
cOXjUjozNq110lnskbFudy20JKYvMhWYUCY4SKnyop3Qmwi6g+EAGjBHKMEYSDXYftCdXjtoHHqs
y5RqFqsVzyARlY91pMxg0DX85mjiKIBkwWchyRZ6bWhgCChHpEdKLxBxyceROdtMtUI3mAyVR6QZ
+8jy99BQ7jXPwFOgcKfRVtXAeLn++ahjwFPdyqswpGkMZzGPjGUFrMGHKigcLZC87r52qHwxgTY8
xS2a25es6kA1rwpeAcq6LnV081UvGleYwutLI64Dnt9WLWR1KrUUjBVduI6P0FAHX0VmJ4ts61W4
/KvSyOnUyQzIz74d+LIqNUlY6W4Id/DICYeR1NehlsQFJ8tejXFXoqbAeiekl+EYR+2nOhSO6dvu
FA9Mum29lx7WB+m/nXJeEFGfxBkq92jQkSrtrTEKR23KQ6d+uf7FiIMuczGKkFiVAKJQXKmW6Ojr
FJmC9HXuqNkVAohlDk9GrbH2Vgd9CvhG7Bm1GFkDp89zl//135bDIUq8aFJprMjSlX0Um2/C5qwU
3wB1fPnEi6Wqs1pjUASoxYohUpi8smRtbaehGMZeJhJ5GCIK5/MwqSVbupx9qAaiOROsav87Yit2
WK6AscKlYoZiqRUV3OLumCZ3jSLdFfL4365jhXuydNqSjdkAefdOfJS273n5Yy6ijUynEz7NlwEh
1NDlew2SJXF50YfDNt6VhX/dzy73s52gR+FhwWrrfjWQ/hi8OJC/QKpkcObEXnzFadzsWf2UHwfq
viQOkcJ+P4M7KQffstmgvbM1Yju3IlH5VGUlUknB9cVRdjhMiDt9jfUdQwJJfqggwyZVqDOChX1T
CUPUh+JQIS1KRVMy3ExidZMs4bbcSAsVmV2833UoUutodJTkf0z5SsJs7CkyLKO7/ZS95DDbpV1E
bKiYEXxReY6LSzozx30jkLpMeaYi77A03+c6GtqjOhKpy4uf58wE93mGNc6MeEWyfoBEqhC7k6Db
3XQjFV+vuwG1FO7rjMaoD2mPBPNe3aM7vpYOCTUZSpng4HqvBimOK8QLk1mjGAUWx8l0uoxiGLic
lj9tGV9mMIVKGIocL3EmLMSUHJND7BtB47YkhSPxdfhigwWi7XRlaD0OB9FyxDic+mMyUG59MX19
tiIOrZHsLUp1hDYl4/SpDmaEAV6bJZswBUqV/y/eDGe2ONgeG1Oe+haOwCQ12HxA9ijcgd4L3Y55
qIcJwp/rnkd+Ly6wWxJ5beMe857LIBSQAazBZbZAQ3tMD6muDbbe5nd1H9sg5HD0UvbMfSauKsIz
Dfb7GdYqmgC5csaQXdb3U73b8x4pmMi5vk7KVziwqHcTFFAG5v8K6XFUS3vYVruIawxBEUBLGeIg
A0q2G0b+gEpiU9h59iSg3bocQNsVXV/QBeEXJCXPXIXDDNmYVUjLf6SikrAAr7h2k7sCNA3UBzQw
oV9QDvWn7SZ/ld6vW6ZWyCHJ3Fu7ga59DOoJnW2Uj3O92nP6rFE7SbmmKf7uGObcNRDCxgrlIA5a
H7KAIQSJPwgqyNZEYlG8kqi+7HMWyx/9TJIPab5Ae4qj4Md+UA5MQMd6cVfi5BFub3KwUqQdqqUr
XuQL6kaIZ/LeLw1Sq4i4k3nJKW1f017RETytvuTrYAFHzlx82PwcATSIKoP/u97Fb15pcnBiJHvX
GxCiQFd4Zvem4ey9D5JCCpPZp/9HBH1yfpPDjEXaK62LcZulyS0aK/XdUTOwLJkgW/RH9bOkdbZE
5YIIbOa1RVVjWRtZmRHr1sE+v+kV8aAi/Z2Djjk1BSuZAR3K/UfPDcqK8gN7gag3VBcH5e4ceFiz
iGJwi8BmqoKq+dLl4JbcPTCtUR/q8uUJwhIJ4y+Wzr9D2qFdasFE1WZDlX64Kw79jRZMUfO/SL5c
zgxiTup/bHG+l8+gFcgSpFxBzenLDnp8AwMJT0go2oVL7eDl43syxnkg5OlAJ57iQhHy5K4Vtvut
bG7HMqPS/pe/1MkO+/3sdmz0VtU0PEzdbXGLNbSM96x0BCEl7kf2wf95oE5mON/LzRKN21D2cLs8
VMtD3EEjenWKIZSXB/Tf/kdrnPuhMlpKlYlG2966V9uvw1Q58XYnCyBaLvxKIAIMagu5CwsyuvGS
yejvkVpQm342jL/yJNJq//q1+IcL+dcW8tobED+tUwFdFuA3ZgQzNdhX7e4RwtTeHLaecseISMeg
Tg/CQxMSti9j08k2V4Nd48lIzQ7NXyzPiTqDt98IThLI95IjeWNgPAzUoBO7nq44DC8SpcRqn9QG
HGb4aBCU7Di3UVUBPcAYmIlNPfbYN7pmjguMm8Ys+8JEIj617Gp1hnW3V+RP6hI65mHVPs8UQTe1
oxyYNKkhlJjeBULGD7r1ZFBVc3agri2Iw48lq7u2MlawEehfWz1+bKX4STNSCJN+UfJ/VWM4ISMv
EdUZxbLUTI6j0IzDEH9ODHRo45VJeCGBiSoHIqkwbXKh4VizvhjBXoK6tjFAqtrvO1I14HcqHWob
qc/EIUkzjNUg5ng81GMVampz1+tUKZSAD5WDj2QeRr2D0grA6lAtrzOURZblWZCp+gixezwzzmKK
Si6leM4aovJZqAZfaoq3bosJ7L2cVD05g8ZhRdzWgrCYcIb8to202w48WHsg/yU5I3vR0orbBFLw
7Dj9sKSrUCEE1Z4Xb472sHLWpypioo3xHcU0RxwrnjlS0Rd5FNEB40JsS2oOmxKYomb3/assUqyv
xJXJk0bORSUsUwFTih6atTdOP5bYbuMbpXMMsCdfP1sE/vEMOUs29cu+YhML1I47wxfnF6mvvG19
zozJFuZP/4JpjkXyv64UnjEH+iVJqnW4zvT8ACaQWQ3UObi+qD9EvCcbHGAUorFXPVp93OSOzZoz
BQ4F+qFyKJAUhNTX4oAitbp17EY0IU7Z6PaqM6kSSNs/q5nX5Y6sUImcy++u08o40JhTIK2soVsD
ddeHsTLuFUtwMgNMD3I82Kr8lBRFOMwryMVmG72Ez2mV+VlZEDtMwCM/C15PZVqYFZ61eXfsiq/b
TDxiiePGDwpMTd6sco7nHuScSvNFzg5N/LQjTdXU7nVfIdCRp9OpzN7SzBjP5aqR7V7TfxT79JoL
EmGGcBN+fnvE4IEyy0j2tSKqP8P9pn3Kk/dNGexVCjPx6fqiqCcLz4aTS/M6VRtUu8fCj3/oQRYm
B/FdFP3N39+gWRhet0etjgs6OkFH47exo9CZiTd9CjYvLb6J+9yO9Wmzm24KdJkaGKfuG54HZ227
plhy+GDv7r6E2DTfoTLPyHwbl7FxjhSFHWmRgxV165qYDdC4fTODIu1tHju3SRxM8toFeFsX9IAW
nia+DeLo6DUUJf6jE3FYo2eSkmxMvlyWXkbhRQNBsqo4XX5fixEYIoir4fLM2AmpebLOIbHWXs9Q
TtwOkg/60WAR7Cm3pYD1RIr28rVCR3z85borESefz/NrXde3k4lxgkRvbUl4RRbQ1WNbAsm6uFNZ
BOLw85l+RVMNWe1QWdKP8t3qm4f5ofTHsLk1XiVMS7h44UQUYSgBnfzc95RkdSYmsJlax1E/DBYB
zURYyU96T+DeLYuY/f+VL66PcQJ6teQmhgbt9Q9FXbL8iPfeGVq/goLX1WRnvO0OyBI7qoyHWhnS
ssvUrnEIo+1jBTYvHPY0f20lTEo+Xl8NtWvs97N0iAWymNFscbTWpXNEMdowPLiOhl1TE66Uf3MY
oqyrulcVonGhHtyk8bL5vVO+ySmEFjbKv6lFcXjR9ptRaxKycbMZbaM/WT9N40mmmqGoQ8SFJIUG
PSRt09EYYgpvQhU/loUV5CUVFhNm+Ky9gRn7Xq3YxNvQ2di7XX9XJiK8utxdeYI8Pl2/J/siQDQQ
XwcjJWyYX/Orw3zTHOWH7UG9370Kk8dGJH8qX/Og8a77oEL4Bp+630Szz9ocXQ9xrPkYQgLtFTor
xN18bKf61min1zF/2uMBwZ5+n1vSEW0S/lboDgZDQXe82EyOqkxzJ84Sb5EHP69St9GhOapJdlvs
34pEfGyLb+K4OWnCFOAXJx30YwH1oBoAkcRfm3R6NKz+XYYUsbC97mNBhCZ/2GJDxRCyrpqiyD0T
52VBH1GLSxTi3+DNE72PMZewO5oRG0dWw8Xtvd3ZvcJdwkUkUOtypHKyLv9+zlVBE1TkXyCatYUp
WL22oEwDKFPbWudIDfVqpKyxaP4MVcZSV1V5ROZ4iRd7XAIhfRflH3UBkkI3E96vu88fgr7T2hiG
nlnLYS1eJjwcxUfR2d3ab5zktWQjqLe0VMxlbDkZ4wBZAQ21Os14iGjy7br+SAfZbqWjllKH4nKb
jn4yxCFzLA6KULO5ZCuEfEHE8p5NIDzpkXWcXurHxNWIKOujB/2fKbSTRQ6ixbmdkBvH0hZHdFhi
oQ0raEW2QRoQX+zygT9Z4gAa8+rGIucflZntrf2bui9gPHOjJ7pxaDwywKkditmDMsshNvTHiiGt
8BgRRJD7jlGWTtBB84vkQZ0omg1qN/mO/7oa+xkVcfTaSdPtoml4DqjhYNXQeX8zW+2F1ShNCLG1
SUHc6cQyPwKYs/NQ6n1v1hrgVO4xvFOK6IKZbWO1nGrR0HUzE+ao8/fx+5m9egPiDTNKN/Fx8Sx/
DetQt1n6q8A3pBLXl6/DX67z8VY5M6YVXV+uNfIOSnOc0h8ZCjkD4Z7EEed7/cW0SKV4wDmYk0BA
cCJjIKS4m9uaeGhQS+GgRFhSUSiTFinrtrXLRXC0XfKGUSUu98uTXick4Tv8F3npxWWA27OGv9pP
PAvnbA0ldH4ubucLkRZZINam8q+UG7Lfz76UOuh9XE0AsCFpdlClKq3dWaubmJWXD5NTLD+vowr1
2ThQGTW5kY0En62sEkdNj0P7XEPRyhpK4i69HJOfXJCDkQJtL4YwICYfpEezvl0oeCRuz49I4mzj
hBYc4XGB92e2h1mCrn5Pj5+6wmk2v6e0Zf7w2P21GL6jv5mHbC1Y09dw+FsxOm7t7aFCW3/vmd/Q
dhMWkkNVu6gVctHI2BWJ1qTYwaw4jMqraT2NSwVOgqgqBrugHvTEOftHa38tyruoorQmz4gK5iZM
ZXRSViKFgyyquXJ/8j39u6YUe1yxvMEjq5fDP3CnqS+LL3lsjJlCQuJ88exf8SYrqa4CCSHV40jy
7uvC7gl65oDF8FNSgEjq+vmicJ5v6y8MaYiNAQYX6OLJGN8Z8/iwpMLj1Av2aIhf+nLw9FkC67Vg
N+VuCw3U7K7/EdSiOVARoERfaAtKRtria+VfxXxc2kcwJDhT93zdEnWB843/QplpxbClrFm+uVPC
IpAC0+5tlaRDoE4Dhye1UhVTF6M5WkDFyIDIXQB2B6O7GUbJ1gZKD5aASX4GABQPug5UhrBmf5iS
n2b2FaehGGXKW4hTx/f+66sljlaNSuIEJrzuwLj+lDB265sBVKZgMvWT553KVFI2OVyRQBdslSvI
gnr5ZxyDUHP0hX81GmuIlqRYCvJxfHYw6YVEkATkfPvkxlLuUylaDApJLn6jkw0+GZhpaJU3Nryf
1GADg0p7b9wl6PQZMenOmATTzmY6exQvwsV77cyq9PuF3dddgRAZcUIyvXbWW5UQ3d+XM2dnBrjP
Mw3CsuQdDOQR6+iQ4A5MIt4E0R2Vmb98r53Z4p6gigAROhl6SR+1c/2n6u128cN8YXzxsr8e21fr
nQLky3nyM5tsg88ubqhuiN00YX0yslr7S7/G3rY/NNNNqjzHhT/oh2yDlGCYj/6YfCfgivp6XDSp
NtsGHlncPvFn9QDRFNBBxrdFVN4liMPTx8mm4rsLiqKoaJ4tl3nx2XLjzVK6oUVOoYx2Fw06EUTI
WT8k+67b9yKKbbyNwVw3B4Wb3E+heqTYoBgy/uPGPfsLuNvA6PfC3Ey0zlZ4xaWYx/m6JqZdbMEi
6XYrOmlHZTYuX4JnJrkoUxqMful6lFh1sCO8pU7nCF612NXt7k3PIDANr3/Wi4h2Zo67G8Y6A9Gc
hJdyrn1T0aW2KT836qYj0IbPMBZ5r6qWCqRe5MAqj0t8qNfHijodhH/yKca6+4UuYmS1EBak+DQv
hl+nreKziIpmThmU/gD+bhzoTsLqYjOY63W/PKAR47tM6MYSzse3Am/L1EhVjPdGfMzC7KBGGwK9
/EB15BAewHcAx50pCYmJu6BlDN2LrSXHtKMaCC9TyZ5tHo8eG/QGSgNu3WPMhBUVdc8MMM6MCBY8
deDGNwDUf3OsUEO+lPtxMCJ02rAsExQcMkW0TdNJl9yutCedGjyhHJADi7KqTCwQN0ImP2bobi6l
loh5qE/FYUOvzEMzM2btvnflLZhWn6xwUyY4PKgSTLZX6J4CHeJfxu6a7aOWRNchh/geFjcmMOnJ
gNcSiK3m4jXF+LqeeXp3MJrJu27ncobz5HMWF2/EojTHegzcgShJUD9AeNqDTIm7HyRG2wZ6TsrT
qKDA4gMQOe67gnHepLeQDo7K+/rTBhqH2Ytt1M4PsbM8UoEI8cF4AtJ8GaS5yStw3UxgAW0Q0ZcZ
Giyn4PpmUh+NOf/ZXTwNkpWBvx+kxbHftTdIGKSan5ZEewq1GPb7mRVtzuqhFiB8IvXe2Hta6Q09
4RXUQjg02ARjrucc5a5WVQyMExW2OmJsK6kwN0rJrFABG8+T1a+7pDUjajL7/fhxaeyh8jTfzCDd
ZaJcFGUg6X8cQNQTaHR2NmahPvZR6ig3cZSBNMu0Wai0hSxfSvk8Q7UrIZLFAQaIiGRRS2HSbN5G
DPsbhjMvnzXdLpOK+HTE8kAX+Lt7rNMydvKGYrIVjq7iV16y2kmHI91+ycMekeD2VAfUAq/7pMrX
1aQ8z8YVHKSuJP/QTNsc3+eKcHvi4aLyXFl6u61Ky+RbJ/AWD1tglI68vCfZwzpgHzN7y2/r7L6g
usGopXFvmHoyKy1B4c7d5i9y8SA1qd30BHBQNjjgsMZsg9Q5BttjjErX5su2fuomYv8oG+z3M9iQ
41lb9B4FOvCAjy34Go7d7F/HPyIuB4fl7zakFcWOfgDObo/oR4xqjLeJD5PPxGiLf8f9+evmUkUu
lECnqLKKA2M4Nf+K9Sjv75rNJRZEbRqHFZrWGpUxIc+QvLURLP2ojuON/DDa8TNE1G2QjloPGdVs
QG4jBxe1JFV1IuAIp1Eb7RFrZh5t/Vk7yFB6bj5dXyNbwp+xCVI+v3+zwVQkTDP1mHnII2m8U/WX
Bb2ciHE71Od6Ep+IHeXrYmbV//9IuhvNG/BFIKFe3Oe57FxfFYUWH3t85u5pXsWpbGBZlpjaKhSD
isVwdEHwBgkfDU/SCVSxU6yGkKy3ZYviWricuDx5J18ii+WqAoEbepvL2/l2CKy73lvBiyWT7HfE
/Qk2/98/YNN1UrWKqDRi7K2NWj95bG8U3S3filump1VDNoHaXPZfXvMZDktAwiVBBxAdnmxORnJz
f9eOaqQFCjrzjAMuGUdTKJY6Fohes8lhS9frW1VaSDMszuSxe+1vESI2OpsSj8qPess1Wxy0jFKb
luaG+5qpTaXOFMhIAXYHRt6juyD+jdQX7aOlW39ihJc4LNe9lzokHOxYE0QpDBX3gbw5TfFt08Ne
pRS82BqurZEDGUiH95u2gqVuL2ZbUL7I6TfUu9B139iSSCUdr6cFVL6atpiroW4yBoP0I+JJdwrM
d1Wxx0N3K7qFa73PlIte3kFoOViWJKvGR7fT2fHPjVxWlJ2xNM6dE7eJO+uli+IQdRIue+XJDvel
IJyAXdzYe7bKo2J5knfFAedAaFituxRyJOiIVZrc3eU0zPSf193k8ic8Gec+oVpL9bCZcFPdaBFz
+e1ws2mzq2yPciMQK/3DmfhljJ8EnOZ0ZgI4GOSFiN7utkhuJjcDnotmZGDAAY1TH+GzaG9Rzpi+
CfvEB1W5d+rUFuuS7sjAzEPUa4dN/V/oL7GX5z+PxGmJ3MvUnLXUzJm6/ewn4fK5Q95lbKGoatpM
BmaWqHDp8qk42WO/nzmp2MWobBTI3c4+apUeqOueNsxGg5cCmnaxp7xcd5fLN/3JHHdRbKOij9II
BBVVyH2kP9bpTdwfsjhSNqgFPv03Y9wVMUhNrM6su0iaA036qqaiLeFlUGPMMZVcYScQhnIP7nYo
9LZOJNYukoK2VHmV1q9mpRMuyP6Pa+7B3QqqvDVVzAiddbl9qawsUNYtrMfGrhdqtvEPl/rpW3G4
kitlJe8DiL4XR/ILRoXhak+s9CSgSTHx/+8y36yKcDLHIUneqEqdp3CNonmTBzCILJ8XsL9CLPa6
VxBbyI8DKl3fmFIKYhbDvIfAqDZ/T8uopGhECGfghwErkEKuSY+MQiM/ztPPsfbS7vX6QqgPxA8A
WrWUZ0uPp44a5A+VVx0VkLyAc7Jxt9BAXJRQNG7E6eWHAPVqz5e62NDg1dyl9ZEJ+aqynSuRWflq
Tfk6tYUcVhjb0PTmjodP3blJdjvPR0yUXd9ChYA/fvyvgLJ8rOzsM6njV0EZj9jU45aXjlYroTlu
biYKdjaZ9pp/G+f8kJX3YMK/ywpwixjxj0Fvbxe5GRxLyu6tYnA2c75X4uUOn+ZHLtTHJa2cbt9s
WfkR1yjrm00fFRva73L9vQDdi72Y9WBrM7WwP8T+v04TP2UoFUYclxmyIXncRpmEbsp0QCe1iHM1
Khjxln1zR9S4Dm8S2Zvxh4fPyTiHUokMGNxkKGYvDlij3dLNfiTB6Kl+5a9UqZ80xsHUtqd50Sx4
qS4Hxu7Bio6mqwUqqj1UDpc8cRxGKbuFOqiMVv/tkITKzRz2N9Vff1/OG1iBpO/X3ZOAKn7KMNOr
JDE2NNoMyAn2b3P7nAsPAiVAR4Rw/KyhVca9lKvgyhP2/V1r9t5J0S7XC6WbGIqdJEodXF/WH5IL
v/yDnzlsRKFvG6Y0m0f9S+vPITpBku+sSIxBduKI/6G6cDLGIOA8wpHUod1Yvz3Kzvfpw2Ajl+Er
eDPdda72Uw2nr5QkIgOmK5c0P3xYGkLTSAmeppriKeLXsiMaOan/nwHn2YpmVcHcESPEYM8maZns
mrhZCJznJwursSgLMRlQHlE9c3WHNejnu80MmvhRpppNyO/DgYW6TK2KrCrLNK2uCOrk4TULzHv9
lgFGfgBgTIRLUMeKQwy9qqZWYU9rfXgqWqcvMxvjR8VKfCbSzTm02NpK3MwC40eLk92t6IzIwFhi
3m6+4vUYn7l+qIhF8a1CaYsRpGREzbETFtdajXCS5FAUq2DvqQo+cTHzU4N6anRjywQ4lvlLD77p
4claiPQHher8lKDSDyq0FjHFJ6y10821XRSrowkP3fRjTfyxduTtoTM+yz3hG5Q78uODcqIXbVYi
xT94baQ7pY8xTKOyMRHn9zbSSq9SbmtUwfgPFZNfIMXPElrGPJcpi3V0xPNxrfvVCEFxoXPGWrO1
erhP9vFHNSc/GGpuSeejwmK3TQKZ0Cms5p1wJnIXOIiJl1k0J5Ys+ZtxBIU3T3gS8A4VHtnoq/VO
aRcSkGMw9z7DtEXJpHRdgJkxaomj3ys/NUmxJ/lHL9zJvU68AdjJu4LQBoc5hdq3+d7jGaVC5HgI
sg8+YjGkziSFAAaHNIVai2vFmPbYJI3sDOgSil1Gzc4Uf6h2cQoBOLhJdQzYQ5cBk8N14+QYrkRU
KdU/U4r7gDj+fJuQZC6FUlQAbBi0tSJ7MbWfRU02CRK3HN8nNBrdHgs7vpEYWGgxBq1+WPqpW38y
V1+3rcN4VBabSrtSa+PSLxpGry0pxjlsp85VBCkAV6IzGdSMMrU2Liapu71cdyar0s2mO/dmjokI
+ef1C4FaCvsbzk5UAnq4Ut7xmWbpreidOdU9RRnc/2aEw4laSPTYYrdOpdmWFhj9bU5JbhDIwNMD
VlrRrE0CKEIxxZaaYQ/jbHKN3OztJQH/sVqGStNSvPyXxzRP6QiTgwjkvlNJlbF9TMAbBI+u5md4
Yud+jCcVgHCHbpdsg3IMwrEYiKV0Ti4P65zZ56DDqlPwf+Qf95B6WHO7d+vI8Mtn+cE6YqIxysD/
XEK2ViCiFgJFTA5FFIxI9DETOKn7sCohnAcu0uy7uhMITK2P7y5SDMHqBYO9bTzrW8s0vPwigGYe
E/xhOhlonr2pg+6Gmm68fCwMw9RMdG1LIuexWtts3TCwNjrLrseoXp/k/tP1Q/GH2/xkg7vMrFkY
xlFG/Kw/Sn52kx3qm/FTebPCY5GiZkEE6poDNWl4+cudrHIeO1hJAzZ3pHKtzh1KrzfeMYyqtsTi
LkPXyQrnl7tqFGrC9k8YD4MGCrfH65tH/f+c/4m1ls2thdeoKQjhYC43xjB8vW7iD8/4X2vg683m
3KxI1CBxNnibB1E+X0js5Lj4jEdQiwyyIZxY00ewew7F/ToOW4HMMCYSSrTvC0/XF3QZIk/r4W6t
HjM2W98jLzebr0j1yFPl7N1bmj0IwMaVYKO74GayaKqKKImGJmsfHaRni5HQv5av6oIpKvNOzArM
1YdC4xTUu5Aww5frdCgKQv4O0a5hft3i20F8E6fexs18fesuNbyeL+ej5nS2HAGKHn1nIO3cQ0Vq
/7YC59lAvh6B6dFTAsnp7fQue2ccbhTh86VHzm+2ue+GRv2+zBsU6FkYWh1Yi4USbAz+DtR2XnDB
30xxEceSSfnezBtTOZsx8SNFnUIRu1zwwt9MsD/hbCeTYa7WTsdOLvrdkIATRbcxdJMtd0Ic9tLz
9e92AcZ/M8bBuBLr+VqieOW2TX8YapDgadUztIYpqGCtJ9xL4Tc7HJQrczYY64pF/T2qUj4bnnTQ
IfT1LyLP3wxx6N2KVmZp6wBDae1ONUvYpuEyjUQPA7VvHHzH1dqmdc1Ob/8UTwPYKj1Z+vLfvg0H
4fsWo/25wJ5VVZCsR2H4UljUzPSl+OF8v/jxNbCKC6nMSIkXDJzEhy4wH4aj4HRIF/lVxL7QdCM/
xZjvf7m+OuIk8fNskrguxabjmu3a9GmojftWmf9FEuK3xXHAMAnovF4niy1ugZi6DN3Ye+EpRfHt
444qG4eSBGLudcXPPwolZ4fXSHStXnvArSLnia33mHOfYr8ZzLARlaMQU034lwoUvy2RQ4utqctO
+mDW1UUM4/7ca0w3O13hJ5mrroFpRbHxfv3LXcpq/GaTA42q7CtpWFCXUPNPa+4lyksKqYKljNLx
Rup90/xs1bndLP6GMbH8rpy9638AtckcmKS1bCrivuFJNj8rShnOxWcza2+zDqJw6kjFg8RR5/tP
Ml1dahHT8O64PcjNZu/DnVxShaYPlaBrjsMBirErqlqUeJ6VzXTXpM8TU66aocJYan/l8/IyZ9ah
qUYUqUGgvMO31ix1S6m3yx66PGUFbQzppVzeTTX1xFE8duUM3qF+s0dlfZjbxGuK1V63BZnuPvuR
Kd/N7tNY/kz3+IDJXHsvS3ubP1nCW9ymVDKQ2kEOyNZc39ZuQ9AWr15WoGwmetmYEoed/SdXNpBv
aqn1rleNGidv9vuIjRezOJTmqyF8j29eWbWlEwsRNCRdrKV2Ph6FsnqQlPZumvIHhFrhdVe/xNp9
ftZ4HmtjanfZYtTIQijczy+1r2Nk6U79Pvmby3pIY/Ab7V4fWJiQtK/bJj6bysU6Wa2tepegcWEe
F1sVs0iwWjtFs8R1M3+AEwOdXaJqiSafoRKTuhClBSMKf1N1owps/D/SvmNJbpxr9okYQW+29GW6
W+27tUGMHL33fPqb6PlmqoShiPtLs9FiIvoUwIPEwTGZ0E3W8cjT/T6gT3NeMWvbVy4WmXshWsXe
GBWkW9JDj6mVJIDiKtSMucrydIf+65MXO8wOpg3GoyI6fNGCo4pOgaF7H69zJD1oDTf9LnEaw7c6
u+AtF4PMbVDXQh8bZAX9nN+9LMHsr25yyo6gr/eNW/EuvdWRZrHcGPpA6O4KeRWNX9xGF/vUpa6u
vyZJSVvUIKIgiXzKms9zMtpLgy5dSfsE9mi/mWevEWPHKLjk3tsH82KauRTMfoCw4IBECNoJPOkN
vFVu5RQgmZ8haDuHa2AF8y24lzgVlu331cUs/VlXK5ZzVZEkAdhWzrdTHh2HQfUT48dUcmlntkPo
iyXmhqiMus4gAwkCTTCwFDeqEazBwyKgT/G20ULV4CQQPmhs9pyXQW29KuZZIrhlzRszUNEdTHn7
MXPlKPfm3QTwydzlxNtOuogdo2w6a1AVbclqGScGlHSYZns2TOJaxnS/TuNBaCuHGHrkcQCI8w3Z
wTkBfQ/rhD5dF7Q9fn4QP3qvY7TiOCS2Zb8C1PbQnq3+741u14eVnZ4zSFvPCTjj3HjwprywY/Gt
kDn3B29pLAKtZiQlOZ77RuEYqAQpUKlMbjONk8z4xTX1r3NaDPCMaZWAIAB2eld0utsBfHzyM5iR
vNrTbdEfDoUfn5Bl9rUD5+PRbtE9j2EgJ2vzITZMHEBr1DWIc0GEqSJhsb5UrepFS2zPbW6n5ddM
1CH3LPB8h14Ve+YZ2CFL3HeCgffmJL8ZPRKSIYptfWnPzVcpg22Mz8sBGgFsmcdot/mAsiTJUERZ
tmSW91+SSpLLFrKjfXMjqae09vd3lvP32QY/khT1PJsa6lN9bpP4drI4vrntNJcVsM19VV+KViHj
06F/5Rx/U1HWqxwQHqDgFh0kZ30BxtxN4IeB2zz92eKYCMAkymjpMTZvGP/SzdwueQ/BrZqlDFaT
fz4P2+TXJnPSJQ0W13nDC23eGkP5W4emT5yE++J1fznbYH1ljTl/wphm6VokNBXbveRfc9x97Qmz
Ts8G5s3pfFMX2ybehZxPuBlIXZllDp9YVcu8zvTYSyDIqPGqGDGKgyyFARbRzATRm9G9Dj1Xy4bn
m8ypU+JKylNK5ki5CaKTFEJ56GOh/Sk7DAc5rLnqoZvX79VSmYu+6K1qEYqW5hJGBFXJkSqR4wfc
/AZBwU+OQ6/Iq4giX0g15joCGR2KuPObLjhchgquczJ3e7MqeZqLiCX+V1BHMxeuVrC6K14d6ByM
3IzMLjvHtt/FdZz03TxBA0ULOygnqoZ2IJVdxdlZqHgJLbo7/8HjK2P0urjaPSNNF61q8Y4utPtc
P6754yx5U3aXgSLb4CAkx/vZ/js8uqFaqqMxKT0kYXeTBLRdUgx5NJv0EP13SaoumpalG/pHCu9q
SZnZatkqDAjqx96ZcjPQR4hvLhVnNds7dzHD+N2q58tilqhYynVqD5ZjqHeZdNaVHiP2XsQTveIt
ivFAaszSFBMTDCD2jw5yE/bt531Q3H4Ngc/lfxvH1j5UPcoaK6b8QcEKJhlyU2OOFb1AYQLCxiUF
WVJuzx6d0IiPhRv5vOcYRaGdD8fWRFQi6qmgi8hFK8oxloYe9PPWmbIGN4P1O8Hk1VqZCw1/tJUT
+tTMFaefv2mq34w/9vdzG3Qv28nEkoViSf0QAZiUrH5UKuOp5BEIcJyCZfzTTTDAmLSQo+de0jpt
8tQUv/Neu9on+hOuDpOqKypRK+xTEiN1IubugBrv2leODkWj/f3aql8DyS8bRv3jyhZJNHT36YgN
zWchpLKdc2/T5i+ttRc3pVxOXHoC3g4yt9SYd0IDqSk8EokS1uZ8n0WDvWD8cH9pPM9msGK2JKGS
UgWV+Wa1O6GzB3JnQYZPGXktfRxUkhmckBKStF2KMEpXjlH0mFVObb1iah+zgGaROfvL4uweWwwh
mTyLsQjn6Gonqx7Qqhvz4kKeCeZ+inVzKpcCNWZDOrfzuV8PIk9Lned3CoMFpFW1VEGqAPXQhM4b
PXYp6vIQiXNEv7XHYAnVxeV1a/MWxqDDEM8LuA9G9B9LbjzZafOoDpyiG8frFCbIJUvbYRgIyYFO
1xw9ET/Lo+ETRT0khfKw7wkcrPtI118d3WYolxKCfsgmE2gxScmxa3UOPGxHD/+ig8KgQ7IYkqSW
CCgrNbnTo9gWGygyq4hom69tJJxHKQ0mjD3tL2z7M5kiKMgMUbNYZVqSzaaQ0ZilTErb1KWnto3B
ubH+39ufAH0XM8ziijyBoJWG3vpU8DUoSBnnLn5I099yiIsVBu1Mq6mUesEFr1lHS32WsrdFPqsd
r7SwHcBezLBol2E+qSA6ppvSEIyD/VwEmfzS9ScjMbz9z/OLyPxii8G7EYnwqDQBQcNRPJKjEmpo
mn6X7sU3KLEc+f1x2/j6rz024aZCpVjNIvQJLc7iyDd6IJ3XEF1kLp6PUHWPQzoPrDiZr73vr5Tj
iGzSTY7rQihKfLv2TakO5gjyz9c/s8DAINreidnnNDOUj3a0WA9N9IyHIyf1xXEOlpBK6oY8K0Uc
qEQ4Z6In1bNrZG6VPFkZJ8Tb6re6PlRskk23ak1TExDDi8HgkSPiiVP+2tu0DTo9Cgde2/U23F5c
g37BKwxM22IaxxaPxHV81PEeEHO7GJ014xxi3gYyUJEhqV3nKe2UREemFRbTk6g8aJaXVn/t+8Mv
7sXLgugvuVqQJOaZGZsSCKXxhM8/dTYljMqczl1cDaSemoO3W7hvcxvkLyYZ6DBmuTZFCSan6b2B
uG8aE8es+ztVThJbixEGjIXXKD3H7Pb1dTHLoMg0gQ080uApfetqw3cl/7K/rN2/r0NC5uedtCDY
KmgJ8i9WTucM+oOq81LKPBNMoCSlxvA3+VWkvneYYzZK3mT2LvRhEQw+1FKZNY0IBFJNZ51/WEZp
l+njOqqgSLvN57f9Ldt1c1hj4qOlGfXS7BAfkdGtBScTQ0IOVXfoeOkCniG6sVdebiWJOoChjBIq
ew0x3EL00+Sly7xE5HjBLoRjSQxArMssaxPV/0i682CeleUm6R73d20Xg2CCAYc4LkZ9kXAdrpOP
/g50OzhV/J7wQmaeGQYZhkqrJC3Bw3MxHKE5zN1jmT0WIwfpeFYYMNCKhWj1iqBIaNw+XkCf0NvZ
10HmTbDwvgtz+odSLUlfzEi4iaVT1UA3XfPRDOz/37+NJEoQX7JUFYU5xqO7qUzT2QBBLHh0tcbL
JMgp+NXAsbLlztdWGHeeEmWa0EELgaBFf7SW73lrPim55UjpEgpk5ljbvGOvzbE+XZlVE6+YFyCz
TWjZ86cnO2UUVOz9bdz6WtcWqddcnVexNmNrpXm32gwUJeyWW6PkROObUeW1Dda/ibkS9F9QAvQI
7VIOJruRrswOEjpH1MoVOLu4hd3X5hhHX0hOyghEFG7TfUmT167x9reM+5UYDweRfJIadKxRDiaP
cteQQxuORyswT5FvHHifaOumuFoPm8EuckmvZQ1NOFH5KZsPcgry8+7zIHyuzfNoxLzVbZUars0x
V5/VF3mpRvBBc71ru5OgIhdr2HkWJpiwmyK7KkAOFOxvKccL2Vw2Wed0SjGR5lryOUk/tc1Lr/+h
F7LitcOSYhCogVvIgehgHhr1vuhzG8pvabiE1rffWZBqSboFaUKDTb4OiRmTnM69KeKLkmghGZqb
lVScNW1v28UKE0M001KgHwz5toQAKpysOUw8RskP4RE2jSyhNeqflTA4G9eLqdcTXhhLYD1i1Obu
7wS25aSQq83dApU+82k+kjuCmZjkjjg9mi99sFLwcnEUifZ+CAPFSt+nZl3gh8xyZBdZUGmx30OL
SO955DKbPWHXa6b7fgWKmWTGVa4rQH1bGGzavEuHFnu7qNA8tbhzkPg88nuuTQaI5WEBKcWI5iX5
3nQ+SC8/djdz1AFdIJhc4JrcxsnLl2VguUyMXtNVJBaiNnG0uf0xWdHz/jH4BfRfbDBYXKwaEQuC
mgPtgVYdDaVSw6MKibmXf+e1sfI8hMHlbkRbna6im7yXz9VyLOTEVmNbERLOncmxwyZqozqNTAX/
QZjEUQxkuOVzLPyQlE+czaNHa8fj2Sb1pV/FRe7xfOuK6uuSWIdEK4NC/jxPYCKgNG3FWUuM21RJ
DqK+urMB5SCRO2a9ff38+wnZfG6jZy3ydkhkTGlojk9m/bU078fxr7jxJYmTZOC4JNvAPqoYSlIb
3D3C+q0yUlseuGebg5lsGjeSidHMHa4B87P+o4S+XRESaHZO7nqvVzZtahUUm+eZm4//K0RhM7oY
ASnGFhom6JDIbqmyBkQ1PhkPX1cneQfLnRvflF853sNbKAMoUtPF0VChT/5jPu65uhlP5aPuDv7k
DofKr7+TwuYNKG22YF6vk8EUs28XeaLUZrSNrTpSas3mQDlheK16m2NX15YYZFHzPuszARx7Ocrf
ymlG066GsSvZFkNelxfvvDO4YijJglYqeg5rp2vOmgDBsew0cXv9t73fVDTZtGQJdeOfrx2rtTIi
RuhnGQTwbIs/1vm3gOtfA2y6tTDzeohmhFkziY9r9SZlq7tKS5CiQ4zjfTT0+C92XUwxUWQ2zVOd
GAhN6FRc4q1f1siuC1u9s4LKzwNlOOwb/Cin7xmkP+jqzh6IaeZqB5hSA/UHIiIvC9oQI6Eqjhem
kUvoAihO7tWOdai+UM0lHlPvtpdcVswESuOatktEeS3JETwb/SkvfqzQ395f5vahvhhhgiBZqXSt
LhAl5GBrSeY0rNB4n1faw74Z6ml7m0l/xtVmKggqhUbBWug4wxAUQXKQQcXFy/H+Ai4uy2EwqjKa
Rqhk5HD0+DVDd7hxtLrTXD/Opdcbnro8aLwK1ObIGc7WP4eMVQlIkrKR09KkjglWewOkcJKDLKxv
2qKLyPVxcSGS2+AG4M3kU+jb21MGsBZlEuua6mWt9T3JTtl4j+CkMJ9zjLftfz0OjrAqAaaRzV1d
Y8BAtYgTS9l9I0u/9WD7ZxclNgUb5bGQ9SK9z4SzOIezdJQif38Vm0O9ly+FJ+nPTjgmENmm3af4
UovXfqL6i/WpudEnB/obCMN7R3gfnyO3Oolffqc7+to2gyalmoqKpKDYa+XD0ZLrm2m1jkoyv3DW
uP+pJDYvG3erMUQJ9lEOzGPmra91OAw2bZqkQl/kYXlIXjkm9/0QV+jP2yrkVjXndCa7zp3xnfJR
FJ8rR8JM16kMrfvhrTkU4FKeTjwOkH3s+g9pgy5rZVQUtCKmgsUQPIqlcGulXzjL4+0oAykW2GKj
gZZL1cB4oy/U+K49/b2hKQqK/Dkb3rLofl9h5VpNrT6vCET0xUnig6SdzIH3EtiOwS/HjcEOuUPL
8AASPzyjZnc+lI13EG7rVxq4KsfFRfvYXfm5+4I7TXja30+etzAxiSCkBUj1sTppfNQm2Tb62146
jtGdLHNjBvppfo2Q0sdtcbWTVdWTGmQi9Nm9+sWtYFPdh+RoPEAFJ7Fxe4dgM36YeYmF/ctO+og0
r8wm8tyAZgeXnYlOw5LYRnRLxFPZvNSSkxay3fPSNjyDDLishQL2uh6DwXQArAn6UAtoKvR3Wnmv
MOwjjXm1rpLqjbQSToIxPU6RcEL7nKesIycHxftoDJxkZVMskzQi26r5Ufx97B5W0zN50+gcN/x4
X12tBSJWUNHU8ZjJy7uoynylM51mwoNNjwdb0kseISnvEzEo0gio2Lc9SphNF3nFkj0tMTrn1eWg
9qmbExmJtidSSs7+YePtJQMl4pSQaZHxxVa8tZchfkuI5VZRfk5Nnt7dL16k/0LKx3jE1Y728ZTX
9YxCHYaKyyfR6x9pF/aQ2uKjalPHt1NPwA/hxCa/SJ5f7DKAIk+WrmCyE2+QO5rlGgJysLzmK9VC
LXzi/E4X7NUh+Hg2XC0zb2shmyucNZLdplnjDDHIc0nlyjz5E46HshlfXZAKnYxAkd6KD2mTfF4n
1NZrcp9P54hHX7CdLcR4hwn+I81SNcZTKrAOK3ICa1a4+qIHhe/n7KbEPYcw3Ru+8CVYN2+gK4PM
DQRx6kXIqf57UWSuKco3ciG6xVJ6OJpOC2RRFV7dY/M0XJlkPQXdM6kiI+Hb40W1BObqQNbQRiDG
OXWbF/jFDltf0XNhnCssyUU/7mI5svXQqo/7B3s7D3plg4llcz3rzIXSPvYQAqFkRcRVoORCZ8Qj
X374LWsadJ9NxTJMtm1VnqUhSnP0Sgv5+6A29ly8Q0/TUSLiyytmcnL1KSoWsK5hZCAt7WEs3zi/
gK7nP1e59O8vYFOkJFMivSywp+mhBjlwEViOapOvhVs7OqeuvY1kV7aYvSWDGY/qhEqwel9Dh60B
R2MM8h+CVBdEPJ3qnZ8633bNy/KYG1zMW4P0Na6HSg5S7bAkgZAeDPAo7W8jzwyTUpiaTDA0CN67
aeuOJTK8aVjWTpNU7p/ZYe5wA61A0qQiL5R2h1n9rFSf0NxcGy/7Vn4BWpddY7IKxiQKQkKdgtxg
7iI/RGEXGLfEVx/LF+NY+Uj4cmfCt3HrYpNu8RX+o7ydVEmK8AT6B2/kRrDs/iCFglOGfTh9oiKv
0GSPQ/mkpTavE2IziLhyTAakQRiWrZFJt/Wg+UooeMkhRgjL6/LieQkDzbna1IqO4Vi0j0B19RQX
ntx7lcYZXdhGyctGMmg8JKVRyAM2spDuk+ZZLd7z6DvHQTZLz5cNY1k0lCEWJIwP0Er3qZLujOFW
SDE+SI6mHizLTZu5slD92RlTGfQYKjHphgXoQZCkBm+c5STE10XOHbMd9lwtjUGMpBlEYWwTSpAd
f6JSvJZHQulo2jIU7YjDZe7gfC6WPqPLxLnWWrwYTR2UaFMwnnLf8jpX+jE/0Cih8ocTN/tP8WgH
9VUGR+ZBQ4xQYVZsGYRnJFDsZeqOUhM73fBlHqTvuhDdVLp6M/ef5bK2iYWAc2keOF7EuXtUBmbK
upkbacbSabvJgDlwJOrTF6oduIQJD2B4+8zgi5ZXlVUouGqHCLJJP1rhYSgO+wviwIjKwIihRdk8
0naTqPpkNrd5fa/qbzXK7w1kRifLNqFYvm9xM5a9clYGUTAmOdfDioLHmNROtEaOmZ6HJoiLUOQp
I/IWx8AK1I+VygL/kFsKrijZRX6bpV+hwFlBtKDKnJLXBsL5Xuxc+RjP0I3+6Hfq0xtVmWypq8Cy
GfHOO88OAyvGFI9t1qB1EI+cc/ai+EMAQoIH/QCBUco6Kz3nzzrH8zkXASslk5WYwSMtAuapdpTm
GJOTHgW59bLvHNtWTB2DjZICtXomKFnI2msESmn04TjM713mV3FglX/tW9mcKZekixkGSyxRKdF7
ghdO5fWu8Ei7ByQ7+Wy6E+R+vKaylWPjC4ecJ6bFWx6DHmlD+jw3cAcVi50OiLeOy/QaC7xS3Lbf
X5ZHf8ZVXJIZxaSm6JV056YLJKu+6dsfEVJbkah6ufIIZWtbabKQs6nbXnmxykLJpOaKucBDqDAZ
eAMfx1N9+psRqD6iNIbN5nUx8EwyWFKWcxwvegWOx0SFgp1iN6keVkp5x1na9t1zWRoDJFVdlFIC
+nSUu9Wj6CHv61oe6Ho/yI7KgJdX+MWF/o89ma2AxKIW1WKFco4V6oHmS+EH2w+Io6B27sYer4Ng
G5Iv5hg8ycDYO2h00GO2cjvXvRI0B3N3qyyFnWFIZ38z98+AzPaml12sCF0EY03tCNFJmy1HVJ7J
wCtU/eJZfFkVgyXoE69kbUXw1bv0gOcukkHQAKThCWTrDvur4n4yBlIaKFDkfQw28OVIAvDV4Yk4
OmAdwAebvfxo8OzJm+HQZXUMlMRDmtYjfb6VlT27VDkgdese1Z3J1V745HDc3WQwpevTppb+fl9N
kGCZQ3JendmjlaSIq6P4kdD6T7AnYyRIN0xD1dh+ypQ0ojVSUtVVspXcqQ+qVwURHnRfR0+1dZd8
Gx1yZ/qlE6ErA6D9vv85N4Hlyj7zNUsxXkEoiJTwaJqeocf3Zbc6cjEE+2a2vebKDvMV67VIhabG
V6R9NLoDCV6IK/YepTXJHnMn+bJvb/OgX5ljPuLUxmQlA6I9EregF18cs5cxdYxB50X/OlcdJ31P
4XfvKzI3QidGS6tQLcekOI6WX7WaLRJbALX5MjrQA9hfHO+bMZeBaMhzPqn0m4k/TNLaxogX3fO+
De4HY26Cfk3NQlXRg5SeV9/wVyAzuNRdWlKlisK8FwD1s50dZDV7oM6sZEmq4pQr8qfCKG71mndt
bwLJxSdYrR416421oBnKv7soSzDKJYFqN4fKnbjdTpxvxIr2aBCcm5a6RPDfCq6ZjUfDQL1l5dHj
8raNgX4dCgUjvA8cxuNZLu4kxMX7fsBbB4MPy2rFSZQhwsoy1ekUBdxOfZhFBgcfeGbo/78K5NZO
a2IdOmh4ncW2NH6Kqx8ST0iJc0hZXZ0O5UIr71EXqtYbQQsnUfZr5d5Ic1sln/L4259tHAMJeZd3
KnQdcEhV05vF4pRmljM1vDENDtCxsjqyhGnYqgQBXakRr+kJZjvLQ1OQT3rz1qS/1X1zdYQYUBiV
rCvnDJRbiuyk5o00yDZSc7aSgJyAG9dwfJsV14lEIYlyAdIEiXTf9O/9wvE5+mN3IIflLO0M1ARn
TOMisTgeOiimFwfTr6F6sO8I25n1y6aZFJeufHvA1Ek/zICCzqu81VdflFB9r8PObc4YxXVo0VrS
HI5RDtiZDDC0eiYLCwav3MYzA9mDOjSIsp8WPw7rAALfvFzHdg/a1SIZnCBSHyuTjAxOmpwHkB5o
EJKAEL10v8qnukR3N9h6eMSIvA/IgEaSSDKIEcHDkSIJrpyASwcqk8fLDG9n3K/WxgQToiVGAgY7
QFFgjx+aCPMrTX6rmNrGjMahf+alvDdfDlcGGewo22FQVtrPZC43g/IO6eSyAAmiwjkA3I/GBBJD
P8eNUMBJ6AbmIAygTRS6L4d/uiAGN6zG6EhJp06WQu9tVYh9UdAzVyXWPZEe/sz12f7cwdT6QqBa
13/LFTWO8FCGAxiWQUTs8lj7Pig+dlCE5UBIcL/HagSUsirTydYulGIkpQfLExIrSOfxoBuvUzRC
KUnx67S7y6vVzSfxFK3ou8jL8WSIX2M5vq9n8Arr6MdQk6AVxQAcRxgwftGb5aYZje99/ti34r1q
Tn6zdJ7RRE65GkcBJO16BKalaHIybcjcZCQeZz853shynKIDBjzklEdl9hcPGodhbtjkGyXjLcE0
Z7mDrTxa3wxOSM2zygAYyATEKMvwFYVJd9RJDDLpZW6+xavCg0r6l/a+IANdKWg5SQROc3d8aw+Q
YH2VS2fw12DxKaH0Urnib9VaL+fbYoBr7MsV8/gYsRl9Bc03jvYqeOVJfV8firPotg7qhvH3hZsn
4C2UwTGLyHGkU+oyEVxqSO6goKzcRofSVn0U0F3xTw8iC2O6iWnw4ePim/Dmy100kpevk0/N/X+o
UdA/t/cdGTSzzFKK4xo6z4Xqy72ftrKt18+RGtlmN/MOBSc4YbuDU4hnVfkI5p/8rXflI0aY0CSp
C3btLV+7Q31Ph1H2z+H+bYed+zmMQKvnKBsFUoDLehPVz5l11rPIzazYbmqIAYH/QFDcfZPbuZB/
HVVnm4cn3VDJih52OCqIv6EsUji627yNnuSJ4WDY++ao2//6A+pswmwtBwxrTZh2UNqQyL5g3uYy
ZzRq/w0A3j5mE6vZMiJKlbOS3hYzr61fYyjfJv6Mbl35eX89+xCmsz3CXZdoalPAIfM4gDgsDGnC
Q1VzXJFnhe7qVXipT8qUFhEkfBfiSdMtWoNtvHGhEsjDyf2QUmd5HKJ8KeNBg5ZA59E0Y+dUg0uj
IDqLEqPNmrOu7RmDK+dj4AMfb60MU6JUOTSEzT444NuwQU4asyhIOKZ2fh913GH+7aGoK8MMkBRT
ZhZFY4F6d/H62h6nIIn8bHIqWtVunBQyuLLoVi1PE2UfU3SRiZKyKe8KocKVhxEcW+o/JerLvkNS
V9g5YGxrMMQMrUEzAMhqfRsJ34QslLmvNs4JY/uA864SjB5kbq7SO0N0p86inVififg9QocPd9iL
tyLqs1fOL/RDIlcZPpWEMdVkHu3OWGyZm8rnvOH0j2zZlZ1cJEY9DSAXwY3tT/RB5RaB/JSd47Dw
RVQq8oA7esg5bx/Pkiuba7HmWiZ8NN1MnmDTbqwxxNP7qHh8Inse1H/swJW1Vl/bJdeRr6CPHJpl
T46C09uLb/qJ/zv8NujT+1/WW/8oW14Za0R5MbUkhey4+J62uL7WDOUYkDfhWAucVw7PIRkYsdYl
qfQZn66vnorJI2s4qbel5UQCuFwVXmi3H2PpbENwpHbJNFtAY3pj6o50it36VQq0Y+SgCuQmIufO
5K2OwYyuX7M1psF5M/dBE9nKZDmCdN+bZxMkA9XDHwEI2wfc5BiYJhZqP/V6ivu/oGmU8qbZOGEO
2wFsLsr/xGZp30kXUA0gGi/yzHCAQ2aAY0hiiHH0hLKe96iDG94wgY20L3gR1GYbzcXTZTbgKFND
IirIW4XQDGgavTwVBxrjCy6vuMlbEr1erg4VBsmEghTAQtmATrvkTGjGE3m0LR+feOcO+WC6uLJS
SrNYDwZcoHdHl0YBTUDelc4ZoQuv27WdnGl0CBIL18D0k1iG+x7IuSNl5g3TlZGQjLT6qLXuML9F
Godwmnf5ywxcmEqbrHmLsb/OI4EWxn5XOiMmyehbt+Wm6XjuQY/39W5apilHOtyDMtKvbuxA0vlM
Kdxjz+RAEydO/E8789qU6Vjg8hfLxCar13WY1oekyKK0PKfnmGL7ljFjVculPFLy2gp1/fS9ey6C
5VPyPf3So1u78TM30wKe/28jh2nppqFokszOpKZWWbXihAVaWWXXy1tufcn1GynrbD1zCPks8ghS
tw/cxSDz8eS+Ialo4spcu0fZCFLMEvOq7ds7eTHBwDte670Sg2/H1dQHNXMFSbHX+qHkzVLtm1HY
t2UvTaKqx+jERo2CtJ+t7NguQdZzPPAXMcY/q4Fs7s/ejizOMg0aInq0EaOmSPU0aG8J1dPIb6TD
PlLsuwNGXH821rVQYzdnDAvE0tlEEtAYnKU/guaGWHdRHdbQBdo3+It06mV5DNZb46I1plHRfPTi
xY4UtshI6359w6O52QbBiyEG6a0SJAcD7SxpkQ6I0dY7ttLz/mL2fVtheQFrTZDMTsJaotYXK8FW
1GPCiwJ5NqhXXoFfn6hGlP3NpXewOidX3wbjfn8Z3G/CwDkUupXGIFjHP7rCX60bOr/KnZ+g7vTf
e/HyTRgwQFNMAw4rJNeoThyV2QJrBzo4KEdPGfwZLCjsSxGySAAGGY8svfqK974+QwsO/zSv+7v3
QeOysyj2wVi3RTSNFdooBElyLHF1ilU4ql1+N9ZS2HfricTCUz5XN3Mh2RXek0i8v9aG6KSYB+iT
8tG0UhstXochQ7tabGK6Q/EGMwqLvLgxosIXrMpVktyRu7G009iE6Bz6GeLalsTkKNerq+S9m42r
W9WSzklocNyPfakSy1TzmU7G19XTatyX2THiRUvUu/b2j8GgeO1MaUjxnYb2S5ccMYliJ/rDoB6i
7G3/U1H32rPEYI8pYfSkqZE7MCvrSzGKdj2lPpR8Ti0oBYQCfQHyzMvQ8DaQgaG5X3Sz0wBDGQJO
EDQ/aRB3M6ySN7fNOVrs01RWFi3vKLMnDTk/htHd5Kb2MGHvl4HKuaQ4VyH7NFW6NUP5JUMULQZL
dlrlA0SoU54V3lX4kfy6wr4oGdoxpz17uJUwjS65H+o95wkFWj71znYbMPhw/g6NFPZVKluFGWtU
TaAFb/KMsB1ZLL//Mr2rd6uTPlT+FJZv3FQQbyvZ4KUa0G0xgSRqlJ1GP1uJ0xFH5Gmo8baSfZQu
ZW8lhM77QoLsUHhFUIamTewUTHr8hr2tviiQkpmQhNRkTTdZ5qt0GHO5qBtqTcE4vdtgKG9qQKUh
+hXY3RfDnjlNuRuBzE8W6TG8cpWyrDC3QApqsT90QX/Sgt8cgPrJDHMbp6O6xkOZg0WGUMK+H0pS
OFoi+MPIfRRvHOifTDGXcqkhY91GKYDjRXZ0OON80g+9XR2wxs+8l/6GF/5kjLmYI2PR+2ys8Kf7
wLAyO8qCuamchTcstBGU/WSH8fapryR1aojk1iBrbr/k5Ps+wm+g7fXfZ8e6tGpUVJGuo1UceXAn
69jxGDJ4Jpj4vGtmYmgFXEBIz3RK2Mq8afz6Z8tgrsRcL8CXNaDDvG8OSeWl8Z0Qh39mgrkLwdXT
daTCgVl6f+xvCXrKs6c/M8FcfZVodoapAAVG9LPOTi/et+XDvgmO37IDWKOs1ulMeqxi9pTuppvu
G+mHiWmefTM8QFOZcz9YVt/1ETov56/QxThkSPuOjnJbnVcv9fJn3it9C65/8mPm8EtGWS6xia9D
Ux40gTTjnZQjUC69KeS1x20eShUDMIZqWZrMvjhFwZJGfUAAJhnyfWIZ9/Ly7Xf278oE49CrGDcj
qfCdxtz5YGIAm5Pd2/qHLNkSyiEP0Lb6kRTlyiLj32nVt3GifOxgckvr+P0XEtI0KeIhyENG6MjY
X+NHlpKJLn+yyLi7UEhjIVJ3h0PahZAh+as4o9DeFVnraUr8ssQKkunzYyeYB4L8krCo565YB9uy
ascglmZnc3o7CKa7mJDPEuJTl9wsUvSiLplTiCnnytx2sqstYu5MS1jaQiL4wXIwuqKHmQGIZ9OW
lfo4hbzX2FZ16KftYY6QXiumIUXAzVw4debjaHox5JUnTxHQgF7c9dClGDGsVn5KhztS4LUz/Mh5
qcRN7L5aMXOsSK2pct7X4EpWHpo1SKy/zNXdd4ON18xPy2RuUrGo1FyaWjTQSnXkSGt6Jyqt3Y9p
0CbimeS9t29vM/C5WhJzo5p911YLZlvcdnhT8idLu09FR1k+E8nJ0fYwTxx7nC1kX7uoeBNDqGM4
zXKUu2PVnZaWg7bbJjRFVDDbp2g6s6RhMorZ6lCfbwfB7RPrWA+Js4wlR9BG3ngO4lP9a4dtp6+b
BYkVqovReWnhyN4a2zgB3uj8P9KuY0luXVl+ESPoQLOl757p8RqjDUNu6L3n17/EnHfVFIancUN3
o40iphpgoVCoysqsrnUoqpdO5IIT+aN1n6ARAcLWI9V1hoDVf9Wa+JfzeP49TGaRTaqel8BrYnA7
9DGZftTeKCaPhiz9jYdS5mwyi71XQ0Nu57jDNEa62gPk5sD8iyxj5GzyvhkUmyGdoGOCkzlx4B6N
VLHtsMc6dOyu0/o65R3q3RxAPZtgTlylSHoLLiPFyWK7Wt4yIZClO8IT2fyX+HU2w3ilrJaN2eWC
hAe2aBcPhVvZlNshOTSH3i9t4YkHF+asi81lzZIoMziEZEdSgbBwcu1eRf+IV8P8l4vy97pYVoKq
MqS8LlC+otOFkld6WuonfgeaYjhikIOZCTxUl2MWvQk/3ZRElnSEWxARsnVTCUjXRl4RhqGdgEdv
dJVHPL/7aLFdssFcN4aiLa284Lrp3ORBRKU5jS3K65jY0TGDhLLgxzciZnUWB2VBC0i76T4/pOA+
5+Zy9Nh+/iUEbQgcAiRZTCbSQQN1rOiIO80dk0AKyu/618FBEPFRErq8s/sxhJyNMUmI3ORqnIzw
0u44uBGMhY6Bgsni0A/Jo33jWqOnf/PqHpuuGqKWnokfIyhOSy/21KfWlb3Rj11eQX+PpRPXwXlt
zCfV+qptywpX3eiVTxRdMgb6F6zUNw6tS/VtKRcVgJuB4HBZsHbvio1tJo5ptb4UtQzbqi/8AE3t
aXFLD2Kqd+n77KadRZ1oCmbF+i8caDcQEFPEbYjalMie0NWYq6mu4EDKY3ajQeqSBKk3WqoT3yTX
OrDoxS3uJc4Z3Q3cG6NMxh5PkklKcBJCrSwYYw+4+oXHVLK/p+d1MQejUU2BZDPWlSjHaj4I03Wc
Wql+rwOmGWUu52TQv/b5GJ6tMSejyjq9CQn0dTrX/KHlTn2YwDY8FtZauIuzPNXcBsT+q3Gzh8zx
UIvMEMrMlGiL9wYFUg/FoszqHNCLeQvks/u3/3GNzAlJYrXHIyuhXlo/YWLB61Nbe9R96p3lr9Du
uHDp/eB23lXmXAixlg0rRGM+bkVap4qO8oEK9fHxUPs3lUaZxhRVJirb0Ikr0CtpM7p5IrEkDyB7
YJNuZowdVw45Ehv4MjzsLu/o7tE7m2Sz3SYbhbFKcYtIXXllEsMxweQvZ5jbWTiWds/bxhKT/A1L
FNahDkumFuhQekhB1tY8Xl7NHm5DUTZGmEPdTya6VQZefFJxa86P0uIY860Zu6Hx3BbABjaBIr6h
uM+7lXa9ZGOXOelFK+dhFiHZpHiR6hi5pEViPTl0diDnZRf7t9LGGnPSlSVTIbku4Vby4ifiNb4A
AqTiQDnZgRixOXtK9+xTXNlYYw65KUfjJGXZfyZmOxuvBjReaE9TuOPNCPG8hDngUrV25pAjKoso
muS51YS3a/hweUU8G8yRHpRMCROFZmdT7xtpGUD451qfDE75gXe06O2wyR0SWR3mmQ7/gqXzaxYV
rjClmPFLfeSjHP+jv/jSJ2JS996UxUEvUE4tMOjeprErtYNdYGJMMLUvuc7rxdE/d8Ec22vphzDD
TCvuNfHYHhSwvynoRfxtievseSwKsG/VqI8hHuRop/ogvQIr8ogAlVnFdXUgduqmv3jux/lmLCBQ
6lQQhI4o48WGnygeKQ6Jave8+YN9ByQmnouSpug644ByXMHFhQiVot6OymtltjuTM+LwLzHibIPx
PqiLRa0cortCbicXT3+MKkp+daBz+3zQ4b7/nY0x/icnedWCOgUFjelRi2y9eez7b8PPJuKl/zSy
ffa834YMZvxlWBPJaHIRZ0qc7Faa79dBeL8cHfZNmMjDZVOUJbbi3qOMl9U0AmnzV2WGpHbT/dVp
PVtgYlwqJvI0EkwNhd2D2HwpIAcn/8zIF9V0Li9lD/eC6/BsiXG0pUnERGzhzhMRLbNA2aUAtlqH
pgaJwNZlGFYbyt/LoXZUOZU4y9z38rNxxgNbKSniToBxU3SW/FiEP4vinrNAedcfzjYYxwNximQk
tCQ92SgKesCru8aBuNWh/C/uJo5nsHxncAtNHUuEo7YhfjeobiFnvC/GWRBhsiRJipDhCliQkYWW
WDqh7tdqYpuDrUvuUj9JwsMUOfpsg8WI8732Y9/vvWQpzxRdVVJTRHWONK/DiokX7UnRPI07rcGz
w+RKZJgxJIsz4CTluykCK5LeFcQ1Kk5hbv9xcnZ+Qj/n5v4lfZ3ERQg72il5mezuWTyFB7Jawytt
0he3vI4Mzz3oedjYm3RFaptlgnsM8VFtoeOXJg+X/X3XhC7rpiRrqkg+lrwx0cy10QwtLo5p/ipA
NGCdOAb2MCIKNKV+W2A2LQb/dzPOsNC5I1Apg0u8DvN+o4WbEKJQoVU4FNN9eVm7kWJjlNk5MrYT
2EpRctcpXehrTq7M8e2yCRpsPl0cGxNMzNXCORHSCtdhl6yOGI147wNKNumj1Yw9EPJKh2pLN3ec
5HnX1zdmmQBcYYqMRIouOWsTqHEQk6+CcdXE3uXFfSB3Lq2OCbVVsySYS0JDIT+I7gJ195sP3mb6
HK8cqsizeLib/RiC1T7hAbPoeb1knInBUdj1VRojnaat3PaAiUAIiKXg1IlvWgt6ZeDo4i6Ys69s
BiqVsmlEGq5QachsSZkstZjdrG90S4olPxHKUz0mp7E0r+LlW9j2rqIKV4IxSFbTNqmlRJE7kur9
8mfYP52aDI1ShbLJM7FbGaNJiWtgP9TyRh9Cyxg4BnbTLP1sgF4em+M/r2FZdRoK5ilkO0sUyZLG
kiY3Fg+m/HJ5LfSjff6oZ1NMkO7jIg5LDV0+8RgF2ZEO4Pw3Kf7+yT+bYcKNPgPT19Z4W4bpY2M+
r/kvWeUx8O33rTfbxoQXzM/JSpmgRSN/pUNtmNHGzDsAR37sKA+QCBrAZ9WDSI4WkZYr9DF/TFe8
EMfzDerQm0/XVWsBf0Vph0w/pMom+t88NjdrZAJNpJgVCVf0iBJ9cpQss8U5cRcieGFaupddYz+r
3Nhiog1oX7W47+GGS/VsjK7YWoPhDtUbRvh6ZPyV2lsJb+Ln4+V1ySGZKAPGbFVYwA8Gh0wCqkgX
HSnJISj35bfWNSzJpU1EOQg/po6E69Lm9Tn2fdXUNEWG+gD4IP78hGkqxjMa/MiPIu1lkTHzqYCI
Nuk4l+G+p/w2w2aZylqWaR/hSBjVzdjdRT3nZchZxqcME8q/5dAPgN2B74r4RgcoN+fW2y/D6ec1
MIHKLEvdyFdDAtKUSjR00MMSUTStnMTjESLsP3Q3tphIJQmGWibGSmvQipe50VGJrP4IhUKMakmp
VXC2b//mOS+NiVialPdDlgm4To3yOqrBoVu0lrIaXtOlnGSMZ4qJW6Sui8qMcM6mubSy1p7SuxoM
QKEaXD7QPDtMbMqUcl7HConyol6JMNAbVqelbgZhgcuG9ob5kV2eN4+JUp3c120laRJSBdq8w3x7
YKJ8qTkrsQbgaDHSLFzn18MVt4jJO1VMzKqyuK4EDWusf6B1AIKX2DGIDYbGf/SilDvzjqd7t39b
nxfLxItmJT0ZdGS1XQVBCwgKGKvgCqHwnOPOSWuTF5b387Df9ljtlTLpJW2MscQPhLCdw2fs6Fr7
QcXEp5fBijgpwv4D6/w1NSbfGeWwyodOpYABaMA/4J1wqoMIL1W0YzJHf8t49JC8s85q2wOAURht
Brx8JQlWriPbG0tbjSs7zvprucqtGOW6Lk6DcGwsMx3sJuPpSu0nRuddZsKNbqhJM4/Y5X80N6B8
AcidHHDpxmiI/Hzfne0wcWZQltwgOjLcprWMY+lFru4KX1p3dWmjm9cG+pcXxNkcE2syta2TVkSs
SZ7/efNlvxI3doY30/2Q1kHzyXTkwDwQXkmPt6FM9BnFOerUkia1HyImma/4fznqDcA+hqRMyaBt
bib0ROawhuKMKymtAx2HHazdLedq2I0xGxNMjCl6cdJkTHo74gzII1Xb4DaadkM1ZKow2kpMxTSY
z7RqUp/FpgI1otjSQfAMlvH5qmv/6mRvzDDfRBTaugWREGX8wZSWO18JtngYvMGhl2p6mnhlvP2d
Oy+L+Tjq2CXV3OL9Sok1xsfUy07RCdNKo0v7yOpN9Di/Xb6K9i2apg7QCrRHCXOMe0UolSLB2Feb
XJPloa7ty39/PziaAOPrkqiDjJcJjrXWj3Pfod2ZYP/w6phOsZfZ6TvY9ifI4oLV3L9scXdFG4NM
zgVqSZWk9IXRLdFh0NdgBB/nZRPUuz7FpI0JZtOaEiXkOaal8a/K9NOoDiaPa4q3CPr/m2dSP3RV
Xk4Y7DcF8dQVmddGE6cuuBtvNotgjhBEnhcjTBDAJyN6SmUw9sejNyUoqoKzeVLau7mq79Za4yRZ
PLPMkSK9lo6S3mBlNXjLQ4NYWqvd9CJE7KvcKWXRaovQrWWdE5R2IwZGvlRFNMBRyTITRloXD8WE
8EqqU0huUvFLOrt1xNlUnhXW+TACGAJsjQoecKbZd3N2JpRYuRDr3UtxsxjGAcOoTaJSwGJiBSTp
JMALprcwdgWARHHHpwfhrYrxxk4yw7SRcQfn2mI1yHGQGRvlCKGd75cPlrQLvlRFVAKJKBuYlmS8
UhkkedQmQHXVFkOa3XSdZt+idTyugnZMjD6YJ/W9ip+gNHmN56c/lkaQ57PVATdpjshz8tWbu+H4
kcVnqyvn48vUAo4NrHmZLvaqjm5tCpa54g2Wagcxqw5KbFxL6xgsS/VQq8DlVy8gEYOmBLi+JfGZ
jN1NNwGQKRR2nb8bJiQnzAydCGLJRXFcoR0YqYPfaPHPuIIeS1++RqX2tKxgUAlrr2rg1XP5vZJm
C8OU3yKCmgQQVms/oaem1gdF/amCEjYvRc8knScOb3JZ2WlTQJd09iMFNDZp29rtqj2hDvVS9bFb
L/UtJMi+dLFsF+FgZ23yJSIgQxiL694crVIVfdSPnHISQX/TulX1Cno+O1UaKxlnXxY1TxgG25jG
Q6+pFlHnu7jO76L2RSRyMILFBozqQTzWr+CgO0Cz3UvI+iIJxQlQT3toBrs2QMc/YOTP1JJbYa09
lCGfesGwykF/HMfQK5aZJ2+ym/WqsogdNkxd1zT2duyyKZ4wwg72mNWj8hiZvd4QX4Talelo7mVX
3IvAW2NMEiM0Pcln1Dkcs7hVlMKCk1w2sIty2lqgkXIT44VsFI14AlZmBJMopG9846fwQBGO6c3H
A7AGU+NfXFwbkywQvmpMOYyo4FpkVoeh64KkUmxQ2HDM7NHiALn1+0ux5PI90U3MZolIMg+0AC9d
gUbUpXyJddD8QBEaEHvjlXZQTCedbO0LZ2dpkGDv5615Gj43O2uAe6JRRjQP9UfxgY74ZlfVqb+d
AzzLRqtebWIvQdRzVs37oCz+t1KHsFkonma9Ja8ylRa6Nxyo/AidpVqiRzlzooaT7exdp9ulMqEZ
Z9Jckgb1acrogCqC+w9BFPcZRtO0S1vKxOWpLepVHZBVQZaDCg+OyqF7I351B0I7R+O9IHYLZ9tl
MVnClANODpDjP8UsSHjdz0F/rA6jDwYFXkn6X+KKqiAz0CUQKTK36YSJqxgMhwAYQ42DHkT1IB7+
wcXXvsY7g1xzzCeb51CTookmXujVJ0H+GDtUwCW0Zp+Ppdy7ulX5vDbmu2Vo/CpTiSpnkQaqZpWj
arfioY0STp6/74dnO8wHUwatjdoUdqgf0j4Jfb2iHMDJ4vZP9tkMcwXEUZEI6oiicAcpLW3K/bYw
7SriucRu8FckqBQZkinr7GBSmIa1qhF8InN+WZrXMOew1+62lzE0/x8DbCAmqzDWQgeX618l09K+
Rg+C1dkY1r8qXmWQD6Mxr33njy7uesPGLPMYU8qq7KD7IDk6pBKRwEEqwYpCS1M5UWn3Mymqhkk/
QLskdhhoNAYII4WAUAyqaBlCEA/fDMH5myi/McLc0EszmugEopIhTC9i8dDRFE/tXvAAAJ4sDCJZ
/pUWoP6I3jLtuV/rpzEsXTn72kiry/kpu9Fxk7Uy3j8KtZBmJdY74bLRvQS0C6qj+/QabzgnYPdB
vc2QmSMgFmEldc1IawSS1z1Q7n0jtkDRDe0EMTAeeBWC3WmMrUFmn9esAr9NgY5TikIEZpQxYQOA
EeSm7xJ7xJA05iIonSMmazBV886jEqJ//dPFs9laJksCREzPIgmTJ6A2tYYqsYywt9W1tRL0OTBW
zBsy2w1kkgqmG5OIoskSw4EfYS7VFhEmPSQfjItUYDc98gCWuyfkbIYlhVtXHeBlGcNY3aQ5ZVyc
eqG2U2H2Lnvmbs9X3dhhT7yRJKgqKcjEgPrGeFRuD1b9+k/pH6XUB6AG/NVO3qAd/lC+QyTNEV94
mh+7UWfzG5h0TCuJnGgTDqps3EiowldHVX6OeU9vzodjb/E2JpGuiciEhh6vtQZvkbTK3grxuheQ
WncaHm+RFYYCL+uj5+2Tg25Wx1znSxoL4wKO3I/BiPnpgw4adFegdUMjXZXA45G74pV6w2vA7ecR
EmTSDFPGG4xl+BuJhtcrZt/gqe01FUrLbHKqDj16DrnN89fdY3jO6DXqz5uUuhqMOhvoqC56cVbZ
nYbltZw1R0qPw+qoKm/Gfvd4bMwxATVaq7CPEvSM2ib/kRXCuxGvVsMrN+y6zOYGYWKLbBjDPEYQ
is1yzPoKQQp2/LDyzO7XHM3o338hModPiWORHfUsB0NbZhkvkzCzBvCJVDcilOyTO0MN5PYQZveX
j/++j5xXyE6UTcqSpp2Jyg25Lb7RKUHTlR9RvrbTK76C/X7WvrHGHPQormTIviF25tehX3vhITqY
vkyZh/gkDBTh/OnYbWwxSbsmDKuoFx+2NNoWug9BnPyg3ISH0aZN79SNUBMwUWBugingvqR3T/3G
PHPqVbnTwqYClibCYJlJWqAITqV0QDkpUjiQlv135cYWc/YmfZkEpUUponWK5/AeTwZPcCtIndwa
mFBXQXFRvVz2m/3893f+xrKgiB3K9ibFXlRFh+dr85ApC29VvB2k/7+JKHoGruGZABY9etmDBsBy
+ZKcgMi2VTho/kA5c0NbOqy8C373NtrsJpPO5AmRW20EdF4KT4nwPg5ftO4xiznL2w1gGytMaKka
ISuGBcWdiVyRzLTmxBaqb5e/EmclLEIGdFRknBrsYFnexi1o09JHMtvNxAVj7wb/82JYqEyjNmKL
gQMKV6AvVvIKvM+95kyvYWn1wBwJ0PlNIAwTf1kfLy9xfxsNUVdR70NCxrg+AIyhCPF1JNbCi1yd
KMxEci+b2M9vlbMN5q7JlQbDojWK6dORksEN76Jb3ceOCJrP++a1eKLJbeRNkVXfR1ya6t0LgWDv
IOmKlJMdgYHkkaYnAvyknl/y8K0an9B9kTA0Ill9mNmZ8oWz2t0d3Rhk3F9VGy1Tcqjt0ERlfIpx
8LQ3zdEsya482aOz1eZPjs3d59HGJnMY5H4pE4GSzncueVWRHAGK+0ozFQxovXFs7a8PbHSIXsi6
2LEVIez1sqBqYUKgLnaJBTZ27IxWv4C2GiM5Pu6+I3c+fjdgYlLmP1YZHxrrOV0nKthZZVBYrb7E
UKRql+Y4qnKwyJAazx5KzXSEXjhmJrruSgwgk2wbo8xJRz/6qZ/uxc0vYcIqGhuykZSQUh+9EODO
xK1uOiuFSshaWC0QYS5ly/sYENYdOrqYeLwX6m602PwCxsOWRo3QeECAbeq7KHzIE/B9vvZ5YOpu
XnLcmWeL8SwiZcmc53hGiWIJylVbNu864SYz37UktIfR+9+ci424Upb3ihrjM+cgH1xlt7BRuQNN
uQu8pV1cReDRiI8Z5zLer6afN5QNv2hdohNRwaXTa+GHeas/JjfFAx03zN9r0MZUT6P/zbhdHMpO
wgN77sen347NDsOEUzM10kzfqeZNEd3m6klOn8XRhzNH/SHtvl7e4d3Tq4EYWCMGQjILHTebTMzR
bYEmyyRYugI2LADw5LZyLpvZL6JohgnkiCKpBouCqYC00SY9hh2A4KCm44aO7ooHyhbS+lB250Wl
3fiwscecCV0r6nrtIRxL56LpW804ILifEl/4hnlllIkiJbi8xN3kYGORORmTlJqpDDyGM2uCN6+r
nxrDg64Wx9bkcn3vnkIggRFtRewni8ZJSdHH4HhC8beIrFjzhzAgcTDKhyy1xpnTYt+/rzfWmFhb
D+MQjRmeolSbZbrvACsRXRKQ1I5Sp4WIdmshwt+oARJIruD77rZujDPh1ZCbOiELlD270o0mPNqC
KYNKoX/54+1CyyEn/XtHGX8ZIHyk9CmOfKJKpZXjqJXiVSXqni4MAEek17GYX4VCbqVLygk3u666
Mc04TpOMU6zmuKyj7HEaT1PLqX3vHvHz32cFKQtM1i1FhIiyGn6pl5YBbuyGE0b2X6IbI0zZKxvM
MCkkzJwn2nJUhdwNq+emRQ8uDyrJLuLS7ZIU1cvC6oXD5W/H2T9WIDLskllqSoSW1pStpBacquOR
q+4/63VCOWIwoYb09M+3U6o2pJ7pN5psFaPnVKy0vVL8ho41+7wK7L7Ln43RBW8eakbTTYOQYUHT
9BXKl6ihBXGjeFDQ4OQu//LVTEXUVAwdmyxWzNCEsFPECbiqeL6LltQx8y9NDEo4UbIEo3JW6HqG
8W3XGLb6NxymqiHraJbJmgF26D9XObaVnqgDdC/D9LAqQTj4VeJd9oxdzzcAuTRUUdQ0wsSONumM
dM0gMKulx7I4GeHXYvz1v5lg4kYsDlDTpI6Rha6pHhIJsykc/94vR2yWwewUkstGb0WACCgBOZ01
zgEib69Ua0UPU7sqfe5ow+774WyRRXSboTQZbYhyBLUoQCI0OpZXFZTqS5/XYNwFAANfokkqBn0B
QqIfcePt6PqJ0ZqjlUN19iihdQhWrcitX+j6DC++B6+pN3t8jq197zgbZq41MR0gcbaOWGR4yrsr
SDB2svs33nE2wTggeprQ/oRYjCNhVkmDhmX5VoVPl23sxyacYYIbHwQ+JhObIrx1IZWBsjQlxRh8
iLRZGcqAtJ4TObVz2dp+bryxxgQncSWZRmosifadZ6AugIf3wskyH6ham+Sado+MQLYyxzxkpcWL
jfuJ5MY+4y5S18ZKvyAZ0R8hZu5KVxDX8ehjGrV/JCC8dJy7u5+8BL2wsQTyX/Zp2pN7ZmSJGPwS
fIDS3/Sfl7f3X5angc1OkYHt+jTaIIFAJW9wWWNQ+HVxP7gQ3eJEvpLj6EfAXnO+5z7+zzwbZErI
Yx3HgtbGqrPc08kYchW54VPnU9Q/OaE84We1w+tP7aavG5usx5ZEjwYd2BY1lXyAbfGkU34NSKyy
NfW0erxXi7+QKVXUjUnGbdVpldaawq5V+b6I3hMQkzY31ZRwbtR/OR7n7WTcM0mnxgQBD3LlzNO+
UM211DPdCA/XwasOCGmFhSYuJMpMzKrIAXecgn6uT9UIE1c5alsQzGW7qauCSd1CxOck1uS2B1Cj
OYWtnCgYKvF4E9i7EfRsjO2pLo02QvwAF5M5EUsUR28VcwcQO86mfjwO2UURUdNNCqyBbDO7qe1I
xCyO4KMtBjDbX+Yie2a4vK/Ccpua+U2iYMSvzYIINcMSwNQ1Sq1EbgA8060l/i5HUEARw78oOG9/
FBMY1H7+T1o92tpwGNDyCTn5C70eLq2buT70Up7yipbWxtmTjdcoAgliAeRnC7kT3h7TA/DJliTK
GNYHe6jMdnNFscnWDMSoH2Ws0mlOgt05RmkTd/HyoPZF3Rr/BtZPNjaZQykVSZGUAtY3ZADtrZK3
xPlRTcSXvwiqWzuM/+hhK/bA/kCs6jA65U8km3eCHcnWR/pulzbWxrG41yzbWmScY5AEtRRSWKSP
ZXK9XpVBdVgO/FSN5n6XPhvjIlKjyYsKECSmtVqIEr4MCbjscwulgK47ZNltPo6ctfEchcl4uxI8
VUKDvJ10rpC9ps2Xy3u3F1S2W8dku3U7JNUkYhKjMAZ3CGWXjEkQ1b192czuTQsiE03TJHx6xErs
7CbvDJd5gNQIwM2qv7igW8Lj5wZaenZ9Q0OlVli8FvvuVbu1KP9pUalAX5bEOGKLnx8kDyuEyh3Y
+vrn9IbOSgoHUBBw+VXpZfrZQ87rZC7bbimXVKg1erCTG9mVwHAaPkEU3AL2xEu/qg+X95V69mdz
mD2SJY1IJovkM6IJA0jrrDhyvLpmtrYgDBI8cX4XdLHgfMNdWzIqYAYIgAEjZZy/0uqGGBOcXwiP
wvJjkV3MN1iRyOvH8ewwLh+u/ax2faOAGylokt6Kq589cQZB/ZujtVkP4/qCKkCbJDUUR1d+rsNz
mwSXv80uOAkyFP/ZMBYNobV93KQ9kufWkY+yn34h1lmQKTwiMILTuHPM+/h5teOg/4Kxef/yb9g9
3pufwBw7HICyNUFO7xTCaMt69xCWqZ1n8+Gymd1n5XapzGETMMnYzY2AIgpaqOt1f12465VcW/nV
eNR+KG556jBUqrnDUeeY3vcWxdShgiejYsTcNmufZ6LYwVvy3s+jr6LxpTfdXnU4C9zfyLMZ+jM2
8QvcA6UUrcg05REq2WV1NUXmTaKRX0apBTLJH3V1sUCP5yTJG4bBr0aQeAErQo8HZmuykofG3182
Fi2KoOIWWTC+rDZzLFU96jnSsW6OS75aYe9Wc8g5JPuBG9BxFYoIIlFZiI1pLAsxaiw8PDXfMOWA
bqNaW5plWAv44peA9z334/bGIONKGYo8aqShSjb/GJ6pmgd61SD+sZrrNOhdFXKyUNbm5Cz0qH8K
o6jgGzJe9WjMMKGgGOSlC0O8VxRInsidBe5qi5QJ5s+uKuWwaCdd4ljc/X5nix8V8o0/yUTRO7TL
UeKcU79shet11ANjMG/aVHnk+O5efYngeBBMEiMWsD3jViBETLWFFhGoyrYluL17Ddlmn9sn3k3E
NpaYUzIIaVHVA/BY6YEOs4+BhKKtDARPzrmL6F3z6YNtDNH/32yfqY2ojNAHZjdPjiol1lrd9G1p
xVHt8Mmh961RJKJJ8M/HGdlYSwBKVqcUZcciR+FWF/0pnQ+ZAAyDYLp1+SCuoKaZcVPJqBvUqzWa
0pXaQjAzTOxiWZ9ADmaRTuVApXdTQ9VADY+iIwHl/3MPBFNQs0oEdLiB6nGZvZdcUmx61D7tMiR6
kbOJ0C9hqXCaospI3mDcc/S04+pQSuDwZ+c1gHwu33l99d2mEDlbY7vPozRKsZDLVMnjp4ElTXlr
l1rur2J6CnFc8NiUr8v4JSUzZyf3KiRby8xODtGwDA1BhWSOQJWZTZZWnSTgz5WTrt0QPG85B5Im
gRf2le06L2pijEsGkMro1YfYLh9TB9OO3oxCxegLB5n3IXf9d7Oz9Pds/Fcd4ixOxA7ztEBSdU48
3AlZZOmjK4z3l5e2e01uLDFvzLicezKrqN8toasntUWWYK1W3v7thuuNFebOl5U0FxcUZz9apN1N
7hl3QIA77ffara4XB30pb4CAArgsDjyCwd24vTHNRDgpzNO4VfDUzLWgJcHafzFCiyuWvG+FzoEa
uq6KbP9+VuKlq1OEtyw/NIlu1apX9cGgJry0Zt8Tz4aYXFvoxVlXG3hGek0506bTfDVi2IIcQyuH
SBCvvrvviGdzzD1bh2UUjRr6lkv6OAgg6PAb6So0DtXAOdG7E0iE/Lb0UTncuHzYJ0iOKN0IRSQU
uUXFNEHL8xz+jDBn4YRWb4MTYJ6sjtO/3z8BZ8NMLIFOYI27HeyAmQ5+/zvQFIbN498cMvi3YqCb
gX/+PM5hKQqDnIHkUs39AXlf+KNOOWyP+w54NsG4eYQpKnSxe+Dhe91pu8nuw9ZRjRFKN8VfNMxx
q/5eDXOV5xHyd4zTojGkBeHqdstdkXqXN2zf7c4mGC+PG73oqxXzblWXQ5vuFahSa4JcgNzGbjuL
/mVrvL1jnTyVm0mWcWuWOTnoA/aui45SdNt3f9GrBLm4bpoi0TFMo7At107TwdPRKisQ6ep77a0B
RpAhlfz/KjJ2fuId4J3uKCyaCnIBDakkHvh/+p5WkXVUikx0wA9QXhc3tTcH2oGc1FvpuAB4L3Jn
InfyAvDag5BW/hiMR2P5T5NTSvpIMHLAc4+iDd4nPztRIvre51Gr7JAP/mmJ8frBnCqp0BLwWIPi
tD/01/N1+xiDuczACCvxiTsDZCkcUzd5RF5Aya8Ol11H/uypf/4C5jBEuhnFaooRP6ErX8gAefSG
DBZpCi9eUUEN86s5fVoacoTa+HOomUEkKNda1FpCTqwknJwC1VXR7N7LTL+OM6CW8yKQ8vTn0EdB
rgKjmBqNFWbFKUwoxYE+2ZdX8Dn8YQFopKEXYsqfQQDSoCddpNMtxNCMpEuBQUDbFZqcE/35jFEz
Jg3wMPKpjU30VKmMCGZmbb3t2yUos+/tELlV9HZ5PZ9TQxgyNAxrm5L6uUOYyPgeWZ2KTk1SEGIc
U+0oowWT4PKoENp5z/rd778xxzx+i6EdQGI6iciBiytlNntLiL8PctTY2VLcRDWv/LtzT/65PiY1
1EQMIq2tifMMekPFhl5fEDvLWx8Q1zwZAyAPtLmc+7yxy10/2SyUSRRXqCUOOQrTzip4S3LqwLUR
dZx78vMDia4NGEgNLL2fu3NjOs2NOeHb9cioE+17E3MS0V0vNBXZlIHeMHB6/oxMYZNpuq7ooqOL
z714reWlk6zgdUk4za/9ELgxxFxgSVOA3EcZRCcs75LyQU9FV+qe4zLF+f6ejJhAmoS7YVI5HB67
H2ljlrnJdC1fJTLJ+Eg9Zho9o/e7hpMuXd5CjKT+uYWzPpEwU+DwLcouORB/YNOyFmOxgDu8fJJ3
sAVwh9+rIWwLQqgrY5BB7+qI96s3Yoq/flG+thjvpVrEGa8p9fE4/vOR96c55iiLiYDBAEBwHIio
lpbZCYHUzDeU1G0cpR+KsForOGQKZYSepOn3s5hZmilZ7Zp5GQoamlYdxWVyhwhpkaL4tTDYbW8+
hcmjXE43a6ffmYJgNaL5NKRQeRAwoEwgvOaiGHmv6b+iUbHmuvu+TLU7SJNd6CmEDPDf8xyg8fdm
SMQhc+OnAAmqafWiL/FsNTooc5pMh+SqalhVrj8PEpgXu+bX5W+xG+ZMDUULA3WFTy3mTAjNkJQx
4Fvm49K8T4OzZF9FTNjwACw8Q9T9Ns+AegRfCRjhRceUrlPI+kUu7spSfOqMh8sr2qmT0s99XhIT
CyToHidqhEAqDRaQAFAQ7Carx1PDgKaefCU4f8GS9adFJigM3fx/pF3XjuQ6lvwiAbKU9CqbpkyW
a/citJX3Xl+/wbp7u9QsTnK3ZzDzMGigTpI6jsdEaIAhQipGiTwpymoKVNw4XAPNH15EmQkv8QMo
iaxg2EIGuTbbsQYbfa6mfUKlTR6lDY19/ZgE0cEO66B5ie9FqSZ1Lqz97AUyEWLqiGotJJZRS4wP
QGQ55NhUF4N/8TQE3J1ElsHh/r4x2WYohawdgQ/vljDS7/rWcLIepbvVkXJR35/n7YAXYQOJRQbT
q8yoY4bpal2T4O0sArM3lOca3bqhrbxJ1kXBif/FdsIYjdTmMh/BjUG/2OzLQH7RzsPh+4anfezW
T0UoGm7ifrCdPEYf20hu8VShqUQD3nDrXOe+GvsaOTXZYYOXiYkgdnBtbn+dTHyqNs3SwaOHEwJK
pzeVcxa3t+sK3tdVPyhmujhTin0HyQinVL5TFxsAsovXgqDrLxKB3Q9hq/lxJmWaKUVI2xMQFY45
GggXpe3ciQhSGq62Kqam6wSloXdtnyLdMBxXx4o3VUCZAtRTYoQJCXLgXG2taLyKF/4Bgf5bGGOB
dtN3Ff6Dwm/kx1oga760Cj6hSAT9951/BkGSqs865niVpMW4vOlu1nouVSsQeGfuveHFYMmELvu8
62IlBEuxPTK1+bQFlGo18TJACoIdO3UpL4CKchf4Vp9FKAbc8+3kMkmAMVjFbKL94lk/R+0OiH5y
7V8/mkgCk8Av2jRvk05Vr/XM4kWfDzKqWtdlcFMnoPn8vj5GE8ia92M96cjSEGpUyih+It73f+gx
ReOKXB+J4gIqWyhtAfz4T5WItqnDnDxeBvP4MiXhkD1P2rMsekBy3/qYmdAxxKtgQpAtZBSdPci6
vUKMmzwrQeJOweQZQREUCoZEpC9gDnHSm8Vdb4aw07F8Jl6O5fuv3W9gwgGGpOpiAY+6Z31piaMD
Uk16tN3l1IHcGVu5fzVfi7UD0zANgttFrslUJ9t0XKNOxUOiQxQfjsTdDvpFd6J7IP7eioZTuAFh
J4xR/nJdJVVF4MWj6Jh1fov1MCD4NAHgXx1bOVmDqP/ItfKdQMYWQFbYKmSA6iRrkCYHJbu1dS/F
9H4qwLngNKn/vEfGIMxG7TK7hSTKRkDn98iP9CUKhvPkaqBwBWKj4coinmGuvmDQxwbsFIpwJotb
YEjbqs0TLtS4V4ItcnIfxSkvfq4nZwXYcBWW364bPs+5qJqu4BmLtieM8U9bHEmhDnkJBZW7m7Qg
Ya/BUaYkvC6FsxiDCVoN8DX4H+pG7L7Pih1XMg+IAnRpe7igYOSt98grveRB5F24J8LUBCY5MNsK
io8/TyShkjptnYUPV/qT5s8YlhI9afkidB2KqGAPht0AM3piFfmENwcyyTl9SOXzkopCM//K6HaU
AsxfrCUyXrIc9areUAfAlWlBCT1YNUd9Mk61BzSQyrv+gXiGrO6EMZkdSCzBxg5AEqytYu3mS6U4
MQiglgez/dVnlSv1Ann077Gp/14ek9dNWUOUlOBwo0purBZcbo3pYRfaMWY9LNXBbbP8eP2IvKiz
E0mYOsQm1VFVgUXRkyxsptT5gTSJo689Cizz1+ui+Prx+9OxSwfAxisXY4WofDuMzQsAbiXp8N+J
YDxvN8dTItf4YKoxnXRcHJ52z00qmpjmOyR0ATB5iOkgMHow1lTMdimPOMoc+fKJAtUkgfaYla8Y
r41bvIjeGJyJf7gKVHxf1wKx/8vofbQsKbDYpc0bV2fBslTh5YfcH751h2GFE+xcShlLEXksVw1X
Ib8T99sRy1AxtI3/sr2IturU2TaQNUiF7MijB0yggKyDQP+59raTwuQF8yzVKP3gkP8M7FC0STqu
I+p3cNM6bAP+Pg1zmWM1rlpH8ELs8t5d7Zup/yVbxwQVH+2uB5SCfbOUj210a+lfrusnZzSSfsY3
yYxH6WbMKrUlJGv3mu1EIRapzs1hcbuDEV56/J/BoRwYgytdwEfhAKHEEy2tcy1+9xMYJ6PGajat
tFNBQbbnwrqkjYyRRYRS4UOV689AFach3cQkDTulm/XT1uQRyl3SctGHm7l5TLSjqt7k27kT5UBc
DX2T9Q5604ztpV7xQqQA39EIAExFcutJRE5OE5x3LnonhrH8LZq3oujwAfWpdifZ/jg2GHK6riWi
ozBeTFbsJmonxOq1/KlNKXDZMCX3+bqM14D/7iAWyPwUPAIsVOv/dGEARDSJjukYsGCCCfNr27om
Gn6Z7MSgNpx88GwjEweOs0O33sZLHog+GLe4j8nD37+AsYWNSBQ/EFepbqWP8q8jzXaQopwLz+qm
ZhSuya9iVl/UJBeNQHNtAJkdEGcxOauzU6Q9plSXDRhEnqY4pnqxq7t8CSbR8Cy9wvdX/CaF6tLu
kV/mdT0aE32iLo1fYrRywnTXuD7FjRdnz9e/J08Wlmosy6QYG2Dx/lNWRppB0lSofwSAI3s8p/bP
OPWz+VZXvv93khgnDYxje1Zm5MbzUDxs2PSfxzQsh0tvYBpx+f/DCgAFcXcuRk3bqJSbuacLzwuI
WafFV+3BTYFWff1Q3LxyL4dRRtWS2mlMkTlUNyBCQIUEryf4ZIq9+heg23+eifHAdtokG+pZ6Grd
Uhj11q0BoG6EmHoKROVrnivB3j0oYIAlCYZe5mWYb/I25TNq5WoCovcO/Z8e252ZaAWe206lPDOy
hoEF5CiMnMS0JjkqoH7kYfGG5+oeZWt3yVysupySQ3+fAKFUuWxClE7qblkT01SwIKO0TBMTRu7S
xoqa5TAxNXydkcC73vbTIwnUs+iz8XwGsMQ1E68OmBiLJKBXM8EWGUppMZ7wfVBasYOCNjGD65rI
/WJvYthX1NBMAJBuUDmLyjvys1seR0mg61xXgRqTgtegDDBaxqSWjujNmOAgpMqcvjhprd+Nv+rM
crSpFoQyXkYHkiAgL2CkD+RUzPcZegnXib1KT8YAe/4zN1oH3RtHMjCAZgXgADdmWSDytSPzTid2
Mhm3OymA+V4t1Cii6twO6beF5Ec13xwSqShOTO39Iim3gENxpLUHQUc73Wg1Rt670UuWfvFl8lR2
KJMq8qk0F4BAApdgUu6Iqt9iXv4O885hVpDuRCIb++gWGvi6VH3pLO2CZZCgktJT3GqIZatbNOTD
XyjH7miMl6/1ppHLEZmBBGerRW6nnvL8bxQQDw1YlI3nDfvSSMo4VcrJhn8H/kj2ue9vWxGBJlcD
DdNCJwtoOGg//RmsAGUYbfVkbXimOcoG0NSDtYZTF2T1t+v3xVW/nSBGFWY7q402hvoZzXMc287U
uHV6mvQgA55bCcDk7fG6QG7zCQB14GfG6xClYyY/BGVxP5XUfCnB+Pq1wmK25KLndQ8EKgyJYW/E
uy6R6y8IUhjUKXQoIxNMCLa5dBU4xl4PeP4OyGxYy4yfrsvgPlsw+/avEDa5zuyxrOl6NB5mA2Bp
EoChYyj+i+Q3YKpFqfGnDgJ1EnTorfWKa1xGt3oR5osqz9fvfgRztU3ZYamsxUnp0rn6wfiYh7KN
fRyA4+CZJNyu5T1eUCpT0G0iFO+ecZPZasxStuDJmzUPhXS/GcfY/GB1R9U4mELwK6rx73wWZakg
QKohQNn40yKUQi21BBPRGGiMD+NDHdooxi/IwkvMFopfwNxYthNH/32XmS5qngCFCuLW/JCa4MRQ
AVh8tFLjb5RzJ4e5w2lU1XSUcIdrU9yuSYSVje5Uaaagm8Z9SoBc6vf1MdlbPGTFWlTwWetJxahk
fopvXxERb4WlA65W7CQx5pb0KaaDI7TNKSko7VwUT5DmD4cW3bTVm8ImNI/ywUYd5roN8jPUN8ls
r7Usq2gDL8KGkXUquQChSXemGap6Hg/XZXH9804UY2lTtLXxIsHca+DJVGiCmndr7En2irUjIgjX
3Fra7tu9Fmt2uritizWsEXSRjnOolU+xZWrg2WNW3TrAZyqu6COKjseEnxWAVNOEGRMPreMQ9Omu
0S03S646aoEVO/RNrt8mt9ykAR0KAQ9VEOzQ/WltvRV3QDrCi0l/qI5mgP0oYA9ZzngEeE4gMjl+
Kr6TRt3o7j51CbguSMloBFrBi+GsPxMvd8krLWMPJLEpzE7mRTS18h9M8O2QzKVWJbjFenNAVhmr
GMj6lY7zqbegow3xK3gAM7XOq7IFpBMlfBzkQLyndidmorxSRpE+RL3slX16P8y2U5s6isxruGnl
QZKUQyolL1Vfe7mch3USexso5LJe99CKRcnvZ9RaiQuCycMi9a7WWw/Xvz83Qu9+HuPb23jo0412
O0fwXFugm7OGyu/0WOAg6Cnfh5C3D8D49GIcCinbFqS99uhLAKez4uF4/SR8HwTuHKzGEUo/wXi/
IZWnQcHmAMqXlPhcAZxB9Jwf9aA4ZYL1CG6IehPFurvNmOMaLQO49MIzgGyB2Roy3sWm4OPwjXMn
hzFOeQXYMIoMiLw1cCfpusxwML9sLioNoHMXZWuv7fV3X2knjrHO2Fqsoo2izSMk+2aqP4ptdorO
aNyVKM6SSR+J0oYxiZ7jYvIKHas65hAQyRi8ahv9EquJTq4PJ1mpjvOiu6YO2sJoONTjeiwG8H1I
i6u3tVulsuDbc7UYsKoAowHFuckiWvc68Jd1C58+X9LDWAPyZ7S8aMkEC0xUg97fz5sYJpJHdV+2
dYXPIS13lfXd0I9VNbizeRjny1gdlPiXQKWpX7omkFFpu8ilBaCRmF/8PnnbDcKqS9EytBV5Ze6J
kXf5GoAuAEYvMKENpI4//XNRa4OyzSbiOMCGi2A6F570pAXEHWM38poDcYxT720+DQ51oL0YdCIi
SG6lQHByroXtfgjjNjdUNMwmRypjOFsQnegeHOYiMIoxoP5rBTPYkAckMwKpXDe1k8p4Q8r6TTrM
P9IG7iflhrqQ7rw9yt/tkARInhrHFmQz/NC0E0kvYhcRi2SMbaVHvF8TtHTOPY3007nL7of6Tpt9
q/205aKFBm7DDvQtvz8zk/puW4sNgw5CK2wY0rlRlBQD9TOtUmngdjLdFhubyxe6tbkejEoQDLgp
zk46Y0ZlN0lJncHNyMl8O7Qk0GLp56QXR6PH7Gov2jjgJx07eYwVmUpCSkw1Ifjkjn6S/fbUhvTd
Gz+rgY43Gl5RPlCevOvKxHUWb1LZZcctb2tQdBGc8ova3XWzb1qhHV8y+0K652j5eV0a/05p7c8w
MAbO7p2jwClnm44Mp4lHZ5O+acZJS47Z8Dikog4Q3zTfRDFRwhogoqaDBwDdWIuL1R7Nzd+y//ey
I/ImlAz+PRDjiWJV6uJNTpCbbRcl9Yzkfl7PYyN4nInOwriZzipiLGTRxLB8ao0nu/DW4bn8Cwz3
Pw/D+BXsekUZEAYxdIUCCFyZ9urKUYIGU+fodV+BxRIaF70TGBp3Imp/iYxzMZI2j/IK8aPsi+d0
i4OqXZxiVRNHmbNLrZvBPGfeksm3RjmdZ9BAbIb9OPZY5IuyB90WrRhwczRkZqA607EmphmMKbbr
mPR2hPJuAaaz5/SE5syxQzBrQiFyAS8n2Ilih0dya1Mz7FYgWB96TFrbQXZfBIif4Dusj22QfPm7
p+leJJOuFYrdRaaJ8IHNfgUVVttRaj2c5uIxXpfDbKSfrhu9yldfMIvrBlZ1VRYLQpr7RLJWVJPj
tvmgg8lNbpGUqcNBTZpzq2fOUhhuP0V4qDp95k/ZIY3X4xhZrozhna7V3WWRA6X/VlV3zRgMsn1U
5sIFB/bXDVOyzopKLt4iglc13zP+/tUspoTeSQvaaigWWNWPsu4dMt3oWeZss+qa5DJkUNHZv35T
/EwaZeP/vSmWz6DUNi2WW0S8DnP3qIR7yzm+nVyKmlH9FJVD+M74TRjjITdtjdeETugl9td8CRsQ
YWhfp/ZXUgsMnKfj2u5UjJNEiyCOLA2Py2l4aOj+6UNlim6O/o13OehOBuMiiVKr9mKOtItFn1UN
KI1lTKfSDa3mZTwLIeKokVyTR8+8S4hmtZFUu0B20Heas9bNXdvlwWomljONWQjUvXPct840AGYT
tIlOm4hYuAVGZTBOUzJB2p4uuFQMQjtjv4ZxuXob2mlNLWpn0EyHPSt8Id7XhoySFgspAfM1i1aF
O2zM9kfTto5ij6GWfQLL3m1VSj9ngwielLzD7VwU2wvNdaXYVh0vJbM9btvNnN5NqdsKGX+ohr8/
2JufZ5QmSfVoqlES9caxuDRD59TbelBK+ZQ05LbMDC+e28Deerc2yYnU6L/Nq8DLcN8y+6MyilRa
daOgxQcrPMon/VRdgCQcamCJI6hPRl6E3C97LL7SJDfxk9v4ErtlkHpCdG+eke5/B6NPIMLsKqxT
0vqv7CoeJVLrjg3wyyUX41Tu+EwGR/SSefWh1z4Ak+EraTWkhBYuZbt0zS471M2aO+Y2AyYJ6/Lm
+NJXwE/Pmjui9Yc1b4JsMo5GRT5C/50aXhmTYqBsrw4NKWpXVvvDBghWINYFjfxVM/OgXUDNGi29
0xW5M0nDjyI1XWmInFUip2lLz+VA/AXj5MtSHSo1c+Yh8dR1duIic1V9Q+4Tu0BbvTOq9sumyP4S
YVkmH7BxOUX+MuYPWR4/D+iCqpEieHWJrIB5gVjAwzHk2ELRs8DA9vygTtsPGZNmZV4ItnW5Pbfd
1ydMLFCkeo7HBDXG2bXvk89gRzpZFwBeHHXb6VFkjYNONHjAPR1w97BohR1okx2nluMmHmIC4+uG
5aQU5qlTTB9rtk+1OQgukuvAdqKY0y1ZO2cjvUir1HTPzlY/M6wPrQImAxkQLxU2KIpWdD5uMNd3
UpmwZy4TkWMZLxDbGpwBOFEO6TenW5rbbGsqpwJ/3yKvwRI/5cp6L00vwAkTvO64nYH9b2A8nLmt
Uw3KQtoUi4Daj8o5hkqMW8r1tdxKQhB2+ufe2fPuyIwzI3hoVglA372yUS7A8T7JsS4oanIwpm11
fyTGUWlx0qrpa7fWt07qSQvyA1rE99XH3lu9NpiPy233f9i44fpHhYAGg4ZCNPb/DPhRp5TGDA4O
QBi6BflS934pfxOkf7yUExsT/8pgB1cAzlNJSCFoH2e4gf8PZh+eGOU09TL4Ko6We3HwD2uoqPnA
t8Y30cyjYGybKc8Q/724wzL9+k1fzz04DLPJv35G7jWqYJYiKIMq70BgzDrPGq2Gx29QLF7AOKNh
1TJeRFuVXIvfiWGUJOnAjpul0HvEE5cs+kMjr8fa2gIjWwPKMQdwh5frJ+Pe4E4kE8vmVivnbUDu
3m+3HVZyQZe71LWr6U/X5YhukIkKelv1cUvbQdbwaMYX1brNi0aQlYjOwih7J5eT1vXQhsp4NNTv
unVr6s+x/P36STTeC0R/u7J3sPRRn5kR8Hs8rddHv7DL0mmi5mjqY1hpmDDRZT9WS8esE7dBabcf
kxszi++refk5k+QRWAfHJlduknnCisd2xqyo6XdR8cuey9OszR8z4J/hoev0xvhhSdLLWFQXdVM+
JjFW5VQ1iFX9xsCUrKzFD3FWOXklgc1yOY1rIVAO0UkZ80pIpfalBMu28y8oyMfZ5Ez1ucLG5SRS
fW4hcX+rTLSz7Gk2+gmKSG6rm/QO6Cz6iTaaoiNiXHqT105xp9+kiSNakOJWifeSmYiX1PNU5rQw
bQ6A5W6L3h+KSzlLvjZMftRbrrZa90XXBeZoCTRWYBUaE+gGskRVT6MCWc27trKQ4wF1rBCxUwj8
ikZ/xu7ZNwxagQ43/Eqigz2lxupDLQeq/jwZyzGVOuB2iRao+AdDgRHzp4DzY8f/5kqyFJ1G8HJB
a0N+rEbTsYloTZcrRQNGw+uUocFu42jTWqxyAZ0p6nvFeiBxKCWH69YuEsGopWLZ5WpSAIMu6oNh
Kr21l7xuSUWpLPcT7Y7CKCHJR6saZSghxZOOsFe0HZDj+WD3wEOGPqTGCxDcQQwtYtzhIFkjM9lJ
ZnQQOwLtuNDCGh0baE8G+DwOeTicKPuT4hd3WLs/WI/gkXWFrze6Y/Yu8dqJZvRyLqJxblaIlk/T
sTwBVg1TLTpoN4WFD3p97yWBz1DH1gESOiY0aKY5Z0362nvLXt+q+ev7EGdzMn92Ive61nBTIu23
ODZELCqafWqyIBJNCYZeQS+omqPbWr3fV6YDcuKTORfP0N5W4FD4zmwnmXHZEsZc57mlMbAI4u5X
3b7EwBjatI/m/LKWZ7k7TqKpGn5uu5PJ2AhgnYsobzADrj9kF3BSvJimg22x+IZSNWFoH810jGB4
mCY1fly/Z37U2IlmzGbM5NmMCBxo7yufsD2CEnyeOxhTfEWuA0k3dDeYXuyL6Atzy//YIvlXo1jX
nY2zmQEgAI2vWzoZCeTnj8Zdielmrz1WvnQcMSV+BgiI4MDckLwTy5gMZnxIOtRQZOPeCilukWdd
2tD0yyOQ2sH2nGMddtMd8Sa9SKWZ3NTWRikCIggSuER9NFrZKbM8iLfGN7XhSZ4jV+rqz/Isix5O
Ast9zcZ2sSuOekCDLJCbHO3RGW7GMMJUE/aLpdvVQ4v8bzC9qUN8+7JMqtp3YJIFAxkaSmtFx+Tj
Lezixk/KJ1k/lMYXAINKQlxaaiNXHJTGOChbock/DZizSyvBfZj6i1Md5IDiFIgI+PhBDcuktFUE
ZkYm6ZdAsVKCjBcDAPBOVuoXrZv1L9c19bXa+f5Eb0KYa5RmYg8VrW0bVffB0DpnqjrfLD8bjfFi
jP0HPClDM2+9UquDFQDK22rdqeUMtJolsPTiUTK7H7NeB/qc/rLWzR3k8lRvAK8ACIycZeiuzc7a
T04vqf5KPtUpoK76+Y6gUraW4NGMQVugDrdyXIRRoz7I4+w0wxConfZ1mEZ/aLHiUxpA7EkOa9ne
EUV6VKoqqFQQmdTJZd7QwOlQslTSuzatnKUdfbIqwfVb4pewMG3876dgvvtg1n2ODX3qwBYMV+dg
8lIAbhbSEWCsgYaRL1oA5BvyvxIRff9MBqV0VCOU5uiuLR16ysM50AP1IIwK/IzmTQ4TicxlLZds
xouvP1FepOmGUtMn99ZxvtDUgpLF0/CbBn/TIaI8Xv9cKXa7/jzgEDfrnKZ4n1WYmVKTY6o9GUrt
dBUqpLog0F+3JGzv/ClL67OJ5DUCvZUkbpT55vi1Lp+v6wjf5b+dh0nQ1gwDeaTCedYW07GtfGzR
bmyVABwOTp9nh+vSROrBBBhzNRo7l6GQ47y42vaBTA+ZBID4wW8Bq4WJrPnDdYGi4zGBRVKyza7X
Acez3DU7b9YLmSzs7KxOXbWCz0X/1n/2SZrMOL65iLuGck2DivNhaH1l+ZYQT1o/XT+RSPPpv+9C
FhjVKn0oMZ0SJei/J0dVp8gbUnfutpdSF/hZ7pF0GbtwACUADRPzvdQhLlIJ/VevHLB8FIHrMFga
NARiwQuFq+k7Ocxn0qw1s6y2eC2uWAD4QyU6FizJ83OqnQzm8yhjthY6zeY+rK4WmJZTjE4SEI+A
qlXzOw0dpMIVzB3yi807oczXitS8s7USBW8aedNDj7VMyV0esju6XoJSx+N15RAekvH4nVyta652
dAg9P6dW/rHGMPI2S56hNGeQ/Z4tO783Z+WnuoD6XAH4VC03gDqWndECU5nUCC5AoEDsio+ap0Sv
WiSym9o9ThjztyLlaVsNF35HlL2KZDExobXGsliJTUcg00cCKjlsE0VeMiBrRrPumJxBenrEoN5B
cOfch+bbNzaZkLD026hZPc6oh5RRVqEI3pg6zANRMYnrzMA0/GqM4NZh4kEJHknV7mg/0nSz7LFH
Xqzat4V+nqO/69TsZDFxoUm1BsqEp4D+YIXlYQFVrRb2N5lTBpUrfO/Qv/bOde6kMX4m78doU1Rj
80zFsUKg/YM8luKEL64FEHTgkEieSCbXj+5EMi7HipIpIQVmWWo7fraM50hb3cG8VFECLo9ochLb
FsFcUUW4dkrGA9Xa2kqrCkWZAY6w+v/wmxbnf/hNRWNUfJf6piyM52mSnhikQGA3AVlr52po6Vu4
GIbgCcU3ujcxjMOJSQ0+pFVCFXcNzAk8F9iByC+GKcBsFohhyd+Am6VZNvCOPaM91NptHT2qRZCq
3wSmLLg0dqfGTIou7TIohdHcpvq5yP128YgeRl3m6AChnArUV/yqwhmBRvmpBqJKK4pT1E290xI6
D09XISyTXb1MAIATY3lw8+ImdYa+8XuQEuXgSJE2OZyUoJsA1UPuskIwt8nNzYBlB+ghC7Oo7LIg
yVs0vHrAVZDmQ4WIn+ZOYx5s1XQi/UYzV3ceg+vXzf2oO4n033epzNbUKPoPIArauuMwXYzsYZaD
6G8w5/WdFMbqtlzbbKVS0eRO71Og0XaLoyd3TXSny0loiN7aXA3aSWPMrm0sqernEaS9WIMf59ty
BeGtCJCK30ffSWGsrq61blMi8Iy2vyjMonJYM6dFlMNuXbCeha8truN6E8duzeixrjX5AtpU5YmE
6UH7SIewx9qh89cUG+q/UovXUdSdWqRVqxYy4J+9mpwjoMzLdeMsoD7onq7L4df3dsdiAndhW6Tr
JcBRrkA3mUjiFbLhkVzxNXiAtFzcjEjuLE83mT37k4I95AWDT5qWuWs3fZzLL3mcCqyfG+J3P4kJ
8ea8JWSz8WEXFUACyJq8AUyd5fLBGn5ePz035GIRH1wMQK8EVM+fxhflEwDvNJAHVQmlDSKi4X2u
Iez+PpNAyP0GwMyh1Lzhu1p+s0mwTaLEi/7Ed55yJ4L+hJ2iWGvRJnadUk7aEbh9GHmQ3O2x99If
WPA8214sWr/g2p0BbCHEGmyrvfORdbJYpAe6NPqIyYXaXX4rX7ZQ/U6XTLq/Yf/YS2P8o9lvc7/F
YDUcqntZetpAxTflP66rgfBIjHvU5wIb1Brlswf2ZumXoQnwy0/1sQ6qEFtkqpBujJcu70/FeMiu
yrstrtG1yNOPZf5Dtdw+tfAu+Gmpjm5/LgCRE324fkieru9FMu4SwM+kmyLo+lbfp2bu9N1fPHOA
sQbGYErs+Y7Mt1nUxgaUHVg2pyYEI+ZTqqvnrPmmq3Z4/Si8mLmXxNxeuXSRUkjQQLs9EAn4T7aj
564yfr4uhueHwB+tA8YKgNVAs/rTtBKpaiq91UG1nIBtIfI6LGMumM0KVRElKs9P7CUxSl7I0pZq
I9Zmt/ljFBt+oX6ylK//3WkYHV+aZiqVytKBDDIe+/ZRk0p/tOOD1HaektYCZeCb1O7ymG8kZ92Y
xLUCu8XuOdikMLJu+5MrY/FO8sjj9bNxV8L2F8gotw5CWaAbIm/Tww1tm/lQnqtjfgC5pLeFZkiR
QqpDelyDEQgCIkZk0VnZ1KDvUoBLymBlRo8s0LEULrnqE0aY3OkluhMuF/JyY0MHRitNjVFhY4JW
E1t6ZTdg8ssUL5nDdTpkGCRM+qfC8mTrl1SfY/2+EyIFc41uJ5aJZV22ynlWjbqnASOEfKH15hH8
d6ickOMEopAQgzmnVnFFbziu39rJZazQlpWpNrQZzIzAX+nTuyoVvN649aL9hTLWN1plrJeAesGu
zeDREBr7BQack494eTsaiA1iTAVcV9j/oDJvH5Gxxm3apmjuELY7gF2kwBuNPPUyBpTSfT6IKOS5
jgyUVmAOAnTOO6h6ZZC6DtzDaBwDgG0NrSjohgAELr0IYYt/lSB1xjYzQCnf8QLjiQoazQpXmdzQ
4aL1JQv0o/kAdCgdKAkU8g39JRCwC26TlwQZO7HMF9QwLJ9GEyi6pwCsJW4LclcnddcgOdSvFU1F
E0mk7otNu0BfK6sKblV/x9+r2JkMFEwEu/UBJZMbsKEvrnTXuxlsn9xgwddtnwpgbFQ/DUFU4pZT
96IZQ2yAzA8gqYiqK+YWaUNLd8bPKaACykCRHPH0Ll9ZAZ9DKQEV7R0tsKIM/TK0uF67crTqU93f
ROptPsjuEj/0+f1U3eTd0c7PUi+oeHDj4k4w8zixLDKPdYdbriU/KWwM4ftrJppx4jq2nRDGn7Yx
SbV4i8F7DpinGpj8epj3D2W9ede1VHQY5rslmdKV3YBZ7poOtOfK4zKbWCcQLQDxNfPtYzH+Uu6t
Qq0tZC2kX52tLC8EJjdkQA7ZmkORAwoBLYbrJ6O//J0xmJh91rB5DzofJvrmY160SouIZJovSvNk
/M0ysvH299mVO21ayg2DkjqmmCjb+HTQQNZYChEd+ZZl6mBfAxY+ht4YpyzHJZalIryF9T71WtR+
cnU8jmPn9pJ1MOQISyTTrV2A1CpRTmb1JE3aj8acBUrPv823X8FkTnkST3G6wr7jbD2MbREOWHG8
/sG4r35jd1Lmi03NXMxSWeNG8WrsnvND6W8fp0PvLT5FB1I90BBKwiExLtjZTiy7Vd6bap9GYHlE
orT6ZkAJ3UnmWDdY9HC7O0qFSSkwI3904VSPZwmwZyIAJu48wP43MB2SKTKUSNIa8G94FnoVBC67
dvXj4KTPsZs58ZNyvH7ZXLu3KGAdxXYx2aW1po3aQoJbpbCTq3VTLx8nYaeCmxPuZDC+pcNzPZPz
lVrIP7inSdAdsM3hp/cinBWuu9yJYvwLdqKwrI8BQG803br9gdkdpUywbyWwAn7Q2clhYnomFZUE
DkfUTrwtaC75qQR68hpIITmLwWNEh2IsvzBWK4/xBvMwFd0TIMV46JHKlUAT+A5mdybGtNFjroa5
RTGDzmuo7nZUHCz1QfHro3ojn3VBs4XrSXbiGCtvrRSzBlqCJ799m09P6IFc12zuQrzxJoDdUh/6
aelaMGN5FYZr4s/RdmiizbGSl9K8NSI/wWDKfDOanwViBRbFTiX31bCt6YiInR1BGuEqH0sAy2gn
UD3hzQVy0SByRTM9IpFMJlKMi7XpgDnFHLlba4HU3eiiUix35XN/m0wiUqp90vfRDE4beMfyYATY
QwuVx+YCcgxfcqOgvdHcwo+DGs3A/kh5OepD5CuCHgg/id99VcaZgLE402wd17sEUdi740t0USWn
AiIe+lo+JrWyn9pnUdoi0NV3UxbETAaZWmAfqagz976ezYKahEgE41Gw52g3ZIzxSlh/ocjSLyJ+
PL4ArDCZ8PbgUWdCS5nasZb0yPBa82xN50pEbUbt9V2eZb39fUYJBzNSZxWEOdD7GMttmIgN26Mq
pMcWHYPRQ4ItkYFEeHFHK/FAFgPYszi4bsJ8c3o7Cf0Ju6r1uvWbpOiS6smNq5WftDJUtk/XRYgu
i/6EnQiQlUSyluJjqF3htDkWdUvsSbhSct9VfmqEfSaafeI+s4HQLdtAZVbe0YyB4H6Z8qTQvSRy
wEwlzXdld9TQp5xEiiaSxMSRoW7RiZLh2DvADk63ueoqk5cC5KDwr18iPwoD/RZ1fjRJkN4ztwjy
iXlG2u8ltbO63dEAa2aXuSPicH8veSJ+L36E3MljbHRe7Dz/H9Kua7duZNl+EQGmZnhl3kHJshzm
hZBkmzlnfv1drTljUb05u+/xwcDAAAJYu7urq6orrGVCx52VNkGoGMG2BBsDx6NFGfUoaQd3cmFX
FzciGd9vmHEYp+g3AV3DQPN3Nn3FR6CfN6wWHaIlWpR41b3983vfVeb82mWIMmRIVYckT616bky4
r+UYApSTFwLsh7ub1TExQDppg9IOCNcIsHsASwFK1/6Ueok/P1Bc4fjY9w5HZ3azMe8i2dkMfZSW
pijbtzOsD3hZAPXMGu0JGgS0gv/PGXKOUGEML2goDMyK4uaFiuY3eQgK4u6sDJ85C9uNsjcLY+wv
ah4qUDRgtcKbxY0BiN9jajr6THdR/pPQDRDnAFOnJGnseJcxCG03JPDBdXEXGee15zQb7mvg+/cZ
A6xVIgAOSih9mTwJ0YspY55h+cvMb9eBB0lOlfnCa22WwpiQSRuXag5lhBP6IZkAk+Yo2mpJ+ZeU
3GtcSu495QNvlEE57VCKYmPDKJ2JIPWGjEpAEqDqEJAgdRK/ee3dNCgeNZOj7XsbuZXH6EQ8lJqS
R6jk6RhkWEgIZjboRPYtVz/nWede18C9rdwKYzyzHqa6gYFztMFUdyYiwuKsKadZvRuUyAqNieOk
qQ6wB7eVxujImspN1QMD3QnRX7GAC2vi+bFdfNmtCEY3xrKoAdCDB9F817mUsyl+1O47wYp/aZ9p
9p12iAqO6YSdFYo2j+h01zhuxTPeRpzLvBsG3ILq1+JSYJX+RUKT3+uM9vn5tv/JncfbsyBbgYyv
qdcuTFaaNpb9yV0dJTAO6ht+/WLxRlB2XelWFutkZK3VTYAxo9PuP3gBvnmroZ0QZUzXwFiKfV05
9wIu5OBljLtgiB9JtI+hQtEsgjpIGi2i0yxdH0wexa3ngdXv2Xp0Z2mgCVFQs2ZHazDNSAS9wkus
l74INcglwIgu/dE9e5fBbJ3Zjm1VaSNqTstttj5JWWMP8hdM2oyCL8+86u/+PXuXxmzc0oxpv9IY
y4yezeTBjA7XD+b6jmHQ9OPBhJpkzJhFwnNZxlCPLntp3oN/godGuH+b8OoBkhvlZ2CfcJqZVw2I
wlAmCLQHwDgYfu1Vfv6S/+pAF+ilmJnjKvleIwU4IX7LZG5wDLaJtChn5T+Jr+6GUgspLnC4OZvI
XR1zdcOqbqtpoBmAGwqYUt6BWuireK9Z8jfa+DKcel5hYv8GbxbHqCFwKqqZtAhrJls+rmgIrtA4
34IQNrkHz2iwch7+u3qyEcfo4aRKRhvnCG+EBTBJL+HoxyOn1kqP48KlvItgW+HLTFTFulKQZ1ts
0wBG0sMQO0o4W9c1nrdzOhMQCqbZJVmLKGD0FnfygQPs6m4OUmJKeghAQU60xtk5tvs9jvWwjJC4
ADPwhJnRxkoS8dOYcdO8PDmM/xfxaMDjE40G8bk8YIb9ESCJNLKhKOGmQ+Ao+cNePJlMFDCZS1Kt
EdyIQs5RG4zNeVocznHRIOmaWtDfsHmrq2OmLFUn0FwvbRahD7D+BDviY86X2yyyG7FtdJAxGYMK
qh8ddU68yyvXDDH8Ej42jXonIfG0FKt/fW3720dQnUZDsYip149LE0IgXBkTvOKsytZMmk9C88Mw
6z9SwHcpzCEJSoP+XpBSOcqCEn9lnofiHErm1/9tLcwxGSqq7PrYKE7St6dYzrypnh2l53UR7BuJ
98UwB7SE4orSKKKycXnUze/r9BfFaQt5QM67k/zwfehYAxaiYbCEQgAgSYQuXWSnGTEDNN2kkZsu
odXFGIwjr6kGDijB0rKH65v4L7bpXSz7YpCEZgHYKn2Rk9cooCx10YPh0N4o5Tk//tFoznaZjAb2
ZTrhtYQYeyqxsBVYOu1XIT1KIEycvRH1YTAAqgFnkft++X2RjEIu9SoLWojW3UL8nlSeiWJi+HOV
wX85uWJ0syRuGX/hyNzXm3eZjHrCe8lgYINM4yk90PA6touHNWhPwlN2HkE6MP6MPIUXF+ybk3ep
jLaahphMxoztFYIBT5jaC+/ru8gtRSsM0M7jZCgr1nbaAMKWE3Dvll+2J0t/2sZsGtIkLpmJi0Jz
O0kAtkPfBE6B4oonXtRNff+FhZYxtQ9gvjeAj4+iRl2aDSBe0ga7/oCWX8w0x4HInWmmEc0VMWx8
MItlIas10h5N9SoTL1eeEgQHWvF9zA/1xNvA3aN7XxQbJdTdXABPAU32Wv88KCdh+KWIzxLQkPKI
dx92PZxsgqIGZH2gVGR0UwZgiALmHxqnasfYlpBGzeziAEb3x9zmUW7uH9a7MEYlmzAVxmhW/3mJ
/TOAztOJ3eSwtlkUo389yWbacYaE92H1dC86ZnYYVCDCSV3T4cLo7J/W+6qYaFjO1SkcAM+FLcTc
mEfu8MoExYGOhnB7cko3u1NQoPp/8Crsnh20HizgQLeR2YZLTI/2wpRjmVPW3SjJAnzQGOQ27YNR
xoNFKmA7ZARsQJNkNVNoJQWiMrPsnq6bN2oxL67G5lcwFlUkg9YA7EZxovxRTm4l073+/d3t3Xyf
0VCxHkRjavB9oEN0yLpU5qntP2n16qfC63VRu4Z6I4rRz3jspDpN8QqQJsmZu9oSI+EEHB9H7nqe
jeTJYnW07LqyqTBMEv0NXk/drQE4GYBmAXpp8t7wc5zm6/UV7m8mso+AP5YQkTNPqUaqQ0mN8CAo
BYR9okr8ZKz+KoCcSIbEK8Tcui6PHs6lcvyWx3YgL2ue1dpIwBfYYfRWkd11bb0u67zrYvZ18F0M
86wa1GTOMDiNALAGxG5RndJc5rwQd3cOI+goc4JzEW1sHx1NX9Lx9BadSQM5mbGbAGwoFe6rBPDv
X64vZlczVHQb0dkfFcg6HyUl7SRGVYFSU5me1+GYzZ/Raewa6Kq+LmffTG4EMTe3CWsT1ERQBjpd
goHXO/k7uRkcmjWoXuRP16XtagLw9ME9gbypylJpmGNaGivm7Z1+uZ1A4wh2Ttm9LmL3iIimmyC4
BScx2+5X9SaZlA7PgE71usUpKncZAIosg/rl13VJu0f0Lolt/BO7GZ2MDY7IzDy5uS3Nz4vyKZ5r
jpHY37PfC2Lh9ZMRfdqDQkM4AALk2s0QmsB35pB18IRQL7MJ1saSxFk5GFhL66axv4Q/FMKxOvs5
qs1+MSrdG2NkVBg5Q+dGcQuqGPDilIg0aqCEtVb5IDgFRyLvgBjVNtcJI4MrVDsFEoyQT1Yv1Yde
ukOXHadgxds++vfN9qVy2A51iTpLLKHq7cvNDZgWrmvbbvC52T262I2IeAXNl4kha6cYBzsVP5H5
rjZdQQSQiSfLnHcD5xKxVNFZjWbgMMV6xp4EojjYetdYA2CV+jnzBCX+dn1t+2+FzeKY6CnNpDWd
C5SOkl9gYu7DU7QEvf4AuNQ58qThQa3uRBRqr0vlHRrjBsGpSaoU9OJOVSVWrhbWPD6NmJm9LmX/
Rf2+NrYNDZDs8pAl2EvpcbHpE0xLHeUv9Q3skA4AcIt+HLVni4xiWS3o8yR43Q6K1fadJ63f8wLj
GypvlJonibEaNQhR9XXADmq5K5PPohFZCuIkzG9f38Pdk9LQ4GEQVTVltvW5AH6lDlloTlePcXsC
OnHBU4ZdHEwAt/+WwahgLUYAkw/xXKWlvuRZ8cY70e3s9UVwG2d51Srgakhu5qQA0f+T/JgG8B6V
SIaOgvrHq52FA7xIgeBWlm7AClDF7kA4Datv3V0XMdhGBmM+ijgv+lWA+QCKkwsS7N4RXvGUdCJX
/I664i3q3ke0VlvNmc7BAAiX95zdffZpcMkiTpCYbKNxOUXq2tczTAqaqgFjPPYou8RW3RyE9SZs
XGXyryvNrnJuBDLW3zD6ylgITdQVXpN+ieKnSn0uy6c/kILpS7Bk4/yUt33fmOWwAz82wNFRvkrc
VbnRE9t4isrgupB9G7KRwly0ZMgxCJ8hBujc1ZOcEgNgbaCiWir4vZ/fVDx5uxduI49x1WRVjKaT
oC3hzYxEVeP3pzkIz8Pr6L7BIp2AfT5zCjy7nZ3aRihzYCCgn6OpQv1gesB4ltvdxJ7yCQyBd/Gt
4i6BcB5OESdC2PVzG5HMzeskA+zR4OV2lMlru9OgH1BGnRQwNXGUkbehzPULyz40wTqDtRVOu77O
8p0wcIcg99KaOnACcLtAXW6w2Xy0RIRdDkZz5CD6A3j43BGDjwjkb/6ky34riDkps4z1xKTtsCU6
nJNjizDbCPKaE1TtKsRWDHM6Yy2I6Uxnn8pz8yw5wxOpHO2MkrqCcU71VGq2nIIknZc5opaeNZVb
scxZrWRZjbGF8sf5OckhLQGzSHzOpcYqpJeexwJFN+tCHEAeFIlQOE4WTSaX5m6s8hVvyvJ2FZ9F
w7tuPPa+j8FKHfBwkIDS0UfvIoZgEDdpRSk1DoV2v7Scp8Num8xWAKMNSwzCEJDYU7WrHcPFCOUn
lNZvshv9KXlSfNOvvAivyRB3mOdUdkeFtrIZFemVZArHCLJpWwe5A6QoIB8wvIb85Wznz9VnOtA9
c2vfe77FMHVFwoCziaiBCR3zJG0TM0WIRbtXRLc+0EGdwo5uQm/9BXQ8awqagNtOsHuS71LZPMpQ
DhjKbQldbOiXAFpWdGQX01taNgbGsju98C46TyKTUlkaZSKSCOgJcbkj+m3SuNd1c5dlzwQzugHK
I52C7n5UztzsiCToSIAlFOq1BQrcMLqDUgJGI7ozpLG1klg6qZXpA4LgVGkDhrjTb1ErnmotOlRz
cVrr1h7Q/yuIgp3iLaSPSQ7kViRiNWJHgPBXK9ktV+OOggld//W7bnn76xlLocr5VK8xMgD925x0
7qRg0DiPb61hlKmGG6XumaatQOrPNtHGmkjLUoRIbjRTby3xYIfdj1CNbU2qg7ARzonMazbirpH+
pI1IlL4VKVoAldC4k4vGfif21O/AK/MJut+iR27FioYyrDncLpG5WmE9tmBJRiKdtpVIXg2iZGQI
jn835/Ku1P5+6ihTaZoEE8nYRk1WhSyiDd1y443xc5Yq1li4mX7TEFfljdju4kCYAAb7RxpjKOOm
jmSzxNI6N7Une31jUo/Q2gc6ILe4iZ6k4/xlAqo1hsiclUexsRfr0DI7wATAYiNe5N4UEqWmin6d
NLzLqwc1e2klSq6xaDxu1D3ruJXERKuzQcac9Ch1JsmhHW05+ons+Rg//snt2yyIObwiKyQtbmJU
/W4GaKYUoBbndN4ARqXC4cMR7mZKt8tiji8Ru76ZdRj9tLjTxtKrhdlJldwmMDCx9LWNyGkxV0+Z
RmsxfqqjxnHk+9uKxCbl1cAMB3P5ibGKwwCOG6cfkIxJ89Owoh8A/6+Alf363u7OwprSuyzm1g9z
oszdgmGeBUCIoqu67Zl4jZ88dRReH+wJvyhJZfKYBumtDHD/yIleeJeT2v4LSyBLiiYjKsLLmPEN
Vdn1Ekl6vPrT4zyfFuGQD5+ur3PPvyGf8FsEY8DNOUqnFhP2gO/4Ky0yO505/RS8NTBnlomLtGIc
EAWe7lNLDqL0mPWce7CrFps1MEdFFLXLixEGOgfZYv91LE6KdLdKHCm7/SjbrWLsctIqpCUyQgHz
MfSVwLxVLc1aznzkcM56WD4xUV3WYaCAJ13/rBBUckTZE2PX4CKocg7fZIIbpe7zuskQ5yMHUcWP
UvvlT5RL1c03vBHCZjw6vRtAjICFlHirjw+y6V3//r5uvX+fsUdmumYk1fH9cTqVgDEBvs94uC5i
3+bJ7zKYOxhOSWokK+Kz2ZsdCS3hYHm2tUfBL7zcF3gPPmqxL2/8uzSqGptYI1WG1mgnzObQHJxa
OmugFIhwB6f6rLgzmE25JYLdzLMpg6eIzpChr4lRgm4cm65O8cbMz8DpAvHCHJg2Cq/ueMPrddp1
wBtRjFscJgkAZyYuamWcyuZruJyJ6WDcr+ZBg+1GNRtBjGMM63bU05xOegqGP3biTWqEDgUkj4Zf
a/mzTwTO7Cq9+xfnpqBN662BRGZpBo1hlkY9gWdaKPS46ObVEWkccQgi6bZfAyl/vq6WuybiXR5r
IrS4SvRZRLmg6ry4IpYUfgVoAlA8/etydi3ERg6jHMMwC2VV4IbVwrOUxdYcJdZ1CbsPWFPBI+ot
+auxlZY0hmLWFECKjlU3x8QVJ9tqA4oO1D91QWa1AK7iZTh2S3Gmgmy6rKJMCmrIjxdNKtW4lEPU
JDrX8JXRQpQdIJ7wwrvFSUHZW6oW7ym5LxNXTDcAwweAPEYr5zXT5glcZBT8G7NP4Xf5BzoY6fs1
PoEtyOlTR+3+aHs3QhkbSeql64sMFYrWGZ35LD5FxxrvCSu9Xb7RtpwpkH7wOtX3z3QjlNndPEvT
pKdq0+HJ9DcjMkYMTzrQS1TMnESOgKQEDy17V1c3QhnbGc9Z1rc9kZzaCPrw61xyvM2u9dp8n4lk
RrmYF23BHZ8kX5i8oqvtNrztMyc2uL2v9F5d2BPAQRpoBpFQL2BkAfJsToiKWCNZQPkDPmdPO3Sv
5Aj8FY8HnbvrRTeymPBpVPIQGNyIAgTjaOQvWXRqVC4g1+7hbIQwwVOmFv0Uj3Cjo6d4YWOlXmGX
p9YVPeFI3yoxQLI4qr97Xr9F4sH38Yo3bZ2gYoCSgaK+aOZPUS9stTcstZ4OVaZ+5pixXQ+wkcZY
SpBCgSWxgcobNzXC0PvpdnqKQV6n3qk/NICrRXZ+rP301CMrwrNm108QSHIfV9rm2ozxBuQAo6R3
gBxkR5LmFoRXIdx1OpslMvZLHAs0tCZQSq28zdrSGoTXRAGrPFf7d6OgjSDGZkmjXEuagKJEJ3yd
MSKSHWbFA3j7RL7GeHHmD/GQWwu6tWrD545V7sYOG+GM7ZLJXI8aKEzA9aLchh1gv1MRQOrzQ6YA
Sl0gh3Sc7evKwzs/xnIBPAuo+zTfXqxukfkl4EV45c9djjpzsyzGovSLYqZaBf1ULNEWXfJNfmMv
GL9G6BWenDQCEVHqx8cmuL423r1grEsWD/3Q9rj4aNzqIlsAbXv2l1AfEihQVX8W04izmbvZ+O1K
GVPThkYXqg1uw3AUUMGm3dDq5/pl1C35UB2EY+aUdvbSoNEecAVcdhN61/7dciOs+XgX9WVOjbqA
v/1nrLPwNSc6yGCYQiPH4frmXreq5C223zwXlGlpRW1FAkjRXiOwiDTh/2hE355HGwlyUxBhGXEb
tNE8CN1Nqdf3S1pbqvFlERL3+nI4V49NRgp6oUlF0aHRqz0axCPAdu76M4GLHYCITCRO0L67e8it
oPSEIBCzuB+Pahj1uhEEWpIEvXryGs8cn7BrL1EbAQMX5mox7f7x+7oeV5FhIt8orbMl4b2Tx5ZR
K0Gp8EZy9nPU76LYxvykkaV8ITDNsq8eo1PpFP6UWh3g9iN7fZoCHv7B/tKAJK2hfVa+AJPuu0qQ
IqoWhu4UKrEm4SjqR3X4cl0h9h+nFLH6P3IY6wFgjEUxCiRSKSsspoAAUxx6oO51hAOvlrFrqDai
mNMiWbUMEk1W6J3+AtJAW4pNv+hUPwYZXhZVVld+FzReCmN/hbqMXQQyo4hK/EclAaRhMxV0SATM
x9aUPaBXY1bBf92c1uU4hceivOnN1pq5QHu74dFGMON0wjVWUrl+K92Mjgqgvcpvg/QufulPkg+E
VFcOBFS9uDPB+5nVjWDGE02poCvxCPqJylWPxNOO6yFx25f5RNl0XgsZmL4ACXNAGO5SqLDKxdAk
x9Dsr90ENKyEoscF4m6UxpExGngqpOAaHOYjGGJ1rbQMYPNz93n3qujvspjgTDe7WR5MXM05HN02
1h+NuHNrBQ2f8RgUUmLHZn9eQu2MMp1dhrUzLeNiGUvmIAX9XSp04M7jL9cv1m7EsflRNALbmPWy
XFddbJDJj8rTIMQWwMargdPOwls4E8WlAEDq5gHPXa22C+TK2lPXI7zhGNl907dZCnOBRLnEOnKc
Jc0fxPZwU/2sA9VSUIVu7dwH7/b1rdt1Uht5zL3RlKQd5A7PQDoZUYorqFidaf5RDLYyf85EjrT9
aGYjjrktYPie6lAr0OrkpfeLTTExV8xHRO5cWBpQzCObIqZn97TFgIftvXuCGChDyxrYdgy2yD8D
dTtJwcABsNX1FEWFawoLWv4bP5tqzlzBfmkQRUiQE8AhSzqzzkaa9ULPECeur5KXnbKHOahP2Xnx
yN+Qp1Z9k97QiA0kiTY3NbP73t5IZ/yMrPZLPiSYNS2JdCsqxMrEzBY7NZBmjKdHiyXptZWFgJ2V
I2ueRv+6Tu1nmTfyGecDKrPQMNMK93Gx6gOCZeBU9xHqC7qP4hLX/u02FoE65p/dNpgoNapHkawC
kr60cjjD/EtW+D3yO69HXZsyk5oOL7e9a3Mxa2NQVjj5Ans8X4e2NiNEW8BZXUdU1dJHUXYxbWtJ
PEDi3StKc4qGCI96gf49GfUydLQuMFS3tQnGW8MyJ2dUH8vyOxLB189u15RuhDFmrm3BwZ0hi+mk
Y2lLCv5p2llWOaQ7e3YAVLUiKMRM4GVdgDgvWtWMpUCxhXL5EE61nbWtM6WVDyrb2yFOPoUgL2yz
g9GM56hT7uRIOtTF6PZ6foqNxq3kn4Oc+FIKRU4IJuT+613Az8M0IUEtAaE0c311YJOn8ipCoUJg
1y+rm0gVegqE/1EMc09XvQ8zI5uBLlM/LKNoSatd8iqWO4Hgh6Uwd1EQjCopW1QpwiKxqr5FzVK/
b0rTkuYyIHl1AsKDjQm5p+s7SPWEeThuxb4ZyI1LTieihpOE3gi5E6x+6dym5CFs7vnKDzKYF48m
5auhRVha70iecsZku5v4ANy0yVENhhee/9i5GhCny2/Bu4ps+8coo5G1COMnUIqmOnWoHGRdYMa8
ro4dJ6WIkiop+D4wnNn61Tov8RQ16AnLo9u88BVi53nQ8Xjn96XoaE5EpcxU2QLPUmbmEHUw0N1y
NwtONohWYgRaL3P8/e6WSb/lsIUdkHF3KJCBTS9uh+MgFg8mqSw95rVc7uo40OsMomlAYWPzy+Ow
hAXe77IjSedJeWwkv07v09AKEQtiNtbqlOC6du+9c4CuoVCsPxF0PWxrbprryVo0Mabsbmhvc/Uk
HsrntzgfwCjXZe2c1QdRjEUudCC7aWqO7pvyJIyWoH8viyMecn8iBfqg6EgiX8BT9KkmhzHCBUfV
7Ui7j43bvrP64vm6lB2roGLTkD+Ar8Z/zI0lZZQ0vQB9MMXiqVWSV4ELALi7XRsRzANlArvQOBpw
zEMJMvigM+6SKuhmXmmbhhSMffuwEubJMUxpi2AKYkjmjdGtJn4b5haUdj5Rvwmyp/XoHOR2OOxc
JwjVCUBEEHZcDPoqJTRumhDn1Ji5MNOHJjv3vMfk/hH9lsFm/KRUE8VwMCXHkPKTPuWnSFw4VmEv
PlTBhQrsNtwd6aJcGSpGqxYt+gJmj5aDCh9ttgDBo2Dak8UrpO25CUjDnhEFHVAXhcoqXeoxzwA8
QnOYsN6A0qQETXTYQg6MT1zKJHFvCzWwiYoSuB109Ad+dBSgJxaWqcEWSsr0VUumExEwua+296OY
05yx+KmVK1uRZNCilc4oaxZ+oA+kKhuR5AH8Ob1ntFmQolkmX1R/EaW7aSI3a/QtKnRECMKnwRzP
SqPVVp0/K3rolNmg2WqFNotIPmZkuJmV/KhrbbCK43FUKlskZ11ovVHQ7lG4tfJqBI9qZFo5WnOl
KDlO41+t3Jy7RP3ZlpFXoo0XnO2DPxp9YyutavXr90qu/UST3El/WYfGl+PxqNSlSxIUFPDiJhro
K4h+Wtbaj1YQw2jiOQ3L17jFpB8xyu9VY9xF3TPg4e7NVrWzUP4WJw1aQozvq1kEMsEUU43Mkd4e
yuklaqSf4ZR62fwj0czjGuNZrwpfc5P2BWBrx5/GuNrmkt10Rep0eesCD85r8YFxke76CGxcxmIV
leCtSn/CtMYjRhyOwC5yVtHMeBp9cTNlYNpQyiMZYE7SRW+QaMRiOE0zmOjx/uhciiuFzQsm8GgC
LqK3izuTC198oWaMTPr3TYiFSW81WfUGZM19HbTzS71KvFEAqqkfrBwjggl50BGpRBOgWBxKHNWs
VnZU7ylSZrla6VH4fN05XHhxRhi17Jv1LFKtqHMOSur40B9KzziA/vrQ+v91gZiKUSRAiWNiHQP5
zO0Uk2ruwVQgOnFX+kOvWqsi+POYO9dXc/FAZMQwfmgcYf3KrhCd0ngpyq8rwezmOlgNQCfQ1X5d
1qVBZYQx3ig257ovCnCoRl96h+Jhxo7xWfEXZ/b59BWXrYOMNEbxCnOSplVRVmdSv8kqgJaTyDJF
VwTXCCCXjMckPrWEM1PJ205GE6WwMuJxHsF63fmrecgQ7C2mLzZuM/PcE08Uo4dpk5ByqqiCaKFV
4LEJC++W/fi4RE9mJf66fnY8afTvG60XMGijlKTFmNr0jFeFoyw3ef5jED+lCSeDSY/l4jJvFJ95
bZbgL+7JDHtRx6GtGGpQRjVHEfcXg6SXikjSuGgcK7Ry7YQBlE8NsfTsGZiEcun2xQFMbf/t0/lN
B39LYl8WWWWM+jCjp1+eK7sd0eNXSaipdZxbvGvXlXcxjLEgctaEaoJbPER3yez34nGc/esKwBPB
GAoh6dOs6KAAMgWXrXQ70zovNRbOhu1aVxChqiLMn3bRmNYJSahOPfjcG/OxjO6NqbPDNggle8a0
/IAWGYVHsvEvduJdJKNwldr36qJ1cIrzX5pmF8NLOv8IEzuc78ckQOm1BPjd9c3cD/Y2sRe7mxMJ
iwlDGc4y9k9ZNdixQU6SOjiiFP1Mit4epspRx9bXhC+a2Ae19FDENedXXNw0idb43gNAxhyTRlvH
WEavTtneRJhUUjnT35f2/k2AhscahgeA+8MkdTRcjs5Q579DWsohgDZe/w0BDp1oPHbVCwUFPxlu
tILGSc0EfTVjeislTuLYjNAAKj+UpLCG2M240yx7OVxA/QDJV9HQeIpxiI92EJYjMcUcREgUXi6/
pzncOaDMmK+qJdnrc//EG9On6vfBHmJdyM2LFFcGnQ1sPSAFdNaQlRSQcHxJetEb9VclFc5qVFud
uVhDU3BMPXUcVwSyT6tmWcHrPi8ikF9wvctcjm0jiUWLtAJsV80jLuas7y2HsfEshhzl+KdDSTTR
SofboYRzcWblmDQ3xszrfL1YHCjHFEwiUeZPBePzzPkJWS2TpkVQUBHRyrvWqoZvQurENafN4fKG
w3ohfwCwJgy/giOEcZgTIqtIj3oRPRxO3QcVXheF5ihrkCbfc9NeMPOF+ZlcvTGqycqKb9cNzOVl
AAadaUhotcXLztAY+xLjcaaStSKOqjnhcJdWaC88XBdxaT0+imCshzyEmJSeUDvSyYsavqoSxxPs
XLWPAugP2CiGKMhiklcpwUNF8TCU53R+01iAtgs/t+7kADn25wJC4e/Xl7WT89eQswBksIzcJoo1
jIZIeCyq9YzsBQnjQ6enr6FUBl1L7CpE2W9N7TgL49txyFyj1P2mB7BxGwX9WFg5IgrSzL42jYdY
fJGT7Kmc8/9+2z/8POZkV5Sl81wwkZQQQqtsWiTFee1Hb1fuowX4uAXM0TaarucmxX1olTMS80Ec
oiG8DPKl9QbTtEOgty2fuv7YJpwgY0enPiyOOXJzFsOGqNCpUD2NgMapCk7Fc6dJ+uPSGC8xrRh0
XlaAwgmB7NcHwaK4yiP6W0aXNmD0oFqMHF5KnrcsapQ2mowUdjNVDcbaBPOgtcdw+nJdZy/iWWQq
tyrL2BpRMNelaTDLrwA6sMCUXmITZI6GT/OfAAR/lMVES/mcFSTUQNMzVrUlxIs9y5pttOmTDme0
1lJgSIUvyKUjp/HT9WVe2lRmnUw80behLk4jSuO9Ux4k8KcXPq2k0BRZ4Q0nXvGUdw9YqLW87Vv0
hWBfCdo3KYfkGkT+AgaHhcuXfukFP2wrC7c2p2uqtfC8TpgGk+wpI16tk6XUYTD3xF5BmnV9L3cc
xFZlCGNGkmlNlwbAgk4q3pfL2ei+CSUv+Uwt5RUzQhgzYgwayfUea6IoCYUbe8Nkkb90AJhPJ4EH
CkXP/powxnSgsUrtatrSVRS/pjjBLOyXMrqJVx81CJDAqyHPwXMuNWEsSYX2ESKDJd3pjiBgv8/c
xDVd43uGUN4eXcObThoXE55z0QljSMx5nZu6RnfP37PHSlAAfMBKjljoLyBlu9ljBTAGUE1w0ho8
bWEMTBej4Ego+2E/e3n+ua1+hPrn/00hGbtSpg3pVFo0KNUfona/TqvVtpx6Pm/7GPsB0CRZD+mE
Wpf9KgsvLe+H9q+0uZe5cAIcbWTR10Av0gw17U9onfwg+4udfWrPsZ25gotsg3ITPqpe6tZPuhMf
eT2VHMVkQ9xK6GVzoI3tnS6cMIAR6IhCrx/WRRT90RCz4WUoI0/YUgCDUAWiFlodbrv8G+F4NZ75
1Rj7EYurZK4rui+UO9otkzugxbgl/nAQAXNyfUEcBdfonm48tLYOcR+FOXH09qgpnhqfIp6IfQsv
EQSWhGLuMKvplzgjEQXRSKIHQXlS8+8SurpVO7rTBJXzst8/n3dZzHIIaNI6cYmJM9R2rz4X4qlZ
zzGPR2//Or1LYSxgWffSMJkaWKMT2sZZumL8VOa+3vxVoQ/6+gH9S+D2LowxfaMyolNNkyhFNZ1u
k6xD6oWH+tQBd4HY8sm45SUU9u/Rb4msSxaTcR5MnaJ0LHdVdFx6js7t24j37zMumKSVMmMWnE4m
RoGCgQmKL8UfbOecEuuFUW6SOjMviJNMaEgSImtBXUpPT0l0GoXD9VPibRmjd7FU1rOu4cYW610k
eSJvVmFfr5HjMSja2EUuBHXaGSTwiN6JfiC5aZXJ16F14zixr69j/2h+y2FTIGnXi0uVYx2qPwLZ
X3eJT/EJeZaas5w3A7ixOno7KsJIsQKF5lDMATAm19KNBo7z5klh9Kyq01pqpxK+qDctLQm6JneT
9qFR/tddYywcKUABuxqDCp7SyGqX2FKJaTX9IdZOa3JbG06bv1w/p3+xCu8HxShcv8az0BjgDdFu
zDtFsXUPWAENAFnKLxGqIpS93g3R0c7jdePtKWP6mmhBtNnqcICzbLd6j/GS0dJb5CYIjzZk/069
L5H+lI2SyGs/D0oVEUfU5zvTWFy9VDnq/i8Pq3cZTHw36X1j5AZ80+ihRc2pfEMDnhRlLWht/T4d
XeXH9YPb97fvAplor19Akt7ViFGa9rYQEitB90bEI9nkHRK95duda7Smlg1VdaLwMTQlSw2Pg1za
4/j5+mI4J8Q2Eap1mPTCYKhOBm5oxRzQBhFyUuk8EUxSqmvnMM7ReuHM8fJtHbKvJOO12HOO5P9I
u7LluHFk+0WM4L68cqlVpd2W5BeGbckkQXDf+fX3QNPjKkE0ccc9/TDR4Q5nJZE4SCQyz1E5mEjs
sgxrC5iXdOTQDtAxbiEGbveik1zkCocSJFUlXbdx7Ml96BtdeSjyWHAMiVxhP+Fi4XOqzzUmSgHf
AIL+Ns2/dJWIHHihd57d2H+H8CcyAzmqu8l4L08yjhLqJ5Ub3dVP83Evefqj7tr4R8MGyt8GJVBE
87rvDQCfL7xn+xwuzFmIedn2ffos3IIq8p8JtGhr3EO8BdqCLUb+9ftf7zxJN6LmfcHeUjnEIAkm
0RolN/w29s3oLQvvDQwNRpYAmURmeJyAXIPRs/51ua83aly5ulW7seHsJvOv7oZ4FjBRrNfAyPwx
Zqx5ki3FZrWeTMZ00t5qrm3laza9yYagBrm8Ac6WuA0wZF2sVAky2VrxZfJzyO7W4Wj5onH++7no
J2YrQTEowV2mg+bMmNz2pYKWJxKMCupWzvxNMUVE9CKXuGWSkMtWg5MaftHe1/J3XTTVtPCSyDbb
2ScOyuGBnILGQ8Ogv3mwNiMKH9U/KlKSL3q0F3xAPvvLQQym0gyPJ9jeXjWbfjzNj/j/A5FephxH
ZCj/753OH/xTuTUrC1IVtARiNQrKA03hKr3h0tg+zHTa/k14oH0W0IH/8TM/Ou0UPWMTYkrlZ2Og
1jdo1w27QAX/Cpr71439IUE7W+MiIwKxeq8kA3SCarfGjE1uu+2T6es3jJyh3bbXsOrVG1GpeDmB
P5vl4mVIDEyM6bj0dN2VWlruWJ2G+DBb2caoflrpkfQP644u37J+G+Rne0waQ2zdgJ9VqYEPbXTl
7kWKTDcdrm3ped3W546F9/LL2RiXDURSFzuxjKz3nX722O5AzLBBQekgerhYPkjPhjhQjFu9LtMe
aS4EJmbnkYBm3BCE4zJ0nE1waNhbemrNOZpsc/KNttU9gbzw+ucSOcHtLdsx6AAac1DIYLSE5F7r
QJKjuF838odi1dkP9isucg4MdjVOn2G4s98YzyAFOcz32oGp3MlHUWvgAqcRQ4uzLe7oRyNWmBUp
0nW6n77GXvlQeKFPfiW47oAc9WbaWa/r3gm2k82d9nMxDlMDchwEHFO6c4K/lbH+6BcHFopm6SCa
RBUu1J9j89uofbMkUd4migYOGeqkVAulReISJnupxebcZCLR5+Wk5ffy8E1fsRlNgypD8zltriyd
eikETBwPOqcicBUsC08liCFnUo0pfGHvU9k1blPb5E25QjvKpvcwxAmSK9kv9hgtPPQkWA+JBW4T
tliQpFLRoKKgzPcx4JuSWlRNsXHVE71qrxizSf5UfKFH0x0DLSi9YVcj/EV0dst4cTbL7bMc7BtJ
3GIS2HYe5uRJrwR49Ie8/myA21xygVPfVksDGznadRhC3UCaEDxaKR6wQtC86olb+dG28xXPxkNg
LRI0Xj5Jzva5vVbGczvoMZMtUw699KJg2qmo9k21M+vMF6yh6GNyG86oO82xJNwhZsWdDqqne8Ob
vbe+dL5zwKXfE1cj/1BqOLvH7b/eUZqmbBE2A8aqcW0Jsu1EXLQ3e4xPvNtNkWCXLG4SNqKGURQL
vANcwGRWa7ZKiWYGhl3N9j8qneJ+7eVM58IOFzfRGKtKOxK8qKKcS33lyQZntQPWytkzN4xTocIU
h6iCuIhmF0a5YNELozT0DJ0Fo72b9Ou8eHVyUTvIYpBc2OCCRAv1fJDa8D8dJxQdJy2ohtcDcXnT
XdjgogKJUwStIBnNRA+Mn7rbQoX3/VLdPlme/ao/9h6bulfemqf6pItCZBGwz9b5d/62rpU0rcBL
qNrlTtPo80D6m8pqN3kmmgEULBj/qKBIQ9U7KlI39H858WNebvJBNA7xeegLyHzhjvoRmcEInSQQ
Y8LAqR6jX+ow0k1Et1V4CkPqDc22K76mIkr95RvahVEuj1MzucxHp8Jz+PtoO93Ymvtz9Bjz4HCc
X9bjhYXcp9rHhTEWshfJViFlVmFUsu7b6BNqj01/RyVf7XZVuO0TUWFsGbIurHEIkoCTRmOarpj4
ADP8rYK5LNAEpFezFx8JtKnD7+veicKRQ5K2kfJICYEkuREQ1OAaVXElAzNFohqScNE4+MiggZ2g
Px6NQxGoN4vJ0xW6H4v5OIepZzXFdra/afjXfqiPqmJ4Uq+L+O0E6GJw6DLjNlpImoR2O+PrYH+X
/6LL+eNu4KBFqSU9K0D36DvTbZh1biQkQxHsN/6xXxvJFGHwg7VfSV6Xm2DXLbeyppwaS3Pb5JE0
yZUN8oW2EjUDihaQf+svuzYkoK9hPMLzs7Fhx5v+KJ00L/PjO9G9Q4Bd/Kt/KZmlqSm4407KHcWh
PdV+Rh/XY190jPKP/iEEfeckRo9GvZmfJ3RONN+ZPG3oq69RA1aS9lrdNbv5VWBWkCXw2WyVovmk
KXBJBL9DumOJQuyjs6bzQOTwtfPZ1Ke0JWCvC4MmckVfVmSdQ5hQjyoqNbCubyFttMVA/Za1tFn7
dS9FC8gBS69lud6xHpuO/uqUPSQY3NEUFEJEaGlymNJr6BYdrATTv8+yhylDpi2MBA8lafsZHJ2B
qDdp+eZ9hmeTQxCrqNGUGOHhou/VrZrdlmqEwVLF63TDbePpyixCt9SNFpTu+i/av6x/UwF+8Xxz
Ay3KPG2wKRql3tQU7+p68++WjeeZU1vZ6EtjQpZePOZJQKTnRKimxHKClROVl32vCkKNbgY/WBMw
YrIsiA4OFAiLfbGhX4SzzqxA9dmaDVoaPNbbnwR57VoNQbiCJlKj7XZqbX1RS8xgVYNbUaBn2NU+
GZTnplL3s42OqVCNRDnS8rKdfwGXI9lFjL77DOV+aWdv9WDejaHXo1rnUhc95dCMAoOgIQAZkU0u
RSpHnca0w0lEisfQidxK8tdj8Q977+wV+wUXedEwYpRJm/HUzyigVXQkUtm1QGQf7zI/8a39dC8w
KFpIDrhGrZpk9Z3NEVSBzXVyQD+uK4NFHJymoobL5RA9O8ehl9MNIZkIlmwArDBawgjWqIsQ9ZON
EFUYTK2FKAdjBYnw5joyOtwguU8x4pNGO4z4HKIXkJD4jq9eD0+dB1n43fonXU7+zl5yaKbVUmnF
HXpClJjcRlCw0SLDlTB756Z2KYoX0fKxc+kiXoq477O5x1uAinOHMRz0h2rPmNgHoRDn8tnz2y++
KCYVETGSEqunTJvIijfttB2iWOTQcip2tsIcvnCoGatKQ+uo5qcouCmBqR6a4t52Xtvyupne4gQ0
Y4LXPJFfHJCYjtJWSYHTxzK/GKGvdJkLMoT1mBDEIs9hX2eSpdcFSlJG2fhUMo6hPbiyPd3SRAuI
6fxNwRw0Xv+gs8OhSFK0Cdh4WJoQ2YHhVNtiMl0pFLFXibzisKOMVbvPCKqXc+SbaOksv/TpIZI3
tfYv/eGAA/MKJaUd+pLS/DrsfE1+lJPN+gqJooBDi1iKQtKBUsYnXUC1fQ8WzfRu3YToc3HAYBRx
hCs2VqVuHD9uH+succOC4AjdlCIBFrbvP4EfLnQQyAOx2Cc1e5I0NKxttD6yB6YGkp6sNTETYt2i
S2czfN1lajIrBycSk3/3u+mgyRRsVf5sn+zp5198vAtLHC4kNDS0jnWEKNB1Sz1teupk1Z3rL7oj
giB2iq98O36you7y0kgrVHiko8kqjqcRR7CytbasFwR03966Z2zZ18xxSYVZ6pEz5yj2ONlNr+0b
tJDmGJ6OGEtbp/xYN7b88njxHTloMEKHWibBRaWcRndEoU4DqUm3j+ydM5yG9rbMtnkkSH+Xi4MX
RjmgUBK9zvIRRpt3JUCUI3YltMGig3GtbeNdvaWedFVBIjgOpFsR0dCCQjfqBxfWOfRIDWuoTBY6
Mlies4BACLkBhZsU5Ltu42zRmgISdwMMIKJMgH3LtZXlMAUki1AUGOB2WkNasum+2o0lyN8WYevC
Nw5TiEp0dR5ZbURxQU2Txl8JhMbXY0YUoFyOQdu2r0gdonrGWDxn0JqeBgnFXOUhKZ/o/y4C+GG1
+FqMXDZmqobwaGg3Ha7veXdfZngejx/XvRJ8Ob7wYklRMcs2SsaD/Bil+3nMwSEh+HKLqeB5dfh6
i5MOTY9hc/ShNOE9lARchaaHKg2PeZsJUGRp2PYyyvmyy5hkpUWyCv1cP7ug3WvHeJOA70q9bXz9
ucU7XrSJRM0hy/7puOlBTM2AVjA2wEWyZtpZOrZlizonSHQgLDHUeJgfghk8TuuLtXzOnA1xYW7n
OkSAanRcqTlx5wxcUsZVBYGL3o6DUXIE1kRucQGflmmUqBJCI8licBVvSllzu35LRJWH5RD87dU7
bF58PkmPU9UoYEcx9+OrYz6mIp50gSc8BxENo14mFrpo+uRb6dyFoI4rI9fWBSm0YHk+dZ7WWh5O
Cp4EyyRIMN8zo8V5H6cPZHhZjwPRF+POyhnyXWoCcQVf1cD3nnhJ71XCR1WREe6IRGdGSUwNuVM3
eaBLcfJbIqpevLeDfT4aoGgFFlSQGfAcn40aQ5PTADIYXXVN086VVJBfDW+ZXD+YmNDWp87NndxN
02EbZbPbyaVfEv2qLV7IgL78FOTnVXptE7l25bLfOEW/k0bqJWF3pTsgfUsnUcFlcZE1prisgDEU
e/7jZo/yKCJg0WX9MXhWv5t3E5R8I6RGbaB4hT9hZrHZ0Wc7ckVvpCLLbMEu9skUlpjcfxcTrPBa
79E4AMGdq4ZbqxNkKotLf+Ej208XlmKSGKANh49THtTEcQsGamOwHsTLRZ4LK8zfCys2xKt1Y0Bl
guy1Ahpq4S0IefxqP10RMPhTT/T+u9zpcWGQg88h0yRpVkFgK6NFIPaKOwwRjSiCU7e5AhneVtqb
AdkTTArI9wJfVfjyKdAvTHNY2hEwPRcpqgY1uHNjjABqxGPezhBKICdFgA/LjVVnc3z2EOemM4Ug
eIO50Y+O1B93+VF30X5xE21e643AO0Fk8klEAaKSYsYVDB929qHse8W49CsPiud7tEl6xh2UiVC3
Q94kMMyA7tNnVc/4wQXqpGa5ZeQ4Ohh9f7khG+dafu1BAcgqn8ZtLer5X67RXxjkYjbMh8jOG6Rl
U36rG34JAcD6WsXschfuwI7tJUPpEnNTdqKjH+Ai8JWLXs2hHRkgiwClv0p1dUiW61a1o8pTrqTP
cWftcwhRQA7irqx6t5GtoEQVuMqbY+nUXtV0YIAEK2U4vih2GFgQXZarb2N5VzdmYPTDQao0T6LS
ZpCdQzjX1301UqS5o0vIi5JCfciUH9pOC6IZX7qNId8sXYcx9OvGxnHVFsSWRmUF2gyqIqgUpm5n
F64hJ+CJmHSw6EK9hrRKIDXkCYwukE+yLG8qpntbnoKCqsde1r4Y0Rsl7S5Tf+LpZVfQMNAGlPCT
ems3ykGTphc5VHdxnuyy4dc897/alnpOjweZtLTdtO5cmhYulUzUsL5L87BNKpARJ1Uwl/QRr2KP
lVwGJh09Zy5d5KIeKLPcerA8U85PhpF74/SDfbAxiX2psfDk2V3RWfbTqH3MLeKqyrizp9eskEe3
zR9onh6SDk1pOtAkHN0GOpp9X24gAfOElyN8uQZh2Ei1qxr3YB1r3SIZv7VjHrtd2rukqMmhI9Zd
0Zh39kghLtcnN2be/2j61iMEJAOpEyauVb4muXpXV1XiQkTQAOkoinTVTSv3t7JsTp5By5useZQ1
9WCq9JtmS3vVwE+R3uS8qdwiVXfVaO47GQcpeka3ytB/RYPIJnP0q06uNpETocpT3GA459e/3J8c
7EGKfuj6DJlx68tetIu9ZHRxcrkYQ/SUU751XgUGF5HovD/56iz6b4wihdCy37YnDF8+O7T+Kpc/
VKMHB3IVhOSxnucgHVO3Lzo8zuS7YcRZExU/YyPxVM3c0FA0YsKcXAEpvrsxY2oxIH7FlWTMAwsz
0mmZuNCafEidHxiZBl2b4WqyJDheGfStWWUn0sXpqhlUIQoUiHxQ+nflVZ9GbkZvamFX1TLP0MUn
55JRq9X61khRldScU6QMAR1vQi3fhWoJdb/2dsJAqCqBKjaa3clJDqOR3jV1uo118OlW+uQnkMO0
5QgnYuYrkaifZzGVufh1XLpmtURPaY/OQBDhNZnkkvJ7nwlOd9GnZr/h4lPrRJ9CI8GuHEKs6ZXS
4w3Q2FnodlmPbpEv3GmXQXMIdFzYTaCouTMcy5M77WhNIirVRXfOyYPBLeiQT1NUDDhUixIwngfE
igLV+Z6Ynbfuz+LGOBvi6wJqayKjZVwx9ji7aH+qu8bF7uyjnUT28XywRILEi+hwYZDzbE4Muc8z
lDQj+a5VbpN+h36yOhqAtqJqkeAj8n0Y/ahorRkhJUrae9pdk/pI1dMUC8Ypl4t6Fx5xoQcl50qj
jDGp/om+nCsdWVfsW9egtpSRTSf79FZFr4dtuX76Y33x2Mb5hC8XlrlgjLIeN13WJiqbrj49K9Lb
+t+/WG67+Pu5TKvL5FGzIngGhnyLFph9jV01dqsOF/cqoLFowZZTuwuDXH5lTHY9luG7vIWMBmLw
dd6Gu2pPg2gjJGRi4Lv28bhzkRDwJMkFAnG+6X7V+w4vEyT0kn31yIYdJ9FU1iJwnF371HjROKE2
FTiBKvI0dreK/eDkAgwUXTn4xosspLqhEcxygJDsAIXqTfgY/7C82WOCbPVWv59v1wNE5BT7xheo
2yqEgnQUZWW1+Gqhco0Msy1E1E8CxLA4xABjaiXnKbpB2Vt9dv+ewqBkXm3LY/sL4wFfwbOWe53o
MUTkG3dq6RVJBqRkBsakMXgTJ5uBqps0K7frn3C5WnoRGOx3XHzDcpbGuKpwcvWda5/6xH3nkdvk
MkYDNDyiyxszceWdsV+3KwBHi8OOSR5Mu4tRpC2VN6s66TiXB4JqJhG1WizemS7840CkJ5IW1wm6
gWJpK1UxRAB0t+k3ZX60oCKtXU+Zj3lPwbEmWjwOSGpbnVMLxQa/Cm/txnZL0wdtxPoXFNngAATs
n7XUykgeI7J3pnsD1PzCwRgW2ysg9WkUsO3D3qjRVNE+42QJkgNuRV4ZjN7k93dxIEqTlwfBz4vF
U9LSxsiVOcF3kw/hlzZx6akEPZ4eEEaPh/KadC3vm6twx9gwMB6GSYT1byrY6zYHKJFtQUMtQVUV
w79m9qPtvlJ6cKxbSXlaNyRYPJsDFaNSnaqNkJrb5deZxn5I0SoZmYLgF1nhMKStTEnqoTEDyrhr
vd9b1XUiIqYQ4Qdfv42bImsLA+0C06EL5KDxxmPCyPB9xhqgefouBJOIYJlEfnHgYeFFXy4gy+nX
9XjQoOABdkPPLk2BGVE0cNCRDxmELlI2XlxjglmHCdzFo2bvpNsxrP6lMQ4yqmaoQqoh5TbzyS0o
2gdqC4NhuWvOuyJ6WQ8/QebGq1GFTShNBdNuHR31rq0tyVWk7Oe6jeVFskFLLzsWOi84fKIVxFNb
FNHBQoAJvvjVzHq3ELYJLnvy2wp/228dGdwNHXJEgoEGdJYN28rLPNwrW5dNfWkj+hSk13/lGX+b
B6GIOTcmnizScIDaFeis48hP22i3bma5I147+8ah0QhWy9GwQuTXKFY3roWX5oC9MHpjkAf5NlKC
dYPL8X62p31MBYymxwuuiW9JGz9LS1/v9g7dJXLqJ/Fm3dQfCvFnWxw0TUOdqH2MkgHRQRotjcVN
ZEjE7ROgfqHk7jj9lHPUK0gaQDXwVcF/70LH5j4pElTsyzclH6+iyEj9mSaCjG85NTn/NBbYFxmR
psxNqMaYeTUpxDTDn0qmeLSEXFImGloRbBGHw7HeMRw6hCpSS0PbFmrvxflwnfUiTiTRHuFwzG4M
KY+jf6be/n88yyJPOPTKc7MOKdS2fR3ckGag29+LVACQyw07F9uBAxQzAn18pgMh2bhlslOg79oG
8Y4cRLMF7Md+znr+GwCWzFLKiwAo+k5W4qrHkSbvrNlPQf1lY9xMknep1blpLpxdZRt5zSDX0hUV
qkVBoIaLrpwdYmN00eF3yKN+O+Sjb2v1dWtXWwkCiI1ivVbTL7sfBZQxf7j6nn3msIaSIqbWiI8L
LfZgZm1Bhxa5P8MZEXvkOsxYMgczSQwdTEdBklUbwRTv+gQjybZnmiepFQ1j/uGB8ewWBzNQ4MXo
V4Tsn4BeAKqBUB52kwISUXio3eRb67HV3HVkW0ePT3rshloUWWmiRyisfujNRqaZKzkPTSvI/oWe
cdjhgBc1VELYKZ+th3IP/W2ce3jKVLbFXgnarWhTCBDbkjkU0drCjurJwumQaM9FZdzIc/VAi3if
mCa47A3LnfHO4WTmxoG0g62m2zpLd7NquWi22BZKGGTU8JquEjzHr0OPJXPQQ2u7Gw1Ggx7hlpWZ
5S42ndm1878R0UND1m8AgjDwR1yIjDwpJdb+xdRPdcx76y+6jyl6zIU6vohEWLTA73B4gUKmUjDC
ErSSNAF9VDHWEZ16iM1Dtw+Pi1uNuMbjeuQufkhdVTSdDZdDpOOje2PsKEbRol2/0pWjNoGS3yZf
Y6IILiWL6Hphhlsva44SiTpAGpWGro3OFeNWm/fzsNfxchcSQavxH5yyweygQRXV4nDNbPQ41ieA
jaHdW/1tolyVk8DEIp7p6m8TPJ4ZYVpLFWaaiuw1oochelVVkFMeI1FPBouvT8fEhSEOzAyKWpTW
Yjhzmva9WruWvSE9UqSjrkCHrA4c4aVkubh8YZJ93osgtNKwl5QKF4Xal27oHhN9TPjmzfbZKI7m
taDmgBqel/jZj/VgFFrm8C2OadXPObgim6DeZwcLPARSIO9ZTZvxK4ynxA8D5yr+IuoREUQMXwMY
IyOCQBRrVRzRZVdhJjrK3DgugnUHBYvJVwDSXCrlTgH5RzO5+fi1jYPErt1IOunkhxHt53DcrBsU
+cVHT6gTOWcd6ooWaBj7UR5TUTFAZIL9+UW0qKqWj3hwZG/TfmsmkBk5xZIwD/wDgPx3v9lcZAwp
OBGJgsoo6/hQWbuJjx7PBxWRwQj5y20LCb5sE/miyGB/8Z/3n/WeQ124R4wRAoM26gFQoM3l1M2G
h7nDFfptfaHYQnw2YxhIPHUUTng2Rn0IQy2rJOQszo+eHMZKcL9ZXqXz3899P3sq0eIr410qSxv0
jkWuPjzEok735csrfv9/veBOk7nOnXioUHsyT5MXbnM/3M+4uXnOtoBilnm//s2Wl+ZsjTtU2hD5
Rpdg0BGtamV1KJvrsIfA9l+dkGcrXAKg1mky2BDzgZxZtWsMNbCSeCuroiFZ0bfTuAvI3PQ6Hl51
bNWbeWNtlCPGPE7KAW0ovuSL0nFBOGj85WNuNEpNTKnHyX1oj65a7qlobGl5y/7+cBp3CtdTo6eJ
AhudfV2h3aS4V9FyZzPJ4x/hLDg6RMa48zhKiwodoQDvvnq2w+sM7U6kcvPsQac3pfDRS/T5OFgt
ZDlK8oyNkTwboAXMN/2T9aU/EvZ+Qq5ZExpSNV0WXIYF8a6xX3UBRXWZyTbKxyjMR35c3OUQGOqa
vSm8dIvscFjhjKTJ4wRTuENWeNb0NNOTOuT7Gpwa6xtYGPMcXpCxmDoofbHbPVTGHoF+Pu4z95g1
Csq3MFi3tpyyneORg4sGbV1Ng7K1Hw8Y8kHi9NJmb1P+mJYP64ZE0cEhhgNSXQkKoOjw0SCofFPS
61Z0Ki1f3c9Iq3NoERWxpLVyy67uvQ8tX1zdww37bvlW1H8scIcXFMvSqE91JiOeddPRKXI0E2Zo
lxLVxf6Q/P1eH53DC1zDkgl1OPbmCmHnq/Q+9qwjWtQ8Z8RUe5aBPwlJ5w31rCvRZLsAPXhtiwYU
Ml1mIE3S82ujPOhaUEnB3L1OZFP1sbseHsudUxdrx6EHhIsGLZHRpavdsIbZ6U2/RQerhzd6qLOb
V6xOoQRoKcecdh/uBMYZEK4kGjydGHoTrdFM8fRbxF69H7Y6mpZejG/sdU9DU7L1kj6tWxSFD4cm
Y26XdSrhGGiT+yzezfkxtm7XTWjLefU5dDgcSQfi5FmLAZm0igKjhsZd22wndHwq6PZjSucTGW/j
0LrKq/GKDKAVrsdrEpFf1Uh+tb3iWlO8BamiGzr6V0tSdnMaP8dj+MVKf2mavAWr4yEOyZXlOKc6
NYJ8tNyqjPdhOZ/kYdqDuc1LpPQHmdB/GoNmpWVVbYwfJZ3bQTh+3V0WH2tLyAFZYalNbJjYkE4e
bo0iv9Ek0aOsaNE4CDOI3JW9wyiEzdKLI7JrcWPRDJFa7h8OABPyko6i6PJ7d8nFkSa1cx/ZEvqq
39N6DCfGvhMYdyp0RKKNJciBl8+1szHm9IWxVE6k0GLjQB1tTo6VeMTONqaSekRIRr981pxNcUGf
RuM/2iu2vjFj1U2jfSF9I+VtKpIyWn4+B4vlP5+QH6NKp2ismxRNFfIh+iX/YmVcdooyli/Q3f6k
x2Lfox2HsRNGICUSUf8sR8rZPJdJGhXRZrVEpGSW30Rvmu3bIqkywbrx81V5I5U9lUEf0OFEcEo/
Q6ml/dIk82Z9Xy274qB5GgM+msXTFFS6LFG7RbEzwhAyKEfnk53v/50JDvqtNun1KMMzU9/g4acp
dlbYeFMtkq5b/mJnT7hIL5qmcowOIzZtlLtF5Eoy9ahyY2YCd/6QhpwNcXGuqDGtixCGLGtfZDuq
ZW6UHDT7MQSVl3VTQ9IkbTexaBBO5B+H96Wh5PMoZSjEKoVbmL5jpoGjYDpKJLcrCgkOaiuIxOaj
DJnBWn2Tp0Mj/6rmn/8uJDio1c2+H2SmGZraoAB8ATclLb6vm1j/XDb/tjW2eUNzE1FHm0NvfqvN
u0K5t4btupXlxwL9v8FgyxwUdJX2zzgQpmMOOYaByM/Kk7xwV351vjCaG6SPj9NRdFb94RA52+US
R6KbI8kisDuPm2L25IBuUDTEnQI0PunGgoCO6NqynEOdDbI/vzhIRgcD4Bq6KDALyCbxcGw5QbdR
X8YDubY36UMu4tRdPvHPBjnYaJvYrloNL1q2emgr1Z00IUkkW5zPScXZBAcZ9Szn4ABHmqZumRzH
vFMst9wxsVB51xJ/PVTWt5Utc7AxkrqrCHvmUHs/zk9q8iWlgqHcP2TZZ4c4jIhT0G61EHt9v04U
9zrjd/YrCLjrbravj/F16BI3uzFuw/tG8Nqx6J6hQTDehlyepXNbuqh1y0wdZjo7JtkBpWV37gSP
t4tXlrMNnnsk6xQncWyUyifLq0y/KkevUL4OUD3qVVdNHtcXbHlvX5jj9rbUdwTlQ0TgeNM/t6jN
R0HiSV8c9jLgtYc2YBzBZuSqgidPwafk2UgyWcf8wYj0Im2/T8aGVJBhqF8FzrHt8yn2L5zj9nOM
xtQo1SD/MR2y79W1tit/QA67PSiHeFfcQPom2og0OhYTxAuT7CddQAjR57yfM6jv1PlzbL8M9IQh
IV3dyZrgiBZ9QPbnF4bGnNSapRhg9IdLSlJ/t1PiZY75LPiGi/hx4RC3pau8VqyRqQ2y2zv6wB+S
LbvO0p1Ya3jZJcO2LMfEk6XKbS9dsR2zkFH3xchWhjwNxCayoJy43Hdi/LbBV2PlqhpkScNAGWO0
7MBoqWxtN8SwMBHg1GdnbBUD8I6hQZYFdX8uEPqpMCXSziqmbsKrbrqjpLtJ/oL35qMVLgocighA
zyZriSiuS+jPzNtqXx8kX9TBrn7ONT5a4uLAKmRnKmLw+TDV+9aHcPLBuS5Q3pO3jBFb2YXEtXE2
d/v0sfDl4wjeG7CZn6aj8Jj+DJEffwp3AlTEmezQdhSE5BAkT/K2vQJ+HdVXRoUf4Rwo9tlL6eUn
EefO58390TCXNZqyU8UJ9p1Px9u+Ud0+Os3mpqA4fUQ9daLw4fZCXPemPbBthwqE0R5b+VGTRAUr
wZJ+mipvDYuUDqt2l9WmI1Egj819otRuE4me1Re4kj58On6k3I61KjQTvFNFX/XUJVfhnQr1Ajbd
NL3MW+I7XvtLwhRnoODNL/KTp3UYE4QMP5o2N3IpzwTJuOLcSPFWyfGGMKEJDB2lwy+qPqxbW2j3
+Ogtd/BIWdPiyolTNY09/TBsC6TL1bZ3QX9R7ctDuf2LXPmjRQ5ukmhI58jENHmBp5htuSm+aCc2
ldt67UmMBqLI4WAnhWtqHA4q1JM2knnqQMnTigVCl/eAo0EnE8zz2F0fjziqk7ShGING03GxMZzQ
d9Rxr7ajoHwkMMP35qR1Ss2iktHkVbzakLiK5SATaauJbHBpViolplQNOA0gSHYyOuuqGB6U/Lsg
7ERWuAtTZUOOs2/wwZqg+K56wCk/CpR76g5Mihi6K/JOv1+3ydbgY4qFuHPQL2Oo0LFwLA6Lo6iv
w0IHq3JWf1WUH31xoCO63ksXanLuZNyoraAmvBh6FwY5DM5pDxE0S8e5ShPXqdTXKR4xsWjHbtYK
593ZB1vzjovA0YyLIlTYJDCSn3SnuFDOCLI9erY8yRedLourd/aMn89p86HsFBuPFXijc0sDHPcP
SSe4wSzi4IUNLg7HYkjbqsIl2rQfqqH0iF5ulVr+MRiO10NCwwolERZ+TsI/RAjfgqPnHU21FgtW
O3hSzaCrYj/qg6vuO78DTQv0eGRXpMPwXjpcWTi+IcfATT6CyBz2tAKF7BIyJ3p7P1LFnbV7o5qp
qylvoTZeQ6jknqRlhVA13VJRMR8H+p9h2pSVcaLO5CUa4ljK6xPVNdBxzFpAjaj01jeR6BNx4B3O
ZoTuKPaiHg9e5yCUY8GuWch7P64CC76L6wLV5DCyGxS8oBx9VW76HWPU1VGMFyWKIl+4PDHF/N2A
aREcDcWt2Z1kM1j/VqII5gBnKJJeMjskLbb8MpIb4uwyvCNayiONniYMnK9bWyiEfvxuHNzIlhMW
SvX+3ZQNIHXXHqlruvKVWKlHgGz8jE2iJJORoQbuR1PkE6n2JMUKGjv2CNp61t1aNmWC8wo8XVAn
56LBjMqSKuWIQpe0Ia03lk9mtI3I47qVxXTZOVvhQiEO7U6OUizVWO8q8N/nzw5oOOmrqu/XDS0f
QmdDXEykikFCxYZ8/H+klNrd8K46KHoSEX01Lhbyrs7DtkJWpzffreR+Ij+y9jC3m3VnFh5+WMid
veEOHSNKjS5ltHNMsQarv2cyvsru/0i7juW4kS37RYiASbgtXDkWWXRFkRuETAvee3z9nGTPE8EU
hJzRW3RvGKFbmbgurzmHQlylTr9vUN26SVHlqlCR7LAx8Xch/Zd8tgIV+35SAIJXBotfsAckzo4W
XOsdb2l4Zdnw0zlZyqFEMUo5LRUkyT+1neT0d9ERSPvp+0Ro8viOSuvw8uR1TTE1E6UREBW+J+4L
NwjACHkyZuRhFEC42/XQlAYQqd1++xv+wd1+yGE8ujibg9F18OhUI/M7ACGiZmKg5Mob4lh/apgf
khhTzvUOYE3pgBQFkbRw4+A1yZxWeJ3LxzTAvjmoLdRbY3xIG6sSZ44zXrMIDYwxCmqiRBPZFd/a
0IMQIJZ033yXpd9rcofOq67xgFJWRkiAz7eQQ/O0xWczydTqVYxpdjpPRLEc1G/GJbyTTvlLe9R3
lAWFnLK7xvAK3pek98dmEkvRzFNOjjEnA6gF+nBtb3IMMgFkTn0QL9UXfUcHV9J/jFuDF3Z4Qhn1
KZSETDLd4xem1u6ROLW5fgsgJM7n44mhf19ca0vqPBRCfL4wK6w53E0oIc48hMW1KLC8QCYKaJ1Q
p8WEnp44OLN6iMzzJNll4yUKBzyFdxomClRanCmYFcEobPFdC49++CZwB2F/r4Z+VkQmBIAKRx1H
/d2uhS+Z6x8ie7Qpf0zkqLyUbS2TWl4cEweUopDVrKQ57LnsLd2b9+IrfcqhUm4rR8kFlQVH2Tk3
yO7fEkyUB0kOfVAatwp+xtWp5yG4czwGu26bzr4/+IGMxnJrWoBzS6XabsxdWT1ve+DVgtPi9kzG
ZQBRIUilBHaLWOqO48XIpF0kTYe4L91qmBwxUI/gorsp9Va3yNx5Q35nmoVTSbHli4ItBvG90VyL
RLSwOu6F9fftH8i7a9avhLHfpzN+XzjGXgns30Ss70sh55ShV+PD8h4YV1IValsGBNEck4sn0z91
BQZwlBaYzaIFjJcL2ES8MEzsFHg8OhluNINiYM+cF85qQFz+DHodC1eT59JICnSSKRjEEXO1++gw
UPaqE69Ht5o+LSUx/iZqFSRXlDsEReoH7QpZJ1pozGwUUu/bU28Zdy8atrxOzUtJrOjb9mfl6Tfj
hKIiHIw5TnDdwU7qfWtAN1IADKK7LYbjVE3GDwlZVPlVDD+E9rEVTXZXdBbmsOwMutQOzrYw3pkY
RzRE4lBJI1S1VmpUxzpPGwd0JPUDUcvrtqiVnv/SwUrsSIMcGVGF09GvN7iClbizldkzWAr+L8ur
2zYosYMNpmn2ALHEi8uonkd5L2NzhwdRxhPBuCFFzJpJFumHIp7ZvBDlWvBSFPqt/5yhgE72s2n1
TaMBkx87eAEoa8P7orr6PgjUpju9/KmGvKcjTxrjT4QoK4RCQzgPjWc5mTxfB9xu+UOpNS8aR09V
xx//pUowrmMstTTqTZiUkf/AApIufGmR5ArHXnbN1DUJ6ja7SX0bQl7a+Y6Mt3WzjCvBDmOgNDma
MAbgSSKktn5QYiXQzKx5mg8A7HY7wbR1IwKoiOhO6APJgm8THTVCLbj26qtgTjdzmHliAUzELrjR
QsxRqRji00OgW5X6JWsGNzF6z49mm2TyMVcIsE/Uc1MY33qjjmxlFr2xUx+JVtyQqrVnSbHkTrJV
olvJLN0UefGkmdnB6GorjVDEG9XTrOZWWCVO4wMktq2OxKjuewLY8mJXieN+mHgDmMq6O9JUzRRN
3AVLdVeZETZ2QHHk9KF6rcbaG2IsM8qCCXBbGd3pr2GNLqufeKZU2OEourn4qMetOyVI3PPcGaTZ
ElXJioi+m+TZqovalv15j+LhziwNz4yN4xx8C2R115TApWmmQ9aGNyVw8sFG4cglnh9l4/TD5CrK
dCyK0o4m3qoV1ewtbWBcuyHOQHRBHdyR5osvvxQzpw/BCdUSu/zchWoNQAxaL7kbvfaQuJiyclvA
oHizG7vT6S+4xKiz/fXZ2HkWUZPqOAjxzBDv48427+jLim6eT5fwZ/yChKDH+Me0HwVL8DhGvZ5I
/xLNFhmQUg1zgr4PGtfhhe7ya0541XeFE7rZy7YsjnKydYYmnttq0BBSei1B+LoQ4YDtjdh/FDpO
oFz3jR+HYpy9HCV5oxVYsFHH2vITx2/uVMMa80tfPivdw/ax1iPLhzDG7Wvgu8FQK9oFfQMraHss
RYswOS4XG/13flf7DzmMwx+FsBTNGEpC/ACZYQP239hqMFnti9NpjJNDFKixDX44y9f9s67l17Gb
rdTvONAAvMtlwkBndH3adDSRLc/xgAJ+a8XS1xnDCEFopSKnUbKe83ycmnH9XYJO/9DNwJmtp31s
ykcpbM5t8U0weau8vHMxbmVEFqJqFZ55SXfTDZmdSd4ErOiu2enR7Zi+bmvNWgFsYfIsrbEvVGLQ
lGiE/6dUqoJBS9zzSqUrc2WfXIvK5IyqWZeGKcLoaiP7WhTonAFAO5xwLji0qi/syeze9M6w5fDa
SP9IaM20AA8GRt2XmIi7aQbqmJzutw/P+ajswEMwdZEfG1BlrX7QiY0Crop5yJZTh+D4G3bUIRXD
sRY0usIVXFTMMEVXX/AE7FXFKu9VRR3Khm2yYw2VINd9N0F31MccxdpmV6IHYtGhvfiY2govE+Mo
D0vGk6aSL2gyKiyq0nhV/RajW66MOQCe+vfVGyuRXgWpPMVC/j0ImouMP3VmfZ+2wUHJv5rNwzD6
bhmgXKJGs7X9cTn+kEXobVMTgEIqNK7IJuy9plYKhkAs1HB8/GpHaGFBGuOH5qyrhwRzwk6VDZ4e
vsot2HSUb3mYfO/LyRr9f/zorZJyby4Hd/uIvPtnnJKsptG/zFvN/FY+qS9dOz6UE7mYWOIJQnnX
DMZ1WyJPlxnn1ERZnyQ9gkwskKs8aVixaS0Dy1SxFO9Gnbs3xAk2LGtxlxLTbylvq3bWdqoHikdb
e/pOQWdBHH7keikauzbshwXSBSFMIQPjltaVs6+Ybfcg7lV7ql0qMT9iyeL/v9v+yS+ysLoE4KU1
FhyA9APWW3LR9SOwdETgD2x/N46msEgpQYnN9r6GMUzpT3G6M439DBm5DPqO4F4wc7sJdtsSOebH
IuuCFzmQpR6+1awOQ/EA5r2KR/v0hzbAr6CsM6lIJ6NF2k4Ycuo9xQNI0k4Bxa6bnH2vd83j+xwn
0Ev0Q4p5sqft43EMQWesfiRKNkXY76Tw1dGouJL5VCGd9HPDksFctC1sNU6h9iGiRwWiy/fguiiW
gdemTIt8kh3AERZYoE7uM/OQ8uLUCsQzdHEhhmYmCzFgG4rVWkRGlf1sb1CKdTRwfVjmOQfUJ6WU
x+gmx4Gt2ttCIpMV5LNYC6DTlh1F725GoXwWTJ+TJsqrX+pDBrs3p8y6JIQSZFCuHFprnE/mg4nq
ee6EHuUMJQiQtGOErMeKb0E0ZUV38yu4O779zSzE4oLfS5WLC9YxODApIow9xT6i+aObeWbOURR2
g87vo7rGyDmGoYL+YKrjpVNbd5h+jrrKeZyuOpTFrTKvjXQuRmzRoQOnNsdZc0fDU6v7rBOtVD7W
9bPR8+pM6xnkQiJj7NFodNoUYCxvus8PMlrhyf6d37LB+MXgwIGiKEj/zxusX83HF3IZS/dLPQkj
HXLl6YwFTFsNJJi4BlvUrQnb6hO2+7bNnXe3TFhPkjFTe7n7t+GOV8ZeOlJUMF5lnGcY9O8LbUza
SUgDH1MSrZY5Sf8ah0B46w9heB7+akR7qfmMawE75AAS3QmZttrYmhHekqF3Vb9PLAVvgEAeT6mh
Wg2ZL8lonKo58+DWQzwS+r3ZZneCUTsTaOinDkhpUsTDAuZ5vt82DQDRWeMnQpuBstCDZiF1EPkP
CRCwNK9/5qMNrfc/PrSK3TsITDPDxA1cuhGMlib8yBRvaM9668XmWSkmQNwdWo1js38QqhAiiQSj
Piyc8zRVGsCV37uV4w1tuqSgKCPeX+EJ0lDyIYlR4T6o6jwpcKEtIL6DExaydtqlBEXZDHQH1D+d
GLQLtcfDMVxX6Q+xjEpDaC70o44WqTbaxHhJfBAbyuV10hqvmycuAiVPHqPWeZzqmaDBhIR9ggfG
E53I8S+JTeGxqy/kQOmoKdYCj2Bi3Sd9nJOJm2nRGWUiQm4nAwlJOnWpO6g2St+y9k3qOUF6Paj8
EsZ2gfOeTEWUwgHG5Lvayl5ch8dxnM+xb3AcH+c62WZwAT7cZqQVVUUKLDG5hlWza5XyYFZg3VKi
w7ab/YPVfxyMvqYXDtDsZhMoGUhR6WCTWFmB25+Mm/zUu2j82LldYRCVhyDKOyITN4dh7vIxg2GA
kSFu7om2V+tdVtwRHpM4R0VMJlziSWrKuoG77PNXHRySza0ynEvzZSRWLXnbN7neXP8wd5OJkUKR
pL4G/lgnvumu0mMH/ms6bB46AOz0vhNL/DI5sjUeqTWEz9vCuZ+R8TXEJ5nZUioeslO83Jn3iRv9
o4LHQNjVx9jVHnhIJ+vx+UNvGC+DF4c0AtEIGWXw1QQ4o7Sbx2tJRExWOWGFmigvreMekfEz81go
mGBDZp7oI2DdgIqdZf4N2N+u6kxe8h7Qq75+EPweDaTXOcYYG+kfpLrfj0nubF83/ZS/PZEXn5px
PUolCBNRoMB5e0yGc9B8MSTOF912ODLb8yWlWmD2Cw3MsI7PlQgev35yNbM9YbWdUzHbNkeZ7fj2
JKnjIcOnbBNMXAyxHcXPUviYxU8Cb1CZdyrG2+TxMER9j9y8y38Y+s0Ufctnlwv+v/15sIPx2aeF
vlxrvonPow1uEZ3S0dVDTil8faLilwrIIuNaamwYdkEEbWzcAbhGjS0hvBdH2U2d2NMc+XtyUcGb
M5wwkQqe1+JlWwPXZwIW8ukdLPy2UuXhGGgUXRMYkfA5HsZECd4AFI9Nd9rXbXG878a4Fzmf9BbE
jrD26TYB4dH0ICQ/J5m3KLze7VucivEqguTnPVBDaO1JtOlwbxlaPqBY46/vo6/ePPxVVeE/bkxm
24uRFoaRqqC2FjfiNdGSN6MuH4d+BP2cwnEaVCP+7DRkdnNLiOJUaEkP3Sfaoem6N4HwOHE5iv+e
+y6UgkxRP8p0owpbhdYINEUZdB7zdVsXeEKYdZlmnorR93Fl9SzvzHx2Inm0JF3heCWOyr0bwOIs
U+hLudzCiAtxAhqbfm1B09Cr1VtqiLvtE/FEsf4ikpSM0JZvlAVWkh7kZLRlcgWbMUfb/qDfGra5
gbpjqiztYJv0Itbe/neMndjDOfQImH8aDFyTU/fCS5HXVe5DHOOkeqHOJbNCxbMvhifi50e913lH
Wk8EPmQwjijsUAuviE7B+Yyd2Vn+Pe2YB2+G0x7/ZchBTnAruf05t3lP6vXI9SGbcUtJ3td9Ts9X
heWzHg+nUp0cox3dmhiWOvAwKXniGO8k+kY1Zh28kzEJlkgqq0pAyRs44rTHcOS2Tv7BwX+cjUl3
gkhEPhcCbYi6wgm0Q/O+3n+nyDKRF3IGItdN+kMWk8/Ec+SL4ClHPpP5p17DMCTuMaoLjgeU1g3t
lxy216jg1ZQKE4Y5aowhUvCuDHC5t8nNbI/XwEbNEbC5wR1vgpd3lWzzEbZtKLICWAhKTK7Zqdc2
NnHwOAaIcqjZvArnChoLffh/HJPJchQRIAj5gJdA4yYa6ObUPQAr9xREZLS7m6m0gsO/xBPgkY5v
FN7zivM12Y7k2AdmCagtxLRy3Gm+4PiycBYjHrEe72MyzqVAQk5SunQWtm7cPjbSY5Pda/112w54
Uhj3ghZxohUKfdgAPac/hY2dCOc04aRzf3hcfHwy+jMW0UaYZVNoCFQEMz/KF5nWvv4xH+YHrNCK
XnUhp/QfLv8B7zsx7qQA50mdFTgaBYDXveacnSMANczH+QqGTFSGfJeXf/NEMk7FkP20TQw4zEI+
qhJmvKcbs+a0+tc7Ugv1Z7zJYPZNVtIitbAvD5LT4EVaesmz/GQcGud9wdIhD4VXnrkbRjRQ/55i
/fqKbOsyVcJIAB0irbjJR3BZuuB4AUFscQAoIYClDY6P5twm27eU4toYC7qiKmjfOjWxAEikZftt
/efJYHzJFNSVrmAxzonDt3AEl7mnFjzqVI6NsW1KlKUbM0b51wHRugxET2wEgMGbCLz0h3cWxmPI
aq2aZQjFAI6jo3fXRgaGEhdnmXca+isWphzrYZH5MtiwG1dCQ3R0MDF9bPe1m57MM0iurMwRLg3X
6dMPsaV7jAeJu7iqOgxOO6V/p0YekY86QDvCc1rtawzBdu0x6zWAVX3NI57Dp/e2JZpxJLFZNVGL
bqyj11+IcvG5427ULWwJYNzGLBl9VmdQQgKgWYsmI7Enx1a9p7Xs2aXWNbot2sx8kBJe8NYZb9Kk
sjqZFCq+9yabUiHEjnHw9yaG3wNuIsTRHRZuIGlCJU5LWLSYRVZi2pIyW2FtjzyKmPWBmQ8fyS4J
zqU4GVWC8g4dOVNOye4GQRQLpb79Y9t/rH46lECAz0ZhPtl2a1X7Uzb5OliYSWyF0dcArXOg9CTm
ZPmDV8bXbXHrB1vIY/yVXMpzps7ICmLUk4v7zO5RltDRAoiP3FHd1afHQhbzbusL7OQMdLmt9Shd
0XDWjt1PuiHR2OGdiQbE6KbX9tqUVnLHA6bgyWZ9WaCPSVuC/DE+4APu2333vjT7N4hZ2uKIjDNL
fEUhfYzBqkk+BsmFpCCf40SxVZ1fiGAcl6KN6N7QlTpAAdkAcdKzQ5slDhoc26qxfmOKToBYpmsy
u8ofGlLQEcqdIk73TXLoa/T85GtMnvzkye+uPQ+ic/W1Jv+Sx7ZsdCOZgDYGMqtE6qzad4Qq8sr0
Upo//g7bSFvIYmoiOK4sBSKGcEbToiOHvqM55C7f/9tZBHcWp4u56vEX8hgrS3XonpbAqknq6MP3
qH7c/lbrOdxCAGNaUpGPFXgasYkXoH0BICPBH91mig/YeL5RG/1uDqO3kGBlDrVBO6v1b+qguD3e
No32TdUBl1WMTim+iq3xtP3T1h3ax2dlDG+OwXVd6LSmUe/jYSfEdxTrQjOei/GqgmR7W9q6cXxI
Y+wPmLgpwIUFJBPBOYy9FDnznJxmkzfZwfugjBEKZmrU4YAR5GlsrWFOb/o44FzceiRdfFMmTdBI
mkZJjAylVeSLJONVGmPBxu8O6TwdSBm7g4YkKQjf5jK3GrXxUpG3DMDxAeyKnqkKUwM0GUxXIZbP
DileinwnJqdaeUsbr+VGCKqmvyUuiyPT37PIBZspyAK9wJGlu841v4SgtOst5Xb8Ge4zJ/ortKIP
N6CwTZukKvuhU95dHAiH9fLUNIEdgcVsWym3PZvCNmwiUFQYIsUQKbGiHhfnvsC+g6WPnVX4OccA
eLIYT6NWmB2bKN5YFNpq5lWdbQT2KNpjz3k2rj4Ofn0q0BB+/lSFgrUyUUHaPmeGlerirdE2XjEm
zvbd/SFB+Y9FY9LssxyzqoQ+nfCNcgWsTd0u9ETEImsCGhgfgm7bfSgi4z6SORbjpEc+GWbENYLK
LXvRlubMAqmUyzkY7wIZF2JEXZonFOisdgBAeVVP2fMUW2YDbFdsJOLVkz5LkjfzNvKpAvzZxED+
8Pk+9bjXJDMJsPsYWRRMOfbaffqNWP5d5UWe+WP7lLxDMi8RAR2UoBlwyGxATWEoLUmU7cD4C8oZ
lPAW2sg4jqzNDaXpMNpaO/7ufaq281Aw/JK7w17NOfbMORTbtsH856iNGbwUUU/opZPRG3jMCTwR
TIIiBUmlyTW0Xoq9on8kgP3tOEXk9erux529x59PzlYyQeyGelaUWsIdHUZudpndQhNqd7qUV8kV
99WJlwqtz10sxDKOQwnjAQBxEAuKkl0INKrYMy75ie4Jlq52Z2BwV8QDoDrFN+WZNwLNCarKe2Fx
eegkVwxktpTUo75Bscse9/lLb4seSOBiiwfVw/uM9O8LaX1a521HARzA6ZTljqHdVOp+28I4Dv/9
Ky9EdH6lYUEaLqtVbgQR3OCnqj4H5GvJG5jhnYVxHO2YpCBIhdYXZmyPxpPUAWRbedk+DU8I4y+K
UTY0dcDeUeNfSHIr53dI37ZF8CLKeztgcWMThuumTsBHGWzJQxPRDUW8eSkLibiX/qrW86Ht7CS3
gWKIaTZIFNPI9ZUXY+SxQND4t+HP2YKBmeJxAfgbpEyN7gxidEy6nheDeTKYpCIED5qPVi6y3Sa8
SFrpBCFaaJpyLza9m4bYbwYWbSwCfn3Osb6JgQMxzuFWUtDr8Vw9R99lxn30ppEFKt2E7fAT/Mwu
yV1Y/pijc2XecxSFEyplei0LRen7yNTNAL4CC3BA2qZQOeCzJoC/xejiC69Csf1QwhL2Z2k56vtd
n6NPb4A3pMG4YvNT1XaCj1F/LNpXqEluH299JGahmkwCkoWqmZk1DNqUkAmg+O4aKgBG6AgcLcbI
cInDvnToDoUMuJ7A+at28OIHsB4FzfXKgDk6NXG11gH7slS6TbsvJM5R1+fwF5IYt2KIYTAbBEYy
oDUrWMMu9tTb4KiDGaNztC9g/9jrT72XfNu+Yo43Y0e0MXSHlKSegL2QPwboP2fRjT5P7rYQXkhj
x7Jh8xiGUfG8oP5Mgj8DKk4Lf0ZpwIUfvJbUuprqkkFMIhGNJeUGdAdoZ+jSexYA5xNAYrMS7/s2
PolTtxeNwUu117864IdI5uslRtip5QBFRbMPpGL70AH9KFjhqgNGttB144ijHuQ3j4oHByBmNdkE
0ttnQxwb0HO0LY2oSMzf4QTQjAJfFe0Ba6IV3PHsYH3GnRBFI4YkasRkDMFHaDXECtUbKX2tQCkd
Qpjxj4D5c2D6x4mVGg7m/Kztc64q50Ioc6saoMzNIYFTlwUJaBOtlbU+gFsrTrhd1ZeFGCYzF8uy
MUYVtzkNlWsO18CI7SIDe6BceoZR7wVZ56Tn6wbxS6TKPut7P5ibqkOA/3fFLvQKFZ18QEIB6m7Y
51xyyFWFWchjFCYvuj6sUVJ8H/0Ybxq7sjFhBabQcVfu0h2vdUVv7Df9XIhjorGR11MC0jEgnAFj
2ag7a06/oE81G+7cP4O2fmh51a5tVVHZt34Cg4/7iT54pHvRT90+d4Ky5ThpnhAm2taKWhr+jFvU
47dEny9KhRWWZObkMrzLo79iEdPVohZzke70x4dor+wFNzpQ8EzenhLvMGxs1YVBn2T0AUCpvlcS
/dCTV7NM9tsmvJoLLTSB8RvKIIjKVCNbDiTBMrsfYbZX+0Myeyqvrsq1KcZbJKRPzFgAgFF40I76
nnJnlW5x8C2y/8s5scW5GJ/hmxlJAQ4EVQCfQ3Kr52AGv4TaF63KOOqwPuH3IYp9y2ejgmpxSXtS
DohdHclqdqDfxejPOyfYC2/Zh6MX72+ThfrNuanV0gjbBU+ml5LkVVLKG7/Ofm4rBvdYrI8Yh2mI
aAyrMO4M1jEnOAbPGmaoZK/dqYPF80nrDYjFPVIfuThYnFfNEHc4WFLGhm0oj0Fj3jVT8RxEug3m
0q+dUN4X2WjVoOsFUrk8WHgb2WoYBs4kPpG8saNIOPRmehADmWMnvFtnXIsAdpNBNxEQlOpc6vdJ
A8XidMu2w5z6DhS8OL8yVWKuUVBNaXpRfE8dIkubL43xXU++Dd1/GeHYR/8cSXlRBrBGOs2uIOLE
SInkx+rQ7wRHed1WJt7RGC8jBG3o4z/KO5KdFbWyTQGYypN2MTAKFwOUa0pMTm7CcWzv2ra4zVQ3
22GM6QfrdnP5ZVJrS89/lsVDEv23ohhfEwwmFnRpPjtPgGBP81089k898b/78dd+Dnnrd1TVNoI3
Ww8YRhWMlAPE9cpVUcVbU67/36xkKIUSHUyKOmDMUC75bIkCUURNq3wUNpqbHGuLXW8l6tdtlViP
oh8ymPDW66jJExnaPsTgq5Pn17DRgKeUunHyWAvU/se9Cp+9LXVdKz6kMoo4kKYUSYDYLWpOUtth
eazzWwCYZAXHmHnHY4IdWrURvg2cmZi5c3VHotAahx+xcKkakIfWVst7KNL7+l0rPk7GKCHgO3Ig
Q+M+M3RiK0+Cx8b2dM9xg3+ICr/EsPN2lax1QTwi2In3wmMNcDYsXeV27dLUuHgUHN48+yo8+kIX
2Ym7NtbzUqaBvP3eufkT3t2O/pDlqC5MnmLj9faoPXDnNNdN7OOUTOzLJVUGOAmtiD0Gt/1B3cdA
nNdna7yn7f16pw9W9m1bMznfj53IC0IR098SBq6EbgdYPROYh7ELErhtKathDKD1iqardAKaibHp
NIqZGMF3YI1N8x/yyDZ5YWz1IAsRTKQE7FM5ZUYHx6u4BbjD48fKeGpVb/sgq/a1kMK4KD8Cm8kU
oCiaRyglF3dB6Zn1TaFdChm8IbNX8DjmeDdHj72IJ/VkGLlCiezCAKoXn8J8stSCc6pV97Q4FeOe
pGzIhhyTyaA7K604Oqjtvd40VmHEVjfwlgDXbXkhjfFReaVnSdMqaCp/yQ/phaYAvkNn1XuLUsv6
tyInrvCOx/goE8TGWmhi6yYM3EB7MoyfvfSq1S8JedvWjvVyyMfRiPj5azU1MsMgx0U22a6KjpmO
vZRop2aPreEa0RtYbpQ05WQc6yXChVDmER8aalYl751Kkt3ombEPuswm/WzNWruPldFpgYCWx+Gh
S1/CYbR7KbgRh/iiAv+ByEIHIAiAgRu9zPlhK6qLYUDDABGmLGngEft8GWE2612tIDTIqaPWj0KG
luBu+8JXvizoD2RZB/kVnlXslpMsi30iRTNWglS3aYCENroqMA+a0eLWSlb8yydRjH+JOkORagNF
p7x5amT9NKWFFQGMxKzJ39zb4lCMj9GKFNu4KWqvceaN7W1D7JnXylyzQZxG1UVTBAMNvs/nb2NM
0f/u/NBKofS+PK7fEmC7zC5AfR0eqclKYPskTv4sLgjNDrRPLVr3Wfzmt8rXfPi2rQlrVvBJBBNi
mjTyi0YHVZBypyNLSK7asTjGTnsSnrHrAOopYIoVzvCNSwFCr4rJgCDYlIgqEnRlWTVP66lLMw06
GEzKSwZc5lxD7UyYHTMAkapYu/IAjsypvaa5fpXMhmMCf/iUv+Sz04dtUZUUhBD4NTfakWK5JjYw
wtGLrq3YjbhUpKufEoyqqPdKGpiYqUkuAtIUBYHa9EBZlYE7SpLmqg48uj6eCCZANCQaRrDHIJSn
za4a+h0WMt1tdVm15sUpGN80lq1vFgLWI8GIYKkxQQjHlYWKVacdR9SqG/wQxa6iFSq4v4QOmaRi
WnILyMYKqwhf/qvjsIX/ufSndGwxIzwZt7P4oDZfw2jf9vfbUngnYazY9AWhzGuwR3TirlaeO/0w
JE9/I8LEBqCpoUVjMlYs6Fin6GWM0lalnfWOoVx05XFbxLqnUBGYDJBbEpO9rK4dhlGkMnov2A/n
4iy49d68LU9g7HTrnfQa3WkYvuFNVKyq3EIsc3ukryS1mGL4wPgmN7+pWFTFiPzIe5Bxj8dcYSgo
iqDn0AXKz+v/JHQSUcQGRQfCh+ZuxA4FnT4rd7wu8Kp2qJoiExOJvsK2DMcxHjRkIdgyzv5RgLgG
3hyfRyC9Gu8/ZLANwyhSEx/DHGhLtpj8kb6KBMxOJQZxmh+tFnDSxrXKoCItpDFBss2qDA0ghHy6
GBu+NgBVkt0Kk0a+hxnda+dIbuGFrhq7+o9tHV31gAvJjK50oRSLwJeHe6oNG2xWt+Mocwa71164
n07H6EmfxUYYilinpttLBOeKdhj0uOgP8uMEstLaNmOrKjnOkLru34Ll4mD04Ivo0QeqNDRgNAXY
yJdY3bcd8OnNS4XJ7+QoYEd3+xo5KqnQvy+klbHYi2EGtgSwcwnlHuSSlcEpuKxb9S+tV+jfFyJM
wa86rCCiXB0roEWo7/M8tRujdbt45sytrq2O4ouhrysaBrZ+2WYrAUyAJAWwbOmuBwW4ss/O5Aex
zF2KOK87Ndek13onClJ3ydQMDYCYbEUubNNxUHoDFnCkOlLsjBsNYFsB8EZQbvybr7UQxl5lRsyw
hmd2uuLa1i8T+a5VL3+hEAsRTPLSpb4PAG6IkATQ7oSAF3fmnncO7q0x+Qsp9XJWE0gxzsY9JfEz
nOBGOAP6zcZG/W77SKsKuDgSk8mY/kjG2McrqxrvjPJ2Uh59obUEbgVu1ZY0DZqO4jgmThh3IeZ5
0eIBhs7Wo+ZOtv5dQ7PYf41fishSdjHWbId9/7p9tj/c5IdQxl0kXWt2GiXyox6YrvGD8v5EnOKg
7Yf937AiQNs/pDHuYhzBlavleKVQ6keKSugfWvC0plj/+wuYy0+iGF2fO7VLRx8OPiY/y7G+i/Au
UNAKxWltkfxQA+2Zc5VUD37zvIvDMaoPQvQxxZIXAbYzOY6H5tztkuf0mwjUPPNIoYPMg3BDN5cj
j5f5rKoO5sw1wxB1zRCZaDYPohYYQgk3HL/oTe0KbX+aG2XPOSHVwN9OuBDDaGgVilVSKyNWo7Ck
h/L3qcbIyzmy6TwRqB8LmweCsxrMFgIZ7fSB7UiEqCHwJm91DvIM7RhU51q9EGNfyK21fb71W0T1
Hh0SEICy4NyaNtSxUOIWY/05ml7bWPDmruFcIkcIW2cXsk7SUgGNCgHzq9o9kuSxdbbPsR7G9F8H
YUvrAmmD2CSoMSfX9Enxul1wDJ1op+yKg2L399OJp3+rLhJMu0TUAYSjKozqK5gXLBOg9Ttyca3I
S1hcDCx+8Lj11q/uQwrj9QHLrhM0yDBzqWW2WWMndVStLuMNP677RENUdE2XTclkNz2ioq+FKkSe
PZV2eYC2nybkNViLxlrJG6iLOVF5bdhSkRbyGFcVYteIBCW0HB3bK2Zj79v9uFcwPXc7oBNCd7Gb
fWuHbrjrv+Q2EAf/JsAt5DNfrxjNtkwUqGTfHjCrZLeBF4WqZfLGA1e/30IO8/3mLOjDgKq+P517
9a4xj3LPaQOu12oWMphgLWg5GK0DRBjFmuzilm4QJOhiAUzNJqf/A+4tvZvfXOKHvN9mRPy5IOGI
byfvBle2u51x6K3aVR90GyPQdEz21ARW6/HegqvBZiGXeTnJgLsP/Qmu2Bwe46a+U/XvFVb8hlK0
lcBwJB9Mw7PBrYSvRoCFWCbQ5HGZq4KOBLlxsXD1Vtmhg3HSnXDWj+0OpLyP255s1a8sxDEBJx1E
QytiLJKpwjEJwP/7JBT2kHC2XVajzEIKG2VidRgKUhHH0B+jHBX8f+QccCqj5TeHmIvwwDsTtZLF
e0aeh6yfDSB0NJmbZXvg7/nmgaScM/GcGDsGYv4Pade1HLexbb8IVWhkvCJOZBYp6gVliTJyzvj6
u5q2NWATnj5XfjhVp6wq7unGTr3DWpORRTNdY+68HrCCgPE6qDdAv/fRgzryYJk4lv1eMVmdSVal
esFWseI0sj1p3xTJ6nre24yq1jVLY7wHyaS0UhZYdidItjhgDHaqrExpLKTNN1KAHKGsvLEn4GvK
7XiUrLBIOPOqW90neGrZIJIuAvqJ7eVKRd8HyKsQEhYAswvh44zehDb9SZrYyRLdzynGUFPZbZty
fPR2TF+JZpQUH3P5q8GrWl+VQ4wpu9JO7djP99i6uQ0dLkbrtofRJYyJIKXUFMbDLFU7pUNFFejv
UefQ1UPLuEv92DYsYncYDaDD8SCH1vcl56a3jeQinPEzilCPIBeA8B6sL8Jb0WHTzYsm3qVu6+1F
DONfpkEUtLpXoLc4o+phzuyQ+wG2Aym2DKYXfcPm5X9bq3XQoYtM5kNOSZ4JKo32wm5wpD9bIFwI
D7GfHdV7ACohRrVHgZtjbOGYfZDKeJ0mr8axEeB16NcEIrwbu8JNa8Uu3eqjhUsK/IIBQIxdyJyY
zPuW9N9XzkEwS33RtQUobbqfod/dDRYQhSeJEyv+xeNdLpZJY8aua5QpQseBUquSE31cZscBU42l
p//W+t6HC2Xc0TC1IuDZBwVEz/0OMwS2IpJTXHfu9QjI01Amn8EqaQgaQUDmmJE1VrklNeCd4S2G
/0vW9OvqWLbCWSq1Ilh62mGzaMYLDH+K9ZIOVoBSVIX9Hl7Sy1EKlfEuwEHpqk5DmXJWKns0TsAw
sNPakXk8d5z7UxlHUmOdOSlFJCyl6CbSF1RDU42HubWdA15uj/EitSKqM7BuMf2g/BCW4HZqYdiV
ZpMejBpxx4vs1EF8DoQXcYwDMYvIzPvKwASaCVT+ALhbZWSRRfRjAMsoM1LfPH8henZfzeMpFgiQ
Un4GeeaWSev9J+VUGacC1Uxl1NExmrbsMt3vmh8yd7ic9wEZ7xG0sa4HBbxH6+Y3BODI+dl4C06z
R0sOoacCQhPQY9fPtZ0QXm6Y8SRqXmhi1yL66KHfJ25UeB3W76fsRQ0fSf7HdWHbbYJLQGApC2dQ
BhkASEDZAWsH2Dj1+i+5L97JPh29U47RITuPvBPyVJZxK+3Q51ocI5kS9cd0Ag5Y/zQHHQzen8Lf
WCZae0q2PUsXyVM9nTGNlCBvCI6ivk959D0cd8J2HIMYjCykpu6kOhrRXSP7uWjpscv5VNSSP5ke
BjoMdE7BOc3iPsuTUeZYAUNl4GD4C0AJM0+7o9lC9dC8M3Ndl7ep+xdx7OMy0tJeN2oUIoRQ2hdd
Cmaifg8yYt6xeHIYZ1yl+dJ2Ix5A9FU37Jedsdfeamf2iJschCfDDj0e3uJ2GrQ6G+OYs64hYTPC
xpK98BUglmDbs4pjeBrcEORcxVm/y4/mnrdxtp3Br8Qyvlpsq0k16aRaJ2MKH4gu49MIWocemIyj
NSq3Zu5WMScB2sykVzIZhz13EmBPTcyv0E3h1sdgrSf4EpeTlPcV6b+v8izQUo8CCuzAuQgOgJ4Y
89eKR6m2aWarkzDOOK3MNpAS6hjJs9CHVhaqltp8UWReSN1+7qwkMS64SpW27GaAdihCes5ayZ3H
6V6ae0cCkX0wETyz0vPcz3YijW6sDyBu1OyOgP8PgEvXrXA7O1r9FibVy/p8jlID2dFCkB0BhhLd
HzvDwYE0kyBt5q/M8D4l454TtOGFokIq2zST1w4gZsdK0Mjn+txMJS4nYzcO+iQXMfSNuu3cWJOz
0Ck1sChVwIIs94ivVnTPw3XdDDwriYyrCcDz3jYmariZcSul+6rKHb28yQUnk2pOFOd9N5Y9rmxG
YA6Fl++2dMhqY/v9u2FGA1ktD4BgO5avjse4FymqZbFuka0E58mJAKCj39S+YJtfWucvPgf5lbxd
V0/ejTLepVswWSzqSB+04iaIGzBfylbe7wog3pPx9bosjv2zOASy3KhxP0d4ypmWCuYWAA9I4anj
TZq/AzVcibMS42diU5pMLcM1CkflYO40vwepsouyx7E+k/x9g11DpCDu5C43qg92BEAC854o2w/K
1cdkfFAfmEao0TfzEpwV0AxFNpFSSyKPCqbEk50a3gMOCm7AsBQeQyZXNuNzzCGSGwO02U7YfW/k
whsL4D311ZlMIJKfAcsUTfvc/CEOwkOWPwoyLz7zvjTjgXodSJJmADudgHWOIar6JSQ3aswbAOIo
LztuVGd6pfYSYhZ9sxvP6vfyi3ZnorYkOuqZ8jx359iRR7vlBRiOh5UZP0Q0QPR1BM/3sP5Rp9Ys
PgsSp4bFca4yk+EMRoQ5rgRPd4z07UyzdwYtub9uj7wsip0ZCMdKq3UKFEbvL94tRzppPB1jW0OF
TttRntPmC6+1zrs7xuPIYmE24oRnXyAnthiY1qIb1jzxaCN5/psdLjLjaTakj/47RbXq/+G/OZna
p1mjOtOQ3SC/qcC2Ipo3BgjAddTGgrfJfJnJQxPxyqzbdqYQSdQkYNLrjI/BM6PUwgl6KA1OTHwt
Qk/sReUVz3lSGG8iYdb9r6XpNDe8oBKsMm7O2Jd04pA3f7Zt0WgDY7YUiwkKk4WCn2GSjQQpRSZ4
pXjo5pNqvAhYLsaWFUf5t19jF1FMlBgEDNlrBkRhxgiYwam7fB92yh3GH/zBT52Zh8WxfYsXecy3
qhesNvYUhafIBmuR3ERGJby5j+uGczKeIOZzgbEjU4IUU3V92O2wswkkzxSA4H/k6fgbkkBIZpqS
CiZm8m6CqzeDMjZLP2YYnQ6LnxmAwMMfaukvPIjsLU+4lsI4DHMollEYsAJHUCs1A9UVsDV5XRm2
rmwtglE7WevNqBp65JVAgRmeF/AtGPdmv78uZcvzraUwGhdGi15qeAI5EsDp+ruycYyU49K3D6Io
kqECfxegLx9fcWBVCQhGHlFMjHw5wrJY/Zi12JTnffnto1zkSB/lSJJMWrPCnl2GNZth/pFXlVWF
P6/fF1VUNo+TxIsQJh1WFjOL6gaDKAZo1bpTqN0U6dewuY+ix7TjvLI3c++1MEbLEjMc5zpEDYji
sKu74G7+kjjKHRCF0/3i5k5T2roMGCmO5m2WFNZyGdXLInUQ9QnsPsl+OcnHyMFS9V48iUfeLta2
GV1uk9G+WO2NTEZTEjs+nr48NNnz9a+1GXDXJ2EcnFI1uqAZMa0D9c/wOl7qN6E12eUTfeb2u+AP
jkCeEjKOzuxqpR5MCBy87Ik4+cHA2ML31tPwsu7spgbWY+hJvAL6VtyQsAGvKSoxDSwofFR90khF
mqWARvn7PV/WeM8rNK8g9v/2LtwCtpRXItkGy9RXcpcC0h9jlojzu+GUu8ktghUud34lfrWjxMzz
Tu0c5Sazuc9SzonZbkus6mU4qah6YSH0FD/g4YaF0BG9OG925Of/ASeLeo/Phv/ritm2yyBmUVQO
JsUYAXwoOEwHq3bqEx1r5i9MbaE2frhdxs0k2dIosonOR3Fq9tiydnI7PQl+59MG7nWV3dbYy8EY
J2OOXZE2KW7SqLCbBTy+n3rEM0Pq4q9dHuNQFiVaxGDAwwEOBUWEPIV6xrbu157ywi2I8r4U41QW
zKNM1XtBFC8IOpIbus2xR4ESW4r733k5rM2AcTDRrKh5LiJKq7UjtVYwfa3zr9c/0GblkGYyoqiA
JUNi8UGKosCUKjCpHTWfsJAQ203ceYM0HhL1wZyW2CqUwpqJZlWRcRQXFDAF/Shqna3FvP7YtkNd
/RbW03QlCHkGmD1l9hyBHkQCe7qn+AaNnf3M/FrnBKNN9bwIZAt6XUlkHU9Omjl6gVI7KSoTiRJ5
1++YJ4XJUQQiT1qBoUUAtZ0q4TVuRiBM5RxL410eW74zF9NUCjoDovgY9fwWHjSnc9uvvWN4Bd0h
e7l+qM1cZXV1jBNpGuyPodWIVLjrbUX2wvKUC6D/uU26h6Hl7LFTq/pk4ithjBtJiZr0epOgV1sT
S0tAZReAaLksD5rMibGbScNKEuNM9CLu5QakFs4U+aq0N8en69e2uQ0nEbBCYp0QbyODEaDpY6+k
JbISquMK4KSCt/qMCSw7BQIYHP5tcCNbhc/DD6Gu4vMNXsQyfqsozM7QBKQOy3wnaz819MGTCnTR
LzGPfGT7W10kMU4rBZxNO+gAHKqU0yDfLtJTUXlByJlv40lhUiFZSOWuInAVseYYwHXUmn1p3uf1
4/XPta3ll8MwHimVxi5WsaAB033ugEzQAalteiyWg1r4es3R8n8x4V/S2M3pqs/Br03hCDuH7nsU
gI8NSzv5rlnZDTbUDlwg6m1tvwhkPFPS91myUPSQYLk1xfu64iyjbXu+y9+n0XT1Xu6DREuyGn9f
U49AOYyHncED7d6s6SFsEcwfKFh7ZyEXQHuXNmGP3EkHiY/YhnegCf8iqD+lLgPIcmiV82tSI08N
f8Z5+1wIAugPvpEx94rg0cR6r3NdYzYVE/ASoqEAHUdmgQym1JCDhox4dYij3UW6Zc46ihH9H3FT
cPRl83ZXopjbzcpekkaCzfemcZR6Bviwj1c95zybKrISwvh5KdblNlRhzmV/kotDnHIMefs9KGGL
RAEiB2YFGBPDq2MeBmmA0guaN2iFVxvLnlQVWFJ6UGC3i4+KyxPpOivJNM7htpVHMkAaIgOgVmTB
A0JNI7mYYrOfbjBKsDi1tQ10DCyAsvujE9rot40WQGjQvb2uJ5stC1QNTKwzAoUI+/gfbcNox1AE
Ahd9f89ufZ8Bul+8A9sQWt3AdeXOUVJl+BQAVuKYAFAZQjzlNWgQBGKpXuEFTvYy3WvWeALjpjPx
pljIe9PpmkAmDrxXG8UGhtAGrQ28JUtUy2PXtDamOROrlHpgA0x2rpfndBicOUutShH2VSKcsahm
h8Ly1GapXSjwuDJmHNIScOj9sRAJpu4UvyazIwaSHZA5sfU0OygSMBmj7tgR1SZy4wZ57kyieJAC
849J7nazCZLW226uUXrX7FTqLaOtHKkB2Z1SnJO+uOvy3NJG061C9YQFHasX5u89uoNTlNttFnyT
lOpZN9rHJY4U2wgwMFPVXxK1egvD6FQKWFgzgnMhKhZo9E6GHPmzJGAzZLFgQEfTDL5VGnmb1MYF
VaczGeY5j17lIbcwUOSU1QtZ9H0oSVau55aZPGmzgMV8YsUzFp+16rukvunDcNO1sxthn6cHqwp+
CLqzzbkwcX/ou3VpYetFGFtq/9rL5qEvCNZwIzzXQ2KrveaXyDAiK8Ygcm8v5UtuYExrLDsw2gyH
TJ3RnOsbu2iGb/WcomJbu1KZeOGg75tpOJqCaLX9Ty1sH/IAgyeI6+ViIWZ9aRbdU8CCWBQc89xM
WlQVy75ElbHvyzg4JQ6BjUAR/00D5FPKsW4xzwAAueIUvnCscfMRqWIjC70FHfDRjBeK1UXUCiKQ
d5ACGnrDgwSqYjr9r+6vy9p02xdRuvjR8KemVLR8gGGUWfM4AcLTFMsvURJzHgQ8MUxsz5VYbhL6
sCvF0idI1M25tzHN83t+DGtscGZwoCxChimVYSiWUD8K7yBYETYnaHlIx+bEfOTt8WweChtz/wij
0WqVUCQjitZGBoB2VS72urEcwrY4ZonIKY5uilEkSaIwKRKwPz6KaZNJ0gcRzrL7gYY22G2PQxFy
lHs7AFyEsM3cIRQ7NQTZDl4ClJublkINUOdhqtzvj7/Bcw6oC6SqInIS0WBX9QVdmIe0wOJyVNhT
dBtIbppz9Hoz81mJYFNykKcM4LlFKys4qNVBV44peMbU30kpV1KYT1M2Kjq4OKXTST+7IbIK4ge8
tbjtz2+KIBcWgf3AogwUEpCtNYpA2wiZNcVuP5pW9zuoWlAtbKgTHRAKbC96mnRtbmneUxBnGux+
uolGzhfZ9p8XEYy1tB1IYFCCQ/qdPQriQyqpliCCVmT4GXBH0DbvbOWrGXejBTNqtk0IrNRJeiZo
yABa9UcZEPe/OU8mJGRDFA0L8l6nVTF9hZYs/sN+kLlDbPRqPmUvmiYB20JXCRzbRw+gJZjzMhug
d/WH9Mb0aj9ydFu8BbUNNkxTL/N5y/5Ub68JZPIzrasxWKZAHdRK8vTg2AinVLgF9qwpnoP4VeQB
s25XgVcnZPKzKNQRdBeYq3gYXczqgMg1RdUUiENnXvK56RlWohjPMJSxOoktvPaS2Xo3WRMYUoxz
M/A6FZs6uJLD+Ia5b9SlGqAceMrOFo1GQPkDFVa1q50lwtY9GkF3vGU+zodjp46RNijCQMHBaN0t
PZju+D5rz+tmbRdqL4d7/56r0BcsUWIIdB1Y8QOfckHT/3XH1DYezXvZrfya18DnXOd7AFtJTPVM
aiaQEzrqYh7MObaqyjgqwet1i950UsCOwUwHsOpQK/hoab0552NLn2DSdDuKOw3jFqMBSuPgCSx1
vGRl+0gXYYxHFM24HyQaPWjMHZ5SV09s+fwXowX6H1+0Gz7axLb2X2QyrqQBh3cpqiMU5KwV3/Xi
borfepGT7W23c1fXyPgPgSTS0MwU6dOV6ckOqR296Gdq0ED/s9W33yIdkqWVSMaDxNj7xPI0PEhS
PunDTYlpnyy4ExdPjAnvw1Et+OweL5fIuBA9nzuQyM/QEp/iQxbOtJus7KhhQ7fzzTve7v22tekU
PlEEmidqOR+1MiyALV5n+GiD1+zlr8s+PFQ74od3KNF6tScA3ug3zGAlkAlskpaNqQzSDkdv3dTw
KuEgAC6YPLU8Lq5NE1gJYuxNFbqIGBQ2XSfWoB9i7KkKD9fPslk1NVDKQXXDIACj/Hh5U692cxAh
fwqxV69GjrykVvwaCpGtj3s1fLsubfNAJohYdSoQb8WP0rrcCEGlhFfiPN0uyeSJjQoq5tz/HSkA
uZCBA2+gWfZRCmlIrPSUtl6TvTnYDeZJjzkqQJ3PJx1HE+5vEWzXG6iMihboqAi1IpjChA4sAb/1
9lyJYO4KBdR5mgm+jE4cUjmNelB4iImb7xq0EzUZkJwysGEYf0ciozHLCccYAHuje61vPhTvOxyY
y3/gbctu+r21NMbvGXLRRHKI8IGNT/Ox2lde4sRnLKI5QFDEwLN0ar5wY/GWN5JFwLcQ3YApsTVn
U14w1kTQa2u+0qhfeHFtyQ8l3Kwvg/pQeJt4kWsrSq4lUt1ZxWJJC1H5wJSzU6loFAEirJbJrZhN
P1RTtZSp4LyyeOKYb1iTIpnnAPD2RnAqdc+IOwssVxZm2MuJxxK2Ob6+PhvzCZOuTMNag1KirrML
7Aor14vT27M9nXpfcMGBiK3kGBsW2t4809EkweHZxWYheP0bmFhW5VKhBRNq6XTiRPX0r5T9LbeL
FwEjtLNnWMN9bHBJTbdSg7VUJqrJ+RSZEmXMCMuiR1PYsDWt+aGk1WOvht51B7aZ8K+FMR4sHlEq
NRv4yeKEJVcv9zurdeo90h6btwuw5ZJXotgdRpKZQ4cNQ5Q2ss4JJtEPdcmKtNm+fqStOLMWw3gz
Fc2ywiiQgMzpS4ldbDx4LbPwgXmfto4OvIvr4v7Fs+nYZQSVHbo7jLyhUsYh0lBKU74tXrzLbquX
ApjDfxOeBiYnHmzf4kUckxLMBrDuiwqOVO3sQD7M1VMuudePJG0b+kUGE6pFtc1RpACAabcARa8G
Iqsy7AjAosIWle84wuhJ64i9to+TxjJQOc+N0lPn5EA5xZrE6uB55/EnyVtrQk+5CwxfF/J9Msf2
XHQo7/8kAxAbUoCgC7zuzVa8RM3RVGRdVjCZxih0CByOATV2ZDLVkzpj0l14u347m+Z5EcD2Y4c5
IO1CuQ6C+X4c7kHEmqNcO95fl7L5mVdSGK2aop601YzUNg2w9ABwogLwKCDT4uxXbKLHrq7LZNRp
HMGWGHfTX0N1/U3qYlIqcPDG0pzeEWbQpIMk2pnuKjuzw+/Xz7gdpleHZPRMABpNpSErcIz5Nq7b
Qydh9aLSjhqmbZIeAHm96DZh6utycgjaei+k5h+B0fvdKJ8Bmqpz9J77e5h42o3BIkqUeLx2aeMv
smugeuwXILZElFDFnXfDaCmBzZvD2PYhBCpr6kBNxRz5x0DeZVUokIUmeZj/SMHVHbo/9G/o+h0L
O3+5fuvbmnWRxYQXtS0XMNPSRwwYYsgXfXQLLnge1Ro2acUz6dd5GCOMl6rRJgFGqIHJQQJFX2jo
XjX1XpESd+5kexQyO5pjR8xiS5hEXDSPw+t9++jzb6AohBqqihrbSm0ABzeCaxSFirqLnBKeKgwe
wySxoqq0zVl1VKnB7/sSJ2WBZtiC+prhFmq364Xmj0YcrJJ0uzEZbCEGmo0e4rIA1KNJN4uWWIKW
7fQxtcYwdDoi3oxT9oZupDvUKSqqqT2LqcLTzm3HczkQ/fdVtjfNjWQ0dM+LZiOYasf4/NHYV+5i
g5zZAQABZWvFnhePmGRbYS5yGeUshLBHFRJkaIriycJxHo6z+fo7OnkRwejknGV4XVECzKjBppen
oCerPF4XsZ3pIDX/Rx8YnazDJJPBeUacssEGMkDmXmHY4Z5C26D/yXu5b4ehX9LYPk5jBmDsoxyp
UvN9TBeLPzNGI8AV/Wa375RFlscaRH/vVSuU/TylAmjeYmtedDBai3N7HOVjF/H6MTQIVkrhNaQM
dDHLj36W/KJvH/R88PT2RpTmY/LUgR1vER4wpH3GVrSfjkFsx4ZgN13FmRDZ/D0SEG2IpoLRl20w
DnVJlpHgLaKCSClzxfluWqyI58g2VX8lhQkI+qgOEdDcQQVLbsL6vlRveXF+c7wL3Z5fB6E/YWXV
CwYwOpXkf43+5cAuASynW+w6dzxh5oPLMqTQmPpJbVbyGC+S9uoQJya8SCZFgB+MA3cYCjfLMEib
x0/d0oDNTj/IgQkfJuzT8qcYAiw/mDGN8Kj0zU26tJ4aAnxqoTMjbUesehosTavsRA/seZYRtUsX
BSU3H8u9nrdOGQLbtpIOsyx4GLK8maX4IEJ7zD6970TVFTFB1DSdVSSli48N9HPTDSYslErdErlB
mvKwCDbT29UVMA6NhF2T61jlQtmQYkkAcupees10S/VBCuebwFhx/lph4C0qbsf5lWTGzymFLsVG
hzgvW9gHxlz6cjQA/pjvCzf2eA2W7WMqmoHakYhxIiaFzLV0jCSpQwqpfo364zQ8V8EpyZ2Z137b
HF9FI/mXJCaJbMEynyc5zISWmTVs7Bv7zopAAU956Pq9CJaK+T4783zs5ktvJZZJH5Uhwu74RHNk
3SmD5xCrmPHJjB7bZFfxsAO3PcHliIwnyAalj1sdsozyjkyxlSzfhuiN42Q306bVgRhf0Kp528f0
KUlpRymSRHqudi1Aczt/3PHgATfh7NZfjfEEbRGQOsVbyWl+ZHvdq220aV0BtBHBU/61y4FdNjp0
wDQb3PHIW0ze3OZZS2eMMFESkiWj/NdkOoVMLwHWu9P2VGoPaHO3QLptnpKT5gZ24asO5663rYN2
I7AhiDlRJh2oUkM0mgxNn8Yh3ntdB/VBAXdQ+sFJ9imYXxPapqP91sot8On/kcymBmIhBR3wLzGs
4AV+9wiPf1bu5tvOjXbloxZaKkettlX3Io/xA8DibLVkxGgRyE5ujSL1jKB+a8zfgY9aH4txAqi5
YA5O6tH4EQIAFALbqTNAw9w7cjrzPh6dhvocxC5HYix/SuS0rUDO7cw9Vm0Swcnj9napir0STI/i
FADaIbkz0soeZF55abMJtD6n8jFgd1moYBMGmUdwJvvWNQ60uDwcyY1yu7jkzG8Vbru5y2EZr7AY
GLUVhAV7YGoP0sjKquvMTvvKxeBdO+GBGPNqWjyJjGdoxA7QoTP8OVB7rFAbbmQSn6uO+BHJ9mme
21E0exx7pH/z0ydF1RylaUotys4iJS2YHWMJz9L5oBxQBvCUDu6P4mqixHusbOQprzSQXBdLrfya
VCYgN5O0yNkUYpC50R7S4DmNXzrgk2gDcZa03efdn0008XLpTTe/Oirjegwp6pWsguONC4xYRKKV
SsVjFylPLQpJTR87cz24aV8fI5pDzzdYO+Q8hq5fNhGZacNOKKU5jmA/xvC9bBIf2HJHlWC+MWvc
6xe86Xx+nRVsbB+tRaoyFWtOyLUa4w9ZchutspRif13Gdlq1EsK4Hj3K0SHTMQWBB7iDUVh7AYRB
Z4ke+i5HHtL79onALYJaL0oL7IhW28qdKOQZikSSYanErsTZabhbH591BEkbNoF03dR0UWVfd5iK
B6ZLjNYDnUnARO+RIhULX2hlPvR4JaGNC/wojbnAYJpicyrxld73j2x5hx2TM13/lHbjUeIA1lAH
+dHmPgpjnHehjsmc5oh/JMVIe6We+3HkdKo+f6OPIhgfnSwqGRINtR9Fel3mc4IdAsJxWJ/zh48i
6E9YvdvEoa0WZQLssRCD0RMEjlgFXshTID4ohEeq8dlLfZRFzXklS4/bKBgkrHwmSXRMqumxVPv7
ePwTmGpOlZOjQZ5j9f+/svVRKJOgtToJ9E5HgjYI34IpsdPiNdLtENPh1633sy/6KIdxwTPi21hE
dL8pBOrquaz3KWp0CkfpeBrB+NwWY1LRkOMp2zXJeagNtxPLs9YPnHiykR18OM1nbt2yrgegqztC
ZNWZpR3oKjWGxn/IZ8Wq96g1eb9RPf4ok/Gx0VwKYtUA6Y5CT9JKkNmg/0Sx0ipfzC1e6s75YArj
LFBAkI1YBdwOIT+zsNmDU8yqZ/FJCLnQKpyv9l7MWCn+IA5qtaTAxK9IZHXFfat+z2begCDH1SqM
swhEQoSSAjdne/Orhu1tAfWX4k86GDjuFp66v/cDr7g/FtxHqMJByKpYdaIy3+GFbusEe0STjiIy
9oyKFAzIRW0ZmfFdQrW1LmevDYSXbnxq0UOz5Fl2VX2OUHEBNaOCyvmC6oryphkTZ9x9oxvyUa0Y
rxOGgSSaY66+F0xja3a7O9A/he/vwuCdqLFr31kar/sDTnhQGL8DCgClIRP8QSI9L/JZDe3rf597
Lsbh5LowRgM4n/G9MaXxOB3Nmz7BqfDM3Ve+8DYeBe6KAi/CspNCUR+JoBGEktHRMaAsHZtj4NHc
FvMvNwvn03EslJ0ZkpFGh1MFJ2R2UDPNLYzeSYdDrvqcq6Se5Yous5gYAeiK2sLAVaqBp6BrhWWp
sfpRD7tk8MUeBXaU2ptTjJ4vRzDNEa4JZnxQEytNMAaZ+nfCAkrIPTSTvhYoOWr0kxc+JI5WssM9
cRMnYi8hH9O+vXO83QeoHIauaU82+pO27Itfp8M7u5GN3SrDVm9VZ9zxkDO2PyyKoKoB6lLCYqtp
0RjOcTmjUJM5VYU8V7fj7hjj/3Hu9/MDm9r+RRBjhDNZsDpHP6w5/NRFDT4qs4P5zsi8uLPV8Cyb
eHfOD9elbt/xRShjmGpdGlWuoRQelbeNeRdJ3vW/z7s9JgcYA1JESQeHNpyK2zh5znKrNZ6uy9hO
1X6dgY3/dREroBEv4TTVEuXxRyX8kWVuVHqkfNbMpyDi9EHoh/hsCBd59MyrCNmr2Zy2Ith92iV0
xM6box+Z9FqZX5uCoxPbsfgiiVGJJNDyqc0wkEVaN9P8drnpwt31y+MogMIoABrKA9YkYdUNwSbP
H1nK8Yu8j8MowEwaLYtRM3aq0CFTZJuZH+XnqrypQi+d/uQn7pw7Yx2x0XekaVoILFq3xHZ5YqAq
xVu221YBk9K7K5geYCsnVTmUlVTi9RsIqkWewuqpw6aoCW4d6/rneUcL+axsF0nM95mCxlAqmSqb
2wPnprWr0+IM+8iejlln0VL14KKAs6t32k7H0GPhKxwXsX2hl1/AfMEszJs5V4GyPk9uHOs2ydyE
N+CzrYX/yDDZ4kibZ7kmV1iQkoK7OH9YeK2E69/LZEsiSaCXBSahEUr62tXbEZu8YHHrxd2YxofJ
TNzrX+1fUo/LeZhYKcaqLMxYiwaABNCJAC4iuORB9hWv8bMzb1hg28QuwmjgXvmjeE6y1FgWiruk
evLOdBtX8fg47dxD0Y+4kqNIptIkZQkUJHTSRLe18nvB1sC5anj5LW8QlPfFqFauhAWakA6YgEA5
oXxW0WjXT82SWRXqZWXK8bIbA1k08l4ukHHoeTobmRjiyTN4szvtKfJ1/5pgYwn/xaWYR/MxgGGp
r+J/Mi1TZPy7apShmJjgZei7b914KtHijX6vaHI5HONAFD1t+opi30dFCGqXzAszySoLwxbrcd8F
Iyc4bgf8izjGW+B5r6kZaIIdubcrCfu0si1EEUqsBscz/sub4pckdt9rGppOKkpoCOUfIRZ5wfT3
N4oBjxFHO/yKrvJd+f26XdO7+ndnbLKrX0uk60O3YHI36u6TcvFrobW1UXwKhWRPxC+dvnCQRTYm
aD6o5rtNrsxAjics22B6C8tm3b66xRQVIJLBFnBT+f/R4thlkUWPTbXSkQlkyLGBtKAAb6PJrECw
p2XgmRx1gNdukvElqVLpydzTauG5/bPZF5iCjl7Ub5gMcsYXXsfhegQz3zVpdYkIN5kATHS6Ettb
y+C10s+F22LkhLD3wfa1EH3QhbJGjUHxZa88hPemjfkGutFGhxjz77NvPl3XRq4FMO6j7okxkADJ
NbmlGHjyDpQTQNEWbN1WTAs9em8abd5GFsfAP+PUDa00jnjopoXb1Imrmn6sDU6tvXFOR8PWNRVh
PMk068rYlyLKh4ihtFs8HcMvHW70/QEPPCHOXC4n4rAYdLlkNnKuQCUXQIjMqmBpqXFrNiDUM+Rd
zt2X4VgAO8NeRb0cA4OVBp1wp57ib8NOemodwW98DEvqPF3ZPJ0mYz4UrT4Vq1Mf4+nUVXNcZy3Y
tw61BbxEsNxb+kN11E75Hh0wG4mJn7/Iex4V9qbtreQysXUpK8XQjUp1CiwejKE1CKeem45vR/CV
FMYSmg7EsY2EZfdxtjH47sWucYe1dKfYBU9gicJATL6nZggG7ofraso7HxNelyBXwCFKXwLSa93d
Nsl+np6vi9gucK9Ox1iCmKZzEim4wwadNsktnOUYANkWBWcdnw7z4qHX83aOeUJZdBSsN03AWUY5
Itl3e4zFUDTP7BicMsRX2cb4367kYbBz7lJniup9XxhAyIQLHdCBG2Dh5i7icaHyZFCzXLnpAi5l
CsGFSmlH2nTYobOuN533W19MI4ZqGIb6CVNiyLpETwad5v/Eo6SVE7b6yT0lrAT62iOG9jhquJ2c
owD9j0QanlbnSvHeqKVa+wv9hbIpgOF4NxwEPwdGAs9Vbr44VsLoJa+EDXE8ylOMqtGEymrrY2Yb
q/aNz5um2/5WlzMxviMYe0lMRnqLjVMqL/n4kreSdf1T8WQwniOa5TKIKT2vJgpWURhfwBPjAPub
Z8NUrz5Fs9WVMX7CzMU8XAhSRzprQZGFq/8j7bp27MaV7RcJkKj8qrhD52S3XwRP21bOWV9/F9vA
bDVbI55rA8bMQwO7RLKqWKyw1jmzwHXhNWBI/6Oc5UoY4zCKyiyDqkTxEk/2oXZEBPrk0Pfu/tZx
tIDNu2VmYMiNYv4GXGj91P+tBbwhT84JsRPgOsjXu2wENmyr24J+001Ok3GshxrHzuGw5bUyW0q5
ofwZSvPQT1+BuL6/U7wl0FBnZS9zWpf91EHJ0v5ZQ5dU9MAl5OCJYOy/MdSyinu0l7SKVynA6JNO
JmDB9tex0TmN58hFsdhCWtTMAZBKoMW0RSI8F57goo7TuO1RO6RO4PLGlXgHw3gAsFmKotoDfGVC
g1tRN7ZU8UDGeRvHOICyK5Z+quHLGvMUKBbmIBSRs230K/fUi7F9Jde7biRAzdWeI/EtNyYLLEg9
af5SyxirT+U4iSqEsI4oPc3DvRGcuNni7SjyX4/MJlcboavzIkfCQjGv0la1Y0wHL+fYQFaQV2/i
nAtb51IwmxXNAmwSDizpb6rxWymUnIPhySAf7bKu1Kiqa4SNJXqkzG4+4oV/DShqHsYkTw5j/2KB
bm1VLUD6mhTe0IynZSqtIJacffPkiWF8gFSXbQ8waAxo1AcxvRHys8CF9tmsUl08AMudKxftWMrv
1HunwIddHhZfPdHWfR7j3ka38gdfo7K2r6da1URIfbw3SLmJV4EVW7ISJ1uc6kyptjI3ex4DG+Vd
kJjyAnuO0bLzgXUViKYE/gOnXq4LyUL4jdvHGRZebZxnUoxzmGOAYi7A7HJETJgJT7VyI5h3qmbV
gIDfVw+eJMY/AGRKWkpaJ9NRBl+ewvZbHT7ozU0j8ygMOZLYsfNFNBclzVF5n8yTuNhdkLqh6qbK
95iHC827kdiJiwVkc4WkoHWBglzgseKBZy+8AmP7QTyA5cvn1fnpcez4co1xGY3Wq2JRUK3MnHZ6
rQbF7kAG2eROrfe2Xtf+/qFxbFpjXAcycn3SpXivKCnQSL2gPuQdJ/HBE8G4jaypJyKOKFak+c+m
/oLsmCJzssLvF8PettFvWEVAIijrOmIIijMadF6dFDdzbtqNmg2YU0oHr6yLF8mIYltUBzuNwocq
B8pDlzW23GKkHeEfersW3TdJd+rlcbYC4J32ieiXoX6/aLlbpkJshUvp6Ok/maRYkvkyD7RuQE5E
FZ7GVgMma/3dqFJXGgULCB7WWMz2EAT+mLeHRmgwJF+j5SbRvhPyki7985QLb4oZ2q0aHYgR/IMG
91NbaV4rv5TjeNg/Z4670Rhvh7mQWU1os0oZi/clRhSATFVrGJDqVV7zFU+FqfWuz0Iu+sGkt1Hz
jm7e2sFd8FT6411H85UjGGwiN29tsCOoR5OzTM6bQaPftpZtoplCCJAuWcbkYCB9kc7R9VQZ7qTc
63AV0Zzf9uT7/t5ynQTj+Ya0UsyIduuN9m+62NAFwqejWcSjoMsmZ9qNc5Zs6gT08sVvcrxASeyw
QMZkeFGzxV4CXoMAb2VsykQXqzBUA0Sv86kB5A6YQ/wAT8vG/U3bimY1zlb+R0QOtB1dBc67yWwl
aZeK5AraYdJflBa68CKw1kS/aNHx92bWX/YlbgsEAqiEQW9FZEu3ipqKUkfgALvQlY0CScTXfQEb
o3Q00LhIYFx6JCSYppPxju0c0aYldsCyXoWnNyAQLLYBLgjRKp71p4xHZbaBuP5RMOPbZ0ELloBG
OHLoB+kLanMaHlGxW6RuUbjEfOUimWzA63wUyfh6kutqVKh4I0TH+mW+yU+lj+7i6GUCfXnl92De
bMCaLjxxtng7arxsMeP+42pKWwVAyBjgAYrboTuHRyS64Wf0I0cSPazPF81FEuNHVfh+Uavg3DJU
BUHqAWSUQ3hFu/4AByVbPFPf3lAd49CygZkOWMVHhzYV49BmtI2f+L/jj6y1lR/R7Vvoqz7g457V
IwZ5U45RbF7ZK6mMGw3qZgHAJlRWNp6lER1xi9UDQGR/Lzfd2EoIY+pmrE/zqCJrgTxCuXwVU8EC
DG9ZZN6+HM5i2DySWOuRBsYz9G9PNwASBmVpKnHcFk8Ek1mOdTQAKy3CjzzXIkvuHpUlJggXeEMQ
nC37nEgyikjpBsUxFVfSvi3JSakcOX7b37Dtwt/lZNgebfCiziSrwWeta8GdIsZuBkAwshQWehhR
TJILJxbno5mjOSMmnomirqWWrT/GvS/L5XWWCj7nizbNbvVFjF/RqyWblwIG/t7wYoM8wgZo14GO
A8F3Ohxp9Nc+GflKGuNOQgNIpXmEbabDz4j9fKVz3oAA4tFh8uQ6uQZM2r5I3sHSv6/ilkwexilN
cAtlmY3iuGy+mvMtYDo4Ynh6yniTYda6TDXR8poF12J8l4Seyg0ZeEfF+I64HhfAGyLcb97x3Vp7
OjTomhC9Aj0uPFDe7TtudVSME5nJkpuRjEfnqMt+jpRREj6mDVqi9JcFQDBFcxRroK3JCsdDclSE
zVSN+qyhmR5cX5I2W4L+2scP+xqxXSC7rIxNUElSHYBFAwT2gH+xjV8aJuCaL2CwNi3ZLk6V/Q7L
tS+To4Wf6AklUKSIJY32lNICUJKGtQ2FU0rP+3Komu3YF9t53Va52pQmQSYRwJS1OgIAk5x7ES1z
SXFv1LziCEfrVcZ5FICp1eIMd3Yge3jJN9opXjhv3P/QQxAGmzpiuU844kOnT61Q4JKZT5TSKT6R
Ox3YEyIaJ/f3blvxLoIYT1GhRxz0LhBUk5M+PYwJ5ylNzfPz2Vx+n3ERk5zqgGlU0GCV4Wnaf9Ok
R5U8i83XIH1VeGVF3mIYX5EXfTOVJpo9cvFWjo+55v/dZjHeAf25mirQun0a3DVI76YDp/2Yd+7v
f185bgmjEsYsoaupBLqJJt+U7XNUTVYjnbI5tzIjc7XQL/8o4485VU3VVV3/hKXdmMsMxAp07QbD
d5AvH0xpsrSaoPW04Sj2pu2sJDG2k6eLKs6U/m9GYwUobqbCMhROxmBTCwAjLEoUY/UTBjNQK4Q6
1XH5ScI9APKsRv6jRVwE0CtrdUhGU5e0eQo6TQZ3McSrPhRcVRM4prnpPlfrYN5bjVBVAmaJ4dYS
9VRGmiN3pbsAa3HBaMW+YlPF/WSlK1HMsShxEuqLgXhI8ek8ouC2Xn3MTrwkucw7Gqoeq50bB3XI
xB6XUKFPj5kO1iBd8ATEz+jrt+O4P9YK4IVi9V6Yx9NUa19ntMQP43wVl9qLasyabcyKLbTKTRfn
dpCV50kSj+2o2DXR8NYOBi9GnFX36aGNR2/WO9QtWo+AfDsuiq+yKZx1MzmCvQXD0nJLnP1t3Dbf
1T4y3jRr5DQ0atri1pmWWTkLAGfq7zGm8sIRfVJXyQSeBs7tt910uRLKuFhFi7IlEQOQsoOXt74f
Dr2n+6FNLKSUOQ5w05ub4ILRMXGuYLjv4/kluajnKYXcNUnvL2N3EvLXjPSuID02GPqIpfa4v6P0
2z8p5kUg6w/DBlNqZo/rI5/bk2qgo8gw3LCcnaKnxF9/NCixEsc8vDRt0pEyR+lTJZYudVCkQzLS
ppsKr5f9lW16wpUoxolIwD8Ejq+KGkDrhoBAjQbEE393XO/puJW5AZpYGiMko52qjK6abnAKDGpF
Q+DK86uJib9Z1a2/WxXjSAItkImwwL8veeLMxJuUyi4ijlJseqvV1jFeZOkzIM3Sfp5gCjFXCMa1
0BIDGUxxb3l2rQRWNH/dX9Z2dW8lkjFsQIvORTRhXdq32e+AM01cET3paJUCw/fd8ivCZIt83bnl
U4npFomz4O2JYBN8f/hnAvyTMXFSgI++itASTF+QMdA/S5v8IK/CNwNJDrtyB2AhFd8Ex3Dzc+ua
TsgF8KLq+NkQL1/AhFaBkte1uSywjEfzNjy0fm4LuL/9+pg7MR8ccbtFcrViqgMr1U3iciwagKHh
ha5b0bE6Gt9rO/JAyXI1nPqv9RXFnaq/EC5kGG+vDZocXEmuulbU6gqSiT+6SHaee+x5fx1fNwfp
JDyHd4sbg+JtAOCWbAGGiwddtO1j/91pg/FBaqGI49CBZj2SbUzJFP1PpXfK/KFqwMDF80LbuZnL
PhuMGyKhaQ59iawZHXUGoaBfeKXfHKYT7bQFIw4ABrkEMZuBzUomE9ign1FTK2Q+nT45juERkXoP
hr7isG+z21fHZR8ZV6Qqg6DWEzS2a66X4WeUu+14B2amLuF4cvpDO6bBEhfIUjfEiognVD88p+UT
Snb7C9m+4Ff7xTgffUxCkjVI2g5mftcahR8rKCkKAqYUg8cqwKzWBBTzwexBujhyIsPtjPFKOON6
yrkb6zrH24CmyjQbvaFXhZf6g10eQa8JRDLRih3eq5Srloy7kQaS5lBNzKcfQt0BTMYC7pbwlH1R
r9PG6T0Rkxexpz3s7/T2nXxRGcbptFFHSFLi/agYwD7+NixfZ25FiiODBQcP8rQjFUEIJRzCG6m3
Al9xaX1PN+3lPn2S0Kkc2Og8/6uVmYxTkcxhQE4Z91eRiQ9j+EOcu8fW5I1/8o6NxQpP9KoVYtqd
NnjGST3Am5y783zbgy+ApuvyL/P9/5/aESWii36yMK8m2E2zGDOnFE6lUdCkqpy4XQ0ch2UyrgQj
ta1YJBPiKMHTJjvMgP4dYSozUb39Y9qObP5VQJOJbJIQT2dJRYKB0oP87z2q23XY1aYxHgX8rLmU
V3giw4+AAeUmOyq/phBZz/bYozEhBqYJJknq6Y3rTzi326dR5Lwf+kprFAxG3lQS6LWdfnFLEJPo
kk+AarK/n5w7wGTcSDcKlRoueI9p5DrKvyWgL4z6B3G+kv+sMXO1pYzvEKcBQPkLXmF9bStZZonl
rU5469nfPVDbMrEJYAXBJIGEe4V6Xd9aQXGHt3AiXNXJc2/yLp59V6WxtWxSFIIszUiGm9Ndo7lt
8SzJHIXfTkv/u22gUPu4oiUxe700EX/kL5KXHxI6CIC2DvUkOui2cPgcI5zbVBOZ6KMfyiFTZKr7
SISHZ4zPuqldX1FQ7JqTKNqPDIAi+nFxeZYIc9WjjjeH96DlUpYf++rNOyDWXcS5IKkSZs7K7GQ2
wF33CS8a5YlgPIUEDuioo4CzUXxVKTamD6yh/JMGFHC0gThVhS9n27RVdCsVivF+OdFqlSbVVlL6
Yvdzf7c24GzpVXGRw6xFzxbSCAl4OYorw6ajLpS+Mv0Z3ud2bMunwo3c9gwoXTri4HJkUz3+HCRe
ZDNhlCA2QYzuLSTzTu+0EZMdOEiDGfbk0hcj98G2fZNc5DGeDxiRk1k3aNACN7UxuKV0wIAFGtN+
jcqtDo2veZiV24pyEcj4vzHoCpJMMKvguS1zoB+7wcBR923v968Itkg2RYts9JReeQ4e47IHRRzS
fYn8aJiBIy6pXTXlcf/YtnYRfRIqiIPBWPiJkc6Mu6QYBPhb8UQrt8FRwoM3O/HaQLYWthbD+oki
GIH5TOOL8ayJt0V3Y85u3t8K4iGqcs6dSH+M1cS1MHqQq/etOpemLmOCxOmGcw+s2DDkmPOmT19L
YOws64cuVVtwNQxv1RWl9q6fm9KJfgW3mjcfhKuy4ze20AB2b1WMffVFN4dTaoBFOjRvUMtwjCw/
VsNPdb4zBzweyva6qAuniJfrduDh3W3GU+sVM9ZWyCGZMzofbvZAQSucyLDkbyp0hTYojQfN5bYo
0Vtqb72MuTUxkduw0H6P7Ole5gVOcZZ9JMHRSZzZ0+u+IXCUhp02Hk19WToK0poQ4bqY1LtIkXkv
zS0XudpEdsS4T4VMM0o61uQPV3SCWnCRWjtFh9QLnfSf/QVtuau1MPoxKyuolaBPRQM1nIj2rhmR
l+vfC3X4S1N457BbicEQnaKEM9RSPFGy9vRUAxPBlXzR624wxXwdAi2LY9+8lTHOhMRtLgEFFLqo
+0IA1Kc7JLL3N4+nDYwLGc16CHMTLiTRD2PwY1we9n+ftwTGgURZ3MY6Qd7anL4MI7mVo8eBCBzf
zjNawrgMXYjQDCdgFeRb+EIZIMFH8CDddG54h+DT59VO6EfvWCxhfISoYHjHSOiERmXHGA6JTSsE
nK7M64PjrotxDW2pV2GkI70WTsJzlyluTunBlcU1tBGwcGAmiIMfaM0AQGTmGeVymMTYNo36L+2Z
RbFvDSVN1AjhFuUqQA+DWz7LN63THjuoPRcxgBrszvaycMiBMAORSQK+SnaUvdSNHgVbcaYTwOWB
cdrwMh1bD8uV+2DJbkiqBIDgRpI4Xo7t4o8JyGUOqnTUNY4H4ZgCiyVt5oFRyAGUVJ1vytQXq6fy
b2+v96rtykk1RDTyqUHddLQpqYRkFZEVI8Nn+qU3nlOPZwm8NTHuI1EmMx0mNGUj/RXnmUXIlaLw
whyeEMaHqIY5/J780gmgUPPHAfO4U/hr31FRU9pTOsaFkFSQu3BApz7Fu0lP2lE6/S9NOjyTlhnf
kS2aYQDundZ/Aj93pUPgxD4d0Ie0c8ZPF24Wstf6zfiQEbR7U220VCUmp71ZztVBPlFKcOMPUJdX
gthu2lkVx3aR6MriozHea80x4r29OJrATmQXhhK1aYhDWvRjKDx0i53xcCM3n5brZTDhRCCOUm7q
SGOA7sGnCMHduQVFX3dWXdkHTxNy5KEjPCV25vNIUzcTGmvZTEJDTVRhiFE2RMHKOLV+5KR277VH
mpfnQRxsFsfWspjgYsCcaylGWGeH4YNvzRFUPk4AKoZ3dwukp8AqvehABxxDB3xRnHzKZn55LZ7x
HHKUSfmkIHuYxNYE/kXpK02TAte1fxVNS/FCu/nZn3n4EZsjF2uxjC9BDFcXWflu5uEhdbNbereY
Nxhe8WZPdDo/cUNPuqt4Ixcc98ICHXdmHlV9hx7DKfTb4ahn3xJywPhjXT6N4VWEroF9d8a51Vh0
zaUoksyo8NwVxJ8g28nFpyG3jQ4jVyHPPXNCSBbtuJpFgIXl2NKMXA3JUxUf9pfCibbYXEGW1RKg
3ZC7DMu7pvdIY5XyTTpwvBfPMbNdtXndm+hpe3fMSF+ikEMSixyR5fFk8HXV/3Svf7csxs+AfHTu
NHADOWEK1nBSHSOgdhGQQLcCr5mS4zbZrloTjO9V1UP5iPGolVcVGPy4UEE8GYw7EfNMFMsaWbHZ
1q3hKE4o8VNaWcWbj5RfqfL1V247PkfL2ZnwXp0XTRixhxQYsrpLXeHGtDu0vFG0IMmmCEXiodWt
2d8/u82ehpUbYUfEl1RKijnEs0Z9pOSx8gHjPtkX8wH85M/oZ3+gbrPWLcMNbnKO59zeaNk0JBQN
QHDM1P/0fEkqgxbDo9AdhcZqAbg2cYKhTVAfSbwIYZRz6sc+UlLwTSo+TYIkHsot2Zm2EUQn8c8Q
0NbimHtvVmN1blWkmXrxti3/iebWSibRaTEnW0/5nx3eZXGMqvYjOr6TGm0ZIB32BC87TleIKL4M
Z+MpPMU+BYcXnVyywBQaPe8rDu/w6N9X8XkwVt0iShAtCycjDx2jm6xi4hCibFvFZX3MHVcLfWua
AWoJRnibZv+k/SESD2L4Wqi8d+G2a75Iol+yWk4blmOaUZZa4g/opEJdH3FScEztzDL9AQOuAeJM
ntXzhDIRtD6WS9WriBzS5JSoV23xAMQCK0yf9o+K/sznB8FlbUzcrHRx1gcEsZhczzZ6WofxPCdO
3gPwXXo0dY5VcxbF9hJoGuIDTczQ8FqcSWhr+ksZWAOPgJQnhfEdbSlFcdkBnikF7ZZyS8rXLLlL
/wQ5YGXNbOtA3ahaVNMYa05yv8hrKy0LPwVj4/4BcWyJbRdIhjmW4gF6ICpARCCBLU3FoYz/CFJ5
vRzGXQiLJIdhitJfh7ElOqVbPpsuWgfuagCckYf9Rf2H59XBUqjqCuqMjNqJeQqnPiLnpwXI9riy
9hbPDxp5EpbSnrp/IulZkV5G8UEwuGjE29rxr2g20DLrWY56E85pAFdhhOfAAERiOkzXSl5HKWbQ
JBQSt+PlIHlrZkOvrqgiYaS49jRrAYhIJIxzO7xCQ6InOFwGHXpenw37skzmbisxNdskDdJLlAwS
vNoHcBg/aE4H7OrJj1xMT/GC//947FxEMveborZtXoKF1qm+RoMlvIH31jcfUjt86k6qL/2ixRQe
/iV3Vxm9NaZOjlsCob9zQZgu90yERjQVFHrykaO3POVhbraYIH4OJpwhzWtMj7Uf+yCzcbJ/aNCg
HGIP9vko8YZseFLp31cXUBqAmUsR3x+xVHNa0NEGDjBfQG3ae6MjnOhaF+55UhXZUyHm3luSUJzM
kWYoUUN34kN8as7iUfXf38u3vAtv29FdtIe58ApTm3JDgT/tgHUlV+kJBHjWCD6e/SPcDhsuYhjP
U9S9EomUm8so7vrgRcscI3X0/Eep8fLanFNjUXoIUadWitCc17XomNPP4ehmRnPsEo56cDaOhegJ
lXjRSAxYTzP12nyxggo1Io7D5ngTFpanbKSgmGeaXqtu0ui54V3Z2xkLSTRUWVUMAF8wujYqoPCO
Ouja4MnAGSruanhmdIjcDqEVgHkBiRK7Fy3pNeApxLbbWolmFK8TAkFsawSSoOh13st47Vm761Fp
sJIDcHttDLLVorW87ividhpsJZfRxLJHeC6XqIhiSASws6mrJJaKK5dCFOu8galNZbwIY+uhhVmA
mqHBAc4Y0FNypxMlbw5VrxnaF866Nt3GShQTfumhmJWDDkNWrdElNt5V6JFSXd1H8cHjpWO3Exor
afRrVr6xCfpam0SkgGi7r2Bh3LoDdG+Gi9xEg8x4UJ/2l7cZMK/kMZecVqvVLDfo/dHBgJMI6VUw
ZuAFFvGKooQhqmpnU8apqbxXXT954pVQ9pIrSdQIGaxjtAdH97orZBFfliuasTXAPoqn3GQvN4s9
O8tzeZv8xJwa2GX3F759064+grn7ujbIqwg1inc7ecdx8Zpz5Qq4abNrwduXxtNX+vfVsVaVFBiq
iOIjGk2sQUb5MYntZH4QEt4M3OaFsFoW43nU2pgkU3gf+v4qgv2ljy3UrTL1qQt/7K+J52nYiupQ
t9Iy0CZxigxV3FFwn8Eyn6nJE/RAGCAF511CXJmMlzHaKtPaAKqDjvvqSMEc5AfyiieeTR5pOUb7
ouNK4lyy9Ed39JWtpBqxgrEgOjbZS9d5Urtae0wJovx7DINWuWAlvDQjTznZamqVm7nR6sD6AV+Q
pwDHMHRTPzwSL4MP4IWBm7fhRWXYYmoYyVUYmxA20F6F1loaHi8FTwLjZcpwABv2O4Oop2c2BYFG
b8lrC76U5bS4uWfe8cIvnkT695XBpUkgd9NAFCcOrzvpua456Zptv6kQsPwSQnR26GRIjMqQIyT0
hHB2MlGx50S0jLqwh/qfOo0c0v7kWNtmh5V0kci4kEKKprmjc0lEFa0h99T+rgmvFeM+qR8xK76I
ro6hU8XniKVH81n3L2IZfzKReYriDAGmeFJR1xduunN2VqzCooVW9U79sS9v21FexDHRi4Eep8XE
xKmTlbdScV2oflbdNdGvv5PCeJE57TuQUlBsS4y1TfdalNjmzxGD/vtitjvxLmfGJoiSYerirkD/
e+susWV65XXtUI6PDrh55H9rr95WfDxLVcXUJIktGwQGEEKRY0EG7FF9U1EToc9yBIMYZrMll7Zy
8diiNwN26SKRMbWlyQzSj+AbQMn6NVeKmzEOkAGOOJu5ebEB0F+TFM2E1TFx2DAMciELyG6n5Z04
+1JzZSJZqh+0wtk/tU1vvxLEhGBSGadEDzDsmWAkLz11h/QoucmJVxbfDvVWchinaCyRltc0gVJ8
ne3qSGmIEf20HmANDx3g1bg5FN4OMgclqxjYLkV4kEQmlhEmJ2BIunKQTtayBEeDlJ5ezV5laqk1
tImFC+g2qUQMpZSWMfZXKHG7QV+BRbjx9nd8U2dXO8GEYrqYLqIuIOnRKgNun7MkfNkXsP0eW0lg
nGeQiHJGaD+Fck1LP5VX2gJu1cQREGiS28GlvRXSyGWJ4a2M8Z71AMop0s3oP1TOAhg6S/n7/sp4
Ahh/qesS0asC8XvTfk3jb+Ce2f/9TeNebRzjKbOpMIKojFSnliqUJsS7LgR6e5v+2BezOeYoXeSw
IRbITGs9MFHI/Z1NxFPgvvgSeUBwnF8nNOl3dnetvnaxvy+Xszw2zkqMtlFCBf15QKmoq6squEvn
t78TwbiT3tSULKlxgQqoXFXOFNz1Bs9+6G98uqRXu8e4Eh0trm1r4s0fta2vp+NxkjE5vfSe0mtw
KuhbKyUMLJnnIG7ctJPsquyOnTDi/40b1PoJ+Mt+QLLCHrPeBrjSeV5ML1SXkznoVpYHQIcTLbOp
3qpq1O2kQge5ITpiqp3LZH6ZTDj/5meo9S+DJGGUMk6tetQwxqkckrCy21pyyNDd6Hnl1X9WKF8t
nprIKtTTu7mspxAbLOu+kp7TGbDH7v4ZcqxMZhxUtxjmPAu0W0Kq7U7u7jq1uN8XsR0rrJbBuChV
1Yeqb1AZobSCA4i8BbsULBDUAyBsPCanzNZ4w7Db2q+opq6A6QnEpB93rhlFGQCEeExlnXrQ9Ngn
VeL0Ki/639bOf8WwUVCYdpUeixCj3tJp2+kwWPp1eaQBEIqpnKOi2/TZFAxRlpF104DV8HFNMeal
SLcgNGgkgmuM3E9J5i1texqNmGN224HCRRTje7XYaJM8QERCMC2qHozj6JknfuPy9ildxDCnlM0B
HejAdIryrR9fF8kvxxeO7tG5xZ1NY3O7pdrVkVTB+yqTE+tXxmwp4aFJkeuqJwcwfJZCSlsVOfu3
HQHJNJ4DxpqCw/p4VsgCGX1IYFaozd5SdOAA1UerOEw2Ab5DdR1xkKm2swcrgVR5Vq6CaFHRTTHG
AcxH2iGxHMTX6Syivwvx+HItHNElYTxz28g2D3AllVHJqC+KKi0R3sTpSZ2vquoOcdf+CdKf+HSA
KxGMKk4IV8tGGTGJWJ4HlN+Ub0uXW6bwS4n+rI6yksXoY9qnQZVIiFt/A4Jj2ga9eIsv+MUpuebx
B25nQi7S2MCgCaLW6OigDfG7K8Rt/nyroc0xtFM0OPKYkLbDkJU05pERyyFY62n/QI+OqCfR1/z4
APKlL/OPfrTIE6WuwROqsMjD/vlRxds5PzYFswyq0TWGCFDbxUuJN0YPWno/Vda+lA2DM1RCnaJm
6CDgfb+DVvofI+tapgP0H1HWr9ml2wkeK2gNyn0g3AOgBCe+2ji+jxIZE0fmfMqMKAXJCGpui9Pa
yxfEBWg0KdzwMfpbaYx9m3KlyUZjSu/SuneHItj5FQD50YzLe099Dgro0jCWTQzFwH8YXUEt0aiA
Ei85uZDYQqLf9EXKyTJtbx8YRzVFA2i0wd5mWqMXUYgZYwBwj26M3ldMrf6QwAwNnrZnXp/tZz+F
Ba2EMU7EKNMqV+RecgRAH1T2hPbT8G8XxDoPwG6luoZNUx8VJJQkINAnL5QiEDBGHrc1+/MN/WFF
7L021/GC4a93XD3cZ7fTAdM/du4n/2AbwfOon0Ib5FeBm9jBDW9k77NLRvVPEgFTqIoGTpDRfDOa
485sdcnpphsj/JKCEaaTn7r5JNQKz64/398fZTF6PyhRZqCQIyFl0Rzz03B4W2zAr3Lx5zZaKKkg
BVkYqLyhsOMwapSQsZ/G3+D34WE5UnCm0Q+OsR0fF7exg7fOFg/mkUswSZXvo4ekknVVJYqqUuzH
j1c3PkWoFjOQ4LrADUo1R3DjK7O1qi8DYPfRd3hb+fIxSK3U+//HlB9l0wB35Ta1MqiFOIzwyBYc
M3lKqhspuUlVnm3QJXxaIkD9DAO+WZU0xjb6GFiWJmiEADobHipvOAQHahm0LbXldK5tmbpMFAX/
ECmrLA59bNa51IHhB33Mj416qwHbf/T2L5vPVxo2bSWC8Sa6GOfFkEyoQJvAUc9B5eqm44+G94Lf
dJFrOcyuCdEQi206UsX43ekVn0wXXKd+7aEDnLNv24vSDcBWILViioxRzxPiuDaAUctCf1URw5PQ
ZJjNodPmvBL3Rs6KbuBFFmPUoTzX49hhfg/DFoYvYS4sQroKK8O0cXjdOgtYO5JDV1s85di62NaC
qWdbqXvRaoIsTCVxpJa4RCKeKPUc5diMRNYyGO1Q61YmRt9J769dTLF4wZPqZphg0Tw68Pb/b6b/
uJeMkgzpLA5KCn0XweZj5KnVR+NTVLTP+zr/H8r475mxeJlRr5VxJUAZ6Qy1Zpd+cBW9UHIVsGVY
8tO+NI4yvndkrM6pykg8KiIUJO++j9JBzq7jxrADk6PzmxfZRQ/f17wSg9JgPisKDLnRp5ulEq2o
61+zHgRngfasTjzCoW3XdNlCJpfV19IyNXINRGzQCE+ubH4ZA86KuMdELWC1pCZr8rrIDclZ3gZH
9Vo/vA6Pi62fcqfyVWf/mHgLYnxGssyTOte4nKvqGvwKunjfhId9ERvJow/6/f6uWS3IqPRlypoG
wQbaI6k5AaX/jCyeR6c44sf8C+9dtql7skRMTQbCDeAvP+6gLncdwQwRqIOxMJJGdtGPti6Xz2Mh
c95Gm/oHvhTNIKahiyzorZaGkWEILWJg7Z9ktJTie1vdj4snxy/7u8gRxBovKM+XLg2BSkxJ6jGk
Ictfs/oNrTBqUPP8Hw0ZPt31CqZBFDRz4v5lfGyXanlP+pK+VGhXEd5FB3SzglYBDBi+evyDha2E
Mc42yQAD30awYLF8S6PYqltPFdAYjEJuwoPw3batlTDG1WqTOVULPa7kqnd1xGkAXkL7kmrnqD3y
yvybaqiooiICoEXWWeiiqieCFtL0srDcpaZbCj+Q0bSiWOdE2Dw59O8r++qLJE+SPEdTLDAz02rw
o+AHcmIg3gg5krZNebUkRjPyWI0VyYAo1Zq85IfkoOvYNb9JN73THxvKVvJlXzs2hmfhPJCLR7qU
iMhAM7a8FGacKyacx3zCnB6m90+Uu91waic+Cu6QW9MpvAPhkx08LK8jLwm9kZT7KJ5xxpMgyShK
dr9xCoDZ7RV3tDJnOMs9eaPt6zG3OZcq/Gfru6yYccnAWu8EQahgffVhHN2y8cCzPNZHMbidDc4t
/R8GcRHG6E4ey0lVDNBR8RQfqtvcTm3zeqbwamhz5gWoGxPC2E24FIKEsY7XJ2N+cTAP0zjhMAGz
blOOcvQQxt8wQ9ocQsDm5kfhPUVtHiPM9kl38S0vh7a5t5cPYLP9bZUMRo13ohP3D6jNC2qI8vKb
2X43ku/dZHDMZfNyXUljnoVDsEyRmmC5pfkytqc69uaIc4BU/z4pi44UtWniEBU2Sy0nedUvAbwn
WCcW8XvLw3/YXsLl9xn9UFqjBhov3hSD8pDHL0EEtDCbY+LUhD+tAYx4eLPgrYQeio/+a+4BbT0v
E7Wx2Z2OmZfb2ZfK7Z32iRwCN/jJkbd1lYJ9TwT/A9GRz2FcSijV/0falfVGbjPbXyRAO6VXbb25
vY7t8bwI9nhG1L6vv/4eOvjSbVpp5k6AAEFgINUUi8Vi1alzTA1tOXCf/aCbbGcEkKgEvN/wTUdx
QSDtkX3GBnQFiR1zbn6ZOhSX0dFSNeWLbEsZh5EOWnzU963XCITuYMvLOj/FQKt6lY2D04oqqivE
5JaBRpNiG5AEtL9Id4yl3pSSgWjN0NbW0wQQK8o7SwjITb0rg8K1ri2oDyB44j+9YmMKJqBXLiZT
M8EQAvioKmMXP29sFRXE7GiFwvE4Okpzr0puQ49G8Xp5Q0VmuBgdLUZraFOPKnGOeWc1/W4ar3qc
35LQFBzolS20bFuXdV03sYG8p2YNUeKwKHAZza+kpO4Ub7sZDBsuVfdLC+kkdXd5aSvH75NB9fMX
1IehNJcREaQaH8pu9MpwP9eS6ACKrHD7VIR6W5gWsqLWZ4Pq5YbcZ8/W+wBow7ybt5gWu9feLy9s
Zc9QzCXo62qGyco8nxcm12lCcijJe4n1JseVpyeJC5XIZGhFi2OfiDt2nyxx3pH286wNKiJk60s3
i0fd5TC/QPtvV38oGl5e1kpo+WSMfemzVKyabBKFFO/DLPkRlb5OfFspHRP1kEKAUxd9QPb3M0tW
k5MpLpAldEDtjb8KTXZHOyhCU/D9Vm7MTyviMr4ZfF4aKO+RXNZBp10N1nGEeAPGhia6S2JBiFxx
xE/GuLfALEGtJdNzRGb6XGHMs5K/JbIoLK7ldJ+scFmIUSlFb4x43rBhEB0Cf5KfeTTIDgwcngdm
5BRCIhaBY3yhspnaThoM2NStLlikyDesY1U1N2ltfKvT9OdlN1yrYJ0vUeeuVDVamlAK8SEZYokE
sW9HDhR1yJ3iQl5pa1TOJEK/rzqkoqgqqt148HypgTdqphbJADSZ7fZz5Br2dbhkzqQLRrDWyvy2
fGaIi4kN9DZ6CZihj/El4wDOghfr1gLxPHSWUtADKy7IWveAkuaOIhSHFK2Si1tQ+QaBafjhO92V
jEGi2t2ZLwZo4cDp4aE2eBC9Ilc952y5XPzKqixJa5at2CCOtCbIdt9VEeS/vElEVLR6+s4sccGr
NCBGmVpYmywDq3RdWrtOSHOx0gzC5qFhKGt4FxO+jUAX0NzaEmwwjiASLIdoQzasrCBiI1rpllvn
lgj7JWcBMqzioosNBC5yU/pT7Cyqw8ajmm1aOvS6csorzTefJeGrf/0rohmChJbYyPc+2zWTuU5a
A11RAkC17RPcodb28vFed8KTCS5MWm2hqZBJVUHiR9xFfmuTq5H8TLXHy2aYZ325OZWTGS5Oqkoy
GrRDEMkxCm9po2vEIg311ZWoAIJjQhP9M75lQa08WWQN7zFzlCOvGMk9teenUIXISC0Lcqm1ngVU
ek7G2I8584hZ7pKwqnFlKqBYmZAJaFsNwMHrDpiexdVvZsjFZ5Nre4sgZK26hGYB7qqgg6bxhaB4
TEODtgXQ4WF8k1W5Z0qWr9eiq3r1Y56Z4dZnQzB3yXqk+2HmG91hKvdpt80GAU5pzSsAKJDx2oT8
NBz881dc+o4WdUnxhh+K+0qSHDle7i473lrRxz63wcW8uJQUlG0j2GhQbcGA+0RsqAI+6pHxGpvk
GyHxNQq8bt+SO0uXghEyY3oGxaWE+gk73xAAm0P7mhbpk6ws3y7/vLXtVDTdxnMV6SugD5+/AOD/
ZSdlOri90iCLvBi61UICA3ZB82fvzAbPnFBmljSXMqLXR+PwSXnrtpg2uWe6bfXb5eWs1YCAtlFY
sNIQl/lxoSkMU3sKs7/G+ocdnjUHfZehSYl79IeoXb12nZ0b45y0VdJcQg8Ph1B6bZOfrdS5erMN
2wng4/fLC1vdp7N1cZE4D8cllacI58FoXQKT4ag8DWUvyJDXiqKfvh8Xju1Qr8cIwum403Q8L7x8
q2wx1uJMjbO4MrB7cSBKCoQ2OR8kdTRaAwHM2XhYgvEJcEFH8qc7cuzRdgXt40a0byKLfOmsokkj
U4pVMmmEMkb5DtwIHirNqJ/3odNs7FsRRIYt4sshOG0gL0yzyLpm97kmI9OLtv0m3TSYgO3EqQLb
oK92MCtHIAFgEX4saYzBNGaDwfrj/ctYC6e3BqUSCKmZqDLTrfIIEo/CqYnTO5dd9B/O3sk0F+lo
1NsjWAtlyA40u+qBBt02eetLfNNsS/eWaHxo/UiczLG/n12BQ6lC9CQlslcapSNn006xdQek0J5g
WexnX/qi3Cmfu0ZDEwfha6CYEo/K39NgHyazPNgoLbThjRr+jAbTkYHkSrUoGOrFHZdlSxNddJWs
JZyKbpkmWvYau4E/r7gE3fHUF5Ls0flWB5VbsTVQZlQPWXNI1N1oHOtBFA/YDfh18SeT3AMlnPRS
HsHE4yk3jEKE9Qua5+yJscfJjph+Zu3aVwwkFkz8D4wOXCjIFUoNI2UHs73S6/fUuoLmmGtWAgTQ
quuczPDnv5v72JxSbKkCNhtLPYRAXquy6DysbteZFW67aBdq8YIH5sf7QLmK9xUIKTAaeCMCf67e
Q2eGuE2iI8DdGeKBJ1mOjn7jSHu3aHs3le/VfHf5OIhscSkTcJKNEffYIcyvtEvoNfVDBsaLSd4p
laAsJNolLp5Y6liD8xXLUml2xJp2kPkA2YUgB1wNmIYBAhFUspEwcDdrNGloDFgqDpV2pVPqILNw
isoh+dY2rslg+3/y/U7muAs2j+do6CosSiegRx8B6zPGoDMeMFNmKu3DZWNrVXNbOVscd55Kw1bH
uGTt1E24WQI7dvIfzSHa2y7ZoLTh4T5wDTcNjJc0mA8iv1y9807WeVTomCjApek4ZmzAk6l8aQDU
iuc2VitEZ6vkS9la3MtKi/Px0RtgDFmMVW3TeoobOtndeND+4A10bo87b5PcAWrS4w2Ulwetux77
vS7EbbH/x5fAe/btuHM2zAWYhWz4yXg3u+EGpP0euW/8+urfUPavXnFnxriTlhAwvMSDAmNj6scz
OWStIgi5gmPGo3S1LK1pGyGBVTsNtazUdqaI3mcD+CzHfPFiZdrVYexd9v91B7QghaTKjD6ASxEW
va570qB+wd5eRWw5S7Utk82U/za6bqPlGN0TTm2sf8uTTS5dsO0ubXP2AmEStvaBuWPkg+v1pxp0
GxB9YfJFEFLW4+TJIhfBajlR62oBPE0uHlIKuejqesaE4eVP+Q+H7GSFC1xTgUiJyXDF65vgg02M
QQeireW13uTLsf/H5/pkko9e9kIymaLAxpqpBHCJcKfuWs9Cm6+8ibzyWbBEwdbxIzDykBMQHaOo
kqCRmmJ+jr19smdtgyeBM9XAr4v4R9Zv079XyI/F6gbNaDtgbNnSwai/LM7Q5d+SJXajOPkXWtwi
c1zgqgtJT8wFHxRq1XV62xaBUW772NMHETuW4OTxPbHClmupbhqkCbvstj9au3RX3qpbEYJ21fVN
VOgJnvyywbNcLnNrKSTX8P3mXQUqV8MeHaMUaVOsxq4zK1x4rIq4DU02XB7PlVf2llMs2iExMieL
isCm/aaSyR/54plNLnRl1pTbCfN9A5SLO2M7ASfEcCUElE2IJK56EFWZRd+SC1wWulNJMsD7y8Ux
8tRNqx1o0p3LZ0xkhHno2aMtimSSkh5RJK/qLS7tBwgvHhLJFnTrRWa4YGWZeW5kNfKeBGnP8Cup
DukYC5ayepjOdoiLTmEx2h1UHVG57sZgQEm5n+3UaQ0KUb/0vvkDXhrLVv6290UTk+SpYYBNBXi1
uEM4MgwHNb37sM42bQKK1zS9zWUQzxmGryuSG0VJcHnrVo/0mX3uOZP0mlTEGTwyw8VJQemNvtlT
Fc4+isROZHfOMvSuTTMRUO/yd/6inGlnihKqEZpG7Ri6huTb4L8imNwLOrK5vML1O+5siVzSNYay
akGQmd3d+gjCtAx9uJ9x46GiHjB4nGgQTPRJucAiJQOewAOqeXpOXDVtvpOiRneivl0gnJQs5CGm
P1QS+ZeXeflwmHyjYlLrVpcShvzIvEV7pItfpILm9+o7/uxDcrGka+MuVXX4yqI4c7Yj2raTbi31
8fJCVvti50eCiybLVDZDpaKrg4H3vblHVNlbu/onU19S3MgNn+kequHvAqvMC76k5meL44JLZ/dV
RcIMaULsdB572YTeqIFOL/5mBhWIH4eXyxbX7x8DY2CojVhgG/ocNM0JwgeVipNPZgqO7V/1/KB0
8j4tgXGxox8aDQVHff3InQxyeYLVFCmFEAg6mwpAvs0RuiAIbBjmkJ8X7fny4taAlIhrJ2PcodPt
pI5S5o7JLtyPv3I/8XTgdkAn5rR47SibyTfc9ib20DbZ9IdUYF/0cbkzmHVkHjTo/3pZs1PiVxkN
p0h96stdi0DaD97l1a6fvdNi2d/P7r8xNpqsoHgdqKNxU88g47Xo76yW/6MZ7vwNsQZSAZXdf2l4
MPM3yJ3su0wVvAlEbsL+frYYsNTmJbQEccqj0RvqfmPEYyBFybbIQsdM01Bw47Kt+HrwTh+PO3h2
QWkHN8R4oL1Rp++1LThn65tjq+geqUD4qSxcn60nA//OMFFkQCmYW+1fmXogVBAY15fwtwn+iaFh
nIOQCRErsW7yLnzMTUNQnFjflJMFLliUXdfO0D5FGhc/t/Q4tdSNu5cGr27Jkv7IzU62uDhh0EKW
qIpIaDaqW5IhMGm1lVShYuZ6xD3Z4UKEmZOekAi4N0bWiqYUKKzTI3HLnRmozrjV/yh7PJljm3jm
B5IWSqSCuqTX6a5Fb/XCqXpB1XG9WWKebHCBYJmGLLIs5ghXxY4E9dH2pV+dz1RN24OIOW694XVm
jYsHpMC7zxzgFP2e3MTbLBgOSefQYL6df35MzR0zRXCHCFfIRYeYSAVSRozosdc7eF/Bs6NcjwGr
APZbke6L6FxxoUHqdDky2SWygIO/J+2Nro0idlL2kb6Gn9OWceEhVtKaNBRQlYEJTcuuKe2mePGp
/P1P7oi/7fD4OoK5bzozUNjcP6Y2quyjM+jP/80GFyUAH0nzIcf3spNHfdpL826qXi+bWL9YT8vg
gkOztFVqs4JRpdzT5E42nTG/CVUnt4jbiuTbBVFP5yJEa4UtjUwV68map74hW1nuQaAu5S4pgRsc
I8HiRN6tczFClQe10BqgfRgqkQnhmWVgQdGJsXCPilu+Xf6Yq0BPTKr/727icTczJqPMTEKoZfb0
V/WREesN7hygi3xsd4zV4Q9A/kjMTia5oCH3ehPKwBmgecCYZLvtX4dX1CX4hyz+ZIcLFESdllmO
4CgF+Kmpa8sO6IluTUZQDWrqq/KmcuGkuSOi5BacZ14FbgSbZjjMCMEzbMngAUhrt0hCR0tSUSwU
hCceZjOkraz1LHSoG3aBDSDYQVF4N+VOi/GFPChMIe+2IJnhUTcKaeS8LYFhnSvihLp0hekdx1S6
u8uOKVgZr06CflaWFVC29Mzph5a6SS2KuiL3MLg4Ek0G8HRsm6qfhmPuiyC56V+GQ4xnAqAFkbsc
6V6pnFqk3CdwDx5JMYMvS9U0kFFIvdk4WVLEjppXD12vXmk0FqTSot3iwkloSWMkMbzqQGcXIMsa
hIyt6V3eqxXpAJSQiAkeG/kD8cYlHXJSJgNlfW8VFZvOgOTh26LfJNL3Ib2N0N2XfskgFu9Es2Ps
YvxycZ6Z5QJJPWRzMpt49NDK2trF6EAZK7Cy0LcH9N41SBYO5Y2VpIL+8Xo558wuF1jKsisnI0I+
3wEiyRoxmAa57hzTUUHrE96L4qXQHpeEDHZol02KTdQeUBr4aNoF2r12HL+XO+h9BaLy0foldLZA
LiMps1GuSjY48Rf6P/Ma8EX6TKsnD8Y3UY613k0mtoHhcN0CNp5znyYxm4gaqEMUWrqjiuGVeu+N
k31HwGhXV+XBaKJXEjcbo5ZQNpDdRo28qZ/92TR/ltMvJcanVyUgLaHZCkLMyLREHs6CwVdXO/1E
ztU6zWz1XsEWYKLJQtc08uXOI9CmVQNoPIM53L98pFbP7dkn4Vws1swuJjUG4dSouw0bY0u7t5r8
uGzko1F+aVWcY7UJ3lVyBlBXqFV7FWW73uxzV8lfw4neN6bu12PrZpm8yaNqZ0/FRu/Sb9ogbZue
ydtNmy7XryzwSzhz3b0iekFodXKqeL6t+nHfFW3kpNjWtDeDUBpuIvtnJg2/Y2q5toFJsPkJA83+
lJWTE6eRK+kMghi7Sjg/F3Pi5tJ8O1mxP6Tj92VBX27WXyRUAIqocdPyG5qTm6bqvH5UU9eqlV05
3+XLHCyD7FJka3n4m9bAv5bGz9ACldKUQWykEry3VoO5ZVs2yLptoOL4L0hiSRkWFETGwfDH5DjO
8S6riN9rVBDJ14OshbkR/IN5QX54ZFDlJVxydIv0TfLOtKyiAUcy/8aGVWQaXHaN1ST7zBh3OcpF
18SDzJJs+6bIkkDXXHN4kDu3TK7UrN9ctrYe4c7McWm2XKbhqDXKX1mojFGjBJSEbWCBOhVDl0dR
gFNXj/OZPe5alGeKjgeryEBuej8+JkF1CAsnBzfPNVP36QBdse4Nb0YzrML0Q+qFbivKA9YTkLMf
wYW9oZ6UySD4xkki+YqRO9R6zZrnPE29cgK4sU78pJN/5qqx05ZsF+Xdr1Az3tJCc8NpPGBQWFCf
WFEtxz1+9ou4KCendNGWGb9Ita/nBMPSB3NxBxPio/e25ljdfqYvl3d+9Qo/s8jFOUi0VVXdoAIj
d5hwyaNNldEckIr8ugpDtwO8XZlwkWukEsW+tYB+Zpg7uCGNobo1IAuLqgrgifKuGxoQbpry1qzC
2rm8SvWjlP4l0p6Z427UxlQ7u2MzUaPxkkTzvlASR5Kl3VKRDWjkt9Fo3GtaVDuavnhQpngiqeV0
DF4CXcJjo6YeJMqfldl2qBJjHhlhUIWCSp/a+1wfXk273Js1IBoqFHhzcohj+4WS3B2KZifrv5oE
Xmzn/jQbrib34N4HzLKO3byLHa3Jg0WpryX9texBFdFRJ5NrV556T2MDp9XiK4r9rSDEAeOCX1Tl
gxJCYTSFa8hGupEasoe43z7KiV9aMwr6feQAofUQ6oq/FK0jFeMthjqCpLktdAtzCjUtnBgYPFe2
zFtTL0O3QJ4dNfF2NhR/GB6NDKJ5UulL9nxFlbukgyBMYuaONNhONVAn1Xp3lO6VsHQTo35t68yt
8LMpfcU8U9BSuskV4GGkDMMHdmY+pUvvdKXpQm9yU5T9Xq0g+TLox1qPNtM0uGVUeXVoObEU76eu
A+IVoPG2WL7X2gINLDxC6ITJZT3HwgqMxy4RiIlTPUjlwotLDPC1XXQgDQN8YxJTGSxPidrObfFI
CividmoOnYPE6eT+OOINT8zMcDrrXrLf5Ro7nquRU0+ln2CYCNs7gdtfBZrb/m1YT3jbOYskBRCg
c83M7J3CjPEmt7v7JQejf/ZND20/X9qrOJQDq7FATkufFRlv6iJ2e2ke3MUKK9eOBmgAgA48JNWm
HqZvA06ZjXfpGKUeThq00HPHlNJjVBalk1XhdTbkGQhmjDtMV9/k9HvTpy8SuLf0wtPL91L6Fdbd
Q0nHV2JknqGX90yQVgfjaRolBKsz3kdjekibJbDULCCj/BtQsNkppDuSaqXThZM3JOWDKtX7OoIW
uxS+JUnfOzlZPHtGZLYoHYKyXh7TOISAlm5/I2rdg8ucbqQo/z7p3ZWSvit9BrCycV9V0audJW6t
DnedIfu0x1R22uylSL9L7deGyjtQ3joxoc6s7qoBOZxhF87U17/klHgm1b6riHtZWz2TiQEV1OWh
XaQbJa79uiPeSKStJem7IaPuHJdATwC7U+vfp/gupEtgQi2jaVB/qie/oPZRDuubajSxibHfKtZh
gjRJVZZX3VIcqwmCMyQ9LGXsyNBnrafmuclBtIEOd1ws28uhZzWRtEzdwIy8wcouiINnNefBpEsR
tTKKINQLo9gZWSInuL4FNvgxQtxjRp7rKQo6zQ8VcvTxYQr/2zIIV1esQkmaQUiI5EePH8Yi8jRb
/TaOojYau26+hum/vxbh0p4ll0IC/T2U+5TYMfNXoj5K2qbVnizkqP9pY3jiB2my1FajrPCGAbtm
StALWBxIxgvMrF+wpxVxmU5edGlKFGBK9Q2EDLfp5t8V29bzxZMZLpcplCWqFwW5fjlCuRYMweUm
La+kCfBnvAgaESXbetny5NaEy1SKTKvCfkHeoG8+nuAAVCQBKvPx1RwAeOwhEz+IMza2/Zfcg8tW
rLRKoJjLCNM2TLtsOSQlqMcxchzQO5QfhBNMoq/K/n52eNtSbUeToETV+vLsNJCYKX+FYBmjr/YP
CyTajZvs7R1mql3Rm3z9XXPaTy5sGC0m2BcN3imZb7XyfVINSHHj7pZ2l0/B+hjjaSMtNuxwtkRT
CmlizPDPcZ8frKOJ7VSR/0e+7Zvv3Ral2n31pLmyk97Y75dtC9bI8z+3s27HEkVo1FMn68E2EMQo
wS3fL1thB+yCz1hcSBkhsqzihYzijb03581UCfqyguBrcU8naelGrQ4T+EjbXqtKjIQr7zwIsH67
vI51PMXZTnGRBCAx1U5m5DR5U2/z5J2Ch6TRGl+vbMORzf6ohK0LlTivr4inDJCtmt6trj7OEUao
+s6RQjvo6OSogGPbMjm0MbisIkXQCBdtKheIBlNuurRiibY93djq4lt1eYNxSgcSgKIXuWhruSA0
gmo+WkD95Bl4LqIoxNSIoLtUfwdNFzjLUy/25PvLu7BemjvbBS4ESUUU6kaOkk1fjJDFQB7fNV5S
hpuuwfOssoI0eQ8h/DR06r3d2E6vzaIjy+7aSx7NRaU4mRYl1AFQpDumxZRul0PxRjZmMDyKcLiC
24uf2zKqMu5rGatl1Gst1K2h2/0vEOGCM8TPbelGkxvlAjM5RPHMxwhjOsrD5Y37qAR9/WqnShG3
cdooK1lZAQ8UNfbNslCnr0EXOYEcutWC2kp9sjwRu4VoHp4ETb4NwVmpJ9nvKlmeUKbbm5Dj1adf
IDm7kxfA8PVY3vWTdEvJLW2i36CHNJ2hmN8GWoMgkvTUqTVlA1aMx0wCJy+ao+NU/M7110UNA2tA
Th3S4XGOC0fPl+DyYv/hej4tlrs+shpTsEmDFt9IARMZQ1+qNNeWKi8zQygtpr66TM40PSdh7tfL
ezHTYzqrjg1lshBN1su/Zj2p+/vH8H3vgVJzsgb8GBNlbMw5OgCXuEp2m6IUKeIpXnfYky0+T03G
EtVaRGMVvU2gE7dMcSIPRJhq0QfWuVslsqOotkO8TIdgAlSw8Fjbtn5scGHaG3poXDsRaqGtoz1O
xU6+Ga5nNuDjDZ5JnfcXU3f9y9yBPvt62BRuv408kR6E6GtyV05ik7SQWBaiQ6CnwNzvv0te1++M
06Zxd0bZ5qNSsf4DhiZcNvVbR3t9Nv1cernsiSwyXogBOndhdJIOUogeD6VkAZ907xXhvjZuK0Xb
KIs/laJTuB6oT+viQk5L5ViydDg+8qo9ZsOPuCECzYVQiC+CNok+IXcntKa9YJ4ZK4vlTWhC9u21
kAsn7ESg7X+ogp/WxEWWfDCr1GD4piEINwSIo+p5uWPCwWkwjIILXl2/4P82xve68e0woUHRhdGk
8KFvkXKPyr7Jf9EyP1YQ65kr8ykmg1+0QQzZsiypdqrVOFSvr+UmvV8KSXEyu3L72j7ME5NljCYg
6+2foM+7VtrGU81JkA4KNoLvm7eDrWR9AeykpdZwKQjCWeOhyBMHIgiCuCoyxcWgyqjMrpAQ65Lq
aMhe1FYo5O2ssnEun5qPaaULx4bvmNux0VppxorE4Cxp5fKxsJegXkDmIL0COrVrlLdlaa56WfPL
hLi0As63AV+xGj3MRhlMtX6tmw0qP53pSOb8bNTTVop+WGHhF7X+tqS6NykvOR6rA5DfDoooARSP
72dUNeNJer+8mn/odZycigtqmNMdcDZwVMyjfQPu8mO6wYvuSdvLHoSUPWV32d56bnMyxwW3hIR1
2UUxEsb+dZR+afJeHUWnUhCnDeYpZ484UkwkySQsCRpPEO1hcVoN/oV6CfOoS47ABTSlC/XOtDB3
2e+XQPWVrXzLxvZkNGgkT8SDK1oUF9KGXLH7ukZPKh7NYzOqWy0G/L9Geb4Y/DnUS0cH645siYC2
orvd4EKcJMt6RQZ8TXSYnQWyEfWmebNQo/wgbmPCWeghiGKdINTxM9X1WKlaquId3g4pNB5BQz9W
N5c9URAv+HEDq5TsEJPp2L3JOIzRDKbf0E0pYFmjSN17lcdKOaUqJhebpmKQMFmKzCG7sjbaFSAa
bnpUv7HyVxsMPoS2HbqPZUckfy26n0zuOb6YpdTQHvdT44UbkKkFCrSUPXqtgG+v0L3LX1TkKiYX
S1I1D1NdRmTEjAOsaW+S7LYeWkrbakOPDBkiJm8TbSMXUNqkryHaBE8JrYchwjN+M6kQmvpvYcvk
QooxQAKtN5BrVvWOkmNlPYS94Kr8mo1Bp+pMK47bqrK0stqaIQG/WDdR/rORM6ePDpr6HFu7JRH0
Vr+er8/GuJ0qgRHoykSFKkZ7Ndr3iQgwslJI+2yA2xbM36aExh1UJiF5lwXhC/pCeDAzHvbwdooc
YyN7iW/fyocUMFKhvNPX0PzZPLdfkjobkV3jY7K3AY6dZxMndT9mSjf0Tnm57PhfY/Nna9xFEJpS
YTREg9YqVFn0q7YsvKJ+q+dDmR9yqOskIrmMlbrLZ4vcbTAn1aCAoURDKXbC+mp3eMP722Ooc6gi
vF9e3koU+WyNuwI6W6aTtnTQHG73fXpQwIeHASJ0TYNYu7HJVpI2ceX01fNlu4ITwb+UzWY0wUCR
GF5RSh7t95pxlBI0Hs0ZnXEnH54umxN9VJ6CtUb1TFJjgLzoTgmYsKy8Kxw2YQcuKRS1L1v7mgh9
+qb8k1nSZHmaRshe9sp+VDSXdWgV0RyywDH5J3LTplmqDpnx8WL9i5rEhIsITzuLTZ8zoc+L4cKJ
Psm1YSzQuFfvwk25t26zN+3a/iEHJdBAy4u1CHJw4VZx4UVS+nyJJnjkFKTXmLpwocV3P4AU3dxG
AX28vFXs+F5aHRdMci3HYYvgF7Z2rxZvy/yW1D8t9GsrEZvySk3j84fkIkkHqbxY1mCq9bNvGpCc
A+QOkCUwMojOnbeJi8Hry6sTOSIXSvIlxqdUIaesqE+TeSeV13koqIKLTHDxg5BhsHM11zzSKk47
E4eOc9BItXd5JaKvxz+QW3WOB0tKmOr74FW3KEMdl9wZgzCYg2Sb/AB8Yvp/Z5GfNox/4Fr5VIZJ
jaUpC4iaS1cGtbzSXdmi+VGBD/Lw8LknkDOaFN0L1Zcx0Zwh7j0bIJS2bPbaGG0EX3L9/rQgeq1B
S1njk+NaGmq7tRCdaIXarzr8krrywZpK2wHoZ2elKNtUHZ60UAgwVV82W+AN5D885adfwX7l2UMu
AbRFyTHv4pV+BU52FI2s3ce7Q9roW5DMCELyP9xzJ3tcCtYWHThUpYL5D2QJXNSK72KQHWcsfRV8
4fUjcTLFRcxISWoziqHCLaWtK6l4ctf1ttSt4PJGisywv599QWqgMy0xcWVN/1lrhpMqv+VO9FgT
GeHiY1i2fVzPveZZ1m0S71JjOySC5Jj9L76G4NPn4uMihCnqUkEq0EM/KNEfFevFtDNnAVfC5Q/2
DzfLyRIXDjNtMtrcwFU2gP8H2M8gPspg42FYc9tT7wXWvtZEET7Al0kIEz8j/CzusMhtZkjQfNdR
qjAO1BuA258xPZjsqQAbvLpLJ1P8TK5edXqkZXAFaHs7kd56zSxt+mURMGCt7tSZGa7lUJgpxIl0
BESgrEfUeQjQF2njTyKmJpEdLjZkVJK6lsUGbThotd9Dbb3ZTZNgNaKPxkWEAtKqtAZqC7XVGP0g
8yADibNUXXDZD1aj+9lH46IBjaclJ3OCaNCAUlN7jvLiJU6JP7bQBEPL0blsTrQq9vezqJDTsZhi
3dQ9rXMr+UrNb5pWAGhdAe9+8myN7d+ZDbA8AWM/hewB2O00eHbnsIkN/fD/V6P7bIgLDVZEskrr
sRgSgbKo/hbrez3cyr3hoal2+butFEs/2+KCgwwSphRQH/asBDDEZez01Puf0J60swSvdNE+cXlT
lEpm1SSt5hkRZL6S3E+LcKPHtsDJBUeJf2fBwwFhJQh5M3C8kVW7BsC2sz+KHliC5fDvqxitEgLC
PywHDNI2esYUugWdwLfXKw+ns/TlYVX+78pjjofKw04HFsvGv00o0GE+xtP2ZZA+1NviKGo7rS/Q
UBUw10JT2uZcMS5KpWnBw+5VaYoSRwGUa49swsz//zBK5ocnQ5wflso8hpMWGcBQpn6atBva6AdN
FgHF1x0D8A5bNZlmPBcnuoHUppqU6EdQzFXWTt5ty2YzozJ1+VyJ7HCxwtZ7i+YyqjVDh+NkPlc2
RpoW5JqLSFuIfZgveQS4hf+3Im6HxiEabaog0KbNe2HuSqnwq/mmjGbXMt+A7PUvL2zdIU7muH1a
pJFaUk10z1q2SbnTzAMZtpdNiL4dFyNkjOGAMgLdP0XFq+NRkUunSFPMPf5RLPp7KTyqluZJWBvT
rKPyIztZUXqQitroc765vBzBF+ORtWnbzErZISEq6H1qXNvVz0F7uGxC8MV4VG0HXYy4avCUatIg
zlKn6YOe4eGBFr9sSLQWLnnQcVOoUYXdz7KrUn2oJq9oBNesaC1c4lCliV5Meg0Hq6/i5OcIJvJu
8GsR78CKgg8LOKfdZ0s9u80VhfYL5CH/4lvvbotgAlpodGLoE7GaYwjxPYo5pTiQ3kWFsn+4dE+2
ueiQwO3kooLnMW1b1oCaey/dxO7ojVftjZQ4onLuP+QuJ4tclGhp2EyRjXiEFrnX7ZStuRsDuv0/
0q5rSW5cWX4RI0iC9pWufU+Pn9kXhtzSe8+vv4nROeoWRBHnSg8b+6CIqQZRSFQVqjIx8bn7Ow9h
8CEMO8mQBWSBshLsDZSNJTk6dPWf1eduto8BiaY1I1HuOsXRSjtDEiVvOhDrKeQy5G8B4hb/kM42
qXJrSvYpT5GV46NsT20QapgTTLF/NTRiIAVL7rLeblJOesOzwuQdvVDGYqgPKMT0h6Y71s2ZFAfw
O65vGP1QK/cH2z4b+UWcxgrq7tP+e0NV5zU7/tMybzEMcqQocwuaiJpcSVuAUleJvjRTbSnp0/py
lrPdq2MYDH4IklD6aWLiXKtWuaM9o2DEVO3vfY2+rXPscRCR1S2ZeimRi4SWI5p9jOEwITgpvFcD
3rej/34DVboErbhupAlo5hqBDSp3a6jd2nj5y0/HgESroeLRZijVot3Yno+0um48UqYGEJ473FlI
meN4DFLEuOTnfPYpANNmtxCSF5kdHKnA97TlScguF1Jv3ILBi2KoiRYVWNuoar2VzuGdUb8YIqa+
pCK7QxnwXfFzLyDgNkjLBlwKILLD4wVmztworzkl1oVn5Z8uH7YfdppzWUQghX7YyZo2k13vqvvC
xu+abPkxPMcozwlPvNZmjquySiaRmRtN0UWqM9ZOEhKrzV2z7f8uQjDprt/6Kug2EiErcbXld0T9
pxH245/lJD/uMpY7uKzEoMJUIVLWOX+YSJTamVZuxL7TOWuRKSitYKPJYkkuqD20qWn1NDjrR/Rs
eBRQok0rYgITbQegs3NAiQDNvdrO7RjxguD47vqx5G0b/febL5rP6HYwG9yoWQIF93/1XsTOees2
eKhpMhCTKU2X+WX9/Z2Bvj4F9+22t81N4QV3vBiBa40BGkEWM3TUwxolDoJ84Tf1LN/NNuKRk34Z
3zlro799bRcZoFHbzGyjKlcdAdEAKPkb6x9LsvyLcqGUIoMzfvofKNAXy6CQLkCnBlEUgzD3XU2g
OpxqKLO1dPgUDZvKuZ5czMCOeGWYM2eYjpG569HMuL7axcXe2GVcNsWjXtHWuP7AitkUmI08jOY5
9V/WrdC/8ssnvbHC+GSKGRBTNHAwiPFFA2lb44uP6xZ466D/fuP1SSKFFYSCFGcoXF86TALmx0Ff
InE+1+LhgoCCDKEBg8gs50MQG4bUjJis9fPLEOznPLYmhZPR8GwwkCjJY9poBd2S5OgPe3m+FBXn
ay0GcTfLYLxNzIypkSqUaRrhqI33rfFUThH6LA+pevFTe1AKe317lhOKG4uMn6nygBgrw6KIv8e4
hCXE/zTDk1KGbj2DQ/uhN+2wTR2OVQoMv/rddbsYvyt1veu6DOtMXkCmhvlAUdhWTnqmhGOSW+0w
7IHJxCK2uQkU/YJrlhl/jEstDEXho046uCGtk+ZW/2EbcniWLvBnE3l7yoBkECjlEECp1AnRYSd/
UqDzGriZXbvhK9SW3fCQOIGHaNAOPB7B2gJzBuKTm91lIHOsIoSBKdp/0qO2gULqtj2gAA06Q7ve
ZjsQC1igG3hOCs7+0j/760c2TFVHkihBMP7nQ5+W5axHFZwK1AsPmvA1qGTLT3RbqtCMI0FIMshk
zuFcfiHF8PZ/bP5SBUqyEbUSIIBZ4s0yBw3HhMwxiiKrGfOn1i8dzc/OhvGkJI3T6rwX/mUkvZpn
krxcCnNfnCbMeinuVHSWIX5ePzOcb8rWhuZaD6IZPKKYuAbxBOJf5VRDP8iHxuj4NEacmtpynH3z
ORkk6kfRjPVRoDqE8ZP4gsZJvCdEGw1jw8RtwUPEbSP+DRRdPyEDRS1SZCONTLxvVqpVCeCyM/U7
OQkcs1APEnTsEqJhADwBtWTNgcHlW+pqmsGj2MhFNQRzlZP5LrIEmplN7b3Ozcx4m8iij1zo6NfR
6VelisWSR5l0Q8xG74tdjSlltGdfDHv05AfBW3ef5VTlZkMZGEIqXWidhA0FQc42glnizId2O99r
VvJVtMpNfJp5ZcZlmL9+VgZ+IKCngCMCnxVjdA+RX19KI7MNEJOM4FPxI5UTBCzHozdrZHAHqUOp
5Y1CX/Ymt/Qoh3l+kDa9S6mftL90GrZ6ZBotCGk6VI/QVlxrp0k7CoNrRryXPY7PsNPXYeXn0SDi
xM93+Q5EvqBmp7KS2i6DjpJVuvp9tWvttrKMB4OnIsM5F2xRieSmkEb0/W2O5p0RfkN/JUSOo9oj
+sQhC+QAKDueHRC1SjIJ6RE0UOwuHreTUv5Js9fVPdiS0lBpc5TrqFQEBIw/ymj1cr8fIx6VJM8N
2VpSKvdh3EDJlZaukjNGKK3im/aEDqUPPdUt4TUccA0ysNLkWa/WmPnA9K9so+gh2aGjujmQxM3d
YSt07jqY8PaKwRJQ+Yw1qjBoqjQeY/1JrDh/n+d2DG4gf/WbpEH8EBfopz2lxiN0f/LsYX0VFNRX
ohR2ZnqS/XQc2ok4MejaoB+zCfWnROE9G/E2h60RqVEUdlqC8q+Kkn1zzr1+K6F1C12TG3P3Z08S
Vx9ni0NzoCZzliIlp+3Xip1AzMGAL3zvLzd3ZLf+DTkIz5aJBi0d1VaD59UVUuJ6fqm0xgPB1iZT
QF4Q8ByDg4VsyajLMKFMhhDNf9K3QXgVmm8msfGMaWESfRR4/acLfJs0fP5xf7F1I9Dn1IkUIHw2
Tvqb7JKDsYvwCgGKzxyTW5NDB0S7LaaqvOG1edU5iMi7sk0mKtGzdvIFA7XO2lM2kheCf8uOTomt
gudtMzmFQ7u/NV5v43K+cl00Ayaa0fjl5OPS/miP2ZputKMPaTzGguXHs5uPy4BIWKYpKQq0kDQu
lbNLXN+R379g8BAE3v5Z4HxMzmE3GUghslQqeCkmTqo8NMFjMr2Cy2z9LHBQy2SiDx0698Qs0Pmd
tpse5e/uPE3nYfy2bmV9Ib+oUGmYjdFnEdir6eeSPGv6J3n4um5iuVHlx9ZobDWlijNzzKpE/QAR
hP5e9g2v+Nv6lUqWEju2wnvtTKz4vjvwCIs4Z+5XtanE15qeup8q262X72QXxKbb4jnb1IfSRcnW
Ek6SO7qxBdqQR95M4TqeQcD+58xVr2W8cKl43srGu6bYqCh/6JHdDF80TjrH20Z6xd7UxSQ8Nilt
jOaIYe7eurzBbJV6JBnvpl5+HtdkKJWiDmCahDllftzK4TwCwtKj9EgfKIYTGKc2+QFVgNKdbQiZ
nQSn2vYn/U+uhhvLzIkTykiA1lyBl93RTchmrmrLjB+NfkNUkxP4LzvNjS3m6FVETtTIR14F2ufo
3/iS7mYnR8Kq0tmqBlUW/b47BjuUwZEIgCB3u35gFjfzap5tUzOiKdZT9OY6Q12DPFw/6IXhKSNv
WHMx7Loxw9QYhijqlFnHKv2udLq5ug8LHl8GbyXyz245GOiCUwjQpTZP2bQxVdjghF3LAdHNMpgz
1pthX6saOqbRbJejB67YiO/pQf2n2kH5yeO9Mi2i8o015qCZZhjWsw8sU+SnUd00RmC10V7rXtZd
gGeGftib8wyqzj6QdcRdknkaQXTWvI8YReOxpixfmjeroT/jxkxJiqmLKfrL9zMGwWgpUXG6t8Gh
ItKBw60aLD5/3Nhj4SMSh3qgz/2SgHEVv7aGHqwAtlicStS4hC99ehgSjC/GnFSN9zkZ8BigrJiV
caniYdVu9ZM0n4zSSSR3fdN+8zlVDKigxx2ss8yu+ZNgqFqI3BotDPWxOif7zG4tv0OjOzgONvyZ
4N84/9Uiu4F5KIrigMo3iEu3rWzjFTCxyWZwRGdKbPQJc7nx6JH9Jc2BvNt/18hsYRuE+TzR5DDe
0cGRarwmh4Uj7IKS81HpN1uzx2xdMLeVktIuByV19Po1CDZV8rS+bzwTDNzrBglktUIiXxXnvD2H
jTfyRFHon1hZxUex8uagzUJaxyrBKjTzUmb3ZWq4vYaqLmZLk21MXiUezSXPMz4K3DcWmxi8IL6O
plxaGyQ43LSPIj3QPor8mfcYzfP8j19zY00zjT5JCe4SkKRfMIbs+V8rx38EW7JVn8A28Lq+Y8vn
+YcTfvycG3OjMo05mJEh3ZTdDfIpiXvLyLzsj9LRq69/VLVvzIT9FE0hnRicm/Fb3vuuJshvco+H
8PpNlgkn7OBuGQMfiRyaba5hVeFx9Cjvmu+I6MebXaoGxJv/4X1CFjmySDWMAFgl55NVxp7aXCb9
y8wbmeJ6BoMXdYJILaGjilTrTfca27+AmTSB1pG67zeD7/xZD+DNrjGIkTQQrq3QkYp0Q/KoL8YN
UHiE5mu9STfTlueM3H1j8CNMmlhu6YTz99Qzdfx336OZZ+alJ54qCQdJPmLXG58Ux2keagHGYukc
1YYlRJbeInfpz1BcsQv5eQw5JWMOPH4QVN5YBBm3lgYJXvXz1sWQtZ0LrgCxmfUTzVsWEynKXT/Q
x2OCmiO4eUCgMHh/xjiIEszVNz5ae27WEvidqGs68qQe82fdOwjBlZbzuZbfum5sMCFiUKsdyRLE
bv5zGlnZGeyxtvJufjIeZS91h8P/MJa+HMr/wEOZQY7W14zejDD+bvpPxfDSTZ+0QHWrEIIC903g
pun9mO1JMtq9cSD+1v/2d5vHYEkkD7HUxLhr0l20RWK/VTfInfa8UdLfZJ/XZTJY0gUDhrgn1Hh6
r95RkhfBFi/tZ23ne/oG99pJutB8rNnzyj08FJMZTNGGKM8TDbWz9DjfafvMDb1oUwdW5+VnZWs6
PDox+vdW4gV2XLLM0a6T0GEHaCXsMMM5WKNU3PeBsNF9kPGbaWfVguSsbyPnSmAHJ/O5MXLiA1qm
7DDNbjDey0YLpSxeAx3vhHwQj92cwrRKaxVMmerHnfAhtocHKIdOzeVu5EyvkJLfrS+Nh9GEwZe2
yEZzMHEoaaCM3rJTBMHR7EjFMkHcwLvKOdvHtnnF6Sj7xIe7BI1u1coOvAOW2KeYXHjq8LimFpzB
Ng5EEwZyzNlMU2GSURzpnQyqQNHLPN6vf0F6tlY8khWLqgI/1OMCmUZchy5pn9pxFiCR8FqHyb2U
J5wmd96CGETp45gU0MFBCUQCUJvmIYugJTGFnI7bZY/H0BcU1IgGjWAs+sYRG3PK/Yp2coJoQE5n
aFluo9IZI97c1/LtdrXD7A/eGBp/xogtVLUMj8TItP38GJovPfiZuwG8sQau7qR4XN+y3zj91Sxz
LehCU/kiOA9xztQv6IvakvOA5B7NqVvf5h2x5S27GmO2bISuAynxH3QtIIaCUCuULWV4WV8Szwhz
A0Tg8jUHleLwVIDwOngAF7RbazPvDuc5BoP3SqdHwShj/AEVQBSVbPWYgupe/Jp+njejjeFRuwkt
+nj9tL6+5a4VXdZFSPrpqsiOjibJ5Et+i7Bcre/7FGTBwiUCgeUcH7rUQ8uFBWWXtuec7QWOcYRF
N1YZdIyEXBc7DWXdwR6d+Ugp9uWLHtumrTnBrjxkO+LGe7TOOPpROXevKg8wl/utbn4BcxKVoRkS
HFC8OatoTRUsIcldVdkX9Taptq1/Kee90s9WwuV0WNzpG8PM0cwaIamDFjFFlBV2To5j/xIIhR2S
PylBQduP6KIqEUWkEHEDNeMUycU4SugW0CB/8q9eWOjAnbhTwYswfTXDFhp6fZzCFNe4o6qfCfhm
BQyI57YWOrr+Rz3FN6aY+vEsdOI89ahpgIbdzN8S5UHQrICnVLX8enRjhvHNIJhaQhJskLJpPsku
SBkPxlF/0J56DMZB5M6r7yPohBVbyND93Z6xZYaOjHEm9j2OxdDZkW7Yolxvhehrm4jO+rlfxLWb
RTJeGPZBOzYEY4dx1lszPNGPrDL4um5kOYq9scLcB03d90JnYuZUuiuPig0O8I3/pFiSnV1ktGzx
aoU8X2RuBKVpxCRR4PKK9haGqjVJATjA7bDDqAIvf+R9QOZiMAoV4lEYEnUm4bUVn9X4LiUBJ0dd
jOpuPh9zKRSdgNKngfqMr/o2ojlMCCkZuvZ3qfYWCX/pEQxegEnFFIQKzWdG6gyjLczP8vx53R+W
37muC2JrCbkad21LMSl/0x+Nf1ErcfptrVrypbBJZhnozpSA++p78Cpc2g3vdYjzPdnCQjtMqSGC
ksHB6QbZCJkx/gdtT0O15/yTlNdOK3LF/yha/BLG3iyZQRPDjCVSDQCtwVa/ROhcDJ2JWHAbjL3i
hpM4LrOc6tzYY+61shxaSPcikYt3onuXuKDzaR1M0NxTYtLmMz4tZ1OXm7RvLDJQMqSzb9K2ReAl
knEr+cd4j07jVn9uXdHpIL5tXlJ7Mv/OXdkKxDQVQqf3yK80KDhrT2R6gwjpurtyjrjMwEnfNC3y
UZgI6s/QULOk5qjzRuYXCGxpJPTjmpYZHCFRDr2yCO97+mPvJNtiM40oRkkiKDUpQWJt65ehQzEW
One8Zive+hh4GeRR9As6bGVAFzs+Nyhctpx8ZzEPuVkdAypqCL27gJqQxX9i/wlSrU3rFvpz3t91
WQWFPPevtoytKMykxUC2j2jWr9OHUEm+GTWUYcU/omK6LoutJyjCCMKVgFYoIZ0bhJaqHMzOUf+o
zHVjhsEOOZ9FJeiBV9Pe2KNGeUp2wibe82CR4we/FA+KYZqllLogGj59kp+C6r0Sm93fbQ0DE6mQ
G0VHEHAP6nmqTiDxJ93270zQhd6EvG3Xx748oINJ+SeMJav76kMtct0E/ZUrcM6SL0ldLwm6DBOV
UEESU7sLBGmzbmJ5OzAIAv1flRKY/bwKCHFKiZShL1tKjFOiKKElpr4tigGnpew3V8XVEHP+pwY6
H2MJ9xru/VOLGfXKzjbGE51GnBz1hR+f/eaquFpk4GACFdcsEsCBcur+jd9T0OsKtnGESumXzmmO
mlduilfehDfne7J97r5cyeVIcD/lnTtMb2p59GtO3L4cWPxYF9vjLg8p3pwasAaBiDwat2V6HMEg
KRqnqMvQWur9lYOwXe1NUEvNTPDeNAefoCHcjOck55TDlis50CX/jxOy7exlVGBEO8BOTZvZUz1p
q5TWdFEwpkrcctNzW8CXz9XVHoMOU1vWapuCR2MA479iQ/CDzrXNG3Iff9K8aWuWXAp3eo5+PcpX
kwxapEHTj3GArieoxtbqbhB2We/o/jFpMmd9w5ZT/qslJpAQ+3aMoxCzKxm5F/qvQfsECQ1MB65b
4a2HwY1Z6zMVpKkYrSKNVWXbaXrz8S0xIz4U1V/aYqBDL0XwqlBCZ3Wqt/38ufEzz0hzjJIkXmry
hvmXB+DR3yJC3NQUwc/1MySmepaBJQu0McUc2ZhzQt10cApNOmUStF3rDBrapZX7+qXyy22WQXaW
bisKH5moumRMN11hXPqh3Ndpuh0Tw43M4VHI3/v5kxkpnOLWIt7c/Fhmt9tIE9VKp6262X2uHUiw
7blz8ouAA+oBRQG1JYQwmChfHPKwrVOk74jt0Saff6+jOY0de9rFOEY78m/l5bY+WLwWheXVXS0z
BxXj1lKvVjioIYpWkpC4ZMotGY2K6868iAc3C2R2vIh9qD6IAG15DPDWnDyQKOO8YSy/7t3YYDaq
EIVYr+LwI3E5q1610d5TK9kleyq9mey6HTTCz71XPvOac3jfkDmpnVRXfWjAndvUDqevOaSWeeNI
PAdhDug0ZCM4ynFHFOUXs9qj9Uzt9gJSXDPcxTwuz0V8u/mQzLUu9JomDn6Gx0NIu0HWLpX2Wm/7
Eo+BkPPd2PJBEmtQXZpQJCegtwjPAV5hQ85NvnzxXdfC1gjKFO2CTYp2s1HfqLLrRztjFK0uTKBN
7+TTXoB6qXJXZJ4yJRyf53xGmQn3B0pQ3rUQKcqa1ol1jKjiN2STvusV2V0/XsuVuZtlMgAiZZVf
+CH8Q75vJhBA514IgiLz2XhU96pdgneMY5D++F9u2xuDDG7kfTbIc4rRFzq/mTrz577+SHEhzbQp
PoPmet0ex//Z8oAqSZNYgcDNKTroy8+TFaWSbQj1ZR6FZ62bNnIzcm755SeFmyUyeALN1KysCg0N
rSEa4LqN4E4XHz0YlL2N13S0XEq7McZgCOhL666ZUFpNjwNmYY3NB1uKK763+37bWrTIOj58b1Jo
JY/XMb4Ya9xYZ+AlHnsha3xENBVaaeckt9EOlITFZUQ8OoHMd30zKX6s+Q6DLxibGv3Zx42qbHx4
6oe4z45fHuScP7Z4EFehnMoquD7ELLKK6EVVP2VyaGOQjxM9LWde18/H1g+ywYzwQBugSAdOhXGX
3wX32i75FtnqfYa6ZxZxhSQ50Mm2IxDoVdRKhuNXzLtO+Heod23/vr5LHJ9gywhCpxi9PmBgwlS+
FmJvx+OdrD5MCmYYeExknNPNth8oYVCQtsZcrwFx3KEYIUf8bZrCwxjJdhnH78jF/l1f3PKr0M2W
0Q98U1sgUt91eglwjndgXXaCvWBHtuE0G2QpD9WRoFI3fdbRN6mdeTQYvNUyuDLXTZk2Co66jFCr
iV2R7PGuYsVI26dzQzglO56nMMCS130alaA+gSDTG1HsCclE+G39Y/JMMOhRm0YyFxOeuSpBvFOm
3JVRAciEePd3ZhjYmIUIPtEiIQrLJ6M/mZil54178U4yOzrTmJUe9DOdAtx3bnbGQ7Y1brWv0JrC
o/14KrntmJxvx77XZ6IcTqqI94Qp3klCYUXCnaFxTjIvCGKZnsemzMxqQBlVO3VutK02aOzbJTti
Fx4iLx4ackIDhYlFRBklGj/EE/IIqc9hA36Ai3Se7sieuMKujN2/8gqFCUSQIwd60rVgNe/sSXn0
zVMDvsR1G9wPSHfxBi3AxlEhmYVblARsyKYNXUtbaA3LbIKd0BRoUu8/VYq5Ucr5vQheqzx64PwC
DhorDGhkku/nSY1CpfTYuVRxgdxRGsrA1c/anXrCDWduUjd0/4xU7QqUCoMf2ZTUTVyjNGCcJjAU
zVbstFvcbOiXTO54YRA9wiuRgcIgCaa9TKGiDG5UOFjaJtANVzxxyzPDO3QMkgzK6NexYiJhyxrQ
rM72HGHiN4m365vGSXpZlR3Fjwo1NBHnlMk/mrANs9f1v89ZBiupo6TKMFY5fCKO6EUClY82tVr8
/+/M0PN+4/yq0oJyjsbeeorJKtXKM3fKeRVDTrDGasVGfRqQPELxWgg2WoWJp+w9DcFAE3rri+Fl
SiqDF1GZx7UPcQI0cvYOHctEk5TgRjZofe3gbXrlFViWi+TXA6Qy2BEbRSOVHXZpsOkAQ/RQfuRm
agKZh+ArlQVNN9KdxgEMnm+weJHnyHNHJC+hjPK/9ih2sSenPGYtDiqpDDgURg2uazr5pDSybYBq
ofFtBQoms+HqJY9Si7ckBhz0Rs8DeaBNsZX6VunnumytOv40Ybi9l1RbUgdLzMm2RJdIlY1fsqA9
0Enm1MTMdidwvi8vO2TVXnMdNa24+c8cG1DEoR3dOvrW5UPFwRHOwlmNV1mOu14leJ4M9Wcx2BL1
Ppc5KRn9divAy8pYZVqkitC/Q4Qw5paICgmmAq0GXc7G/YgG8pj3HsGBRlbntdL0uph1dHAPmLkV
XyiDUGZPl96m82XRY+LxanQcfGH1XYlQEq2jbXqCWKPJjLiSAN45s7JMmXACIF4uz6q7DkNYRrhe
6DDb5PZ3oyNYDaoHwkv21jkS5OnAReIoh9JG19mBS9NB4XhtKxm8KRs5EDVCLzfwyuLDetq7es6O
vUs71RUeZzkP3ljB10mc/qMFKW46d3LRYGf7oCURPkamyL94XgKFbfL5j1DcNKAdomga2DR/vpNi
6CsklHzlox0fLhu5phvgncClQz/mV/Odpyq9fAavBulXv7kEJzSopJKBCr3a7EVki/m55e4cDYx/
3bmrDSZwHv1gnuoaL8VGfknKhyLdGvEZ0UnoOySxsuqfnGxkNBuJD33Iq8Uus7tAefm/X5S5F2M5
Vsa4w5tnmdq+Cv1qvP5sy0O+lfazO9+LHi0j/tmpvBplfFX2q8kUiYpKc2ontS2NRwXvTzwWjd9g
9dUMcxkOldGMrYwcuMbzyuyEdrD/PskKGjZ33TOXgfRqirkRJ1WdkqJGp77c6rY4OpWPN3E0Hg/V
BgKBHW9w4zeZydUecylqki+BSxpYI4Lve3I1ez6Qh9bSN5iEeeTFzcvdTTdOwgTOPkRaxjSBhxJ0
N81OfxeGlrJTLOodtA3OkhBF4YHyVSDO+nf9TWb+Y6Esb1VWyVoZ4Z3S6SXsX5Lac/qYpF/zOfmc
5EJsh8olquyi9rfxjE6kxIOE5nOJk/SXv4NBHqiIpIOEWeWPcA7ADoBNNrrt6uC0Fpx7Xv7F8SeW
0aqMNY2MdAy7yja97M7RQ14KtqQ8NkqDIJnXb7h8TV6/MgNBc21IWSjQBCxXvSF8CoKhQHZEdlmh
8JideMfyFz6rMp1MzYQmS+8R3FTRfhosaePfUXrEnDtITDdmBV1Z+qqx0CIT/OD0yvA3+iFyS9Ea
HwZPQ4Lp89IMznXBEp+PRGjACAA0jYJy54+FBfoIVykUi+ONnCuDFdIiQ1KVwoTcTN6AmNtO/glk
L34dvAQN2ZGjSG7AE4birYwBnDaTmqzqEYyS+i3rT0HoGH/UzH5FGZa5qvKR2cojZDL9aEvEBITT
XsgTnPpNHvhfTzdF8ecL3e/GUswK+miLuXK0+bjZKXhuQfhMCb/Q7cMdPl0Oea8GGeDww1StZhN3
nV7UX/tM/zakxm7URqvJU1vQjKe01S2CpvMuakZrFOtzLfXP2SzcjWP+su4366hiikw0M7aa2pgi
NBti8jWM3Mp/USZXUk9GIrjB4PO8dPHomQST06YsqrLCXBtzmfrFOOH1XxouqrKR5/taOeXiCQLR
anoWI8lS8MW7gdcRx7HLFmDyME7AVIp7nwoigYoSl6MM1iW0UnBlahd397pEthYz+G1Z9jrmB/oy
sPUZ+mKF9LC+aYsn78YEs2lpFVRRk+LJImmPMkjl5b3BY6BZrL/dmGDgXy7lSqxKsDqHee0WueGI
SvfYG/ERHNL0QdBKlTB2qoT3/sj7evTfb6JrYyrqLKuocAkob+KXkdfgy1sX/bQ3f1/WBbP3qSpX
OEHUcM7sfCS7OH6JqsrJWsOd/KOR8mjAlmOzm6/JhJ262TbT0GHeo37rneJB2hpOv5ffiA0+Di5f
Nc87mMAzr4WQpAm9CfyXKs2sbPQtUd6tuyBZBI6bJTHoL+amNqQFnnracoAQXG/LjW8Vc79PtfRT
Mgb2iAZtNHY8tKX2SQziJ6Mo3rs52BhNdEZ73l2R34eioloBOr2qQvTyBl2cKfqBqsDKNHNTKok7
ZzIUkmvNKgXBiUzxQOZ2o0sdtsq0dNFILfBOWWaXnEsheO/L8NhpCHszZeIB169+aRAM/hCCoREJ
rHXMJaHV89y2eUupQMKn0Yl0VL8LMEAhvoY0FzRhN1Dn7DhWF41qGCIwDVkVdbYUqgcNZGjqHOUD
/Sy0gTXxukV+rdphVTcG2NNGfK0LtAahtL7ptW01nDC0CMnFXOXQtv/qkz8bYo6dIg6N1KJ05cSg
FVe3JNo1ynbdI391yJ9NMGesLyHA7puFTPt7fMy2FuPbqOwkbFLyqpjv68Z4O8OcsaROwiYLEryl
hp/HNt6Pus+pwy2UU35eD3PAlEJUoa+IvZFBsTrQCZyteZYv+Yu/RYXazdAFGDV2w+udo478c3D8
s1kKoDcAOXSYExAjmM2PVMYv9FqLEqgoB95wwkJxjFqCyIuqmwZ4zpgwqBG6rhelEM73JTsjrTll
YNzzn6aLhuSx82Qv2H3UGuz4GRNAIm8I6NcE52fzzCVqmmNcSzMu0Uo4kvw+Ig9q46Xi27qjLJ8w
FP3R7y/rCsvlXCj6MGgyPqdZ3E/idkKaPMcnDZ2sNYjq1m0tRLJ0ST+MsSA14GX3u9RevCNefTdv
jScNU5lUuiTeJ5DF4/jo8im42mN2UImUnAgVQa24bzdVnpylMvHW17QMHFcTzC6JxG+jHk0hTmba
g3Toi4Os3a+bWHaEqwkm1NGHUa6nCShrzhe/c2r9UZHxePbyd1YYqIW4Qi4odEJyqL50+XOc6J5O
2oc40Tg4uPjFdBlD/zrkhw32JUaSCiHRiwpDBJNsFWp8HwfCkx9z/Hrxo91YYdCpidLQb3IfHLzo
dO1283ySJE/4/3ejw6FvrDBgpKdhlRUpMB3EBZIPTavtYL7E5YVfGFyEvasl9mVFUZPYR/MFVaHw
95UdgNBX3Rhe4v0BvfRPa2IfWDRlmrPZwNVRQZbwe7UjdEy38YodFIJfeWWj5XvkZmXMCcq6qk/b
KkUp5T7fjbvekRz6FgCJBuk+PtNBROGdr09G9/+Xa+TGKnOosmhQ+1qIEPGCOlKo3qPyVGiur36n
D6gUe/10LcLsjTn2dOU6yesC4dlQvAzhvp4Tq8ve5yCw/PFh3dRC/fHnDWRiGb3UOzMRAemDLdrZ
GeUqN9tQZovA/mBe35u87JV+rLWPSQ/jzZ1c6iRolBLHAMHnByci8UGn0eAFqXzoN/FzHfNuEuoU
axaZ+EYrB70RTDhpePw+JRScgt1siw68hc+zxwETjQETWUqlMepK+kUHd3pR7MqO7/wjjQOo+Mzo
gvNoSy6cffy1JvDzPjLgkg4zZEQKcF/5p9nBYI0NcrWdukGJac973eBgMqsBJYZDgqEkuIwkfw3U
c+SbdtDIvE3jLIgVAs/7sCahgM9IJRa6+2CfI1JEt/Ap8njcgcuhxvXAsapPtShW8jjO6PqOrRyF
HBnCYb6VanslfsVsZt+UThueEN5ZfZvZXc4JU3kflIEXo2pVoQ9iXAz5OR7Q03v2tc26fyybUDGC
g2UqMttors25XyY0N2ryQ5alFo5fWD+v21hoPqU+eDXCnOyqKuvZLLGOxiVvdBovdPLXEARBqts4
iidvFS/zfLez1R0vePvNFl5tM2e8IGGUTvVHSotJprvuhGsIgwKU3rI/kcHmPZwun/KrPeaUF6U/
qGSskVnkhaWpjlTUtt+qFil5T9G8rWNOdoaV+SqNtTqygUvm8i7st+s7xzHBtpSbyVRnUOHAnJYy
2GHe2ql40mSOe/CMMPG1H6ShoAkUhadLo0mWQESL+DyB7oW3vJ+ckG0hH8uIhPqMiJF2KRR7CLNc
xEcQujiUtiPeRk7mRZA1tkVOUWD50v7hEGxfORmKRkgzlHgqqGIa1Zds2Jpo36mlXRhzwH4xU7me
M7avPFCgnNYlOMJkPKTRK1Qr191h4dH8529It/Lmih6jolbzFC8VHw/Lx+RQbAT7y2w3u2w3u/TW
nDkmec7BQIfSQU+HFHCO7F+x9Erx3pc+/eWiGIT4P9KurDlum9n+IlZxJ/jKfRZptEv2C0t2Yu77
zl9/D5S6EQ0xg0o+VxI/TGp6ADS6G72cI4ztnBc1LEQK2gLKn93/QMuapzpCjfYc2rAWPuS9w5G6
78Y+1YKxE2KcJLJQqwBkAi8RepQRjPcghVRcMeCWYqgl+BrnfMpiLEXXGgpJWlQ5jVl1C3my6Lss
mYBvna5nYqJOUIB7NNR6VyOdrwijX+cvVdn4RifaRFQDcTQdAg9k5M9LaHCiWo7FZHvQq9UMNbGC
1sqYhmgxfyeipVPNU1vFIBJn13myWFsjTOGKDl9ktLTU0irMTvvhZBvEN6tjLD6Wg6eNz/l4kMTS
SpvXwfRF0JdP4TfO7xCvnwjboV7OXTfoOYxCNwKaD+dwmcdAWbxMI3YSI75v3VnguPqd/Pxvt5dt
VM/BRmI0A+7SUNujQyn6Irc9gRgNaWkXDQQ8Fd8Pr/9WO7ZVvVWyUsoA0wWLKwF1OQgPP/VH05/9
2p5OPGn0vlzRcXbGekxnZQmp7ZOMQG8Ky8CuDo4YORpxEvGBc377lpaYKgr2qqyxTFhLHid1qEoU
whpM2LYShGCAwEBg/lBdIjwdzAPvebRvCD8l0l+0Mb1S1bVaOMoS2Jv/WLvTuFwKHoTW7uUgMnL/
aDETTfbNTiJRJXKK80rmS2Pc6RgandTEarm+mCeIKs5mLWNYw6YT5ER19S0krjrci/1RqjgPSp4U
JnoWi6yM134AgmDrrdNtqx8X9EKWwh8cXdjVvM22MScT60mG6T6kHvLBpsz2dNxEfUzuCzu6Gbzm
gLfrn5RRGWP8vLfQ7g3biGb8cSEKnQJcYIoC/ju5BPqSMHzCZR7cNyEbgXTPNyenpFMC6ADovXw/
w1fiNekbt9VZ9TA3yR1b+AdpwK+WkFk2FRbVGYgkaleneJzIPobWghnwY32wXMC7G4jBmDrXD1LZ
dZPkb3FstBtW4yAr9IFel7lkgfD3qRPQWqb8SMhwIOty0So89MhsNUN8GxezV2jjQw1jWkTdy6gB
vrUZEismUSBGig9CWy+qiK8kg1OFs2XW+aFcfpZgcKmyb0M9e5kQ/4iJaKlScd+sqOWo+mRn5ez3
4C8ChvXzLH6XQuFVKSJLLnLv+nL3X2Wb5TK+EByZfSU0OnpBML32Uv366Nv9PgfCS/uLpiQkXzpK
NmZ97MjhgX3sWjNiAlhBl/Av28eDaSlwNqlwRWX9NJeHrL6X/j3zELzdRgQTYOlt2ff9iqAHdiYs
3Vw2rFLxAMXBuYT7ZuZzKUxwlRYaGdSFSE4MRxoHAPqwlPIuMWuOeu6/ZGGVZVMDtKzKPiQGXQ4B
vYrbQJ4BeHak3nu0qrcZ+bjejl2eQ6Vm64tD3YhjzFo6t322dKhJDOUfUvLU58F1/dt9F22+n7Fd
Y59nGVqBsJwoc9LhrTGBnkvQzXgYK46q7x7RRhT9fGO1xDQh+ajiYmfveeevsVcNp4UH+cFbD/OM
KCLJ7GRa6Iulc2V4Yng0wGffx0cz/XF95/bt4mY9jGpLYmY07Yz1zG+05T1xZ4zMT17xRJvguLML
u05mI41RcGNFSi+XUTkavcU1gtQJnRgtd3GQedq3f4+KjVv7KYx9DKR9okmahMB4WWw1spvhYPLi
gl3bsxHB2D1dVDNj6OHDpuki5rainKSJYxN4IuiWbhRuIG1Y41kjOVmGMturgIQDr3Vpp5uUKGBI
FEXsB/7ozLFIlaL2GUE+Y0Iwr4JaKjrKB+VIASn+/UDOb6K+JHa1Ff1RMEjg9Tnqwp/CcjAEXqF6
z9zookkMRdWIYbJcYFlc1gUIoikkU4Num9U3yvo/BIRAqlQwQ6HIusyi16tytxAZjdXOKlnIypXL
A5yuzm1p2F3JRgxjOOc+Hof5ryTJRx3DCSdLu21d6Rf1pVMgfeMlOffUbbswxpTm1ZrpYMyi5fdD
CzZexOw8dIRdm7OVwdhQTACPer3C5rTgx0IlwY4fM5t2wpcuaiWcnNkOthE0brOHjDFNiBiNZooV
LZgqsGUb+TqvBLfGScOwG2pCQLK2ikdKQmo6vGGbPUO+lc1Y1zaU1aKVEVQLKGDopS1i8F7prXKS
bTR0cUw5fYSwXnYrjLnFRrUYDQLqj9Q4KIbLy/gjDP4qCfVIT3NBU3ejCDAKoh0KcybI+jM727f4
05Uy0qD5n5jA8cYBRMbABoqk4mcVd+8IuE8CZsWmUrLVBAS31clEP/z1Ze8gouF8N7+C2WPAChuN
lsmwwa1Fx6wxTnhZrf4JD+lvmV+7dAequxEIvHhXO/mz/iAH/x5u8/ffwGx9E6tFHbbolm2k1YoW
w5OGH6LScZZKv+XLAX+ulIVvTOVlXRZZpGnn/pB7PZir/xtRExajKAhDZUPTVXZArM3A6TmXqERL
63oZSuk4673XAoL9+sHtWpqNGMaxiUWbZEOKuF3+vowVHkOOLj1fF7FrPjcimGe7YZRxt3Sw0lXh
G8LbonOKalS1vhzI5vsZ86xopT60NXZKF+6mOJDju7ZOrS6/KTpr5NmSvchzeyyMZRbWpKkHhPRO
HD1ExpuEGuLc2DN3lG5XyzaLYqxz0hthJkh4hFBAPbQ+HGnzgwEGE8OlmOTg/wWeB40OMUfE5aLY
tWEb4YxJWRujQSM1XgqYaqNF2dgWG4uC0Kl6YGJCeAlygRNg7ZuxjUzGgGRzPYrpoP7FIZcFuVcj
C3fbu4sD3ldwiN7yyjj7LmkjkTEXxZyJqqrh+aVZya3ggaqsPhRu8dyespvIb11KAivZy6G68Kic
90O9T9Fsx1suDHFdSrgSGagHD0hZH6SHzklv4Yx93swb54abTHQsKMqsp7kiOYvkt8u5nJwy+w81
nc2lYGe8BPQj5FGJPKMWPSDvLvdHZBqvGxHOJWfzs6aiLnUzIVsqr25NLkkcdMYzcu1j9cesShxh
+7HR5nwYkyKQYorzCJlG6W0ZiTWIPjoC1PlWm1Q7ml7BDW5p00HVXIyFONcXyrGWX6a8elRm1xGB
kqa8JMU3LtfrP+iegYABcywqYWdZmlbRV6nC5Y4I6MtLbwzER/Hn4lROySXA+IeN/FsYO8CikWKo
6wHKl56HXwp4DZFJPSj30R3qpVw6hd2eMSCByhjUMQ0JTYS/v9La0NCEWadG0zMfo6D0+lPqhY50
T54ylDMjW3wNbcIdA6Q+8osDwpsNvDaqShS2I3gWlKGCucYz5DI6sj344w9Kt/nBKWL/l54cHa3H
hiEiNkAT8u9r7IWqmdICqhnmGDY5SaKbKByHvVtZ1w2imbKJ6QGQg/0uI+uHpi0A/vjR2NQfyA2G
j1wpyF9Vi1iikzl0pFoOeK3VO9xPBOxAukhEA885maUIMpIS0+OliEuOYcDBJwdqhFtLDnibuHfJ
NoJYkqC+jcVyllEh7sXWTVr1Mqg1J0zcM1hbEYzZ7XM1mguA0zpVeTut1qBEN0t97HIUQX/Fbc6x
Grtd6VtxVEc3CYpWHsQCSVgJR4aGVkuykqC6pxFDe4rOmp8Gij+7FTx36+kPa80xmHvRylY6E+IV
+ZBFZMJiAapvoxmZ1N+H9waGMnPbwTMy3mtyL0DZyqPnu1ltKq5mmw3wn/PPEeAUtMYf/TkfAS9J
R5O8mIf2sedDt/KYC6GXAtrBVCgmJsii19HTfcMbbjI/m6zmLfTIRfdaX+Ht6l6suZXKxIByJ62x
LOKF3o+PpehViy+h4yQq3657nF0xkq4Q9JIbhvIRmW02M9bmysgoRwUwfs4JGuOEpT7hsX5ElZSj
ph+jP6ypNDaymIPLZ7XszRgXr6xiNAWBDVI0gyUqXMy5K2b7povGsSDhYk1xbPfKeyVnHgioDqZU
ORqCziXpEmuuXrWmxv+yHoCtcU5J7oZpeFuWktsVxMmQtK/kNCj06VKjAKOG1WPcDY21SuiHU7Kf
ema4FabL6jEP+qRxQ9ILlpEux0FoHbku/VERz42CtmOQGq15fpt1r4uc+SJaGZREX205B+YSGbvz
iJ+RGoCVqkQAwl8/lr2sxXarGJ2Ty0xudSNEIqFqHVgQEsYWSWa7Nm10ctjXhe06agNMiPhHR76O
HfhQ6nwcADYqOcMxPVDj+5GXGRzZU4P/wr0NQ68qxNDxH5TbGSfWJHGBYUZYqzU5x+JtMwZhfZ8m
AWdRuzZ4I4Z+vtHsaFiFUhYQNLYmSAyTAA/c1ZGsIrNMNzuvbv9QVVZFYQQdgVsR27WJG+HM82IN
lXxS9QazY5Dc+W3Qu3HARyDZfTgZKu6tDCYxuE1GTzQhM7spRy8m0gTARswBzmW4Et6H9OWUeLxC
365absQxRklo1hQzQyNC48FWkhSE2JKF0kiWX9BewPGh1Bp8sRYbWYyamHGTmLMGNSkWAKots6Xx
AoHdrvjt7jEqUgm9IJczukw6lwbD5WP9GnrZQXLzY26b5/KGl3Dh7R+jFkWlSeBemJDlL/3SvI/m
2jK0k9GrVl8+c/R/101+7h9b/yaNmKTpgv3T7ylEgIZoWHfWe3Bm2PPzEiw+R97ufcPEJ4JggtQ/
+0jrczMW1vZjM0N/+Y4WuCNQrmksPL60NLX7TXvqkf6LHF5HHFXyL5qC9CdRUWwy8bb5/aajyiSG
4ElEWqY/iro1aqk9mryKxu77wjAkRUdfNSb/REaKQaJ4auRFAjDo4qKr5jiecrwv1tvOqT5KdcYh
uvTcqYbdYzQlk4iIi6UvzJlxr68ougNdWPUVb7xrfK211bsyWLz+troIjpJwDnI3IvgUyIbHUbsM
a5WjQBilwGhBanmuqiCqRVcteF28+4HrRhazpyiB90OiUzfn5k9J8N2wKM5BYwN0tbeKg9laoUUB
x4g7BTxbtu/1NsKZqNksdcQAExZKJzg+sHCc/gTA6A8oHJ0Xte5e/Y00es4bd9SCY6E1adSKMIQ+
FMH7B/Y9nRLZdHC0vQ80p1vaWMSr/O8+6IyNZCbsGqcCt3LBJlOskP4tuf3AkngV0DevP802mgFu
W984TLxWiv0V416iBqvhyUo/36w4X7tOG3UAiI5VbfXD7ZK+VPp5Dh+JyqvW77YygyDob1mMJRcJ
bqeqYo20qq2cpWC0NFe9A5+iTywJXbjrt4IHOsZbH2PMJYBRK3NDxwnB36hOR4lYbaLbEgBZax7B
527ihkjoTdTQTi6h3vP7Zi6VLsjhiv6KHgU7oOtb8w8VJFXAyfLUh+uW/CNlwdrTrSx2M4W6HTDf
RDdToVPcrmCvPloE7Nybg85bbd2TT9UJHVNOegzt1rsuf8+cb8Uz+ypUmCEfcuxrubRWY54rObGS
6u26kF1zvpHyYZo22tkrmO2IkGVx+uZtUQtvAqtpixceSG6CXmnOpSgHem26vQDI+N446VUHNPfF
H5rOBzDueRizP67/pL2AZ/uLGGPYpn0vpuWIDq7oppafi5ZTKtkz7NvvZ+xdVSdqFSuI8vFkKqLD
stpFc29EHCmc0/uoFW72VSljvQ8J3q01jk3Pf8zz93YKru8U1YArCiqzFi1BL+EkIrRR/fk8+Jkv
+c2hv+Fm6nk7Rte6WYuojtksq7gImlW90GbQ+EKe1vtOsdDQ7QJAw9YjS3gqNM7rj7eH9Hdt5OqZ
WoRtgrYZkmfOkClWvGReqPNgU/cM2FYhGJvSDRGuGgWDUxBdG+SPbOjOuZnamaL6o8kjK6RW4+uh
ocdFInhhmmx+dlSnScpnE9c6T3zgpcDEWJLmaf2vUb6Pp8N1Fdn1CASu5//FMXtoLt1USLTDWoO7
NSsLTzFPsFt3fTC/U3ABMRD+mLnRGr2j1xbJbGlG0rXSoDSIKdBXcV4BAk7hDBGa3vP8+r5yfi6Q
sdKyQKYxpzPS0+qWw4uJipVmCzEnbtkN0bb7yFjjIo1yaSEj8BLujbPuhz6qZL50Sw7IQNsmmuTh
9SwR+wv49tD+D7S3eE58HiNbLJtNsuqhAvFkdmvhtGoet1OYo5hsjWwMhyRZdSimYcJ1DydAo+Si
PYA4Pkq9quApJjWzV1SErZcVKUiUihD1svwsXOj4ZGbXbv1Ch9opk/v1a7B/xf9WEvZRFovIzE4p
2mb7ag7MhHhqPoKxXgfykexWY8/Rlt18xPa4GMucKUW1TMD0/Iip26cSl64P2tNfnUWyaPGe8PuW
8nN9jIXOR3BDZGA9dZLunMrPunAseFu4W5jYromxJLGoh8KKmji8DaWUBiMESiAUd/Hf44j9ruuM
8SjCnmSRhMXU6sOoXFClu64M/xDzfO4WYzI0ZZjMtURE3mJeaLmNMotCV/+FHx9a5VHFo8vDwAtH
CfctFaCODUAMoyGUefpMUSsKZDVAsF5eluxumvwwvFQzpx9w951DpE8xjO4NAF00SoD2YDa+P3R+
drNGVoTYVfH1cwWgA6Qg7qIQ7e88DeGtj1HCNiwAjUGwPiP05Nnpw5OpnZacV4fY9y2f62P0sBvR
SEvoQE8U9efeuE/F/pSEegPksdFSJhHpj+dKQrxeE1vCWCBHeegpfbVbn+IZ7VzXqi6SGdCZGbEj
5DTHV9Ol3eog76AD35HDe4fQ87omkNHWJa6ESqRzjiGedMYtyXgbum+JP1fEuDYwn4S1IfYIiG9W
z/DWQHrQUeNU7BRdtzwl2U02btSTRWsRpkrRMoPQXEc5WhLImgjANF3VKq0QLZ4fxt8c/7erx6bG
BoBvakWGJSbz97W0iuJdjvyEZ7h2UykEaTFRQd+abrBp6KEjad+GSHdLSENHJySpbgcP83p0Cpub
hN69bhthzD0g2hARouIeVFFrKcvDormjeB9zx6N5chiF18MlWjMgVNMBS1TBMcWK3FRlj8EcIakp
evIlvTWP/Pr0vhPdLJBR/DYSk7IcUVCdbJqsgRN1BDs8qxadPkM/OAcRa3d0aHt6zD0wxNxsZh03
+4O3xutuMzcCIv0a9Ccd7K3EimzppnmcgvEbF+lnb3R2I5vNUhdJP3ZGQx+9q2uGdhwd29hNhF9q
ewSzpbkCdo/Tr7RrVj53l6W7i+U6I3mEQSmzdVXhQa0DjqHcjUk2AqjZ2bzeojbUsoU+dEaP+Bga
QJoPwKrBfDIQLQt+f2N+W79dl8lRVXaYqJbGuFFUPDtmckkVqxi+5dUpGXjR3a4H2qyM8bBtlo1K
myFnYsZgPUb3ezrbWe6nGKpuTD80vUlWLFO/00Tvf1sf42EjVc3FnoaxlehnhZXq90MIIj/3uhSe
GVMYyxJlXYWueJycekOz7YPfBzIypDLcm8CtWvDOjDEv8oRyeFSh10uP7qfwQdLf1sHBlCJnTbtu
e3NmjDFRCeiP6hbqLvrlAWX1R8pVoqFGiDy3k8UWr4+H/uwvXnsjjzEmpmh2S61j8qNU/1jLNxkK
3961o7sSh7OyXff9KYkdLpImYKi2Jlp/6Quf0B5ZrEy8E+5Lt77hDWxzlqUyybkFea0RyPl4BCTp
WWsFu0M3xliuPkaSn0M1vr++OI5ysIgCWavP7STDoZaqbMXJt079mcoXWebYKo6pYjEEuq5uFMFE
ccmMHmL9UFapVXSP15fCsbcsboCcCqsmJIiOhfExJk/RwLm1vO9nbEMHjoGkzZAHSbrBHszKMXmR
AO/sWbPQylIz1LhCSxO5edIGk/aeJurTZNaHXOfN7fPcMctZp4ZprMQpNqxFvWZxS6exycF4rXxw
KCDsEM+yVdsUYyx/5vkRnj4wxiKuNFNIKExcJx50YH1WfWAKf17XB/odVwwE24Ja5Xk/dKix4rwS
W5/fV7X3hsSJQaOiWQ3h2D/OitgeVAGoAV2ywMpm2VHL7KJ3lMq/viBevKYxtqHXu6WJJdyiWLYA
e/tAUdlW+pQABJadeWgQ4kRsvEUxEYacJXVeTlBIdSgsTYn9YshdNFPxFsaxsOzD3Rg0QcxF+EMh
WL3x0KCPZfBGF6hKFp95k2PyWGo7EDGhPiEj6h2RJZhudPIrbJ+GnqN9HGvB8tmNuqDrYk3PqlwP
+Ryd40J3ruvDDsw48jifjklj7IXeIuMhh2jKqYrCjaMitgy5rS1tKIAOk32PUXJOuinQ28HSu/eM
FkriLH0Ws+m2CzEDIa6WqOJgZdVtdcVt09GJptxJ+vQm7AToMLm0wyDaSpMEZP0ey5jpV9MgVonX
kuFGMsDNhdZxZZxzK4nlOw2knka8irbUrJaU8xgWeVtKzecm3pWXQl7jCJl2Uz8Y0rPBpbXlhDAa
Y5V0vU5r2Zz+6gyWXVDW3Ei34mEEXZYYoPWON7XM00QmhDFqPe1IuWAsqvCT/BRJv7QMPYvP19WE
c4nZfEAfSk1hYlzQGWTDDUVME0mnAZzY16Xspx0+lZHNAJhmgmHSBtcqei9OdJ5Ho3UsT7ntTEvw
55vY5c2cfEynXbHwLD2e0TdC0SvwyLWqXEpZw2wWGJ7I8zwWrYV6AgbBG9VT6+ao9X1h5QZBP1kI
PlphzmwJfCJjtzipXDjjLDhSLzpiqQn2PP5aZ1OzzSb0lVh/n8Fe2y1o9Zlf28K0ekXzdOk9byOX
zM/lsrribNhjXtpVlj+ZYmrlQtsfDOPXJA5nE8OYeZsEwIK2xCUHzNBUWwTQ+E2hPGpx/kqm+bXL
ZmLXg5zYUpfZohH6IKO2h8ywFbmdnEb50YsIa5tFfplq9aQPmmMkmWUMiW2AXdFOUhTR1Flf7KmK
foEz+2jOAHaR5x9mr39TatWe5/o4Ns/VOL4kZn9uFeBnjJObS6isZ4Pdz9+1cHrgaMSuVUeahvb7
oo3JZK5TW9VpWWQzMlBAOyrRyAS2u2NxoFS1IRcvb9c4bIQxdynWOjFWcwhrwru+fiwal7OaXePw
twCZZcKJ9ElCzlxF0vztry4+ioJlABFydnM3ufB6zXZjwY04xterYtNWA0GOnozPbXuMiNujcWbM
T/F4uL6y6zuHmdLfzarU1GTqCHauNwIZebuWE5fvt5RslkJ3dmO3BVDLNMZAyw2ZR+IWnYjHYbXz
ObYU8mgCHGcCaVYL7zWpnDnpXdOngnMaAx8Y1GFtkrRUJBXQa+fEY2PrueYaZhb0pcHRDZ4YZgeR
+BXjPoS3Dauf6KwIxlIFCkXMs7C7KoHWQ8nUDQCIsbhG8ZQns5EscE/30uEvLBfY14fcAQagBQzW
w3yMg/QIj35dQfbTFZ+C2dyZVM2irNGHQn6ObmklUQAJqeaLTn7kt5HRi/rFqG+EMYqv9/MS9gV9
18fPXf6YrPcxoLHIScXwmKJbMOrXV7d/eLqpgW4BmshiCq2NEqZqDe1cOqCtvpI2SEAwf13G/sl9
ymAsYVX3Yyz0IDcW4meZ4K19aaQX9N1UZXBd0O7mbZwwc9WKOCXxmKL5r+ujw4h11CaAFnQMHITl
a4QsAoZCAWLIo0rZNSEbsfTzzQ1PVfjHMENid1LHm8kQb4yUh2PEE0GPcSMiC5PE0BVEMTpGaIlq
RWrHOaT9ut5mFUw4XU6tMqSoKoM8fn4TSsu8qLYEKpvCbhRr+Cm81G5zpqFgzZtL3tWPjWT6+WZx
c9/OaV4hkFFROdRRd0stvbTa9iEGl851DdnvV9nIYnRxBB6HUCio1Ki1rSBEI3ezpTuq9e2s3Mte
DlgOHsk27+gY15wk6F40W9Tqw/KUVed19a8viaP0LM5MsZQ5iBDQxUSxEpJj4tPZ9ZbLXcZ7frMQ
4ppSDqU6wQx2Lp44yLcTwHufeje0NFsOcnvhGV6OWrA44mQ0K7WIsLDKvGtVO5zulblzl0yyIuX7
9T3kiWIMx6pOSqLkCnKciDe0UbLLAhBz0aR6a1Z65lBnznWBvENjTIY+yMuYa+jipzyTA1JOko8M
Lndad9e6f2q7wZiNBoRfmSTgzIh2qtX3Ln4QlffrK+GJYMxGjembqjTxCp8Kn8THuL7rEu9/E8HY
B7Gf5iyh9YJwAvFwA2TZY2PyjBDnNWowhgGviVDQGhRdUgnMEJEty4/q/JrwfMV+NPF3OAiAxt+N
nYxBAwMdZbQKSNvhq/sKGKgKTr+58PnedvV6I4xRsyQMi6aVENxWy3e9u2Q9JmOfst7VhbfrR7T/
/t1IYjXNjELwGcHKzV7zXj10QGaWJzBRDF75Hn2rvPLPijdZsKt5G5GM5mVSGY4adVhR9lIBG1d5
1RLONaWH/iUa24hgNC8k6I1YRJigqMLzYx0me45RLc6Ae74q31Pypi88EIbdVamfwRLjLrJML+S+
iWDO9VM7epV4p/PCpF1V/1sEwNB+V0FSRxOAw9Cf1LfVMWu6oETSqog1P6syTpvyvtfYyGLiWVXV
Fb3u0A1tPso2BtwRULQn9LLQdkbajMFLre+HMRuBMrM4JRYxagqBlbvYsyO72RGOqk3tugD1NIA5
EMGU9jhZ853GGye9fnaKyNztHPNRZos5IgfxtEhHSWVrqV+v37Rdz7FZH3OlTUFbc00Cmrzqa54S
mO7kqRiM5tUX6dd80fyNGOY+J3KEnqAInkMrL1H4UPDK9zwdZC6vPq7FAMpzDCm3phf2P8dustOm
OIQR71B4kr7c4VhtVBOSKsMRuvtlOpbFo1I/Xz8WnhTWfSSpGmsZ1K6Yg1U5E+VRT2VvWP9bsWBz
MIx9MJIhqtuJ5iu89mx40XG0Bq84UMSv0uaZWI4WsENqCSAkwPaNtGIXLRH87vizzyv3+s7t+qjP
BX3kTzbR/zQROQ87eI5IfspSx0SabD6LrbPWnEhl3/VqomJKFMdQZyE3xogkRZWifaNz/2JzrhoL
Scej4Bde3HBR43Zv6kYco+JRv2RVsuApX6hHWbP11qtrJ1H+yIvj2l/qiWdqdzdyI49RdC1SpzQF
twmQPcazOgHeEpHyd/1Qu9GN5E8O5gxBu+rFyAsH149wV/k3khnlD4F1J+W6hE4qobGi/HVF28gI
ns1yerouaH+JqPoYOuD9RLYBR2+NRVsN9KQ1GKAvA7JcpAH8jxX4rgzuuD5PGGNpjbUTu6ShD7dn
4ZK90NHlwlef+kA85L/Cx9lV3CWAD5k5nVP7u/m5SMb0VhOg6kQAezuD6ikhugmjd2m2kuHX9b3c
V89PMYx6qkUuj3GKtB1tR6OOZIAj4QPO8MQwWhkqi1maDRLHwBE9LbN+WJPqEPbf+kjBuE87WznQ
KmPl9frieGfHauQy1IaeA8FnMUzXJILV6phYliubGJ2njjx+LZ44xigD4WecSlpVEtXK6jugWLwP
EWIq43ttco5tP8DR/j43th+nVtDRtCoIe9MD+oOBWNfdVPYE0GRLt0AnY7XP8TMtHBucu/cP5vNT
MBPKCZhJX+oOjUDj2+DSPGhKvAQUFX5kI29yaGLv+hnuvyk2K2VCubZKxMnUcQFpBaUAPFLn9yct
s5aPiEf6NrzyWuj3w9WNSCaCk0ctipUCnRmzJ2ESkxJfZbZ8WUF81fr6A6/MQe/YlyhrI44xMQuK
XOrS4yzN4rJOdx8URz0sNC/txbmELM/HEHZG24QY3V+G/qdQR6cyeU7bGD7J9NCW6kiopTVTxEm2
UUN1bXWMhVkkRe47dUSo0tyk+lGRfLnxr+sIvcdfRSAMoVRpItCB8PkmeAB8oyEmK/oMNFnw0hEo
g1p3NyS4EMDVMZWksZp0sa/L3K/ogHv0/4UyeikbTVVHlBKGTp9RINb1VAfNmboDnmfdnwvbyGIU
0uiaUi0odoZ0kR4ldIdkxxacDgBGcMkTnWg3nyUbQ02+Cmr0R94rYP8EP1fK6GeWF6gaN3j/ZsXd
uBxK6S3hNezvX4FPEYy3S1tdq3LA4jhd3NvCiH52BYCYnWQposExKPtW+lMUo49p1pto8kDDQbHY
yXBejLNRJpam3vGYif/BVH5Kor9ko5bLUE6F0eJe9w4mWjGDYN4qD+KBotOA6Pl/3ULG2a3S0k4D
BU4v+sSu9NhpMhT3MSOv5tIjR/d5F471dHkxZaEJm6w9lrJV/tE9AAMQJTidDqhgWPcBfS+TYx5p
K2/1yhFOL9Zvt13G0IMC7iwRfyN+Z4SHijavBjrnMCRJ/CxIjuRMJwSo/1kC3uAn1e0rwtjGkSab
hhUkZ6Kzyi+h+VBpAWc1PAGM7WqyBCOKSAfCjMzOCibM9xqD/5hj/V4muNJDbEWXf+/gft9Ctmlk
iSVkzLoPoZS/y6JNKsLL/AF0K/2ZeFyBdBXXtpExYHE84A1pqivClfFQXmIg3C4gcEdzpc+FkKPf
dU0WY640LeuXdK1FXLvVaw90O5Wb1UaI7iOb7/E6pr6YLmYvGdPV6iMG/Y1MdKrp2VzPnR6o0u0w
cqzWrhRVUg20kugaSs1Y9MaWDGNY1mE6i3SQYhWduTiISgAjdl0bv9hGupaNFMY2zk0po5FNBPBk
6GZoEqrbxM4n/J3YtX9d1Ffr+CFLBbqPTt9wLPwq+MbSNS5wsyhqF4qZlZ/ZvVs86d78Z+T86y5O
RhqzMrKQeiRKAVB0/aFXA/QaieU9Z0VfrCIjg7H3o6rkidbQFSXW5KJWRdzK788qBnySm+qMvgR3
OAn+kji1z2MN/+KjGdmM9VelKuky1VidUJ8cqa4DiZg3qciLtHhiGNurpqHUkglLLOTQE2diqVnl
9VHL0cNdMZpkEFUDnRpoe37XdrFZElEQcYUL464v70bFC9fn66f1FUef7tinDLahw5yMNAeZGjW8
yS1q23jMdH7ih0CPQ64k0BHPEUe7b8DPqbi1r2HYxuEhY++vUwMA6weiFtt3UbRGUyroa3Pi9VHs
byrjpueNkvJEMIoRd5owgFRXdBbVK5ujIpyNkTfbuWvdNaKje0TCgbEptVySZPAhVPDI7Ute4C1x
K8rnMj5q8SWK3+PkxSB2l3Gu266t2ghlbnRRjoYkCDi/PnzP4sNSfBtIUEzeyiN/3N/Bz9Ux19rs
0hDRL5ylUN2gvRFdi3bIY3XgyWBOyRABHi41peiEYnw3VeIxlXMn58a+u15ks2fMvULfvBCnPdyw
Ut3o4UuXe2IBllLOi49+yxcHDKNuyioxNVmhi934qoSoU5Qsjeh0bQ0klcswNL/iULGaubzXV/UG
FAJoJB15DmXX72/EMgrR1Uu69C3OSbxfveEdSRFMcv40NORDKMkXr/N2N3DbiGPUIlk7QtIFd1cG
rlg//TR4LF9fu1SohdpIYJQi1ogQGRMk5If+r7QjcrnjSbsxfMpI0N+U/soDVdlVRMQAoqgCZltR
2FXpKUmUGmdHO2PiszA6hs6ZbNxVwv8j7buaLLeRZn8RI+hAgq+0h8e0NzP9whijofeev/4mW9+q
OWjqYHduxGp3IyRNHRCFQqEqK3NjgllWQ4QmlVcTRZDak1a8A4vHQrmfeg6gg7cYxt31XK/HieJU
zcarFiqm3FsRrxj9medh3aWP5bCVuHCmPa1Vst4jgRdVpgKJdvFr9GuCpIFsTn+BB92Kb3myFZyP
yI7IhbIeJoMEZy/Di5FfFEgghgej4I0brHvx6SjrZBVIoSoFgPT3o5wJtT4sai/aEsbXzG4qUNSE
vq8+YgRQegwCDFGIGaeFsb+0D5vMOVbSCczzC3IMkraWmk62BCUCrY4co5pericBn4uL75tnYP8g
eKiLLDQGcUoZDTKLqyiLRX4sADSll5JYrT05ow+hq4vM8f59n/ywyKyu0CulaHoBUSp9XMHuIuDr
nOf5/qZ9mGDO8CSjFIDXAjxS8lT1UtED0e+LIbVlgjkYjRPtd+Og/mGNOc6lGkWSOOMTpu2LBnK+
Kvt+fZP2/eHDAHOKha6H+vxIsRztNC/3WXwbGH47/bpuZffS+lgGKzZEFChtxiKOMcpCwbKYIAAT
lEspv0wUala/sulw3d7uqnA9UlHGf0Dk+/vJIloeZ0KOqzhPfCodNMFbqruQ/K/g79W/N1aYzQl6
0EGOFZ4FlCieWHbmotK7ueqcP1gMaMYoxYwDDK4J4ubGD6A1i3FW+IBAnF5y28iRY7fhqeXsHp2N
lbUwtLEygTgqAyugaA96agbVmQY/xYXHnLa7LxsjTKWCzG1EMHaK6KP7huYp7albbhvyev2D7b9+
N2bWU7VZy0zaUlJyvEcxJQTGxUMwe5GrW8TT3G7x0LfhvKh2rylgURQ873XAvNlJ0LZusqoNpPWa
GkHauSrD5c6AEUPZnd2Vl7uyBJ+HHPhcJIf/bayyE6FiHhYDkVAcUeZHmtzKypMu/ciHSyo8J9Nd
J4F94lk2YovzdT8RXTBmWX8sRK0ZWlwhKgGXX5mBWzfRzuABu42K4lzIUOWd0jsVlFzq2BR/EBC3
a2bcVKNNky9zK9q4cPxsmfw5azjBQ17/DPZe3tpgvHTIsoQOJdwnyhXMjCiVWdYoKzS6V1bpEwaB
TCVQjgtoNduqwyWQPdIZmLxFuwmMycV79Bioy3EUABkqJF/UUt8wIncMpkeU4jmR9XM7jdkNxtdD
wRiDvsVoWetUPgYo7MgezO7YOWunGW0n//ru70VyRVYM5LASNJpZyvslGbRUaJA2p6KzxD/k0smH
763yGqeJ1dRn/Pd1e2sM/bQXiq5RQEqUz1LbUy4BuhLGmARZOouM51jrnyL9ewpNc2TTfhikP64b
3P+gHxY/lS4y2RjgAuL7Wa4fVlLOwUpuVgxYDn79+eG6vb24C9VkQvByBDsg+7wPoyHT5yYR7Tha
jkJceRCPAUKHdyOuN96n76jqhiGBtuyzSHMehrQf5BDvgtAT6MOSPo0LJA7Vb0L/9fqC9oMhNIRk
neKVigrT79F3iVGRDAMULFpHco3BDI4rJFF5mCwF40O0AwlPY/Gnrnc9RZdFVdHwLBZZ1R3AIFUM
KxsoWei+sPwcY69sfY0+VY0ZGZwreXfTIDePiowOUsd3H9pcMH3cQEJJxwMhbLQzrgWbVMQdeQSL
e7clsAD/WGGOdpLUcTzL0wLJENEswM3axD6gXObII7b4TAy4BpGNpXW9m/XQoR5G6NkvAKpoRwg/
HVasvAoQJ+84rz/5kxtuDK1L3hiq4ypFz3dY7LqXPEIA1qK8lz1vb5jcLxIXsY4o9kabHGBhpt6V
cs4zg/u9mMwPg1YaiiFYhqT6YHnScSvMBfblkAx+C40TIOhnmRN5d59T201aQ/Pm28Xr2Qb5ORwc
bBrZ1/iIwAT6LmoO32SoEkAQlrPMz53x393i/e9vLM6dAmGaaVzeoRqqg/QGFNrgfwLjumoGt8ax
s8JbxYey4YnvKryPzOqR0UKWUpBVwrr8l6q5+uRVkRPOx7Gxw+52FN4MUnOyC943fk8NNisGjnWR
xmqB89yvepHSoXlNbg1Lvxj3sx8dIbr2J72Fza6yLNP1WNR1ruKQV9Oprs6VdGx4+fD+oSM61QmC
0icN1qAP0b+m8NaxiOGh1UWOa/t60N8PVR8mmLRMz+O2HVdPqURXGc9UOAbjOedFj/2j/WGFScz0
qp+HVoEVIv1qWjsrD5XYc1xgzwaa3+raNRM1jVUQSkA/qRiga7QHXCW1UQMy3Vu1yime7W3JxgpL
BtwaQVXo4BOyC3qrQCtq5j2B1k/BBlrIKEN0VwGTIbSJfg8WPUnyoKyRVnS25FLNXAUSVRON2hh1
s/kk+H/0BtpaZEJ7OENgXIzX18ijfJSdJjIFK5KcHyuwCwo+UHhNLAGsTN+ve97ukYVago5bWMJT
31g/9ebIQgayCaa1WDeC3NBTnQTaF4NoDhhFWKzhW4KBZR7P4J63b00yH3cIAj2R5ggpYniJoVBH
rNDwl5lTqvus7Irwq+LNr+LRDzCuxqxMTDEVh9LJYjeQh5sdA7ye1WDpr9MhBiRD18zmm/SyUijx
5bh3/VPWwakAFUocAuau0Xujp70yo7QRPBL1VA6cq2X99z+55z9/vsHOx8wqdMqSGbF9rH7KuLvm
h37BlGhgl72nx8Db0z851huDTFLayYIuJjoMpvVsyvRCYed/ZqF/36//fDSD5TkAzxk0TyN8tGKs
T9mcuWTszWCc7Lyq7SXhFVN435CNhho2bzCwpOLc+bipTrO7Yp94xNS7WQCS+f/zBUNk3HDu9XJS
dHi7poEWfcHNHxomiBp92sTIsOiD0EBJWXrDoxH5MPUjaNF1GCMVy/loyMm5NCpPnHCJZpUrlMNB
UcPK4gSBdfuu+RNzIiPkY4ocoV85HxU3d1aMT+fIboK8iAfY2z38m8/BxDktTLJWU1BbDMsfIFER
5VeVelPqXF8Rb3OZLJbWaZAUNWqLgja/SRMcViq/5UV2hEYroIJg9RXUGyHqvOtm1+907Tsyia2c
9gMFnyMSW8FtR19rDgEP5bDbeVMVKOkQGT2BT7KsTQXywQhtB2j05d/Ul8xexzPVzsp94dh4oS3d
oYLEcZC9x+HWJrNpUdb+X2+2y28xmd7URwRtiOyUnSf+0bnErWtIEDZHb4c9l4kitkaNsK0surdk
b0MqWXFwLwUOzlAlhFYscFb3GbC+Rp6NSeaItmoT1uECnwRxjIznh9lakW2g0TKee/uVfglXImiL
16RdffCTs2ysModuLoxWx4ADrkHpIk9PNL+FEuUSHcL68bpX7j4Ftutjtq/SKpKijYb3aWR4uSwd
JLkCMnge7+Y2/EKV6YgEN7MUWn0bwpbXhPkX8+AYghoznJataHSiNg2diLwTw6I35LBmUgQPZPnA
g9ftHj/lwxCTRgNY2lUJxBvsWr5X6JMgOF3EySr2N+3DBOOdUilDDa3CWmSwaE8h1Evr1IGACmpB
rYlqMSeOfeaAfHfND3uMayoLJEuXEpEZAqUe4IKn+EZ3V6am0IOeHtC6qRs+Sk6KDJF36Hlfk/HP
sJTyXJnWp5Xhp81zkDzXvNH83ctAFUEMAhyViDYWjsgm+ZxStIrjDibk+VatTiR+bQ1P5b0ROVZY
/olKTbpoaNA+W8LCjNvlRjHaA4KoO1UNh5Bx39c/VsRyUBjRYsxASSIzO67yXOkxvIxgu+CTg/MW
xfi6OghFoJdwRNo+LKgC5bXhRtFroMgcj993wc2SGJdXOzXWQD+xRseVNK73JH9yBzsF9X8EFEv9
JbqRgXAe3kQuwnnXBTemGe8nVdAaaoiUcAy/lMZ0iLofVBk5l/ZuyVpVVQkVIDQ8dRZXAqxdWckq
etLCQfpBf6060vFlvpNrO/fBpPicJPb1gLy/rA+DTJpg0FJRlXZCSgjUPdocyTnQebu2m9KhXqFA
iROvOxYdkUea2KkNnsiZYbYQPqK3Vfim5k6a2hGs1r/yzG3zP0HbraXb/1hlbhoZfAdJO2Nlqtd+
A9XCYXkY3clZxz8UHhxoNynZ2FpD9SZ4GDRKy6GGraC8icTHmUjmTC+B8lcnY3qIc7B34z6RxPVL
AhCpM4cAFCLNUIaIIZnxVmD6SS0qnwrVY6E3riEJh+sOspu+bqwxft+pRUSLtYkSiLcB6NVrVANq
L4EyLXVn5UUqeexNuz1flahwFlFe1ZiZB16lJIJYr7ME4K9xxofQ0R9Ue7FWiVjBrl+vL2/X/zfG
mNglDBDlikrkW00fWkInuZr8Q1Mr97qV/ZfXxgyzZ2Le1EORoqSiPwb32V3vrboN68q6o+oPoDQh
x9IVvhp29wzueuu69f01op4io5OOpiVztaUCjQVDAyCgLE+9dpeq54KntLt7BZB/TLzfRZsDEAmg
ThlSmAiL2JaFxJKb9JCL/WHiwVw4i2En4AGGH5a2Q4TU9JuyeCSkMNv55Q8+mCYpOjXQhiIs6CQE
FESccyRvmebo4w80nYaYY2L/dt7YYAKvTvJCnjPMKOTNixJYemMH6cucnMf8AoikHDh5zznJ+wdr
Y5LxAw2TEXU04tPFL4PdgTo5WZWQS2hLr481HlZ3/y77MMdChdqgCTIjQ5zSH/+WBwXQ9ObvYt7f
6q7XN423PBZdoxRyFg8idq2z45sGs3/xswJFAQUBX/B5Y2T7xcq1BK8akKfHX7+H/Gzq84ZOAE2u
3foxNSM7fIYiqb1ySwh2BrUenvbQrudvLK5ncHPGUqlUlEhCXJz0Qzoe5vYo95xpep4J5h5rRyWr
pg4QBEFwp/iW1JZI3evbxDPB+H1alaWSAR1px9WvefDD7hjFf1038S+eQGUCHnADQvRMtDWqLq0X
BTYiWb0suuzn8ZJYkvZrbtTR7ErjOFSpueTSnaTPxxQtKQ2cvNd/xO46dQkwf4qJdo31xgQMWUqh
42IRZM2pp9LPE8y9jgHnUK+b/unlvjHD3F+KhBEuSFbDKYbUa+octIoRrurCNkSuy+/mcTqRZBSx
dVVksVFGWw1zESD77lpMfqxKJMvNhMgFpowOYs3Xv99++NAp0BRIAVY41u/uLuWDvmQ1hluiyG58
5UArM4FWCNAwwyVwGrt9zThbtvstIYdl4FQj+2DVQOlMjGWOgeLtu2+a8DgHoakqL0bGqZjv5m+U
oIilQ3RUYhnsaZKUtC+wMLF5aPrXQsxMUX6RoseleOZ8wzU5++QdgBtC/wosLoRtvAKjF2ujtlZb
IB1DTombfZewZaueGIAbXzE7zOMhfP8jr5lkHDJCHpzH2Lp3BRT5pjmrl+hOxYQXPUc2RjUhftfa
2g/5Ln2/dybeg2Z3YEndrJk5/EVSNdWMMUqUKSRXdupLcAxv1tuuWwkgoCwIPm9vTSezA7QFk8Nw
4Y/DrkHs00dAw0VcqXPgwMxN2+NySDTAY+08cOTq1NcQX6iPgbY+fk5gzjM5+7wbbD7ssU3IKBzr
qTNw1Y5W/pLHlvoMzm/Bkt7as2RRd7zVgNX5s6rMxiqTqIvpMtUiWU+oYlXDKUpeYy7yfN2tK1+S
VSYdK8noKh0xR7w3bicb9BZebql+92u2qVt5vN7nbggwVigQXlfotTJBJ5mCOErWt0eGhzAIz6XO
BB30zGV72IVWqRtDzDU4jg3QaQTrGq3qPIF+KEZ5RnVqD4xOpjDDPdHc/T7xbqV9x/xYH+OYQ42O
TUpwwVejFmNEq3D7DtIZRa9ZVTDbpGl8oyScp/huwENFQ1c1qmJSZ/XeTeIyELWayDrVPIpHcX5b
uoMSjuYYelH+cv0g8Cyt27uxVEx6GQorcmwGb11rzdUNqR9p45Nw5hy5/RP3sSbWUbo2bNHChqVG
t/I4Bm4sxv/yJsJ3A/jm0zFukhp1HSwrfqGRz3XwoKqH6x9s3e/Px+tjGYw/dEM2ZSQAuEAvqsNY
td8lLblIRi6aEVluxiVLIF8k3SehxtmpfUf8xzCLzdSwLk2P8fxRktLMhtYNi8avNf2oBfD/JbZn
JeWFSZ5NJl6BrjaW4vJ94O5nnaOvmJ8i5aIpHaRN+Dchx0MU5iJssiBNQ42u2dJB0DwRCMo/GdxS
P7yD7U9JQ76EbYGyk9g/SEBvF89qznGQXWj61gZT/9HJFIHcC4d3Pv6No0oxgC4d1+DLE17cD74f
PsHECUGamgRCM5iiMqgDSNhfBaXeICXPeEnylsXbHSZSSHRIxXbCp5uV+IceTS7o+5xEydzSUHyd
Sg9tcyssrR/pqUswE9eDRBLobNvoiUWJyNMJ5pxztu6rtl02hDFAvWBsflOW5qtUaa9KinH/rrDL
gZoiyZ2WZo8QY1bNKUXTRdEPS9a/jjOPn4v3adZjtAmi7UBaiJni00R9+aVMZxMyUk+qFnGybZ4Z
JvQskq4JnQb8/xTnljQTEw1VL5AL93qE2zMDIghNAiAbKGaWQtjohnxM1ipEBrRca2qaDyH1PzGh
iYBQKuAoZqUjOpKrTRZhFiYMn/rgQAwnG/3rJnaPIRE/bDDRROybPtIC2Ggdxa1DM3PDv4rG7O3i
QT7UvM7+/kf7sMbk0JVIeklXUM5L08oXpehQypOZLKPNWdX6q9nrZ7sqJrgUgtCmg/G+qvnXqnac
WuG5Pq+w8urCy+32koOtsXXRG78eZlDxhCLwgCN9DGKr63+VwcVIfWI8XF8WzxATW2ZlSPU2Rl6c
Lv4kPgSVRQqfgrJgCX9et7S/T3ivytpapmQJIPqs7fNSxEyFkbmV9hZoD5PKKQntRSY8+YFIRnlX
E1nuhUqPEuiTIEMIOih3gV2Rx+G8C44jK8yfqpidNdjYJypdKEAXCaQ35xUPbbjJo2CB5hCwB8mj
t9Gh8gJHP/PnDHbHg7aWmUiXFlMk5mtBIxEVmwqxWYTSYApB5A9GZEWZcayA2zOnon0EgNqi+CdB
rX4qc+kiaelbRmd7DjRbiToQEUXda6qkbj0AxQe0mK6VvLf1v3wpTFgCuIrOLdv50adOboBYR4/a
G+zhqT5kPnFR5/QAD8HXkm/Tp7W/G7o8Wpi9NJGANI5q68AQZYtZQVZIWfA3Cc1K/9EdxneAGg+G
sutrGzNMkCsGNRcwh4mkME1PvZC4UfvX9QPDs8AEtroRS9rOKJcNdemmeevU2shJLVan+RTTNotY
f8ImzLRgd43ydF2E1jnAsdjiELuTEN1rfeIojeL3nepdX9VuwMENJ8uytI4uMlepkuRNWyoIA1Q9
5caXVLnp59cgcQfJvG5ot7oDbaT/WGIHFTMlnqt5gaUFAoFL01n9otlG1TsJ7RyUzqxJqjyk2Geh
DnzgrU9VEdw3sXxUWt0BHZqlGpkDZlovawIQXEQ/O3l6lib99frv3I2Lm5/JZPqSUQnppCJoifmJ
BGbW3U0KJ6/YbeBsPwXjrFmLouWowIZ+2/j5Mb5kQCn3fnbkwTbf1b8/eRSG+QmVUJbQ2EpoCxa5
cFqbh4Ewv9IWSSESBXNaQvwfajVJZudSfa/k35FAWiEgAtVSuG3zQwKvcTkAtV0+pX1vVv1izn3v
TCPE4tq3ahnP0xTclES81zBptXSdV2FiWKMRYK6SWZaiSxbh6/Wd2Y0km7UwITeYCiNq8/UAutoR
UPaT5NU+xi85PfJ/cdSPb8YcCSmaVdIM2J30ZXHR/beRANqlF9jZSb4TbyVvQCG5OCb37Smwqi+8
SLZ/Iv8xz87bpGpOi75HHUlugYkUHkJyGvvbprhJoZdy/Yvup4Yfn/T9U2wCDgb/s1HIIkA41C9p
0HlyNByp3Dtz8y0a82NXz8ehuBEM+EVg2NeN7x+0j3Uyh6CrWikCHBsl8+kZNaSsO488gDnPBBOy
IXqYyzRcl1e7c3YHtdxE51Tk14TsygGTmZA9GqVWywWimjDdaQkqpzPINR01cq5/rH/ZKXSVMXKA
pwjbYMiNtBsLDV6R+CtH73Ro3bUQ3Xl/OHNFtA9bTBLapqFR0ATFjqZ6Qj0Fw8+Pg/pFGJ4oScxW
+FpL9xMPK7K7VTquIFFSVEynMluljXkpURFl71h+CrWbsPlixD+vf8Pd+LExwWyV3hVhCKIGQHLV
h1an0DO2heVZayHV91NtvUHg2Nu9zTf21iVvDldKl1QgDQqmWnGn1YnZSYoJTdxQtdPBw4zg9dXt
OuLGGrNp3UizUapRBpCnxtWayc+UN7Uuj2qkutctvUsXf/L5jak1gm0WFhaiMBsqfHHIh9bEDJNt
ROAYj6BwCj3fPo0lqxtSXAf54A9QlYyTENLOY+2EwaBbXSk6NFb9JEzdTktBydxHTlqLgzlr+LkQ
3pWh2bikoZsJD1Mk3ITGIplSNySmJOZm3dR2Gqv2nCRWkYGdV9KsUpC8rMtuMjG05rq5QQ/HxTQA
arexI3eR0xShjdeOCULOp1wcvuGSA9Xo26L1TgD/joIoAeo1B/d7beZ5ai1lyQkTu31lgqo8eoRE
0jDD/vs3AzVnOcUZ4oSMh10MNQ4zgaghOcaLRxpXFM0Uh3mwE5VXueRaZk4WGvMYI1jHesnt6KxC
FoFLvJXLOLX5fZ3dy2uzTOaMVVnbjFGPorOeYUhJBHIuy1whb6y0fInBUH3dE9/Tl0+euDHHHDEj
HYJcLmFuHXCLLJiyAre+5FaH8sZ4/pv7YDwInBOwO72w3U32sBFAikmH3Vybo+Wx9NSfTWgugIxA
AsfS76TKnO95RYjd+AUGGPQGZCDQ2ed0H6el0EdY7HoF9B44V5H/qNxRn3WL2G+qIUuHr6Lk9Um9
AzqmfRWsWJgR+tyCa5QP1zdtL9Jv/3zm26mgSkz1GZBfkP0V+pGOp0k1r5tY/4hPS5BkpNhgy6E6
C8gelZxA8xrd+GaUzZVqKAAFSde3pyabeS64HtwrtlhYttIDk03WFCrxJRe6wF5wV51UU3ZLV3wV
OMXeveOlfSyMxWUnaZnEUYorRRLeiPQgC6HZl187qJxQTu1mt8u4NcUErBxlBFEIEeSV23VdRWKG
DmgZC4x8Fw4U2a3Sjd3xxAMc7ic6m8uFyfLHMlD7NsLRSpeDAer8LD0rmm7R1qb1Y1bcjUtq5sSB
EDPHaXaPlw4kLh5/AKmwuTCNKlDYS2uEbgKbFtKdMYlOJxtWqsh3SvVWq80DcuTDdVfdO21kY5X5
zFFOpGJY1ucmYEWScqsIvI1c4zvroFsLTPwvBCPKxQkWBG25TQ0wFMTR01Aki1WEuR3kgqkmmlkm
1WOULY4ktrjBu/McqA3nA+9Hzc1a12+xyRvqNpUIyniA4MdWTCpTbt1aP9fNfdHfYZJ/yO6n4dgj
OcvPYDKi5Y8i4V3DvI/BXBhSU6VdoeENKXuBN97EcOneHaDmASDjf0FHwvMpJtaNmTplTY5GXlyD
p5iojpoKJ0UYvHEk5qwX1ijhvUBn3jJXr7m250yGZlRF344y9ryx16FhDRCB7hSDegUi9s+8IsNe
tN06GHNiu6YKk3BBcbySXubhrPQQiPiW95xnOe9Trn9/4zyVXvdocGFJq/xqCtqL1NegFcIb7NwF
Z25Ww3aX51BIckrhIeQx+5LeqM50Mm40OziUJYL6KlwrPF0PAZyVvddwNivTAiGdx7Xe8LdAUOz9
dxXS3Yi+XRkTasQWJaJIxcrCzCx8wRy98i/daW1gN4CrkqwVfhraPPL2XTDe1iwTf/S4K4lqYHnB
c2fLFvg0zOH7KsXZnqdLgYvk+tfcSy+25pggExdDXKgrLCGkj5FiSqhsa86fmEBqgeQCQFEWohVN
CVniHEMp1KiscFrOGsR69HT6n3VdMDWHwh2IQUWCYWIWUaTlklKqOqKHqLfOMkEvms4nnf5JQgYS
L8gKiXh9Y0W/nyw06JNKjVayiwWMgrfp4g7y4/Uvtpe3AMuGWRCw3mKGnPEBkmtkXgbkfCm1huiU
SJ4UmMHktvPP64Z2pyW2lpjtb4W4Fox1Hn60hvWekZ3qPPgTSGvKC2qXx+44OILX3jX3IB+98Gp3
u0d5s07mU/aFFBULeN/Q/65NTTVFMTRDMGCUd3r8RDB1tvCAp7znHdvHE4pO0is8kaFYbhtfIqu2
qC8/0dAGJ7MnVCaPGmW3qrF5com/e0szRWEYauvTpwATeBx6RtOYE/TeF7GCztFslf2ftPu3ry2m
JA+6OSWLBvTho6K300jwiB7aUyRzIoei712bIEzAkDG45ggmpH5fmwIVpW4eZ7hpm74Y+eRH0wAU
ZqdB7gXo72BaLk1dPMRLfAHhnxM3sqkAK9bNyI71rrWHsfq+QO81D2sr70c7adLH1AieNCMNQRc4
HiEz95BP80k2+m/CNF5kMXWiMX4Tu9RZCul50oJXKY+/qbEEVTrRGcTEwTuNolo/mDRU77F6M56q
A8qxr+FITgTnaAzGZzEk90OrnSTM7laC5IrJ8KvEg9vMAtUCb4OVyhgVyoDvLLv+JgK9ay1EXt5E
GBTvSmACcl02wWlpDmN41yeGFYaT24DsWK7QIIyDR1kewYC44F2rQhJwgOjqIpFD1QEpJ4RflTI/
VpriKn1sCymaAdXiRPpwiPrlhpLgu658HdXwGZRph1ER/WloboLgmzJ2TzqaOlHUmqGeesJiIBuM
D3k+Hlqj+x6hYCAX6OgniRtmzXGUqwNBk8jIRjOiwd0sgVtimt8CMlnNWN+Ui+qJ6viaStljqHSn
WWqONJvRlp2faVhDmgRU5bHyMzfkUzJSOxyaWz1JnptlfmvHpzxDVx8koQrxyoyWIO/CdHKrTabU
B/dx30JMVy/vUxKfjEo8hLS8BInuk7h1o2K6VGQ5pbQOLbX6URl3ARU6UynHh7YbvCKCRl3YmnX0
JkC8ToBuVq3qsanQ8lltCr+X/xJD5bYtMn+m7c9oib2mDU8ARHvKEJ2NKLZVTfFGo/mK0UTTUMs7
YARMrRowMNtbST/7g6CbnZhggLWmpkB6DzKVdqriITrXHoaWkYE2pxjdtCKMbKVHzQLNoFQOfspS
9jwUmmm09LaO64cuDk90JPdSpeago65NaLreVwEEnKKyPkzd4xShgaw+djUa1+lyDOZuAjXm6CZj
cacHlY85CTdNYrwz8tkHM+CtEgs/w7RH4W+waDE5rZDjZdd7mQAhqrI/dnF/iCegvUkE1DwZ3LCv
XLSwH6sO9SMKNIdU3Q9CYElpeVHb2gyI5Ot9ZRna8hMv+1+ZGoIGgNgp+leFUIH5MsLUX5Z7xjza
0dB/n5bUpXqIsiOwsVDWaurqGMTis0aq7wH6VUQpn/uSuDrpQV2A0eBhehAm5aYzFGcIA0/t7xNV
tUH53JiBOt1Eaf8rl7HVBgbjwGZiptKvoCUeFX4EOhxmos0pFXIUFisrq4TTUoTmNOjOMuehKWVA
J+Zzbg5guqEpIkek/xX2sRc30IbMlC/TRCyQG/p6ThtXFelB7v26KO0Wm1G1OqTWNChkLlpoCqlu
TxD0jUccdDAbUzn1qtq4hMAjTGXjZkpr9kJsrfJbWqQDsFY9z0H2XdESWNZfCBGcJkXhs24hRYM2
vY/j5Fbh3ZhHbqRRq9PrxOqS+CbNAPkdBmeWCrNIFPRv8QyXxp9Tqdp6KLxUYn3bd40DWbjFqvWH
Rqm/yUZ2kJr2MtP6IZ6ITZYf3TJ7eZD6GTnThphCHL6RvnAEHQFUo4MztcLDYoAgasRwTTsXYA/T
TkFvvGInzoIhZ6ZertQ9821V9/4AwQ2kFnZKqKsCjzwU5IZk1Ae05RGoJxBM92igiakZgkxoFJ8W
JCCKEbwgP3Svpx27VQsobGNkTVN0Hbna7zeHCJmdYQa7NapAa4oLAlYXSl3vsia8F8reBbw1xbwp
qTC3GV0nDIcZB48CRpJZEtCF5Dhkx2XkFWTWhIl9Smr6qhMDxlddZxFqUiAHU7YMoMFvU9MgyRnl
EM7Tbv0410wwD5O2DOOygNim3WSDCSFKP8lGiw6TfX2T9t6p25UwSWiQLpkwaDDTxn5dnwIoqM3G
ZZn+iIcIU1sg6UaRFjU05qmqN6RrChn5ykI9OpqyfA8YR1k4SJhEwQ3ye1KfZF7mu5di6+/FTpFS
zAcxqxMiOs3BgtkVKH5/wwz0ZaowZlUBg6n0iimU+eP1r7nnF1t7TKKdRbQkSwW260LW7RxJmTbH
vNLVnquDbUVToZNBDEAwfz9VE1mMGoRRsIGgrerTAeqapoBBgzGSH+IAFOXh4szFDyNRz4OGlCQP
3TjKcDEgYooPSlvZQjO6o/o/SwfjZYaJZTADqqDVw6TO7z9MyYw8EYZ6RX89SJVfFCcjaEwEzT/4
xhszzDfWxD5SRVTlbG0ELmdM7oEv45j4/H7A+xIPMgVNKcwry6zWn5aGNBorSI+XDvr+TmHXgM8t
D2Asd6BSxylMfXKa342xWn/RIDdGH1IZt88vEkmmXB6ufzHecj6FqwbV2xm3KMCu78KyIPdAqehs
eHgMcSs3XGtM5BLlNBjjSVLfrQ2PtTWdVFszJSs4RYCH/H+ujfG6sV5UCWK9ynu3C7rEoLEzA7e1
o4P6atjk6bq5T4eP2SvG+ZQ8aUrSVqod6bc5cSsIryTUDnAChyH0eDSz3E/J3KBaj8OrK1CY7d5L
lq01HTRfheoxyA1snh9+CpbM2pg7FDIlqFUoEbHD/BdRz2Hem5l4S2SX/M/SVowlthJbGhGtcni8
3vkosQsEE2+v1zdK/nSxMTbWndwWEJu8j2nZqah5jE79gOTjVjkINzN6kaC/gwx9ZKLa4q90zp1n
2BU+8exkXuQL3AP+udrH/BYmZBv9AuLnoVLef4vorLxuw0F3VFPw/pvaKWfpn7pvgdaFmY4nd6X/
P9Kua7duZAl+EQHm8Mp8krIsyS+E5cCcM7/+1sjYFTXicu56sS/GGnCfHvZ093Soukt78TGO++M8
anYosLa2WJKoIkRr5HGkcCUe9+WrVjbmknlykeJtau5/Tca1e6tRrD5mm5QFALILxeaMywCEOgF3
PPREPXNgoflSsZwKwyXToUzEvHltTJNs65MperqnuWTRVRUBy3UVWvfAtbb3FWQdJOVXBj1X+AWr
dmDPRXEsO4pGZPbiuZmsfTmfK/kfTZFmHhIHPhqqIVbenHPlJm5zmvxatgufd7E68jj7acEKP8QF
f0hlKZlE+dXX4+YG1LlxI9mzV/96Wz1/afwFLx2v8WI3cP6At/pD+KbxRtquyIIlqSUMRQ6orkv2
4ouHxScUWcG5PIQeCeRk2dV4ScFc7zDO+FPqTulLuR6pKwND7oGh2DrtF8WNndIyrARjGKh9fgfk
rxvcCS8MmawzplxMF1cCCu5YquI0T1M8xTgIAWemvL8sLyN31wsY5pmuE1SgpoMYK4z7+fmp91Fl
GptELoyqkXOcOGnXtFb7E0iA95yXu9post5623cFXQAwDMnYDqKihyrEXVsli2yLwdWij24oXilD
acrxw/6Zbn/GdznUZ5yKoUv1XgP7OUae62Ixc+PbmDKYkj5DsL2d3LsU6sMtSpdwEzbi3mKDcB6P
vcM7qQPSmgotoeQXaK1JrNIO0yV009d9FT/PCn2UTs/VFipGNYUklfHd0rv0FDsdb/IJSHGrU4OB
3smLbSCjPKGsBYp3hmzGd6RnC4apFZt+an/nicY1WOwwq6RatbfkJh86i9Vc8f6Q2Brju27nOX+f
OI1kvwRo7/MzqUjLbpse4vGQR48B4AR4liPYDlvvkqjctIniWB8F5N0SVu1F9PgEH/U2Wz8LKhLi
2Z688VQ6+qVKzH+9+0l9WCqg8FOEibsiVewAWL/9T4n3edkTVcZR/sO9f9eQ3KG1a6+LFgw+rWQL
gklALHNPuuIeJwctdY/VR2Lcx7eMbyULyHRRP6uDbCdcaSkLGgdDRgaZWCFyyy4JlCnBvMBkIj1V
3OVZnxYRwtVoAb7MijGHSe6EYaGd46h+g7jBnUbfYIwxbWaJa7lUmJy0CXA6Kaq0ZGtrOIAaxlUP
lVMeMqe6ZB6rZ/V58gQmspZH+VEuFvK0Sd88z2QTrx07qCfzN3IPknQJpPY5mCQvJSMx3/qKa6mU
V81DJWujDAX/ClSi5QHELbLydd+zbF3wtQjKpaZdanRcrop2r9/X823VZmbeWQOqMQPLh4kbqc1K
FA0UAg4mdMNqJMAZSpyciXEhl2CAAUzjBLJtf18vcmfpPGotjMq2eWHEhpWBwKdIP5qqfmyU9G5f
AuPjGETd1RUzlkLVZx7q8Ch6NJ4R+1LyZV8Ey+zotrfUi2MyiCN5mPEW6o7WwpvBS1V7g9Wj++Nw
hx5lfnQA7H3BIsMsaDqEcjSWukeHx9bm6DzGV3EQozOhHTW+PWRzc41+44OoZffdbJyEIfHkuHG7
RDwJmKzLytjMeRTZuyJC60uyJE674pMcYdHwtSG6NGJr5WWLtf4yQ+G/QF9QwPbivgqb9YC1BVDu
dtKNOh+FVPoNBoSaenjk8Iwk1zU6stJoljFQ/ihT+1zXkgZ5VnvOJ7PlazOrWax1TJUoL9QIAVrn
8t+1KcVP7Nzir3mMika3LHoKpg1Q3qeZOjkKSf0mXTh0QBBH9MaftNDPk+S+0NOfmvqt40EglEpu
lGOSs8h9MZNBQSYc0ai61sGvAzwbs+KN3hSrHPtHvd9n0ZeuS56G4l5WAesg69/iEe1bzHyzYgTL
31CurUS3PYtlhHWC5Yn9IHQwzeLpN/RTcDexWNw388O/DQ5/oAYbDE6WwWaMhzCRtxwwR5GYBYj0
9B+NMzmKhWHy0VTvUBR1/sjUJRVk3mD6kBTK1MViqLQWI9OY1usd2ZKd8GhcDWD3EG3xiZUtfd4E
fouF79IoW+eqKZ37CLGwdvpfigt0NHvxwkt5MZz4IFx1X8hmgJ6b0gM2Lhiakn/7s1t/l03dAEWL
9TnLZrh1c7CLmwwgAeb0Wj3pNylSjgIFh7CzjBe0f/6jYOoy8IPIDxIPwaRExuG71rUZXXMWOtJv
EHSRD/g7HwDoDLnESPcUpox45lpxBoMDHDGALEWr9YKDBiw1zorP6Mqo15CO1zmKSPNr7/N3+9K3
vdrfp01X2wtsDqOzgiyr5GcXc0loOzcPYaOwtNyONu9yqGAtT2oaYPkIr8e6FvF0jI9NrJwqsv3D
PRcccxduOzl4l0c8xyp0i2qXdo2BSg5/jH1ssF4En7Oku9rubYyEXvCCy5/2T5IlkXrdFFKGjaW0
QCaXuc2A9eV/DU378VKq5AesVBq7qAIXFfKdslROYqo48Vjc4X8ynCrrS1GeZhwHqZliBFVJ96Tw
JiFsrT+HGJtVLMRYxk1XKS8jzVEL5HDMoAjiL0AjmmTVCkMpEystZdk47VFEbmiLBC+lnPslYAFN
O+esRVWWKpTvyEN1HhXStBq5czZHGPb4Eop3EgtXiKUJ5SrETgFQx5gjXqNYJwNQ+ocBJL59O96s
iSLE/BVq6Hr5HHRjHQ79X0FOwFJH4yvOZIlu58X3gcOE5GaYHL2ywsOuxWWBcxC9+hsp98Rfjav4
rEEmj94Eytq3oZufWB0exmnSZXTsb8v4D4VJDICZHHcZs28N5tz2j5PhFuja+VQIstpEgWz3iZ+p
iznO3/cFMExPo9zCkBX9OKWGiN0N3+hOXeFXU29irZEVH4mL3olTdK1cbpVOXipcV6MWAHTUAuQP
jKmYP0NvuDejTjq34zPGBe1mARFYHTLZVVhHSfmLTO6FpWlkUonQb5sD/5jcB3YquIO1WAt2MyJA
j/bu/umyUiG6eA76mDLOgSCLkqB+7H6030YvdAwn0UyC/gyUj2vjZvAwaPbCmlL/h7fA+0WknEoU
BsCmFGGfyWGwybUY/OU2Q58gd0OXxdfMlEb5lmCO4xQVIFKm/w1nMJxCTzWVY+dlHrMHz/iWdIW8
nbt8lmsU6BPDlIGHq91k01nC/Iv4WBuWqn/JMfxXntvAlNPbkIXAzlKWRpzBMMgSgwNZBhEGmWhQ
0UnOXoF8cVABb8N6Zv1DKevvD6lTyUgI1EMD+9CynZ0Fl+BQCQlaIIOlfieZXeJVHMPpMByqTuUi
kjonQQq2QHsqH+LC1sTQVarvmBGWVGamRf6tHbegU/4n0udo5gSOpM2qRwoYiT34hb9Ygan6o89s
JzHSZboemce51CUd8qzOfkuX0UqqXmsv9TN3eBIPM3gkebu+jiMz+Zmx4H8/w7J8TMJ0ygfJylJg
vhq3RPSqAynwdkcAjJgxkz2OpSaVtHS9qMtBivEDvbZ6+VnQcrOYviaaq4aPU+loQ8WwGUYc0Slv
M0252kYG8j5es/n0lHOiKS93ISZ89z0qI+rSmzFNJmM4EXitdi61jjH+0pfW7QUWLh/Dv3yqRKa1
EBoaKhu5VlmCNN/lUc4YPWMoYlBPmimquyoIMMYABPEkv5UKb6xY3DbEM+xcLroCCeC/pu5iNBJb
kGKRFT3OagDr0duyy/sxa72VpRHlNgo5zVReh5/q2zOXPg/IlUOGRgwro6uOM5h6pLSCiFo4xMlr
xF8EzFWPjDcMK2obRNPVW4kUG9sIjAZ22Jco4wOdXMBUtfFQl6DrUQ30STSnTuenTk4qMw2xpyFi
eFqXfX0AKEAO8qyqw76AZtVxw2hxsg6Z8iACtrMxioP0ukMDDEASJRrTcsNK1lhSKPeh5V0UCzrK
ytr9gG4GnqQA3DAHZwE2uWCBiPvVsOOn/ZvNiDoG5UEiQUkVnkckCAf9FHaPnKL8mJvyum9Dv1r+
/dLyR1dMU89WsQyyhwKJb3+Urodz70Vu5YcHxZuc0o5dVsF8XzuZrv0lk56U5YITHcTzpDoKkDiW
yY6Dl3p53T/H/W+HXbiPxjvH7YhJV/LtuNtAs9swMZeBcUP2/aPME8ezuiB5PAeJ0iG3VHrUsYWH
kcXnt3/RsTb4UYBWpmVf9PCOWn9c+BLohj80rrSNgWHprM9CpR88H/VtBz5zOzew4cFfR5puZ3Jp
jvKhFR73P8znzcE3k9OAfwYKB12jOdgDLuO4YcJjLjlwGEL4LpOeA/bDUSv0yBgN0oJT+Ty7KDFh
U5xlgdt28S6dUpXjKj2oA1JkWPwQzNWF8NIrPeM8ySX9HHHehZAfsTIMcR46FZAOGFHlAVOPyDNO
gOHDvEwKwMmpT82+6pz9Y93+hO8iKY84xnOBFxamLgo0jNIRWy9dcJjrzkEZzdIWzd0X9w/p+Ls8
8ntWKvJaoQ5lgPv1e/O9tdLJBErGlJv98+Cgd3Rb/WvkJcpwKNeI+bm4VTsYTpNfc7pZxb03y3gv
dzZDt+208V03+hXXtoYeBOgf8cfhAGr1yCVr1MUTf9AP4eGNn87qX6MLKAf0q5wxKLh95/8WTu/F
90nJySVpJ3VGao8dGr+iYi7y7CUC69pvjlqAFvivq0hvxGtNNOdKBkUVs3dQNbfIUNvvQTZW549x
phLlK5WpNJq6xkx1cugOMfBQgY309m7b/3aM603DrTdhL/bolOKVGDyUWNBSL1HPoErYHK9anxrl
QjK1zCbwdMv25KKl/YM81lDqN0p0TcmzKXX70/JSvjFf9EdWve0fXt3v34zyLcrQKR0I5ESAvffO
cs7cyB1w6VzCkIuK/B8WUN7lUY4l4JeCQ/kNtZvL5GKkw+Ms8aZ3F4fg0rCksayE8ioztuerYkI6
EmiARxkPhpxYI39pkuuivAmXJ1GOWZedYTEy1Y5UhDJoDJLlktdBYSeuchUeM96snAFElGhNXvB6
GzXzP9kpTaDI5/EoYgUVgPWq3elmCPhP7XZfBMtSZOrKZWHVjTKovOCiwZlutyapQgfnGQSz3YUF
TsKURuUqohCNaRzhVjR5hqVX7FyHoa+q4RVXfc054cJjxbqfSjPO52epGT2e17/sK8zwnDJ1L0VA
7QhLOiJbqm1B9XAr+AirqO6+FEagpTcQm7EwillKsGapvvLKMeDuBuMmw1Qhi5SepQ75+3WEzSKN
M7CKYhfzTS5g4Vh7kLVjMDGbxcQOdrIVmbp0pYJFd1VDltIA3G05gM0cO5XSLVnlCe5YcYB13agg
PiTR1C8iKk/jwJkBj/32ueDNTBMe9j8T+dh7SlExfGnqppfTDo/X8pQOD43yBxtWqyBAoyy34EVp
yxwTfVLTAmUQ060Ri7CToYJCPWGKslDQ44WIJf6WJ1dx9bx/RAwDUyj/UIFBIlVDfPdZ4gGr0Lui
nmLL1R563tuXxLgzNOioYgDwUQJaiC3MN9NgtaBFDP04uuv6l31BDOt6Q9Rc3RmN0wNVrzFfVLXH
Qb8tU1dQ/6BihRlH0BYbCgZJVCr+ylERGe2AXoYK2OCaK0718qsuVIaX2VJkLYW6/G0N0L2SXBOh
PqSTn7SvGQsJdnNqbi2DuvcZV9QiHmKkWSG4skOmJQJXvWmc0SapmXo1WiwIps3hn7VM6vrXslLz
SY24N1rBpXNnqzuUtxjsPyS/Qo8Mw3Ze9DifIoYBso6T8gYTL+l9nqN7PejXRun3zbM2MURs3daV
ZnTHt9bzNC6iUrHrBXS3xePILNpv+em1BMofSEnU6rGGCPt7ypEQj+PkbM1D68xj+enNeL6WRnmH
UQzBQzvitUUmeWSMhU1Pqj1YnFcdQ1dkeFPG96EbvAXgPwxDwxxlrbqC6Ovgj2OtDLFEkO+3cg0x
2C3kOK8UW+xEK9CfRSVzk+Zx3/8Q86WjjoQ1ZRBUYtpbpatOShrMIj+h/p/OmOuz5rIwjepLMJ7R
EteYa9vbKr1Loz6REWRwETLmnhsMj7q9l3rKApLb1Ipjk3clJzmGdvo6/UHtda0jlegJ/DJpnIxK
Q18Atz5X/Q6AxLXU2PtHyVKO+l4CkPF1dYF3whq62j+EkhmwihhbYWmtCfkJK5Moyy4CiUiOCb32
bmy+pHhjz9dj/rVm4b9v1rzWkih3vsyCKFQtNkcHtzlEmIrvPRWrAH5wQ+Yz2kPtAunzKjqKJphJ
fPbMJXnE7Nkl5erLMtekNIT83rjK2slMQSCgzf5guG30qNeTGU4YHZpkRh1sK8NYq015+5zPJQUQ
+3gTaIdywouu+jobXq+Hzr6tbD0b13Io9y5kFT8vEkZYB80zhMksSr+sboPATLFmhcpvCQCpfYnb
3v7vq/fW4lyZTtbWwdTXMB1BaBYzMVQvVbM/SGZWWr1Vb1Yy+i7t9TJEk0MEwhPGa46LzHmlmPn7
qjA+0lsgWImRlzxuW6DB2pMse0WeeoP4SynV66iNmIgdxDfs2OFbVXElC1wYXAQUcOUtqJCZwtBR
sS+dXZWYxgCRO8OHsFSjfIjCc2IYGHgE8KoZoIzWZ65sPMTV/f4JbmdSwAIBEbKGPJbGQQbXWwZk
Jrj98VgdAJP+Nb2IL62rmnjZW9XX8Lo8sRY3PhMjoRoKFP+/ZNL5xlAtgaokcP6jJR75W/ko3+pH
cJw8Jhi3bZzIn93uSDbCRMQC0S48Fuw+S2t64iwexrrnR9QXluvWAesDCIRF4Ey6ogukITvxSEef
WWYgSc4nC1qpTcU8Xoz7SNdR4JM49Tas7qdYv2ry1uKq+CsQPs2mSTGggYmURnmYZFbtbzNirKRT
sS+sy6IyJDxk5gVXUX2p1OSsSMBsGrrebNTo575hbcbAlTjKfqts4DN+QFok949jdOyE49gwXCdL
BPn71Y3sqtjIKw1OBtATgFkzR+NQgF5jX4/NiY+1sVLxD4hW6cDFKDTXpZOJfioe8+ggYQy8Twfg
coVmJM9WwWLS3WxSrMVSYU8OSwmTJnhBd1h/09zf3NLhucHofYM4Kz3sq8k6SyrcjXKWc6WAx420
8C9ynV6VneiVacB4gZKvvncFqGg3haUYVzPeAfMYPOqZ7oOVkcVmsOk53y2PHi2rObBj9Q06WFXo
8FhoT4NfQHwIx8HeP7LPYLkf3Rg9RDYMVTjxFSJCcpi99MpAORtNaFt9IBtvJSBXRFRgWXGB8aHo
WTIF9ihwyoi8BNMz/c90sISBVX3ddBUY+wdOmQGIS/pJM0lhN6skuQRMJ5npwgQZUENjjAFPM9nB
uBPNyBk8EGb80WVbSaa8Bp8k3aABTwysV4BMcqNrAEXfyf7/IYmlI+U8VCPrJjnAsAKpnRP/r2Gd
JvbCo3AX2BrmjgF17GLlM2f1CbZfpysdKYeCSXGwSCe42aRmqVqSj+a4rVwIcHR1Ya1Ibb7qUO+R
gHcsgR2HunAyHxsAM8ckYKIF5jSfsbcf6r+0yawls62f9m/EdmB/l0anlsGoRzEqJKQ/HqPdEhxS
J3Q4J7YC+3t4LE6D1Xwhq7TTS+4atnqHXu/+L9j21qtfQBUahEgoDFQbSGoxOsJZ8AkIOH/GlvKB
IWnTla0kUdG8rflsTsmUhuypR9mq3PioH8i2q2ANno7xLNYY6aZfWwmkAngAIs4gqrB8VgVHjbuA
pQ1TSge1ZdQziEV8ctErMdQVTCSN6wDHiMQTA8+9N5wkTzuKTAoRljbU/av4SgiLGFXCrFKu1KIw
K4C9lsZ1OsYsm9jM3FcaURdOWVJDa0hsA/BiZvYewGss6SsZUM2cNDJHJv4xSzcqdmfgnJ3mjrzp
+glzKWDuMyxuQTpt/GQYIUs1KmxHc13MOjg1kSUMNljGrfpSWuIhM2usyQco3LBi3qZA4F5pAv7j
BXocntOEOlFFVFDIBmRk5cfgJnDJaojqgqbpwFpP22xYSyt5tIKEcaNDSdtWv3Z24C0H4Ym7a63S
4l9iOOkCAHRQ08CFYy+Yb1d8QTfBgx6G1xW6X8YNWpYE5MbJFwKcA4TkY/h1fpEWU7mTzdEOreI4
+0FjDaz0bzM6rSRTJptphlCMCpoBhigCAOlHNvWDNbfgsdd/zSmm4hl2tOnMVvIoiy2yDLShEVLp
qPUT2W84cFzdyDPG1DlQYhmWNDz04p3Wl4AOsFMwasWMytzmlVn9AOo7K20kLbEMFJKw/q5VtrE8
SuVVLX5j6LmZPa3EUOEwirQcj2rkF6ALqw65EwD/7HUKzcGqDyCFxhpJ4ox++MoQS2LBJ5/6Lpbu
uCGdyke+QkIVlSbhpZxO/WhyX+LDaOsud+gUa18g4zTp9lvf6IbQKBi+S4VLPVdm055HwxexHb0v
Z/sdvVKMKL56giXtMKIogubEaDVnDP+b9expodmZhCxCOs52YwHlWf/XjLQk816JJV5qJVaO5yyV
eEzkAJj8BTtBZiXhI5ax6BfLNwkjvAw1GdeD7s0tpZ5ORYfJu+ZZ90RHAm7NYLYu6OJGm6xw1KfG
3RfJMFR63zvKZdRcZ+yvpmJh8rXRmmJSWdKMzG1fEMPTKJSniapc7YxFQQmtvM6mHwv33EyLWfe/
MLXLEPUP1qKLgKkCv7RBl9DyJZLrGcy5iFaYpuCd3AEPwXX607BI1qRYBWCYr1n9me2XtPIulXzc
lbHMY6E1U4uPl5wxdWSDXAQYbzHZGfuSoGbN2mrdTkFX8qjMJsWyT53UAK9L5MhqefCiZpgOrePM
GmXjqCrgOdfaixakX6OUhUC0bTbvulJfM9CzqOZGFd3q5FHQbmMQ0/wRYom00o+KFaGMeCw2qBi2
oFo2FzsHOlfwEB7RIXAa1A0xWyW9MLE/txOPd82oAMFXaqR0ZDt/ucfiD0AJUiewJwDaA4UE4BgG
GyFlMxFe6UnFCl1Vh1ifAIIQAcKpz20hC00UzJXyWwwehCG3MpbbZpkOjT8mFLkawH2R6c3YF4C6
0AHMBIZ0ZDWVtx+h78rRaGNgduhTFcgteL3EfndPOm/qtYCZMfkps5j8Pps9nJU0KkzMYRXoQYwr
WJwxqmm2F/mgYYaSPzFrrORf+hxp/zYTekK71DohUmO4mGZxgSVHmBaS7FbLgLPtJEZ7ysRjqh/5
7qpNn/cd6XaMeJdMuRkgo+uYRScD79xxKJ8a1vr/ZjYqoyaDvT1Dxx8ov8IlYy7NYUQacWTaD09b
bC12p+E03ebguZr9+LV+LTwWuPtWLrEWS7uUXBVSpcFjBrkLl91K8qUabDV82T+9LcclC5IoGKKM
6Xq6+1y0TY6NLdQpxPp7ORyU7FfNwsHaXApay6CsUCmBbDDrxDEfGlf4EV6RlJ5AWYOOrMbaYORj
D8hWDiM4u/e12zzDlXZUvhKldScrAmoFYnSfCZmpckc0w8ypZWTRrFOkbDArhSCZCRZkBEbm9msQ
2qXESKFZIigrFMF0k4kpsGfj4tRKT3VjVwljjJwlgrI4mZ+URCPDXbXmCqlqDfo5zlgvrC3vvjYG
KooVhoonOnGAaX3iB6eQz/NwUZVXAZDg47UudIzkZ8s9rOVR8auZ1YJXCPFPK6qHtqlPXM+7+1a2
kcrJ4F/QwfuqIruifXqujDPXJCiuiynSRU7xDAkAdp3qqoN04oLusC9u4zN9EEddpzKPimAOdDzN
p8LPRtGcx/oUAlF6X8zG3ZExrIaJFCAQAkifMjjsKXVjWyGl6aTvGH/p1dqWueso+LUvZitN/CCH
srqU1+VGDXF6hBUsv/vtGfQzyUwToNdFjFH8zdNbqUXZH2h0BiHvodZgHOTA10E1yVoCZJ0cZXIc
xjamUcDkRJn4MgBcjOxnb4C65Qfj5DZM+8PJUYmSyqtdm8y4r+NxsMsrEM/8VE6h0/n99/aMAa/U
kRhtpI3Lu5ZIL5rInaaJuQGJwXzR5C9J66FyKGpHNfgxd448ftnXcPNivX8retdk5Aclz2f4ijk/
ivLV0nw3NGfGXnbGMArGF6M3TXQR05gqae5U2blavkdg1wmfQPOzrw7L1OlNkzlpsxo0wST5I0U8
5Qkza4fs1KHznhzBB1cyHPpWtvnhe1FxqYkkvCZlZGWEmHO8TE89Zyq3i0Vw+pTE7FkrClvbQTLw
kNHORt9DBjnIxzeflo+jLPUCns/t3RxfksWewgYNj7OqnjnZFAof9GbBmNr7J7t5qVdiKZeo6JXS
LRLGCtLmtR4vRnIsJG9fBLm0VIL7QTMqldDKWYlrMQQugPACBhdJ9YTkkis/l9EPlNt9WZvXbKUO
9dnyPqlFVcdnE6evMqiequU10u/FCkU6Ly+eg6Fl+PptQ1lJpJw9qKGUmYswpJAcQp/APnNW8iR5
kV9hnp8F97zpt1bCKI8/1QtsZ0QVCWs6XXPmFcan2rzNhqiLKB2DbofuvQVcVwp5QGb0kqcqcMMc
u06NjWEyxqltWt27nLdX5arAERnTKMU8qfZJiRf2g1mNkoOfxUhiNz+OxEvgr0LxRhfo8g3eASgu
zGiZcqfWCf3C1V9ks3M0T8TiGAvxcMvnroVRtifVfFUu5CEXz2aCkA+cqyoHlvtTwUqatz7TWhJl
czNaUYk6ox+rZViH6E5KHTvYWZFThnPfAtaSJbzbNFFGBQzx5KNTEngNa1MzjJs/BsfWyy+6XT8r
OD3e783p5g94bgX1g0DKHfFDWvJGTtzRaGfCN+5XFzOahRsVCw3FPFVQFUFT+E8lvdmoBm6cZ1Ri
ixtBvcsxwlQFtyDBRLq58LeceFvrDAiJDef+USZlGiJXJZFmYLRoBlEgplTQ055nt2kjwHFWVg2v
JI2nqvqqcqwb8Nn5fpRMmYoIgtpE71D6ys7zXf1rdEQUFCs3vciY+Siusi/SkSBjYnaMIfnzbfgo
mHJV4pgbYG7EIzwzruv+oZdOmvog5K9VzQCL/uxLIAjU9roAxG/h0xtiLEKQ4fU4W8N4mDXe4tLs
S6FW/1EKZZhaG6qyFqKYxxVmGv9QcicbXvZj1+db/VERKk6WQiHG0oQCuojhjvwmSw1TBNSBOAXO
vqCNa/1REmWO0ayLXZ/hWpOHw/yF0GvklnAl3pOqTHLECua/37P+KJEywwLckkGHBUm7zJ5ykXOM
zpXin+3MSmc2zX1lDJTVAYW1VVMCBTlXkplKL0H4HfNuPFhel9TvWIXlz+H4o1bkDqzCmDAsfSI1
8FZ5zz2KuQ4G8tBgpL6bGhm8CCYzAyS+NPhQm2aTqNTQSJZBAQo9tIdYclLpXiicikWavW0Z79Jo
ECJDzmK+49CdRzmm+i4fMYGA0YNWMqNvkwNEBVCpsyaoNu/vSiQVY8D+PXI1ASUSq9kMxiGyp/yJ
L0PWeDxTN+oKgx+z4NQQ8bl7Bhn4A9nPFe4qp7frAyGJj69ZCQFTInWjG25RWg6LhXZjmM0b9pZ4
KJ4UR8XqemPKp/5VZ3jd7cOUVFJQUVBXoSxyEDmtS0FWhRzkq5o4Q3k1pwwRG0kVrN54l0EsdmX1
4SgtgzKj/wZ2HFCXusIpB1crsH/JJhvvVwPDXW36xZU8kvOv5A1SPoBmBH5RuC/n2zyx+9xtl7t9
n8g4OBpVOEkwGaUZcFCqMLt6PztJ2dl5xYrHLDGUsQf1whdTgWAldMc5vZFq8M2mmbmvy3aK835i
KmXpC5Keqs9QVDWWm345chOASc9i8RKmr6jhWX9QxP1gESpl5+h7R2pfkkFtLfwaAU14qrvHBpIY
epHf/fEl+VEOFbcmrL1zWoQb/BerY3gMHgYLoJZAT1IZFsGyc7p7MU8Z2ndg47U1wXwDa7KDB+GO
v+8xJ5teD0w0b5ZtULErMnQdUy0qgRFfXNnCW/KeuzIsvP3RaCb74QWB1N4/UsbdUil/gadXm7Vt
jrRGSU0xC1HAPjShy0Xf9+UwD5NyGvXY9YM+yCIJLMp3/Sj5Sm62L8Ztdpc5/8e6xOdCwEdToZzG
DDQqNWlRG720TneARfrYw7KGo3wIb5W7wZqAmgO6c9sAmBqrd8L4kPSySNKPhTgk8CVt9b2UBRT7
UASW+B//7UjpjZCUT9Ms4lFXmb4PtuJmbmDjgfEsWSAgt1k6MQyFRh5uqwEU6tgrB9xD4bWSfqib
J9TT3SnuGB2hjZmLD5+OnuVWyoRvSh2v295aXDLKXWIYN7EnM/Zam3TOuRcWfcDmY+XdYdKIxEsx
NloTonGu9ODtW7L0qIwZivZYqgmj60FibYOzLIT8/Sqk5VLEB3mIvZquPWbcadJsvWU5S+J0d5yl
RrmToCjlsCfsQElvRTfyW9swtzQs7HizHaE/wJq0fOtU70mknEkxTaKmxgDrKALjV6Op1iLNhckN
qNfqk1WFwS89L2+XNHlMM86bW+NLmyZuYSxnEP5Z/ZA5Ujc6edh+UfvOUaXabtXhTluexYw7LEbK
qPGyTJpySUUSAlgkxc9Nhvuus+Qmt6QU8A+Myj/LtihPlCZBnzQqksCoeV5EX85eh/Frz13UJWN8
coZV0WsknFZrAl/D7xQyRmk0q0pgYDHj1Bjq0CWhpGv4mNPQko5qNQSgWw/ae1DrqPFRkQp/imV7
382xlKJyGVmNg07U4HjSGe/VXHhM68LSVcnZF8OIFzT+cDvk4qw0KL8HdX7u0hH7z5UZI9OMm8GK
ssoVonsN8XFf6nZh6N3x0FDEMSe08tzgkw2u5ObOG3VejIUVzCa7EquBvNFF+eBZaSBipRjF3yOr
ZNWgvCvs8Kg+yNiblKz2PnRZPS/GBaORh4eWk1Q+xMC8HIomcBqSULADbO8Bhmb/GFmCKMejydkA
CiciaPYL0cpr3avHUyi0h/8mh/IYkyqIMlCCkKF1lhoeyvxbizIoqzvJ0oZyGMNQjLISkm1n/cBr
rhJ6AieYBf+8rwzD4umnvpambZUruFiyR/hyfmPE8T7rEbztLzS0wtHbUj81w6tUH1IhwTh8LLzU
00FO/Vi7SRSwVAYLwwz+wb7fZZGTXYVVqYwSvh/w7pm9yV3OwBe77k7FE+GLLt2itFgRb+tLaTzU
gnYYcaJp2QMxqDgVbQvgxihXi/HQSYsLypPIbAQW1vXGWoEmrWVRflDVsYjYaui+K/cVQA3y29KT
wFD1rbwkr61reA2KM8EdyI1Gy7ARTveNZfNJuRZPso3V0c5aLxhtj3F7AoeS+sup8ssDeXaxUrEt
f78WRL3xumoetJZUFwb1dZTy712mmfGkMcBkN5PMtRjyM1b6gGtX02UVjveimBP2UMiODV4Il+Q6
edIaE+ENU3fu/iGyVKPMk1NKADhneGwpmheIp4x71jLW25+4IDoHW+tFuUKwkig5klmsI7a6pUkP
IGv0mg4ZWDefalmwAnlkaLWxVPrRMimvqPFplAI6l8Qw9RhhO3Dxh9NyArSBRRZOpkf+NfNYZrLl
VtZ6Uk4yjXS5jTMNV73/1ugXcBlh1M9TtcSM45ll/IxDpR90UtJlKCsD2UD2JBfvEQ9zjJb+ovBW
5RDoF+4QAUhpqczWYS3tbXnplZ70Iy9qCnUReNB9v7WXgeSJYREQUDMBDj7LIf1e5X+kfddu5EbX
7RMRYCqGW+ZuqVt5NJobYsJn5pz59GeVjH+aKtFdx2PAFzYMaHcVd6od1pJA1aZhe4mFL9Q60E+j
e6k45Zr/VMPaQ03nLyHXvkSd5PdzaY1S8qpJszPLGShhYhTKSvkpLVo3E5dvElL7RXMr7Jj3Q2Ja
URve6ktvNclbUwLlOGtqN9MKT1QfiLr6pG5tKWzspZB5yvh5bvfjORg/1Y1tVYcJAMPAQHJo/BDz
yH+PmvLmkT8r4EdBjJ+a+xi8Llh5dzrhtgb8OlGCSX+Jpslq/z3O2kdRjK+qxjxfRxrWmjS0pG7w
K8QZEHAe/q17+iiGcU+1EsWaPhfA1MKOj/JUiqdh/PLfRDDeyTDHMoJjkoETeJ4WXxL9ieeOeIrM
eKO0k/I5o9nTkhzEAWuFRLKU0J0BFBLe9dKNubr/7Uz0B20iyaiJpTZQjOuauAvgb7L1XNW8nZf3
VOKjX//wcdh9LMy1mI0hykCOqGoHl2j14c8oza1xGcHfWL4KZfjWrxrqWdp5SMB/JWH+ZJHtqR1f
+kz/kcnDoVjJ11CrO0uUYtdUwNKp3nVYPeoy1Dm02Im6p7auS2swBRCyFy99ARDtVqlu5k7w8ro7
FYIeweFKP6sCoV9e76ZaxhJTiM1C6Usdie6q9RMIlk7pSFwyd48JamtCNZ7NQcyA2bt+leaXZoyP
mjj/Mtv6LgUsZVybt0WGLbMCm6dRhMa4JNl5vdyaVXcaa6XivLmoYV67SaYE3026msh0jJEI39rs
Ics5qcXnKE+/FFovhqjoChEZa22MVcgmvURkKn6ZnYaKi2aD2s+/rnU7ue5HMYy1imqfCdqMToLs
S16CeFtM9vDWOdE9SLXum5v0D1Y9PkpkjBeF4lhbKVlCp6pWmCrWBJiwLnlZutYCUXMPGiLppeau
YNHv8fl7Xe6TMeisjMq16cnfzWosDFsUNltHyR8TrpxLfWeMuSaLseViipuooRUUQVzBFJbFb9II
1AOConUrS/aSxCfdTL6MEzDYuuxtmMgR9LduZTZWhQVYi+TpoUlUr+l1r+me4hThsfkVT0ADjpOD
PouupEzHNVR+6IVqz7kMc8bcjho+h+Wr0XVnQ0/8ZjHu61U+r0njAczTlbJnSTWtPp3vZCx/K+33
NQ7PaT8ExTr6wEr4XhE0hmPS2KIAStlVeiZTFLRzBmjECCtyzW1ckAdVLz1Fng9VDfin+a+sGwKj
bX+tiXbb9/mtmhXfClE8t0Z66ObSNc3Ka7TqmygttiZL50EHPzZ8TxOrz5UkOrrR2lkUvYKSDlMs
uvJNXPtjJCyWgc5tggdyKiyZJSrPyzC5ZNXPMVawcxmrltcN4XNu9kEr3x8uG/ebRCQySYvymjK/
ykNtG/G5zd21epk1K1eergvj2PZ7OWcjLK/1cS4bBbqYH2vlADaNseJkMNRur6jgeyNlI6IiWt4N
HRx9g0KUvDxEUfljDQFUV2WcqaT9SPnbsNjhOFAzCJj1Q6+fLlTRAsDkxYEY8FLL3Q8kyaIEWhBJ
giZ8jI9Kh9R5LShKbPhtjt/KzLDEOjxoMjlhaeg4JRLHAe88laESG4lMaoYRhnFdJ3iMvEInjXj6
KzgF/PlIs3b93LsCemkRBp7Em9L/g0nlj8IZ958bcm5MJWpR4nH6PpwK0KYpvurpPkVBEhzerijv
dpkwUGYTIUOpoXOBakDU/lqqwUq64zoktqZ9y0JO9XdXOzdXy8QAQVfUqRTQ6R3E5wz1FeFGrh+S
kGMDu2a2kcK4/Eqdlrk0UTMSp8KdAYOEXhfQf3njoTwxjLefQSaPBKVCQNPgziw1ORcNx8Z2RkA+
qANbk6+UNBVIDo8x/qSD642fvICM0S4OxX2P7X0+TyHnUGx9PkzEpZMa3F0spV5uag6gGr1lljif
iKN3LKiTSuSilOigVVu2KOeFp2Ksnaoxbs0m95Ml8WvpjzzjRSvYEn2bFE1cdyhYyqS25Oivrvie
dA8Kz8dzVJwtyVcT8DuJCoCARTx2rR0mX1T5nDe8sSeeGMZPhHIhV2aEC5ybQ4nh5+4urn5peskJ
j9QgP4WTzaXRn7EJJ6HajLUhA11IIpjeTSNHq2mKsliVov2QBTW4HiD/wfcSVTVN0EfI7BqDWGYm
qScMMVCYwuw7LZdkD+Y5O1JMpSZBpwHwET5a/qfc5w0/7Wb20kU2UyJNkqiU+gIdTwCfq8Nz8mf+
4vL3mUg2AyMnmQTU1nrpSz96qoQnin39/vat9yKCDV1VthChpcOspTUJsxWaj5XAYy/eV72LEEb1
CjWO63SFixCag240t0C4s7ochLiAF75+HJ4kRvvGKAL/QI4UY8CWTnFa4hd5tCLCG1PfV/LLgZio
ZGCMJQ1LFMlUP79HBuypI1btl7vBoXAerV+/mIcmGH7wtsR5X4uJU+I8yPlSIbXpOoTbsXUaYX0s
+8K7fos7xWoaRC7nYwIVUYQwzPIaH0x9kbEJBILfx7CJHps8cUdRvhHV2k/EL+mcDJYuZ56WLnYh
d5YxC62Frh8v5+acmy1GRGvet+Dcwmx30tld+x2V2COf12vfnLFCSUxiGBq7jELUlqBQgUzKyI6x
dhQ1//q17ivn77/PvhzyGG02I4Q5D8JtYt4m8UvROGHLyZh2s2xZpnviiqyZOvPt0irK1GFEPQor
3Ifi2AeT1x344GS7n+Qihs0z6mwAoDTlQi1zO28CNXLzhqOGnJOwmUU/aGImaxBBV+I64J8rPqVB
+veVfSj75iSMFy8wEKw2tNEVYboUI9wJOWOty9Uzh1vS2PUbG1GMQ9cE+I0qBrZSM38TxrNQoXsx
rlY2yJaZ/LiubbvavJHFePYhauJJIOiSpK0jSN+l6fn6398vCG0EMF49iVJs2a2Uky6xZFsDybB2
L51XcAhgZ9ENXd6KJE/jGN9e52iEAxQSz8fVfGxzdPiF/4Vtz0mgd8DcP6oD49srtazkucS95beh
DxaGZ8kZgHlZo6sr+O3rewPGbp7y/2nniMuQtTO2+FE64+E17I+RkB6yNPxSsQbSOdNg61EwFHZR
BUIWYKbc0YDm1vMQo/a9/uaDMp6jMjpj0sMImfwh9FVXsLDE42DG70l/0I8FXdk5CbynM8ci2KGA
sWwLktBFpewvrGk66c/EjTFFbGGGS0PulqI+EGFWzeKTke20ET9cNUtO3EngUFw1oBYvx/S+9oSz
ci5OcYg3e3ougcBp2AqwXh65LNI7MzgfBTMOZ2lJIiUTvvGoH6Tlae7vpR6V/KBPXkEoWQwAI/Cr
/IFjrvSvfkrML1/XZH2PBIr1iW669R6aOW7uCG4KnVY9Och93voNx1ZZDuOh0pMI/gHRoX4Y5lMB
HOjBfOOciNrCtRMxDqgrJ73OEwMjAsfwofcM6GzlV8fYW8BgV41WdWugr177wjOvm887HuOKSpLK
qHLikV2Xd338Jg/HmJeY8wyDcUPy1JAENBxAe8l6Jwc9RvIlkntXBmeqNFmcm+TpBuN1olUQRy2F
KfzNBiNZqWMc8Cb4e8793y9EftR/xs9AmDoY7xUrMt1P9eKA9czPUN3pqsUao+I+M2VrWJVjSEzO
bOR+UCQ60U1RIwoLVxlqnSHOJq3AGE9S+pDyNgZ4f59RDNB5Aau1RoongEx7NV6BaHr9U9E/8Fnn
Lwdg1EKaer1sDOREmfIA0AVb12rLRGtE7P66LugfvNRFEqMTYZwZKL0hLZrfJwUxzw48d9CqU3Di
WuBo4M4oL9WJizRGJzpNiyfYs4xNi94pRyQUHdC0M5+SbhKgCdKtMPrv4NpxlqAJyqPgKJwf8Q8Z
ze8fwT4zyFrVWksxKHsAyqsvwD3y2oCicFGahSWoXq9fMedbEqYxaMJHmgUgth0jBBVlBhrr2vTy
WbWSircGtIOM9eF+CfUAm7KM2eo9QR0VGIagqOnAyAwY+xsTsLBnkEA73cEIMq98GV4BBn/9kPt+
7HKnTNhZdQnEI/CVzigAwoXI3tKLudVWuZdX4JVYY96Gyb5vvghk8l4tG9DwbwA5n4DEQQLZTlWZ
L3LH257hiWGCT5JpnTQgCXMy8CmQ2UnnI3f/iHd3jDfRK8FI0pLOCEsPpj48jpMGNvXZajPdJkLK
8Y28EzGuBceJxijBXmRuAizUbZODLHDepjwRjE9RzH5t2hKlzqpJvLUBdDYBdDYX25XjhQnjTHpN
bOQmxb2JKNyWaWON5n9zw+z23iok/dqWGErX9TuzcafykWSvEQ8dY7+YL2MNVzFoc5/tmIXTiiJP
pdKOmYL8ZnwGT1sQv1LyhPKIfaJXHjjgO1TU5/hykchYT9JUoP2e0ZDWO7O3pLqxysnEfgXMqFws
U+kARTO9hWH1RW8kW53CJ3n8lpXoBtfYex6lhjLAuunY+G35K5TK47yWgSq9qHrnqSomY0zi9Z3K
cTL7enX51YwxSlKtNrKCorO4utPytew8ceDNfFOluXYzjDHWVd9XKQAc8S2igNZViluKBcTt5+0b
/eUsjBkWcgkCthDF0gnbSOCdoWktjX691Qa1i3m8Y3KPxcebf4+dTyPERS5jm7qxNNEAuBdHytCp
1Imfo3ff6L9mOeKVT+mf+nSVKE4BpJFg/o8t7HTTMIXtCE6qBbO9dJFsDKTXWAl6C2VUq3DiyA7t
9U4srPrEZT7c1ZWNcCYSllU1dWVK2y14NSjASKW8FioAoF3J1jw0ap8IaBeuB8HdSL+RyQTB0ITq
TyKNvg3K+DFKTSvKFz0Sqr4K/kQUAMWgigZ4TBnfZ8aVrq4jRXCM3FKytOQ8JS5/PJve0udP+FsM
myoNTW/0+pTQfEJCyyX1zDLQXxYPBOmO+RbKnFPtf7SLOCZV0pukrAwVaS+iXza7ZHjRVJ5W7s79
wP8A1QP/GO8p1CZFysJyGisgVbw/gmj+GR1FzP3QaVvBu/6RdgPURhRja0IuVUky471V59XdrABw
NVnc6yJ2VU6VTUXX8dqR2NWbsMKypknbsobxlGX3SSjZcfgl7yuO6+XJof9/c2uN2kS6gtlQEObm
gA4J6vKgYii64o1Z7ifnmwMxfrEEEuAi6CgpLMfxVnJyL3aMX8lt8ouiRIRu/0d55EYe843GoRMA
RIQez1D8MnTHbF5jwru8/XLfRghrreBXi+UepaDMsGMps1rwNFaPfffYtLOVSg6oDRTdVeAsNE4G
wxPNVt5AC95OworcAlk43lsuxVJWTgRjI+uJX23bNeDLQdliWy4QYaoQ+BGhv06t0+u3GW9qnieC
cexmLgiJrGBZStbARSmSRwyA2dPU8taFdye+N0dhnXkEMmAs4qA5FhSmO7UL6pOiHY12JvZOO3s9
iDAMXvd+N/vYCGXysqw2R12NwLVJeyEYKnYnTwOBDi//23VMGzH0jjfWTELRNHMRYtJ8cMQl86dy
5fi+/TLzRgbjMaQxnIWyQnY+Td9MTbcKkI8RS1fuisFKY9v8K3siQ9CGbpG8lS2A9XhgcPuP4c0v
YF2JWhdiKsPqZq84G8fOXm80PIkzXz4ox+a5txPPeIyPPBgknoIyHiWT61DKUfxyosUlyduK0s0a
84oYHH9sMh6l7UXgR9fYRyDzbFXzy4itX9n4UUecPsn1w8gitZKNpiSS0WgzBcjUlsHqu87SUi8d
D9eD2HWtx0jfRyHROOt5MlIhGR4Xg2uYX3SAYoLSRvvWSv6ic4LZDv41kuDfmgGQfkagVle1SPkn
Ry8KoBcBxfDrfySnMECJHlWg+KE+gszXjXh1Ek58k0XGrchLIoxjhTFukEqBQKPxTRdBFbuySKk8
9EB4/p/3ARmPoiujUC4jclK6CSyeEjdULEoWgBxc8zDCYGMWPyyslVNl2NdP0OYpugrmPMIcs5L1
uVQJMjlJ+KYDHqA4GPoPmTdzv3+4ixTmcMBglDWpRDmxW1zdfIsKu+qeruvmvqu8iKA/YWMAYxZ3
U6nCiejJ7Km9iZmMmGNj/xCjLzIYV7nGAqlXygZCiaXp9nTkiyjXYX8ajCpY/7p+It6nYdyiWTR1
ZITISoX2VA+AR8csKWC/eBjc/xAALqdi/OAE3CO1nFE669zZkZzxtvQilzwCLN0ZbiXQC0V3qNtc
PxtXKOMXjVwZu6FBdtC4i724GmjA8Gxx9MfE1v3GK0GS7fEgCf8h0Pw+KVsm0vupkxtdlB2M6iff
KaZP4cvPsWhFB82iVBKiJTi5u7xy+6rUUX16n6kXyYznnPM40aMUmtO5lEExO45Be0M72AUlA+Pt
XO/76Ys0xm2WIFSZDEn+uzby96SG+v+RnfyDj7zIYZzHiBcvQttv96z8ECJLsOnaZwXFAUao5P43
tdEYRyKSLpmKFCeLD/PXATvPZwpsUtkA3f2r6d7vM/L+qHu6+XiMa0nTKFnANIsyaYnXx6OYP6AD
fv1g+7Zugu1SlxVgQDP6kZMl0gngBZxZshrxWxNinXW2R+k/imEUo9HbXAwjFFuG/Es4uFrjyosX
Cl+vH4Y6ps/KfjkMoxZlNCbZvEzo2+gvQ+k22X2ENTET75kxuC5pP65cJDHqoHZ1nIBEHUuYxNPq
FzF/E9bRvi5j99MQRVYJprdkQHR/DCzT0grG0qK0YhYwpRSD6EZja2rrGgNvy2/Xbi+i2DdgoWgI
YiH2jBNwBLV6gcfms174RhvbkfrYr27TFc5/Oh37EETHnkjDPGOoOnsSmuPay5ZenY2QNzvLuUWT
0bylW/o2zyGn6W6TyDP7/9WmHU+cotH+BWoauBcAdQMExI/fSk1asFZVGKrIAcbd+RQwKg5an/cs
2z/MRQwTMftQXJRBhbVOfWvnw69l9BPJSbCDfv3j7BoSuchhVC9MIilGXRGPh7SyAH1n103hFc1j
JAtPMeGtkuwa00UaGx1lVJuNKUF2Xy1uvjyCsjHjzTRxLo4FzABblJJhjB/QXrnTDbeK9kDyo87z
CjwpjK5FyZpXSYvPk5PcQ4ve7mvNL3TsDOoZLyBRX/bJ120ujfF1laq13TphSHWuFXuFefbrGIBT
2C3i1upXrMOlhlV1XTASYnXh4EljewOmUp5n5308xhO2i7LEGUUUS0Hd1mMnEXvJADDjkZrxrpb+
jE2WHQlRqU0AvXUIYHZqX4o9tT3kGWckhaP3Gv0VGymVYQpZbGLLyGhSa5UVq5lLm8g36pxZfeld
N7IdCmg8MjefkHEaZkPEsaIzfnTMoFusCQjZpbf2ljxZ85H4qw/KRDs9ao8LksTQoszMGk+PqE5e
0yPGpdBhDFmIUIxoUHv5qdqSNQfh7ZKDMRa87C7Pg/HUhfEsmdQDHm6CurTY1Gz19XmsEstQ9G/X
75YjhgXOmMNhXYGfg0S0/VHM9pwGq8hJAfZfEpfPxyJkGKDWLFcKCkobgZk7B61olb21RlYOrkuK
7GuAVA29Hd5zgnc4xs3UCTEkIaT7SOsBOOfTeJNqnNc5TwTjXRJjEEgz4GxCcluLTjU8zDzIZ6pY
VxSPhT5solGauxZoix2aymXiLxqWJeUfofKYZn7Jg1F/H6q/Jo6eeGPakhiCiaumGqGI1hz+KrtA
ng4E/yG1vqkeE3yplle3ek+fr0llHMqkxoZUz8gLiNU6oLMFpYXltT1IkaOHBBOmq9vdUSij2la9
1DWdlYufxPuSjJNZs0HqNBFjMH+Xd5qT+agBm0Q40YFPANrZ5huvg7w/rrCxDManVEYkL4uKCRIV
EAHY7wkP6htxm4MWvO+iHuL//dFCzEYi41b01dSnosH7QjGCuD5W+iPXXe8XYS4y2E0HQytiKZqG
v4cjBQuzyNj1IeD0oMzavGUEzmdjW+PtmM0jkTGgaEbuUN2WpV/PnKoSTwTjRkAWRpRIQAYR98FS
f8OkMe7vuhven63WsH+ta2hBI5Z8tDqzVUVVydGsoyFuRt2j8usgehgtygkOamkXoKqYCLM4YneT
o41YxuzKTFfKgRBMsN9SPLZ3xPUIMldbdMYTRmd559ztBW0EMlY29sBtyFeUzMru2Uh+doZrCLmt
5d4yRlZsfh8rUBvwqtS7H3AjlDGzthaHtqawp4YyHIS1uR30xE4KkXObNIP75MM2YhjbyuQmMtBD
xiLE/JS1jWiFWDTnyNhf37wIYWnKYlltproHxgcNpkB9Sh5qydbt+xlrJNUdekSO6KRufopPN9W/
hxhGHraRzdRAWhnraoqKcU9TeKhD30TnWv4r42197RetgHFFFI2iEbCD97E+q2RWUDNQdbsEKP+M
8h/AAYy7FZDQdEWflyfsdzE2EpncvOuwgi1p2Myh2HlJgCWO++Q4v2IkWQfUp+r19gJaWTGAP/7F
sUDqPD4rzeWwjOEXQjcIAF+gznJ2VidzixNxZ1DHY7CGWyfbDzibgzL2PqXG1Hc1huQ7N/SLAJRb
tnYr+YOTUjYsW7HM5+vn201eNgIZezerus0LstCpz+lMl+y0ugiqGsuYyvTY56qt6B2v9bsrU0dX
iiAI4ZHP2KGoVVVaLuhlGOLyXKqY9S57h5TFXS0ubqEDEgSFyOvH3PUwF5GsVS5pkZCwxgslFMGi
mw+3Wof+Rl9ytn/obX1Slo0YxgCzoRC7ZEZ5vKh/RlVA5nMWDbbRHePavn4gniSqtpssUJmWRAFh
KnEkbbK7eMRy5+xUKDqViQj4Vh5lBdW7awdj0uhYrvO8Br+eUyx2pdvJeOoWb+Rt4PG+EmPmatVo
oy5CCfU2QO9JWHPLxJrY9ZvbFwKwUR0gfaLBkhIkQEFA7oMMIR9UVxUjWzIx22nGHI3bz7LASfl/
chhTbsquywGj93dTiJIRFL56oI6j8oBZwZlD3v8+F2GMGSfTlJhto6C/Cuaj6H89YO7W9H4CgOB/
uzwmUvckaxfSYC51Id3Datb3JviiTKAwXRdDPcBndbsch/EQmUKmatLQ21pUEb14m9R3Q3Q05hug
gBXiuf73QOYInJdvxb6yG8Uw61TC62YQVWsES3OohpbW+nHxeP1gnO/EPrVDTMLOSoUUZBGfSecr
+tNa3USj9wdSDFFXFBWtR7RDPjqHSYyKXqObLiT5psUYwirvF8Fe0ofrYnYtaSOGMVeUcPVWS7BY
Kg2ajVl7z0yBbiX90QDIRgz9GRtXF8ZhJhshLU+sh2Z+7tT7SrxtdM5h6I/9pHIbKYy5Ghj5niqa
+MaScJqr/EUvRY5W77uEjQzGSiNZb+eCoh30jmgDyQz8SdmJ7t9WYHLXOCXA/ULBRhpjq3G6xnrR
QKmnunUSoTqKxhmNTfTFWuwzY8WqNcbc6qPJDs2C5/2oil27TsaCi1msdF3Ada535C5+w9oxFm+x
90QsE9glyw2vYcvRRZWZ3onFFOXpHIdt8i+rbufSV0yaX1f3/QWyy4WqTHSPJnmepxSoWMuxPWCF
2sUOqFeeZSz0cmXR+H3l/lg02VLtxFlc3wE5MMyyWnSYsSs9gOZalHmz5nGG7NdwDRUkaaqGRy47
maQaubwaGZL6/NCc+1vVLo6NbzihV5xMe/k6u5I/ui1m2aPYil+wIRL80Q7q5hfQK9nYuW7GU7xQ
3NEZQ/LEtNL1JBi8MtJ7cvn5YnFAoiKpNzVGMZtc7ySVcrIDs+1RdulKXmFa7zNzAXHDoxQUfhu0
qIaoGBoaXs2g8ug4LjAHjq0fuusvjlbtvriN3z+IjT1tKopYiQLmDgV/BkOoX7uU26xHjfy6pH0T
uQhi1LeehniI6LNNyUEVgnKh5gnpj+sydtPSzWGYb1gXwqIVWFN1jDVY0exdvg7SFzUDrmMYXJfE
Ow0T44o6wrxBDmNsm9RNkielLe5igTd2tV8b3xyIiXHRaJodqvyox8FnRoNVjA4oSGL1FwEMOJkP
sm5rxjEndtgG2vgFaGE6b3F6N2fY/AR6Exu7MBZEv17AAsRQ/erVF6WRrbr6IRhfrl/o/iMbixu6
rhiKrLOwq+pQpYm+ILdTMQ/olx5GUdbHwtec6iuabrYC9L3oKfYrV7/nwYbuu9aNbCb6LlUkqGOP
onZ60L9mQXQsb+g8kfjMH9zej8IbWUwUzuJ0ELQBdjAcNT+6kQI6cLN8JThfySU4oO7kk7vZCGOC
8DRnjZJQMEqKpp0c62Dx6Kgb7wLpn7kmhvFquanMS12jPDlHfiXElmm+9rorLl6eulXJ0ZRd07uc
6T3x2CikIOSxhtkzIJQ1z8Oie8n705NL+bubkW3EMP6qBYIrwIGBLSP6g0uw15QNDjkPAD/r4Zeb
m97nAW3yDsZ4LwFVpqWqqAVkT6V+yjHPPI/cFYl9KQCzVRTssSBL/2jP2ZjGSkXwAAWxmvkVNTq7
vcMU3eE+xnMXyVEMnB7/um3vumUgJ/2fSMaLdaqWNauAspLW67bUviZ45gjgNBjM5b6ME/u6tH1l
vEhjHFYhZErZ55geMObBkpYbEYO4gvSsNUE7PdTmX9el7V0niIsV1VQUbJyxWZnYla2MJBZPKt3u
Vr+aj3P9eF3EnhFvRTB6gcEEOY3oiC+t6SoBxW2iQzF/on5bMYxi6M0iATwCU3K9KAei0aAMErn9
wiuDU1/K+gpJVMFtislwYGwzvgIbESHozilmk+GQcbGGxk36e5P72qE/94oc1k0kaSSCvwiub7Il
YMjmnnkG+IBN8ZTkwHTEyLr+lXZj9eZg70Fm45eMUQRdEp3Nm46jA9xELFTp2DQtsGla3cpe708W
RsCvC93T9a1MRjXEWdLB7Cdgjy+zUBO3sg6jh8Fcn1MAyrWzc13avq7//nTvlfnNCaO+HGSSYC6Q
plfzLUCmR56r2A2P2xMxviLtMmUYevgK+tlibA0a94YjAahMvTG54Lu77ZKtNMZXxIkpGZOEWEIw
NRKe6BxzCiqIm9RBc1lzyNHwojfKktME4g+TU67dhcbaSmfSDqz6AalpgWFT6YrVO/E9XpC+BnC2
yoZ1gGdYAtymBEJIgCLEfzBrt5XOJCJzYuhrnWFsnLoVOmQ8efTNwf2iPK1hcpAGbDamCgjd9xYG
qOY6Xyis9qYEItXT6FLy+vAxe9UWjrL+gyZhuk6SdQOPSuZ8QzU1dT3hdrEifJTQOgGE9ONsx0EB
qlne+se+IV6EMYdc86WNa/qMUkY/Tu3KcNQK6O0JnOg3hTfot+tCgS9FdAwVqURlhDVF3ShFi66J
CrqFCStPVfZtDgGaPgTXDX43MQbo929JjLNWlqicBsQfcFCmp1R8gFPHeMfQn6PoRZCEZzlTrbxF
OQLrbRnh8oFRY//kwy/i2a3oMcEHlKiBLMfZC//qMCgevWA0CIvl2X3v5+hJXT/wXqayOS8LIQOY
AMVsKReIZt6jGmEtSP8KS8qPMY/ohvMNPwHIFPWYIymiyyFgOqnsBR6mP3QrjzWdd4VMVMdCsxjF
BUZQq0E4mmX/RSxy7/ql7Ue+zWdifLZhxsmEz0pDrQ6koRhIQ9gHAekrJoTPAMu0xEB648ik6fc1
1WA8d9tN8zB0BHnXMXmsvcpf7qpDZOdHCgx/XdaubW+Ox7jpPB3GqksA0d6P9pD+nCQMggJDOA6q
FMTSPOPe7W9vdZDxW8XSlqWgQjO0HJVaep3Fg+Ci0zzY5BjZYsCduqBZwrW7ZPxJPkWTZqT4fr0z
gkqNwhkZTnSQvXdmZ4627Gazm9tkXEpWKkovV9SlHJL3sEPeS128sMOxZHYYWlUwvJItEBOrX2a5
9jTTI20wKLoV8Yai9yMNIAFkE3ubkswOGUkd6eRQwHwAsVCfcWi1eQ40Z/E0L33gvbV3m/TgYfgt
jcn5xoxkZTvHFFZSO5KAfi+aZapWcSv4XYwNKF45WNn/ZheRjBMhnakOSi4ilBoYrxWwzClBI3PV
iuLez8DbhsfDMe0Xd676GzmqHETCm6Er7HVClM+Lr1IavYV6eSqK8aTl7UEaMJrbT9/zPLRUST9U
euEYcm8loe6PeRkQU7oxxNJTBzl21wSADm16Y+QgIyZ15sSLdpTBEWWXmRqIy+q3csvxL/u5mUwo
5wV9pbDoFRJAGEY8aWkeavjd7IBA9iZ90g504GpwxiPldMcg8X11n7vCGw/QYld7N9IZixx7pSvR
E0QrOkFmtt71mKGex9aLOmep3evubffjbmQxBpmsfRKbKuYhluYshF9J95SD3bMB4VNnvkqGa/Jm
pXdD30Xg+9VvnhEq3mWpQanqpuXQdg/CEFqjehOPnPx2N+/ciGEKOF1hykQokZKVndvWx3INmo7T
994NrhsRjCmqXV9nVYTgqjcPVTlYnVZY1z/OfjTYiGBMr9KWJKlNXBa5ozSX5HUMEju3lONwwEjO
mZcA7Wd8G3lMLAcsTAsIFMjT72ixob2xiJ+i2hC6DudkuxF8I4mJ4MMy90OTgE0TkyRgKGucAtXs
WtRPIam/jmJ0MMbmSHryYNSmVRjr8x/JNzAUL8mSprCILq0eLXOByUpHAKf6EA1e1I5BX2in0lQO
QmkEYviyVsTuNDDKC4/Xpe8r50U4k1NMRpuEoQHl1NVgCI9TeYh505s8EUweMU1p1xodLcrGj5IR
nhQhsps65MB37Bvz5SCMp1pX3FxPS79klhw4EXnSXNr6Hx+uX9he2DMVCcu9GmKsjg+GJGbjNURt
yhZxQZ1ospNz+UxuqxNC7NcQdSof5MAgAmp5rf+9ruQHmYwxZF0uqBhAlQA/atGKjtLZ5nn9Md5E
PridvPGcuqWd2pml+VUQH9dvgvMHneUPP4GxEq0qxzruVNFp1rtKfdXII/jLrl/tTgD4IILRRWSb
U12kJUBWBQzDmXbTvLRrACxXADBiZNXqefByOzrzQSCrmdHQNtATcJBNoCCQfuYEbOZabGdG4l4/
Gv1ATGb7QRKjnQ2YxRStqRHbqhuy/ojEn9f//t5g9gcBTPAU2gkcxAQChNJaK6s/EECrhoceQ9IA
iFqs3m3PuWu+8WDtAOt2/Whs41YEsWxqJrroKKXwkI9JiG3j6E5szYd2rnt7VLOjJkiHJi2esJcU
jHJome36FYw7VTTcmt1rvMQ3RNHvND0OYgWLb4XoYZXU6WbNjyvJUcQvQonOIlluZNBQjOb3JQeE
4RzZVQMUiFg6YkXYyoDlVJHYztXmQNbVluoEaxmkt3otvsl0ww/zwRYzwVPW9tj0wGkDn6QtjfXP
JBzuzSoMmrxpnbnM3VTVb7v8lyCA5EarXztQOWRTdQgztCeU5HbptRO4Jo+D/v9I+64lu3El2y9i
BOjJV9rtyxvVC0NSSaD3/utnsXqmiwXxbNyr0y/dEepQ7gQTmYk0a5l7ORcvrZruMqG4S0mM8jGo
6vrI06LRGUh6DIQGeA71IQue8wVMVJpdjUwxZi9bl8iviTT5WMW1pKl/IIT4SRFMjmgCosGU3iO1
cQLanNsm96NeOpnir1ppdwYgDywpBMelmR76vrKbTPVokLlaMTlaPXmhHESWSUC/akT7wKx/AvcH
227AgVU7eyDo8qM/3BqFpRvFYZ4TgKG3dD/JrR8kqhfFhW1mpifXM9jIw3tQFgK3r7SqDqvx0bwj
kmiLQ4+8DHADeedHyriLQBcia8KOkOwZnvNOptJd2dRg7uz3ad4e6ya2jeiHPCTWoOtOneo7qaHH
KdeohQz71WjUwwyavVGRdroR/GxQneto+xjXtQNANVsVe1cW2hs5DCzaksgSghJcrNNsy+EIUgfs
TFXaDsNe8Blzgwf/lGI/R+t/JdJlobht29Hct1X+gARzV1WSa+ojOjKyF7eGNSV4X5qCQ/ObgWh3
BklvskF5C/VoB/4mS0FXqtZ+mBO9A2nfo1gpWAgALmYn6b40Y2hIrEwA/wznMR7vJ0r8OUhPI8mt
WDMfTPleblDyU8J9IoueMs3gBZH3Y6Gf1VQ9RBS6KYHX5s03Sqe7AB3EsNc60D8+K0psgSfDmWfs
bMvYfxlSMKRIL1mUHos4OZS9koEVsUQDq3f0IDqjSNdZdaR7iFsubXqbgE4NpJd2I3VPQVLeUG22
J+ABNLR/bofqlAmVK2KicNjPrbjPK9Vus6cK+zD1rN0kAXFoLB61fPJToTnPJZITbFzdy+rPcSa3
40i8ppm+S8J4aaPmMg2VN2mmkzTzCM6L6kaulcYZxzfgFlqCRPCfupvofWorc7LvIvFe7bXBUpLv
UjJ8HzMNMAKvembc5UF7ruOisfBEO4pz8CR3wWSnfejFIb2VQyActyCWLFIQNeYSqEOV5w58HjUV
HmkQW8iDK8vQwFg50MIiwI/TAcdxGHtH/Z0/zRO50TNACOC3Sd1kAYjoTUEw1XNpP+OQ+1HyG124
TKLuyCFm6/Pa0wBlE5iRo5LGMybjtyKCxaDvfyiVccTIOLb3g/vAFHfYsMart7WHSb1pU/J7DIPM
7sr4WBtBAuyC3NLaIPUqLbHJ1L80ITmoiegqamFLXegooMcURLDX6vMhiOrZN4XArjWc3BSrz6Rp
AKNVOKkRAIRsftQrwRXa9EhJUFl0mBx5ME+dmDvKiAmdRPo+xOFi2W9KVdgyJkYzJbJSJbcqnJeU
BvhhmICbYuNYZdH9UN9Ro9klKax4ih+nonLnKn4b5NrWUNmd9RBm2++SUT5lVATbctYDnDz3VfoK
sMrYUqtf42ie6nRylDi5wVzVKZSbU1upXobCrCbWIv7/JrKA4OzkGgqmpbpr4tgSpniwOmXaFzP9
EcFlBXWza4EjN0/KDYmjfScb7jw0XhQ2dxo4guTI3Jdj7elAnNDm0dW70o2BWi6ZqWfUmTMAHIvg
3yJIrrM42V+PshuZ7DrIsmOrhSQX2JtBgoKGLpF9Nb+EKm9ccePFDX4fgukzTEyrKgvgQcZUp1lf
YaAHNTDjsNQwAyc5LN27yUMVeFm580HZYV9Xbet990Uu84QM4HaikkI37Yx+17el9paAchgPPIzx
P5gOF69149n1RSCTR3fmAMhrMDM5k3Sg4S4pfNreZPjGGGtuxO/x8JLmftdw9Nz8hBIGmdHrWdCX
mTypEJJmkmsgtc7jS4FSznyhFSfX2/6CmDrGPrIsAfv+6wNBVGcV1x7D4KniRsZxngGhiRTojBt0
/ZstSeMfSaX0KYhJKlOxC8yhyEAJCa+epfukegI5tz7dlMaRYE/turT/YCGf4tijA2C11Ka1+LGU
owF8+4V8q5wFeQhbR+f2rN5eF7j9qf6Vx1ZOm6gUFalEdk4brza+aci8Oh5czlbJFFb4KYQtzphZ
Xg+5KuI1N7iiU9mmbiWoYWJLzWuIxWvPLWd05ZNpzC0r5Aw0a1IFmNO97DV+DxKvZW/3L4rOX7Ri
7tbQjLU09HgN6FigCm4Ngjj+LUcXl3AKT9uv4dX5MS/TvNBbs5OThU3C/Dk7i9vQ9tXPZYAncgK7
5I5vbq1gf9FtMZvV+7s3x4n0E46w986y156GC/gcHHKb4dl/MU6jLdq5m/s5UrMnc7BA93PdLLkm
wzxTS0ntOjp1S0WWYBkud2ZQHivWgiic+3+ze/1FXcab6CBhjbWqRSXDSkHftGib2eP90pFH7+eJ
4pA5+m0+6LAHopnwkgT0yV8PuDX0gYixBJBav7jkXuZjAsEaTi2/I7+Y4R+3YSWJOUm9qMLWFBEC
iK/57ePyZBVs6f1n+b29m3by+3XFpM3nvowXrGroxDDZhU3NDKQcYMNwzKfRIe7b63hawutoWRHm
jaV95KKZcDbvZhdQFufoIbWrnbDnTVtshofVr2BuzIjtkADtC3ic+TFPz2S6zTpXBl0GOKyvK7xZ
dFhJYj5kPksKeAbgQLPQfAV/Bt5Y5cSJCvLisf78hp+HynxDVVLTyEwbTLklUuKkWf4W9eWLWoyv
ZqjcVYl6RFJtzXl+Uiv1EtHhzsQOCymE392kXiQg6lhA+bqTS/XVVMX9qHbf1a5574bWSvNxefU7
UtH54zRacpxZ0aBcAjl9L0c0aczwLhc7H5i2nERvax4Hc3SfWjG3DsSBY030GA70oXfGwEq9pLIs
9QUo5UB5GJwRlz16V9EEBdAtLxfbDHwr4UxcN9tWb2kO4VODt8o0a06YNYOFr8m56psJxEoQE9FV
QZb1cJrhR0xrMAY3mh5TPPXF4CXMXvSR0we5Ks1EOeOrX+n0lAhiSpFOVs9VfsJgJBG9qXqUqTea
9/+F6UMWE9bDqgyNdinSikhhRXm2at6S5lVnAglsJM81cZwk5OmxBjBX4yQkoh9W92iJcj7SdoHt
/74SJC1edBXwRk3KBKxrIDO/C3x1L/lKailotQou9Xu7AMUP4Fbt4jS7mcOv+26Hu5V4xl/NNS10
sRVFOOn2VByAVXrSrMDCKNgBCxQcd8I7VcZlhS2wsOcaxcQmjKwxvOnNhyH8VoKw77p9bOZhK6UY
r6XPABCIKmCttQHwirAiY1VaAb5OwW7KzI9GepllsCgZzby7LnhrHe3Ts+BrMp5lFpOwNGRc7vy0
jFTMO2W/9OdL7hgt7ygZL5IqpJgHFZe7SH/HuV3O92LgpjXnvXo1mkEdxoV0zSBnQYhsrNQVO+iB
b29YmvIz0n2VxxR/NZyZhB2kHZNMlosIotTmMIBqppt5VsH7OOzoLMCfprkaEhEP/AOJX83JA9m5
Gr9q9BhIIUg3vJwXajif6eP6rW63GCTtMBYI0s0gWEZ1q/fUob2fZK/XDY8nh/EisPVSGSksvs9v
0FtR811ZXmjsXZeynZ1/XqyP98JKnXwiaSkSpHSqRezFwJF1gJWyA0zRdNseyUP6fcG3n7+pt7Vd
2rx0mWcjrP8oI71sdZymYjz08R2lznX9roZm2OByyiv1MhByiDkt0F40u70aCBdTwvZCOHKamdti
gLEjGlhEAr7IVzHKPAulnKBy3KdeFl8G1OYKTnLIE8HELxrHcTeLqPdk5KbpdqbkU95Ax7bJfWrB
mBw4p7Q50lBr0RvQTamoPIuN11ZoLfBgILbbX/KnKCZItWMo192IGJmhxqm1g03r4r2fTadFTQul
YNNqSvE5AgtsFAtWpJtOHz9j0eVCTdCyauQYoply3VS2PePnT2JMsQoRzGYTjn7MgfoeoDEQNmfM
Ve6j6SVoeSxW2w/x1QmwlhmqUSNOsHzpTfKNAyq5RzArPhQ/F0KJGNOIA28kZPuufSrIRLJpoNlY
CDU+b57ZSQS2eJCrXz/D/5B8fMpgghgtExM3BG/teL84kwpj0x5AWkJnef1OO8rDheaZLBPOhlik
WlUgq+uV9zDxxhBorOmb0o7udcU4ctimaVA0klEEMI66B2p5WNwNZrwbhV/0b3YlkG/8e4Jszbqt
6JzUJap2BnjehsSZQDrT83YzOc5EZ5wJRhNCEa8xJDW6dKeL5Z06j7aiceewN9M2BctiuoHBQwBj
fPWLVKqzyiiQAmikcwFhYg1Y57IUrG7J0i9tzgUra6U7uaWnOKW2OWU+hdtJauW1Ngw7bX7rykNq
1qA/w/hlOPFuxOYxfP48Fl6nmUPAxXYoJgIbylFkYVfoErxRzwlCW3POprySw4QHAXBFqj7guJei
JRBhwXZSok6jPKYWmuGAqkTZjSNz87KvRDJfWKz0wCAz3Esn3vXaXcVLHLaryysBTLCQ8hrTeMCZ
xRZIu0+d6le7Ux5moKQuj+xmx/1WmzdwJW9ReBXJ5YEYvdzhXgjGjZmeS1y/yJ4pJ93fDAIrKWwQ
mCY9VtIZUky02+oM3dqnMgKiqGFnf8MF+8UsmBBQ0bDKBOAV46VWLnhkGJpbxn8HLwDZbW1hb/nG
sIMzgDGvO7Pt2LPSkokESatqWVqiRqn49V5RLRWlbYQEeyT+wrIbHqof/bfrMjmeQGYCQ121KKMP
8AT/LA21H4V0Pm8S70YzDsdQWhKIgrBEgWbfDeZ93I57+BbO7eJZP4vbIcgNnZsS6iy0DsovNCEW
SMXqFFiS1Z5zX+eNlHEUY9dFe0UEYauK6zalAFHEpEkR9rswmTnPQ54Y1m2kUyCPWik602TrwjEM
XPUvJhjXVq8wjiMxazUoDBhfNjjm8NyAS52XhmxroaiijEFrBdQKX32FTkUtkzKM38U0vEGsOzRF
4/SmsL9u01szr1DlUw5j1KHUZ/rc4vHUuBhs8lKn35EbCbA4+i3Pn29nVitZjGXrUS3NUydiOOW5
3k9P/W7250P1sSPTHXk9k203+H+KiWzpT47LfADxPXHqCLxHk99Nl8GwRGnf8OLItlv/lMSExlJP
sywylpaC8dLKGNmvrKxBFZCzMvkfXN6nHMawp6gc2rADk9/CdTOfAATsL5TbPYDNKq8EQgSPVJxj
HCJbBtTGXmxBzAXvfqguHdYkG6/aA0QBQJO8z3Xd3rGb+dXepTA3oqw00HmVznr3Sw0ucf53udLn
AS6/YRV/Az0MaTbhQ4XaPhX9tAd8lnv9PvFsgYmHRRw0wPdQRCfHUJMaZpg7lO5ogdE/adRLjgvn
mTjjI3KNtGkbQx+VaFYd+M1E7RBzIqZmN/37dcW2n7v/Xl6RMI5Cj6K20dIPW1h2l/pdc17adP3v
yVkgc0DoDBJD7qobzywYlyEHDcmyEIMNUyuDGevcoaPcj/dVNLrJRB+EGTNKeuoC2+hSV1gJkOMd
aGuPpMCqZmxyugmcH8NWAzs9NKYoRsTEkXegzJow9FgA+ptz0ss9/qO99XnSbEWQihXGYlScdHpq
9+HPZShmgR02D/Vd5PGcMsdg2VoggHXEVl+mAyCvUF+w7GRX2jlLeehP22e3TMDomiYpLPbjHGbz
1Iq9CL+4z1THNC5z4V0/uO3r8CmCuXudKZKEIklzekQX7OTmT33vRcOLgFfLdUmbymD3WMIwPiZu
2FbP1JC4LpcmsgkIUCXArKzSnSbCXdNY8og/LGElh/H4Y0XLPPoo1CI4Yz3fi87GY+ctsNeln738
BZ+eKa/EMWkNysJlpi2VCCXaq+mdlnitade8QZFtT7ISw7j6qhTjQRcw1h/vW693ACp8owJZu7Sk
x4X0eYExDvAAK7iIUrzjXD7r2v9LfaLTDgkoMNQweLNQxen3jWeCpxY4yg884jSelfxhjzXR8gxd
914I9hXRrWbMH/8f1qSW/OKalTBhYKxmcdQo5mGEqrCGFG+vNNyja2HnOrmYJTDEhx7z1LObSAAF
DHnNwu3SwOp7MpEBPZ9sBkcu8npbOohgiKvOLZJI/S78QE6uAc/Oa1dvP15WMpm4UAZK208zpo0W
tGYdaM2CrboLE94y2pSCrMO6fuM33eSnPNb1h2moTHo2w/Xnj1MK5IHmLawCpwY2xXVB20nyShKT
TcZU6oOpx+0ArIno6V5oWPVLsFvKEv09ti15WeX2pTAwM6gZoPdmUfmMqe3mtIS8wZ69D2TMQ33s
AXYYWOWBejxO+e1ujQawQ1nTRBWc4l8vIe1KCUPesNZlYbgCBR6GTW+bp/42dUIvssXD6C5L8+r3
0p5aC2mgff2AN2+lpgL7GtjbCshzvspv+yTAkN/ifVIsitikehvHx+sitq1zJYO5+VFBDRBGD3jC
5wesqrjSjNJIZWDRBxsQZXbuSONEZW9rseZmnXEKqt6izcirXW4a7epnMEcdz20vqCM6R2qUOkMl
2aBu8qcos8A1ynl0L/ftDx+0EsX4gGoSDDDA4VTTfbtfYFxUFGFqjA5wTnZzUGwlh7n3NAEDXajC
14TNIwklW55tA+Q4CmJWfcT0fNjiIaRyWgKcc2Qvf2BUki4upWattHMsYivNzQCOBp0jhnOGbN6X
T2YDRDDoNorzjYGNiqKTj3LZXdA7sqbsbcKOU5oad9ePdPM+6MvyvmrIeHcxQX+UFDPusPUMgkgX
SM/J7KXC7rqIJaD/YRwrEUzAF5tuavUESXzXLdXIdzyLrgvg6cDc6dnQixL0bMSZG7fsL4Xiouh+
XcS2X14pwdxpMQuopkXYjWjc2UNuDm8l3/8DiWdyB/aW63LtxJiba3ZST7OlV5O3/hw5c/3Qm7di
Yk3tLy4J1fJ3XZPFXF0Tbw1ZS+AlxuJbUN7L4089HK1Jewvz++tnuO37V2fI3F6DgChUWVYSw317
Ck9YeLkRX4F361LX/IcItbb088Khu7CWtWceDitHVRZTJ6mEgiQx5IuyC4qOoD7prWSBLmqSee2p
7Sz3U1cWTgc96LoPaoyD9V5zkA6qN4egRSO35D3amxhg178lN4nHS645hsNC65BWjfLKwHw+rZ5j
4dug1xZoF4Pw1NDKaQeOx9oOdCslGedBgQJQRwTBfOkKCRbmkn9kZ+A/WfF9fgBHDq+EzFOP8SQz
GHLKbPEkcyNjy8EEYKq866cS85pYG6EN8Jl4eNpbXlmRdQkFPANrbCyie0moMgQV7n0ezHbbuj32
BVvRqqFp+kZrAXRcvGRzcyZoLZNRMwnicMCgJN6XWWw34qmrnnpUgTWrmyDuqBZPIi9n2TpZzH0g
IcN82FJ1hpdYvY3mxgyCWIHHUTD/SVpPNfD4e4hKxyyO5sDJwTbtZi2N8TlySASlw+DOh920j5o9
HsktdmcP9QF8gU9/k/OtxTF+B+s3wWTMMFOiPzSzJbdPGNm47ts2q7MrGWw7RSd5WZYEpin5CxCO
7uEV9BLZrSvaxbfSTm3ea30r6KGWScDqa4iAY2WCHkmNSGwxsoal3zuVFLYC7uqWsw+zWQFeC2Gi
ntC1xqAsuxZaeJZFFxx7JfJ2zQYsWCC8K9Uj3it2/RcpyVooY4uENlOTfIyxKIZbhViuDIMjpp94
n0zaiHxrOYwViuGYSX0Im69UK3nWDvox2MeANMAqM1Zxuh+8NYet8LOWx5phXE9hEESSE4TncNna
LmN3FM8RJuSKhtsh3XRcn/bBZq2VFGRGjr1Z57n1wn35EyM6vu7FTgFeo/BBviiO27ukt/irQJuj
7CtF2Uw2S+VhVAKC/fwb5VD8VmVQLiQu/WWCMgrr1I/JST8o4KzSdrn/F/BBgFT891qwBc1YM/q8
VQJUXeKT0NiV6M6Sa5BfZfR+/cZz7t+Hj1t5zHyuokSe8DVV5V4Gt2r+bRY4FsoTwcSB3OxTqkc6
irNTbRXU3PcpYOWqev/facJ4En2em75sNMAeJBjr1vrQykh1isLSvy5n6x21/jSMM2mSKJ/xfTC4
i5ex7Bfza4Yt3+H3dSnLobD57FoK4z26gnQxpQjYXdScg374JhsRR5HNRHYtg/EcmEKLwCaMmfH2
VXWiZ/A/3QO9FDth2JtwErtx5vvejWwTDJnaETt9vDRv8zWy/gGMK2nNMChEABR/BNCF4sjM/mnf
73PM3RU/rh8pTxwLW0V0JVBGCb5kQckTLMADHEw3xf5ZgYk4Hhgz5wN+HP7qYhnA1RmDEIdLVNUN
A0yTY4KRo9CSmF4xkg/0m5WMWkm1rGugUFPEllw+FOmhm3NHo148F3aivrcJquBvhrKrApfwGnec
ey2xafPcYlcS3DogK3s3QCSW/i6CR46GPBmM75CxOlvkNXxwUQOiZ0Hmi97C1sp3nWP66rkAGVbu
T4ST2XGCDrvIp4vzkOUi2rjLjEwCI1mWTeMDDxloO4H89PIfe3er70fMxKAaRUmmhknqwB94KewI
hD7yQnOtY5eWu6PIO0/GrUwg8DCEEjdOKX7G0tOg/BxaThGNJ4LxKmldqFXWw93Xyb3SP9ByDzSM
62ax7YL1ZWtCApcqO4Mjd1Klz0u1JzF7O5ZUp9Uiu0jIsVZTXmV5O736lLX8+eobBbmMeeQMy1fy
GPlDbt5pJkaN1OpR0tLCUrNin0QAEIwfsGpkzYBDV+SS07H9D47r8zcwN61v+rgOI9QlP0b8vPGF
nqdX0SU785b4XKvkaczcOSNLJm1qoPECap3f5l4POhv5sPB3oHPL82Hb5vKp2/Lnq/MV+8BsgSyC
t/7z4pRBjGsnB8OZbgYkWZkjvSz4XNfNZzHyP93mp0gmghdlLCXJiIx5xuh1PFrBsKflW2y+yhH3
EcxTj7lwNMkRY7E0hYJbcqHHxm5GO3miPubG9tNjbRehZQDLh3OqvAvC3EGgsMxhmOIOAqDGGhM7
QvSuTVflXcTl77l2kosjXX28wExDE5QKKFnGpyp5Tn8UP01bIpfK4AQCjkJszUsZk9GMsE7nKEv1
OiotQ2yssbvv+9S5bhy8y8aWvGYh7RpMXS2N3QVVXbgkdr6T/WVuvvQNXndjuUxXTpAtdWkVzY0Q
RAtOKZd+3um7FKP61zXajGYaaHkkkABpps6Y4NhRIQlGpPikGHxh+A2O6hulqI8SgEvQBejtNklu
c6r/jVgd9Saim4ZEWExdrI6oStsig5VNP6bvbfx9HoFOBZwN8U4x7uOOs/qzaSIreYyj1muRikOD
SkJbd7seYFZxWR3AVe5kIrdiuNXAQZnpX90Yh5wGpClnbalaAMlg4eVR9tkyvsbl5dlsS68lMc4Y
vX6gTiGFQAGW7qpDdFe/TLLVgwVj8cfgZsSGZ+3JnIrJpsmA4EPUYDUEKfrXey0ALltIDBNvHMwH
dYbVpI6e2EYG4CxjF+mZVdSadd1Ktz/fp0jm80k9YGGSEs+3rqvtMc1u9SK1SBYBn44LwLz8/D8u
3Uo95vOhlRPU+tz/8/kmF8ukx8D7Z5mU54k3/f9KFPv9jFwGszw2G4LMT+iLMrzkCa/bvhnPVjLY
ENrSMNAmqKMXu6Y9CRmApUpAXd4YI+cj8bRZPuLK35OsCpUUY2pOWSNm4vUbd4krN6l/3RZ4CjEe
i6jZGGagbkVJy9w3o/7Sm9J9bGCIoJQezZbn8nnWzkRLOZXyMljuWHqq95nbH0s3vSi7v0t1Vt+J
iZaZoP/v5OYypVx/Sx160EEFDpwGK0GnCLRsPg8KaLOBs/C9/O9NZrGAgm7AG7vvMF15U1wSN0qs
EtCWe/PpdgIR1gcb4w54ePXw31kKu4iJYe1BjJFoOU2m77I08YDP5aZK+ldO/1M9xmuECZlpuTj9
dCZHAnTMmpr+aKq+CmC860bJcVAsfG2coUGrBRBV9w9lPPqkx7ZIXzqg7/lxXRLnlmmMz5BNGeMs
5dI40f08eJzFM+WtvPCUYVxGPJZSZyzTa30v3IFnyB7q7hjQzm0Kwnu9bCaJKxNknEYgS6kAtkBU
Qg4SoO6HJ+pm5zq3DEf4pd3g07nhU+AWD1ps86gYeGoyjgQNIl0JJ+QgYnajtt2dANbpsKJWPE3f
r3+zzTxupSTjQ7LcGIxQQJIlJtTOs8CSVd5wOU8Zxn0IglCIlMIsqrSxph6TRQDjXKjaO53Tutgu
THxqw25ZZkkPpqgOXmPBztdsjAk49El3G6cGW6124S0FcDRjVy21QWu7UcVnUoW3KD4b0UVMfouU
183evFeGaKqSrqiG8QcjQEiAD7kUk0hx25VPhnnT8oYDNjVZiWDMIJ/7uNIHZDFD3lg58SIqW1H9
qCncecXFs/2Rw6wkMdYgpyB7aBdY6QFQWsu9WoqZikW83AXZFafgsm0Qn9LY0ukQplmbRsAUbp3B
Lb81vyIfOLwIXK2/QCvy5HGOkS2eAjU0ryp9cU/gbFH2ceOR9giS1Ot3dtMxgfDIMDD4BAACxgmq
3TQpI1liY14f9KrYEQ1TbUZmlUrka1IEQEyJExY3M5uVyEXxVQI1kpqqmGxYoDhML8iQvnfKxSAP
tQRojjR8+e8UZNxfmffqmJMaz/N6b9C9ooFDEVjBsxWOT3n4fl3Y9jf7PE3G9GkVBjm4roijRQc0
lJYdxkB5mqW/coOrI2QMf5oxJKwIDYp/IFpW90p4K0U3U8+xje2e8acYc3kCrr6UWpRF36sQMx36
k4xUrXSTRwrkjdzmdVS3u+4rWcxzC/ynYVAmMEQFwHGmF3vtsQLXoN+chANBFVjd13+zyYCFGoLH
nQYUwj8g3YZs7INwcVR1u0si6kRB7dZmwjnG5WOwXkoF9YiMbQnjT65IyTQDrObhIgOzF7utC0Xd
wnzJ6yRteXZVxdiVApRsCTSlXz+W1PYRYL+gDQkmty2UUx0ljmqMu/9/E1+LYRIzYqRYfi4Qp8J6
j1XWMLxJeptOnJLz5pmtlGHcEqAvNJEufefea/e598+GLv/MtjKWtTKMK5qCeFBqLG06Wf0jGtxJ
52SxmzdoLYDxPkmDmhOGVoAJlEUvQTI9d1L2rhtAtwQETD4az2GZnkUAQWvyL6HIOe5oy9OupTPu
CAWMjMiYP3WmsN2NxPRo1lmCMVhzMvtxHHnXTWOL/dpcy2PcUpLEmpIAwQd1bP0mQNIUe6puRU8R
pgVMOA+sPqHPCOVdAGxel71p/RoxQXKEC/AHe1VX1MKsUnSkSVF6Wol3Q0/3mTi718VsnqgGCRoq
hKamMBqq+WwGSYdLpgNhwPytA1JEPCYILpwvt204n4LYYi8g6duiCtA6TQRyK+vYTmjD2FFbxU+H
6VjS+b4M53OsS+c5AE49H45iKzFQVz+A8cfVONaTNFa45/1gRdFwq3e5V/aZJ5K7PmysKuQuMGyl
c2uRy5+vw02kFaKyfMPWEV8nN1/4x0pssuMF6JKW33rftpl/P6bKeMwwwO6XMKB1HJ/QtnI6X7Aa
YKoJoPTEFIj1wULG67tsZQhrHRn3Kcdmlpg53OcoWkLmSb2bBOd54DxeeJotf746ybadpAAzbNjP
Dl7qSDkklOxppv28fhk2M+K1Moz7nMGnJmQj1sDp8z+NaVBih2Bx08+Cr44WeEOd6xJ5ejHuNEjn
/J9JqMbUj6UkHbOs+pESlZOhbo5trhVjHOeM/VgVe4EY14ktsXrNk1Oo3Ayj3zanqTmM4PJFEem6
atzDZFxLNeqjDgaPZTIjvJ0ddbdMoQzflnWh0UeR+6/yhc8LzlbFcNfmoA4RmqhwiiovKs9gL7mu
02LMf2Q+KxGMD1EamoW0gDPOS3AEPBPe9MVmn2r1nVhE7DCgUzBT2HkV1pbRxpYug6rjEopPguoT
4oWSL5ankjpmyesobVYV17IZ79GSeWkwwnsQHxC8S2L3vQckcONrsQVWDldBZ5yiW8zrTW+mRqtD
ZTyI1NcJmlyopnckc/VW8Pq+dQqqfM+EzhNr6tVFiA3MTni9/jE5novd+5VGw6BCBRyLyeicjD6a
pSsYhq/GLecm8KyG8SojWBKUWcDkSVX+VkFr0/Me8jwBjBfpIort4gC3e1k5JM/KU+xNgwUIJGfZ
xzU7AKFyYW54p8d4FEUay76LYC2GGdtRgc2t5KWqb5q/mTxRNZStJALW7z8YH2lAaThHsA61cmr1
LUjszPCuG8LmUOhaBqPLVChpJlCkeYU7oTameihkdpcGo9/lbrSx9ecoL7KPnVGbHIXH68K3z/FT
P8ZLNpVpCDoFlJRJv0elB3hNHSQT0/1fSMGegCyaS06pMhYii10SiCHw22iD3c3qMAS7YM5tY/px
Xc4mPK+6EsQcpYl/ABfdIh3wAr/zMbh5xGTvTejlRx3LzJKn2pEDyniLHPMzjzv9YxXgD/+8ks4c
pmZSVEemEQOWlbhTgso1BPNY5+ccaLZZ+KZW5NAakRWA1XLQsjvRqJ14rkBpmFstwMBpNTlpU9ik
CIETS+1YDA9RHH/PJfQRQeitTYHVjdXRSOhDZpR3RlAdu1Q/AzUe00MpGtMyQOV+tJh3r4b7anzH
rKBz/YA3zeVTQzbIhWigJZVaoCCT+g3ZoxhuJep9UNYcn8WTw0S6DImr3o/YKi6Hh2Lc1/27pL3J
Defmbbr+lTbS17SuN6t6FAp8ryHz1WKvdq+5cYfeUogGmvosJZy7tuknV+KYCDeB86lNQ2QkJVlI
xFRH4o9vbk0RrC4A2+cZ1aRouwQXICa3QXdSu4shH4rRn2MJC7bUquLKikTO19r2YCvNmPw4q6a4
zQJ0i8Wf5T7ZmccCCP7UFS6BtwwVGA//dCL12+FF4o3zb+awhqFoOuCaDFC8fP2Iot7L6aDiIzZd
cSuq2j5PJZtqCSf32qR9BP+ZSWQT+05YB/oqpy9TMQ1z6Kj4ym+sOXpghivhWQxHPxPPdMFfB1Vb
0AH1fvkEDsgnXpVyO6Vd/YTFwFbPEHEKBSqX+AkJ5tqinbjDFJYt+8RD0oSSHu+yb57sShxzslOb
j3Gno4QoDA+K6XZaYina23WHwpOxOIKVSlTJkD6IS5my9noQylZ4V3GahZvXbqUGE3xiaZJ7xUjh
lY1LJj2MiXNdBa5lMEEHK0ii2CvQwXzovmOxApwg2Fq3knsAUdmJL94tqGGGNXxbVr+xwN865uP1
n8BTkQk8c66o6f+Q9mXLceNAtl/ECJIAt1fuVaVdlmX5hSG3be77zq+fA/WdVgliF+64nx2uFIhE
7nnOOmK+rK5TryNWSDcjvCxi1yL/8xVR5P14UZOeVa01zEiBx6t+vFXJXUwHexb1oPb0QQfrDrjM
CRCdeXQ3q4tqWC8si8l5CMAOMNRGbXD5JLvP6FwGd19YGcnnuELsuPiKz8DCACNxpQQsWAW4ynP6
fFne3uXoMlIb1KqpLPOBfr9WxZAAb8Ht5p/JfA1iyMu/v5s5nQvg3lAqVRidqSCANdKUqzi0/DcW
nhcKljLFwwzIgg6DqPKyf1Pvx+KeVaSOkdRuWCciVm8bkRIWsmwn6p9gF50fjrssPVc3TWItIKWe
7HEOSwz71aBQxcQ+WQWawX6Lj9/OZXHPSJJGmU4GJkLBV3Ga881tK+VupfPsoi8amFljJ/IkWmV6
azxekMo3xmv0MvI4hcrT6+qQHUBMehUFjR8fARlt6zb4YvNAe3MvAB75bryIOHAEF8l3ypM1Bq7K
xsbJCDii8syvI/Cvqv3hspqKxHDBVmktZWw0QO+cG3ANYp4MtfNFREuw2/ZCiiGDwBu4xOCK+Gim
lmWbJkyu/Q0FiGUqrw5I5rD1uulVtRMvcoRt832teRfJPb9ci1pNqqGhUWxcGbOENdqeuuuSeXnS
hTn5lSu9kCrtc5xnEAOhiC6j06xaPMhzpZW5TCUJxIrmzSC5av/KykJTaqMD7dfUwdiSNYie/E4d
76NULgYyCq20kOuTtwGB5YAk54DlBT85/t918qMgZlPPwoJqibq0WkEgXvWtG5leh+x4Ec1u7DQF
PkrhlGWNYpXOZk/Qj5UdCsedHodQuk5COOm7y9r/OdX4KIpTkmSmSqF0NaAPGXTtMdZPhTpgc7F0
os2nICAGce1liZ/f20eJnH0uxxLjFaOJabn+oWhQ0XqQJ/+yCPYTHy3XRxGcbQZaUTe3bUvdIXGn
+mBVhR/TB6l26ib6P1uPj6I40zxiP58SVQPcPLZyMAmQZYe52gSfjF3C5/Ogc62b6EcRHtG8kaXB
HJqcusn4mIwveVZ8X5B7L9IoiHo/mwx2mn8E8djkad2il9hk1LVAcNaEFYhX5+ShN75v9HkrXy/f
0k5V96M0LpkurDjfMmyroz43e6qX+RQs03Z5oH4XGHdWeFmc6GycnTesWB3qDZqO3fFKCzVgjkUv
evnSta+1aKhMcGE8BAXpI+xxpw2zgg6C/GCrfqqEgFM7FmjGToz18RtyBimbQX6ZFxlBja5d7S3F
pidDBJZ+MXS+x7flbSe/lWtXtIsvOiJvo/o50aQSDkXSu0Bt+p9WDnZxXblDOiw6JFOEC/pP2N9y
ZnWXaBrWkWCvdNInL9u6YFgBrUy7B6OIKr+TU78El5+t6XEYd9iXGb9eVp19k/X+LDiTRRNTTo0e
j9zs6qDH88BwxEFRZe+yGNEn5cwWhr3jum1gGVPtW5Z6VnQa+h+zCLRK9A44ixVbcQHMzZG6Y36I
p9stfTbGO11O7CojttYLB36Y771weTzMxjIttIhTJu8IOgYUB0oUB0Z/dP8GjvyDYsSHF0E5qxJJ
YPorElA7Dy6cJzhvw7fpBMNj7eUURQMhtiF7Y5dOyFmWosraaCpgnknzpelVexGv1rGfuCSCC3Bm
a+tLqbZAwodDYboIzG5I5a+sYAqqQIT4JzoPZ1MMVTfRMoQwDSMd83EenMt6vu+e/3lOlDMdRb5W
1Kyh59YMwoHU7ZdvDOKuf9AnQXQjeLiUMxztEOuTqVrUVZs2zGQMGA31D0Xf7i8fSCSGsw86UogO
RTDNNcbsmgyLO87k2CirwD4IXi7l7IMR12ArjGOsADd2HT2Um9PoqNCnzppZtpYI2mcCa8SPwFTp
3GekRxClGk4cP4Kx2h7Uye6aWhBCieIAfgZGWkalpdFE2Wo46N/9DXwUeY3xXhQUfcstBQcTyuMs
RAykkzmCtcPQmfbNAAUGe0rGveIwTpTl5bJuiDw0v/XYlIABWdMBETZYQjVfCY0H6aY79b5ypDZQ
07zmaYxt5b9pPj/zUo2qtlArJ66RXnXyQ5k8KJlAhOAZa5yZIPmWlnOLLGUzXpXmmow3c2p4g3Yj
I90TfESBE9E4kzE06apHLE2Z/AarqoqNNcS74Y1OeQK9sciJCHRf4+yGMVBC9LIjrl4Rf4sTX8l7
P5Hhw7oxuHw0ge3gW5CdZC5VFOOi0u1AYAtR0halQyIRnN3Y9E5VrbzQ3G2i3lIPXtelnkwtwUlE
H40LLOZkxGZZh2e8JQ+V6qQK5smGZ1MNL38wgRi+1dc1xNSHrMF76g7DelVkx6z1ZSoozouMBL/U
pelVb+oxnu3kEx/hdVBLNmt7z27lSYdUCHXNvs4nD09MojIybR2kfvj3sxi3VYpBLyo4ReVxxLhC
HyTgbs1ke3lIr7XvGzbnWMHUGZ+nzM4Nwfva/aZnwrkIRo7mpm9i6PdQYxwOxZrCLRCqpQKLsbPh
i9jsTA4XxjRSj8nwIqLuJC92RtPrjVq2GamelSmBtFYYOpRtImWB3H9pF6mwKwIcFE25o3obEGMS
TB/vOlRs/FrAUsbKLb8tnsdF0ncy/pzOjENVP9Hk52a8xKnX0sFrVgH24q69PJPGP8M2onUm44bl
OLI30ttU6uzYkK5mXbXjsXy4/E5E4rjnGGW5hlePpCnS3WzxLYI4obzWCwyKiKD0dgPG95OZ8kfd
rWQNxIoTQoW2ujFTYivd0+Wz7Bf4ziRwr0NtsqixEMq9xb/pSQnjgO0wq2EvCg52jeWZJP4p9HMT
01UD4mnsxQ8pkgfMiV5FV1E4f3sDukZDU1S/3H1+ZzK5Z4HRhXbTWQKB3fOSHBP9upheJfL4Hz8i
57DNuY3K0dIBeNhhLxZT25adxFcDMWGnsWDna9ZjtQiUfv/Jn52Nfe8zu5b1yrSq6krfEFY2t3dG
zF3dmG6TOOUBsySeadjm6or23kXXyD75mVjLyOu+BKS3W+cHgIrbxHo05t4RfFHRxbE3eCalpHG6
aA18UXbQfLmwMXl/jHzs8vvEwx6Xj1Ten0+i/GynUQgzevZNOUui9G2B97Cwwpnilyid9YHpwqCQ
QPeHp8Lp/8g/nAnkbEk/LSBRaUuUvZXpwSpn0LV8G4s8VEGyKfikzFZ88oPvovhdJD0nhFq0wieV
/VrKPGkL5uk5SX82M+DCHV36NlS+QKbAflmcdanmcdayEfw/bFAwcarbxJVfCvS4AIRiq8+YyxLY
ZoHeWJyR2Ra1nMoMNYokfc3rq1b9XUtuJfIAgjfAT4bQWq9ME6BO7lbeTnW4LLemaEZQ9OU4k7Ik
SkYyoL25RTGcVlQ7QWT5fPl2BH7M4gzIEvWbpJQIK8HBmKSrY1ULEJIrhwC/uBIEBIboPJzZ2JA3
lcOiICJoKoy2V8cRw8ZquuFpS8gCxullyk1H2n7XWX+HOM7FIPdhywpXGXp/XVc/sX4qhexppDoS
NFOIPhaOqujeNqcPyYippyg/ZUvl5OZ4nZbfutGwlyq9KxDrTJnmzkrz1TIRfAxbMKQbAfD/aGuW
ZC8Em/jkedTT+7hobKOdHaV5WtvIstOtXexNXQGtj+n8snaSKD1qpgy8p/pk5MsDKAntfBn9ours
HLN4UQsU9Mq61igiSrBZ0k4Jl+xFKsofvYUFIgnshVX8jTbFoR4ar8sAi7X2TiTHQGDRvGpLXnVt
FaAbfI5/sXKLaQQCQHtEYzyEjpSQGSiCG8KVdnQM1S0WAGdS1dFGZ6HfcgW8XFNwWbP2mrIfZHLP
ULbWSs1NmWHSjd7mVm6GmBsLP3YNz6TaVUAFeHE7WcXHU3KefotMKIGBOKZz/8akj9zoavRVv/Rj
X9Ss3OkjfpTGvc5RrpdhGkC1oGs2kmZsvIwv6l+Kl/vaneYKPuZnw/1RGPdOG0JWCfNMSGCaxFtr
46lYWs/Yfi50RalZD1XKWhKqftuaxe/LskWGjnPDVQ3kfa1E/S2W77fkNJqvYy/SFaYLl/wS53Nb
s0P3fIGrZz4XTRZfntGsYvQ1XdD/EGHi7leNztwg53FHSR909PwIFKU4yF4B1TQP7RMAEHztaPqZ
h1JBSAVuSRCsYSjoYzyD/HNqJpb0Lkh6GVtwd9KADi8f2Lg3kP8Oyp0qQgUTRDOU5+aqq8gcaYE2
oGY3AKXpA7aaRR/bK+JApCsqyO0oi6Wh6KuoiopkW+a+rFRNfdeyXFemYJFS18dRyR2MO4vmP/c+
5rmgt5zmLDhcU12qlhWvb4688msDtJ2FrTpbhrMFuq36QxA9VEEbXn4Le5/zg1gumMn1qS91He8w
LmzWcGn81DPd7X5DexAEL5Yrmk7amTM0PkjkzOiCAQIz3wasVayvWFf/Kke/6sHAHI0eWqb1dbIa
Nx5GW036u6kH18DavEQ0+dFalj2v222XfdXG8jjNozNqQ+x2aLKNyfYgR5p3+dvshBIf/lDO+k5I
7SJN6zAEU4RT9S3TR5tW92BU10WgDjuGHmujhqpSA3uHgN/gTJI11lWzAsrpbZaP0WVsCliTpNf2
ilEd96nAe+4kyFgCIZZGLNPEAjo/bYxxlF5OVhRj0WK2TD/HDO52yOvXWI/sjt6n8j3wUO3Ln/Nz
FPtRJhcsKbk8LyZoM8AA+qWPD8lwZ2whEWEt7G0bK0RBO1W3dIZdwd2atZBFmgnEZIc01E7lNQGX
SzWgZr/65R0bnsoCNYx9cqd9uXzAnVsEUL9CdaqCZs/8hOs3JpY0m9PG8rs0BFUa5raYw65rWwrU
kyEiy9h5u5CnKppCcYv0E2pLqrU6mWrQncz3gxsFpVc+oVPwja2HdM4cil7uzgV+EMf5NFrUPRkZ
nD7mxELSIyOvomBpfoP9RxAdfDa6pqKDIw3BHUAYwFbx0bGo4KI39QVYIH3kJYOOjTnV1qJK8L73
pAAjV8HiGDQFiLkfpejG1mS1zBo7i0/TI0Yy+/nuskrsbfLgp/+RwVt1apJ5lQ2U1QbfDJaryqce
2LPAiSY9dKFxb9qqXSaAihmc3F/DPxh9/yCdM+7FjJHTJkN1KtX8dv4yVo09xKNz+Yxv4EAfYx0W
yr2fkTPoVdRFbQJiKyBZoAr8nNyaL80P42n1GdO4/EzukoCtWtoi3yW4P15LAE1TqXENHJymDxPz
CxrPIxG4x/004/1oXEjcajGZsvitkRSHDO53BEhH6YsQ0UWhN2//E702KxDnsSkExrMDLoWjfGBl
Iekg8jV7r/gsczL4V2xUGOTO4fBTOdAmO0tnUAvfrMbLZa0QieEe1xYN3dY0FHn44CgVY8w+xuvX
9A9o1KF773kgF4IC7QaD1Wi7uR0s+9Tb2DUbUlEaJjiLyf79LDTTYhkUxRlCM/AaGKMdBdQD6AIo
TV0pt0HOnaLyEzu5GwtLvfsq/n48Li5I1SodKwoTZWg/NsyKlEAs7mQieMFMiz8/4HcpnEokc2pK
fQIt75XKrrP0CosgglKJ6BNy6oAxhEqqa4z1rDAEc1qFcjkf2sR05GkT1ZCZd7hwHL4mmMTaVPQF
bC6rz/Woz2VuB+DKNbUzW7bnEDWay7q+G3OcaSFfEZzikWJrEde03Gq3w6HxN7gsOwaZAkOj9Rjj
7Qgs2iYoHNFO6m7QcS6bs74A25XSPlJZr4OR3uZejcUdNusD/P9rYaLJPMalb8t5ZkolXe1TTDTP
zvSGrbaFbCf1DVlNYHv3NgrO37bFGV9JS/qebMjTWzDyZS/FF5QmT1rmxPfmIXVkXzrm/hgmoXqC
eNfCmr8gDPmcAHyoUfC1RKsDBLQloxPeZ48jMhELgOjLjRQ7k/TzsgapIlGciWljpS7mCgk8CCDD
FvzMSru4RgzDnKaMkxIR7GPS5WE7tDZVEd1p1F4aI1gV1ZbG/Oc4Sn6BzeQseW2iFqsyyBy12JfL
+z4ZwTcAeOm0d6x+DpoIZvLyXy943Py2k5SpnRpJ6J5kHTaqbpb5SVkDZfxyWYrISVqcmVIHIHMB
DQP1qXvVAd0FYijDW+Ek1WeRQxZdB2euFKODTwH6uEvbwsago5r+NWo/MuByqo+CUzEt/vcX9amI
MjUtinysENbU4ANmWb/ykNyi5+2Nh+W6CpLrWhD3su90SSIXFXZWYUpDz+pful/qN3n3fUue5eYF
vN0u6UTW+LLFoDJnn7Q21hZTQ81/wngCoYDKjg7G/KsC1p7cufIyOWP80A5h2gjsh8AqU5mzVVmT
5r1J8Kba37OHIvspcY2H4YeBJaQNw1sykGgUb7mGQ/hPsQ+V2ZWfxQtWRvOxL9D/ys3HlR4Hepsl
KMJl0389IQsfzgRVStqaI0HYyGCTQdqGTVrDMQIlZBSNG2D55TAJqoMcikCZRCrEmatMLoxesTBb
WOGbRo6p2cX8a8mPeXKTGF8FL+TyY6Qy+/ezU2ZSZNRK8VZLze5Y7mQ8pF4ZtBIqqqadATSP3GHM
JbsXWYHdBPvdt1KZfYYzyVKztZ1hIsOINc0ZGtbzVhw9LRxsUTtEKe1cIndS2WKp+KlLwVdBN1cf
LcGQwWXzSvk8tWrBL1/MbBWBYGBOoY6ioUDU/zVjyU3wqQWi+HR1MbC3KqeodkZPwPA49kENuGh7
K9Erjl8yDBTFbiQ77mWp+/dryRhjki0NneqPXzluFsOs0Rl04/qmzj3m+LoHPfFiSfAhRYLY6c+u
0yJmswE9lbpL9d2wEpcYSbDlPxMddRpZtMO3H7q/n4rT2jU1s03fcKradGvrV5zdRn/At4YA6V0E
p55J3GZpouFhKIpdmmjt9TLY40Y7rxTn8hXtHkZRNVnFOBbFUtHHL0fSVit60K1j0+fI3CHglTUp
EYQRIiGc2UTtOynkFjsiQNQ9ZFKGAIfeAOdecJY9mAcF9fx/DsPpm26tljoMiGFV4Hvb2UHBwB6B
50XgHFSn0W1e1UP9TQrMcA5FwxiiM3IqaAwpTSRVx1DN+Bonh1HK3Sn5679dFqd5QDTFEneHOEmN
Htsaa5RXhWjncDdoOfuEnOZNQ5L2ulVjIqEPjf6myAUvdacbgtD7TAAXgDWbXG1z0cAQXU8uI5eM
DgA7BhDBYKcHKRiC6hqJ5OXvtl/IehfKQzmbyFFVtUIVns3nzMHyTGJ7fKFoZ7Gl+jUkL/FvLIke
RANd+zncmWAuIlu7KqNFjiqGft1/lT0spN6130Y3CwtvDP+obHYmjAvIzGHSi64jIKebSy+pFafc
lBt08gUZv+gKeRK8wajMdmVrUBowDR87ZMVTaFmO9ITAxIdy2pVjua2IKl54iZwViefaiIYadrcH
/BoBi7vkLI75MtnbvREQbw3N3p7hx0TJouBJ8C2Vvl0sveyhsfPqlMnPRkhQvxtIn90bZzriHAv2
yhrDTb7O3gJmneq0sED2K6jH3Msvgb2uTxnCmSjegujjFGcRwrsplUCvGvZF2E8vxlwHJuK9zF5n
UQll1zWfSeQMijWuuqUN6LVt8dcEKDAYqaqe0upeakSbiCLzz6/HGiRlfAGIccajfFxciua8EiY+
2LkegfWDgcO3PYE1tIhtfZEfLn9ZgZbwK7OWsuW1BN4+2Gbw88n0uU9NQblS4GIIZ0y6stviniLh
WrGuEjd23t+b5HD5GLtx4vt1Ec6GVJYkyz3r4bZqQJPjGv3Sl7t8+3FZiugkXNRhIttv4rkgrgwA
xfZqqH+usSBV2w/xz07CmQu1xoRrsr6ZXrY8T8LoUDr5lWnHTodlOdF+476eA3bJxNgSgL+5y9E3
QquZsrL4dIL/bwFSas022UIFdAiXv96/WMJ3WdwlKYs0DEuBGSnG1dljnXLAtIT5gueljsgO0ci4
HU/bXXIUmQ/RIbl7S8d+kkGshvSzf1WWBFN+ldfPXzMAnoBuTRDOMcvw2Va9n5K7wCLSykntFNbP
uJfJMY2P888p/9bEvqSIohL2xS7J4iLHMtK2hoyYAHv7ok77K7oqfk9ANpQxWd7MggvcV//3k3EG
31RLlPtL5H3j8CpNd+X4pS6/XNYRk13FpRNxlr6hIBexqpRiVDfzgQo+u0kt2/JQBGnfuFrRedYM
jr9tDJsWiGFafdoI2nlzE65LA/JtEoA09Tsgmg+KmX2L4s1NzTI0RsAUblkQm0aKDRE43KGwlzJ3
NJJ+aZbpS47ZRqvQQJA12HJt3hfYKy7j9WQugHhIxkORSO4mF/e9stoG/l85A/6kkxYAB5pOqap+
RIyrSo/ccSMni6weth29FCkDpYOvb5s9bZG3WoBJzGKnnuNXc33epO1eXtApovJVWS9HsD94RtMG
UTy7wzbZU6M5hmbaaLg8qVH7Oqp/Wd2Mv9ukXmGxGQJATw/AOuxWw5a65ptqSKBVRYAhRw9jUh/S
IW+8JDXvL9+RSA0410g6aZ4SlZU9h6tqOKlGmOaieRCRDC7cHlalwFgOKlYAEv8CVDgE2uqLfrU4
UkBPlksOqS+yhPvjlMo/6s23aYBbkQEkGnFo+nX0GJlw9EW9NX9agKGrvDnsMrjf//Ql+TZNERlj
Gc8otaql+kCK6pgZJFgyzf9vYji7K/fA2U4pcjwrNe7TqERybnRQHSEB736Y9v4FOTvbyRYGaxX4
R+AZ+2zVW/XK++0HK/7N/nTc2O2FIGO4FrOniURzVrciRCWSWiG4J5JTFKg5UMObZ7W3I2NzpYae
lpHYskUE31Zg7fmWTNdtVJdjuOssearIVQIGUutArFMxNQhWRejbgmdhcRa4NuhAIhkFlrlx8nKw
FbW0Wzzyy/ryLzHI+z1yRngwrVk32IwhK+Mysvf4OIWMU0r1cX+3IrDcf4mA3+VxFkWK9TqTErwD
tqzIkON0d8DMWfPDclp38VgrG0G+ek2DyhHFBuyTXXA4FmdptNoAEAirMHZr5TRaUaKdlR7b5Ec1
0VQQGlyWpfHzqbQupkEzsKixRXAjBZpFXWmXynpXlptAL0WiuLhuKy1VbQoY6TVP7FE+lHFqb3rp
mFX4n5QFRSx84LMiptZFtGw6WBeigPedohFWVHb2DH+GBfj+UYyfyZ7yv98Y0I8/Cuy7uh8HCWGI
Lh+q+lhPf5Sv/K82any3ZJgmS9ss+IEcyayMQb3Uzf9kJZwVlN6lsKd+/tk2eVHKEkNKjC22ctun
CaNQQA9iM0rrs3SlijaCLwfBIBT6KDBXjXLOTdgODYRPpb+Rm7ZyiylzBtDWrIdIDvPZXo3Tph8n
NHPVJZi1yTMAeTgfLqvM/hDa2dk5+xIZJokGNt8xO2y6CGGMPwAzcnzA/OUNtbWjcsQgmssqntJB
BKR02YaCGPjjd1jluN8QK2JKK3qNJ+uhjjZbMU3RsxBpKWdXiqWM2koFkpxURad++UKG68mUr5CF
eZ3eeJhoCcde8qwK/cbqSzQovkoWtxioIEdgx7nwWvgOSk5TAyxciKQGCwPV0RUmJu14CvoGnZuX
Sv52+Wr3P66F9T5CFNnkUTdKEFUbDStlp1kIvVrlU6IKtGe/jar8I+MT3kYHaidjYtkcGA02Nz+1
TvwdbB7e6BpH6Zo9IDb6ZIVCP7Wfbr1L5oxqk89Gv4LVCsOTaI6DgBa4dtbT6PZX6N6GIgaFf6nC
vovjLOusrrmatG+zLZtvHis/e7Q89bZ4ZXC3wiXJfYV9l8aZVUDLZLJRQJo+P+nJk5T9kSK+/z4X
odWbIlngsMLukOJa21/6dMLmLhuaj69I+/2yGv5LBPMujLOu6rzMmZXBwmh2evNWrncNTwmwu4tS
feSJbMq+t30Xx9lWNdL0VUtRRWux72b15Ze61/04RYq4WA+CozEl+/yg32VxxnOclAFz+0yWZgYN
iQCXjerkkPf22OmeLGNDvsQiH2BAMczsgAVXUEcXnZWzn1a+0lUaMcNrKLptJZ6U3iK/ADutIM1k
BvLSOTkDKtfwnt2IIZ4RW+XTlV7d5dN1lE/2UvtZ68yNYDBEYLp4YI6hXYdMbnCutb4jY2qvMGLC
YGnfGv9zeTwsh9qUAKUFBgiLrH8rmMHDWg0IW6/R3ot9amNh120C5cW4ku5EbRbBvfEkNGUu5QyI
UXU35Wuh3LXpV7V+yRaBdX5rK1y4Np57GRB6a9frKJzPx+i+PLEMAlwsxxl5ROXrLxY6BKbdYsm8
CUnQH/ID2yQSD6oKtIcH7M+tcplXNqNAgwGAqmnwN0i4yEaLlIazM6klbSXYKKCkyhetP0k4mIhh
fX/M7N3f6ZxxmbucVJqOpd7cZiOOGDQ7dqGGXXlk0YLbEx2Hsy36TFpaszGaFgGoco3pBABo2gID
xhzJJQ3hDEjb5+oyKGhMpfrqZlbqbOkEAgXslcm/stRwGzrfFQ3wHWLTb8b1mqylvcSmaP1H5CN0
zsDoVQf/ykCZOlfx2RhPpzjy3YyspXMaao/hLLBogsfPI1JvEl1yLcZFxtFsx4A86AZno9+r8lEx
nvVI4G/3+50qOAZlLCVb6ls5/izDUBJlNXvU9vEEVq8BVSkYRe6K596fPKB2BfUP6RCJJi93j3gm
k7vbUh+alvXR3VaubEn50ZS/VPNLS9HTdTFBc1mTRMK4C0xb0ig5gcW2wNA71k/x3DpLfrDKB516
RERBvJs/vR+Nb8b3Jm2lhn1OUH5Y5bdS0ezW3AD+cV3+CWEYUH3+ubq3SeSzq5ObeRoKE6haxWE4
FH4eYH3WrcLkRsdSzihq9++++jNpXJyZr8qizgS1gqJH0+K30tq9/Hr5qvYf25kMLrosC02ecx1l
FuOxu8LyTyA5VYj4ISBOyag2HYE80Zm4aHMo8mSOgCH3VlKir4Ube/n/W1xNr4yATU9MIg0RyWT/
fnZrlHQNhgVZ+VM5ytVrr8S2FBsC8ykSwnkDddbMYUVk55r0WzP7xKqBgvP78tcTqTrnBpZUkbS5
w37JBNddHIBLq6H9rN+gvPrfBHHmYhkrAi5gxHiN0jrTCPjEnky3PTB1MsP8qReiaaedvXRUXc7U
kDMZtGsMsqSAzMrwsFbQsb/RRQMywbSJA6oiVBqLQIQtsBt5vQvle+xgAlvLPEFmJWexnxZHZXPL
JQvjWBCZ7yeMZ4JY6nCmgEM65ilhA2u9l9wBKy8Ek4hvBX/nw6K5BYEi8i33UdfIaGGY2kXW0VdP
s+7lzeNl9WC38SlSODsPZzSsFRAlGU3+3l/9/w/ihN+NMxZWHydKZ6GIzzAu07ANMElLvjMyYKDz
OaNoJGj/y4FmG3TeoEDkyezjrjebeYGTXCc3T3/288lI/7r85UQiOCuRaYVRkwwnSsswllDTNu+N
RbBLut8ww2zg/56DMxNmNpl9maJQ2nuLW92xgcU82FDAY7S05o8iEEGfsnv4rA/vAjlzUdeZHtEB
uUXV99/zGmslRS441P5bfRfBGQigFKtmzBqPrebnSxhJf2VlaKJm9p/uh+81WpFp5XWGJJ5kT+l0
v1UnqxK4XMHH4puL1kL7rmcdsagG02d6arsvl8/wLz79n2/Fw0BJcoIqs4ooBaQBSPJSZLLqHSvD
UeDBaC+6d1me6ECcNej1RRuADIFp6e0mzm5MkfkU/T7793PrmVuJNOmYUyox9w2cD2cbhMUbgXrx
7UIzH6IFXLOYkP4LXKxgca5Olc9CkzcsXUd/XsPoRmSp9935+z3xxqBOUwnEDJhjnrKHXv5m9IZh
K0brquZqA7T9+fI97SesKtgegOOgagB1+PghtS03tiJGXJ4d6psSk7IR0lUZA5apSwTPdf/O3kVx
d2ZCKWQUFoHhUILEMdtuJEvU1d53Qu8imKk9Uwsr15Z5lqDlbMaGhHnAyhaov4aXv9quxUbRXMFX
08G5wfnuqMv7zhiRXmh4RcndEDtzebgsYt/PncngAv1iAPDeaELDk8PkIghBXze+bt34ju11K4Kr
2TcPZ9I4NdCBSFEUC05khcnd3/hN5hW93RzZLf3CEckTfUBOFWbFUDc9ZukuPZnZHQW3rGi0a1cV
zk7EqUK5rJFSxZjHzoEXMlL1r3wB7tlGAqtBvRB7ZEUyOKT+E2Y11H/edYN7wLVZx7UEulyoIAP4
m3Mg4jQedign74357mUU4fnu2qkziZxrb7ciV5YeSt9v0YO5YAIr0R5k/ecixYK+5A78DkLyM1Gc
UyflmDVKhcyQYrJ+czE64bKKaHnDmIMi1/y5aUCpGt4oVUCNxzCVRAnwvsU6+xs4r1/UuqF0rIw3
G6VTjRHgG1Y72rCgSja7MW60Sn/digQYd9iiBkaHc/lhClSXTxBy0qZ5PSPOlZUD0lZU1R1Sxu5l
IQLl5cdw+6GtE3S1MbZlPBrmQTWuxvXGIreZ4VOEOJMgwmHX9ilWe/+kfHpQ6nRb0hYa1M2PpnQY
dZ+ooZx9X9bjposSH2ZKLgnjTQ1KilJsvs3Ys5XVwjXv1DsUFh3qy4DWyUXc3/t55NnpOGPT9nVf
mB2K6fVvNrGt2LGHeNGbTvTQuqNLCozrZsdSFnzUXU9+JpYzQLqptfPS4q1I5ujPA/2WWT8rVT1q
KbleKBGNGwmsAE9cM8b9XK0sUcEit9Xdt9O1Vp4oFQSqIk3hbA36BQYthwGIZv1fS3m9NZJDlGud
HvLB6U1V8NZEn5AzN4kqx9mmISzOk+tlie1l+yFTTze+p52IbVn0rDmrQjF0rSYmqhvl8NClt2UX
tn80i/muEFT+GJysXZEkVovTAKQtXu7b9GRkIi3YA+c6t9CUC00wpjD1i8TgRqTrrrmOV3fR76v2
62oW9lw6m/XbEvGSCYwV5SKVvJxS0qvYLZGPoIsJ9MPf7ZssuGwT92cJzr4fZzgw8WmCOwhBQw1I
BwI2F/B3aCfgaDrxjNmz0S3vSr966sMiEEXloiNyJmS1lkpfF1SFyi1Ms+Ng3MtmYLaPShkm6IsY
AhspeMv8Uivwj4esoNiQy7QM2As/lzYFDIMrFYLXLAoyKResdGNV5T3DD5j1xi4kN1mueuAFFj8s
ZbLT+JQYhkvlrwsIOceX/3idnCmpmq2PTIoKbHUlOxgNwRChiYWTXx0qYZuzeSMDtQbminGnpQJV
Ytf12QXpGlBnZRkUQ9xjt7rCVGUJmcg6PSTF9bj+EpyNPeULAviSQd+0xlAzw0U6YGlI1yWmz2fj
h9oc9dgltWMqrkzCy0IFh+JrCGquA3AqK6mLVtLT/5D2HUty68CyX8QIerOlbTveaLRhyNJ7A5Jf
/xKjd9U9EEXcq7PSYiJUDRCoKlRlZc7ad1XLn7ctrPvI39vG1hAGfWzbUIEFofXGxTfCU6Fzvsxf
/NfFBnPJ6wryRtWMU5HvQZWE9ql2U+wJ3nA8KiveYpgrbdRypS6LjuLR+Fxoj7r+dfkngJVyWQv9
CVev0Uzqm35S0DyNByeLI3u2gk582P4mf0nJL0aYKywa8RJVdM7pF1ls4o27Fv172kTpj+Wu96iU
Z+4sbymIhov/hSTZX96Ol1/AXOQ+7Amo1OH/e/Rm8eI5V04C9ljKO2oe04bLrMM1yKQFatMuYk25
hmkt872W5UfBCINC0Ab8Sub6SbEsS5QMVRI1Zn2imRRxOSM7LtuzamJhgtMPvBScZ4RZEzTtk1wE
/6QrWo/TAtzH2yhwHMSqCSoJrJkglPpjDj/VKjCHl5RMRW8cUKkjMxBdMUw4ZlaD15UZ5mLpsKMo
IspmRZ07qbbHiHdfz7bM44PnLYf+/ep2hXE7plIELHM0l/CxTlZBqoynH7fuj65Ww1wvPByGSOso
r8D4GCpPmr7PtMdZ2EPhNSSBWSlOufBmyVc9+ZVN5sCB88YAJA7Ro8t26fgy8BJR3hdizhrkXduw
tODH86J22gxE3ZPU2rMMGSAKsdh2UOvv9avVMME2U4puLirsYCJYXiZ6lnHfTDdG60bkSRK8Ur/R
5dY2eVURzvFgIQCKvMhdBsFcdwHP3lQ1uy62wRfnba+ObtUfgf6yOLYSWIPMBky5eORlwymZU0fG
NMsyj7bS7BfhYTD8bXP0y2+ZY1LtCE02cRAgUDCQz2bxUy4epFZ3I3OXVRPn+bqa8l6tjAnEitQl
ok4bRtHsFaVL8odOvs+gXT5Ah74IamvirI1nkPEbnSaJCykBFaa1W8gn7ohPCc95zwjeFjJuow3l
RSAyvtiQHpD7Ca2bjDu5Pwjj0/a34twymf79yj9BxCEX5BxtPct8luTmVa6Knai0GEmcvm1bWh/W
vfpWjMMYzcSUMwFrMnqn3qteKNjaw7gTa3vwZ986yLv0nNxKe7LjVeN4t4xxJTm+WS53uGXm5yjZ
hdZh4UoJ0Rfr1pln/EccWllpFgBRSLcaMJila2Lm+bMV5FDy4uYWnPWw1T20X9t+aVCcqiNPNe7M
8rbSOPOSPBPMC92YE1mYqCRkMg12ly12GHsKj0CIc/jYil4rZkM55rT/NmiYiKl9rb/JxPmzlXXe
9uHjXFtWf1o0erMlIdw7mazzVIPlsI/9MjKfQ4i769CFJsmnViOctJfjdxXGWaRiUhgL5SGZxqOM
yTMAV8FMWFvOXJ/NmXO/eF+M/v3qJkPrpBkGDa2EsjvM+YFIj3PIcX6878U4i2qsFj3LEHzVybNM
WzCeIt3LeRkgzwrjJyoyLPEUoa5Qa+B0jDBoNjiViX9yzqFYT9EvHklh/IIuhNIiEXgkyoaDSxTU
r43mdBgQLL0yACpg4EFEeWtj3IQSLQZI9jHDIye9qxIMRZmlF5qYpEt4sC6OKbaQp/WZGJY1PtaQ
H4fpIDXHntiDxUucaDDfcHxsKQ8c8VadSjBDDosvg9gHoLgb6QDcEzpyPFKO9era5YuxVbzelMq+
+jVHiqGyuyYQMUPtDODAMTwV2L8Uz0hUo3Aqg4XTfeTcL5VJNfJszMEpiZ630kp2I1a+aJ3l4p9o
yK4WyLgMscRIUBehdK2pqd2ESZAXkY/Zst22P+QdfbZ410WKYeoLjnj7qdyTIDqAJeApnW0qIjjv
9MLmlQDWwcNXK2OcBw6Jnichjr4a0JHc6GA5EsZyW48KiM6I+fG+4gCWeZ+M8SR6DZLThVJngzgD
7AV9+hgT3kZyMjVWg7oPQc6dKsD/iQdQkAQkiG9LkFMaTv9TfjSC/p1jRUIT9zvnC/IMM66kCmdM
Iuq4eAmkVIwj8FKQxBmP+mlwF/gv8QgpcSfhkkBx3Ao7K9eMXT3nNQ5OtJy76Eeef2rUE0b0OYk9
zwyTf0A7QZYmAsFhSUltc3xukSX0uTfyEm3eRWDVqPFUacd+AjwL+mHA7OfuZMtvv2q7hW/tZU5K
sA5xu1wDFsrSivHSFBmi25SUr2Y2B6Fu2n1oBZYYEZvoySEGL0SeA44bhq8YvPIiouV2oXZ2oxk8
1Nh6bf3q5zD+Ji3bYskLlFuEnRkse4qiFu/EW2gNAdBfC5yvyntms7LVLTZaAGIJEbfzTHN2Ksyc
CMAb637XvULw2agKO53chvcCoMvYiFKsfrWu6YI4o9Du9sauGJ8KnYM5WPU0JvSTJHR3JNVggoMk
CHUeDUi+pCjeoV77NKY/QO3Eczb0v/ljGVdmmK+Vk7bM9AYddwiJgYVdglA7gF4AwFDMu/APqt8A
UlyZo6u+SimtcZjAvgGUSKjMbi5jXLRsgWXLbUUUvG139l6D2FoaEx4KzSwjzAAiQ3eyL5qf+yHI
EGPXfKpfkaHbM3ThM9dy80OEqSWExLdt+7wPyIaKBXXHrEKPqc2eBM1XU2iG+tsm1l3N1XYy6WbT
l8s4LSjR0lCBTtJn+Q7pUpCclAPlV9LVYNsgb01MhChEU6tnE/SEOTlOgttIj3X0uG2C/hcbX40V
OpZkK1caeiDpUBzIkYNk3+3TA68Nsl47uGwdSyomlQJ4isGfAUjPfGi+gBHCDd3ejn3xTQVmqfcQ
8g7zkTefzdlBkya/VxegIlYC1ih0VCPVtJduecnrH0bdc97a9LtvbSLjPObeiup8RHMk+5noTpcf
rDZ24u4mHJxY5l00njHGhRixkY412qngrLzps+GASa8gU2OfhKM3zxNURiSO018N5Vffjm7y1SYa
6tJPmgGfn4hibE9x6pVV5I1xclYjns7HalJ0ZYvxIpU2hZk64IMJ4jdlDO1Z9YwET4RysHse+xzv
cDAuQ+3HSE4MXOcm3ekzmJZswntwr4atq+UwHkOYJAy+0hq4bB774ads8PhjeGtgXESttSIhFMI1
Cr4aam6i7S2Dh1rhOAm2z0zqtoPMHY6cDu6zridnGN33YhxMVnKb1sDklfOpMWpO9v8+X71xr9he
Mwr6Iw4eptAESUgdITGCtBS/Z5luT0PR2kn4PUrJzzDszkUo2mWaPC0zGt+R4Rpj6gLC56RqYptQ
LwClQBYQ9UEUwe8nJG+pHjvioDl6O3qJ2tplYd6OkACq9F4EgVscOYk4PKpm5RsR+dJCenaSTdHW
20bZS3L11AKZJ4elDZGir7Wc3KpQb7P00h6E3Fe7z9rSPFX1EFQ9KN5Kye603hMzxclE01lqKVha
cB2W3a3SDI0tkRoCtrondZ8iAu7eMOHgL7bPiPb+sLu6v4ucGpU1ArNF0l1s7bTyLp687TCyfW21
d3DclYl4WYSk7lA9rbGgQh8eh7Hfl+r0Fspfi9TgpaHbHklj51j7ONeVHooy7lJ+SuqzYp46xK/S
2V4Ub9+Yy9sZZZ6jT4vQnr42sWIL4jnjFpR4RpgLLPeyFMoiLnBYO7V5381HwstbOCbYHhWai9nQ
lkA0JcSdxMzWZscQfvyXvcJs8ccYoZST3ioF0i8dg8xL/DZlj33Dy79W8S4Xb8rKf3dpv0jzZKDX
EXltuG8lqMUAHavb7fAsVYmjJTeTyQFJbW8ehNo/Liw0i1pKKHlBGlpOOsqfZ+VnWvNmjNbxFVdL
oz/j6gJB9aaUzRbvD+KITvXQYfY8diIorYDc4qCf9D1BXacPErc5Gne6lz5zx2PpF9pytkzk1asu
g34hFkoZmCiyQ7jRIQ4loAMCjnmea+cYY0JvrlqFMoLG343SvYzOdk5OkPZWch48fx2Ve7WvzB1W
kqqMABxBUf0U7cRzdK+7ykF9ouSDXoWJXyo5zJuC4x0Z5koTmRRWTMFFZf3UmC9t53MbL9tJ4J+0
cYIwjp0I1zQOTtQ+G/KJ5F8A/AFSSh2/b19tzrNHY+WMNTOtFsz84e39iXL/LcewBvsCStFQFR+B
hIGAssIDJ6xXG39/uD845Ooqm8spn3HvKls+QIKHEn7qTwtkmzGVfki/LF4f/NPEzZVRJpEvl0ad
kgL1xmK+bcgbSb4svcvZzW0n9geXXKdLdaTOGIXKwlcxu7Gmr1YD3NauL370ws+kzuyEl8BvH0hN
ZJxL3xClrgY453nInXA0/G6BSqASc55B66Wxq+1jXEjUSDIZR9S+5Wk+hj10FxTjk9hPp7AzGrvN
p89x0gZtZdnz0mYgH8RQsjn6iwqKaWHoOJ57vddw9XMYJ4NESFMKyPC+s4JFO/WgeostPIR+D6k9
+VNrQ5fM7b7yNU3X2SuvLDNexyozhfQNrifgJw+z1zlVYD00AS3wCk7tLRiGXT4nrhnZfGJ83sdm
vI+pkhRSiVg1igZFfizrl57H1sfL9ugRvwpWkhBGlPYZQ7dDIBSl041OJnll78c8iPJ6vfGyk+9/
vzI1qENeg+Wfzq+/8+C7+psUNPvCBzcSh+SRl1QyKUxdkbEbJnTMG5C3jY5U945QHBtAiLY9AOcD
vbvbqyXhDQBJWKh4gG3wOTK8ujhA/m7bBG8p6scPZIZCoUYROKXyWAtG/akYDHsGD/4CgfhtS5yj
wCKT9CFtelECgXuvCX5rfTbJiCnFT9GCMRuQV24b40Rz7T2Lutq6ImtATKLFNEeZHfIi3MqQKra8
/IVOEI6e6AK9/m8Nk8sRZEVCwlzoulZCYhQ35LYKUydMJrxtooM0qPecBdIA8/ckDNXSjx9u6pJI
0Ale2qjpPJT+dGxfh9rWQIki29FtBpj607ZFzklhJUHkeJIUYUYTSphulPow96Md1zcVKi/bdrZL
CBoLU1o0U16yGAtrsoOSQH7EAM9loIAOuSB2BRmLkuP93181W1vJeP9BtFCpUN77QvVJ2NGctv9E
ydXGo/GsgCTZrTCFXNrdfjyDXYSXSqw3Zq6ODRMDYF6NuhpZoPbO0dXZyUFwRtC5KqBqjIPt7eVa
Y7y+QaayTuN3WBvijU3Ogmc42j2FKkdu8bptjXPpWfhSX6rmInTY2gKPPSP2YiWBpzlXyYkkFufg
8BJBdkhRTfu0kCnyx9TdCTpLtR+7JWQaa+ettuNjihCqvG2vj96yjaPDwpqScTBCndIJd+Zjl7yI
ibf9/3MuHQtmUrJizooIDVFheRWKu5Lc4wErSv+t7MOCl0D9v8z6AnCMar3OyqO+3KCstb0Q7sdh
MksjbQZ1rCj6MLY7r4aAUhzb+av5BmLZT0swes2duCOxv22WE0HZIcRRnDpLh4CMm1RH2fSW6Zbw
ePh5R5z+/SrSRHNYpNlEiUzKI8k9cTpo+eNE4b3Bf1sL4ybisP//BD0apCaUW6E+5bxqGcf3Koxv
6EQ1HJsJQO9qcQhKDIW0k9XXNsncDNzmyrSP5cftRXF27w/o0mDmlSiVUCVePODnkfr/aGW/Sh+F
ikfrynkJs/ClzIzEMUIJ7T3Jl53uIUPRhLaXYncEub9N3NbuIaCaPWocPBHnFrNQJtSCSKkbwMMQ
4lbNSS0epsUZuCOjvOc3i1vKYiWXamDMXSHJEC61p8SoTqke/ajRulCN+Ccan7ZhRa9mMZwlM9zP
o2UvasnLTTheUWVyEy1udU2lWi/qfRiAPCYoHOlmcEPMNQMq5kF2k+ddONkQi3GaVTEuM6gOQW/F
6d1oV+zA+xqAID/ZJ3eak98b++1zy/uk9O9Xtz5T8t4QE+qY60OeHVQ/87uUs4+c26gyngU5SZy2
GbppoE8ALLd5noYfZrOvhhuzA4HDf3yTs/AmycjjEGKsMHfSD7Uf3i3BibhglQUjdujwYBrvedxG
6GTZvkViAXk8IkOn7zXFn/bDywJWtcWNHemY+qNde6IPjjqnd0B39rRAySGGgGD8mSfiwIkRLMxp
XMBw09GiVWsGpQWYmuG0Ea/7xrkSmvTxvKRjWhtCg9XK8zlR7qtO42Q/nAPJgpuEZk6lpMfbwxxQ
jE2faulgCa9Z426fe86ZZDFNeQ959GFCQO3q70t+344RJAH8uA/Sztfib0vCKf9ynLbGuBKlFqIu
T4Ghkiv5WY0mPKs+1brojOUXzVxupoSnJ87BH2gsbinpwIeQ0RYmnV/EtA7eA6JXgkaTwhcp183g
go6IS+HDy8tZ3JKYS8kSY3rn/RWwuL9eASpQmoqH0g/Hfa2PkV3eHOwMoVDqupj1WKV4eFdpeWcF
HvZtwLPEO/hM1pINcjsWAwoMav0tL7+HPOwz70DSv1854kGf1VKmetpViXxyfIvK13F6qdLc7puX
ePw8Vv72DeC4i/dW9JVBvag0KD+g3DykbUAwYiXMxUE21N22Gc7B1xmHkYhdidlIvJyMdt8C5QBA
m5SeU2DmAB83pNdta5w07A9+70gDmybkiNxS/6oqNxaY9YUOZt4irsQdzxQN5Vf7R5p+xgjjBGYn
SIkQzY4K0wH8JUfG0nJn+jkldJbJ21iMLBQ7ZERTdd91diznNiYLy8oxDC+NnekLDyTMWx3zzJHn
adLIhKdUZDmtnjiCcaPodpVJdttxAjbH47PU3mlqTqNuIbMzLS9MHKOB/HOdQt+c9yrgnXi65qsv
NoiNVhGlB0BX1sHZEXpj3/ql9G9MVRefpLOuohhbEoF68r2vKNixs7xagPrTGvh4LgMepz3P07Mc
3uIyDZIyor9iPpd72Sk8zDTYlSM4xad6l4PVVQIOMZ5sHu877y3McnlLwHObk0x9YmAeJLuObfTJ
zO8UiqzSCcMfamRjbMjbvuPrHkXVNSjkKJbJvn/yIR8jy6yBzVHQYmkEJw2fRvOtzfJjrp8qHv/q
+qm5mJM/npqurRM5ptpYCNFm9E2okb5yVrR+2S4mGFfSjHNbCZRqWA2zOxmqh9KEwmdaRu6sVs+p
ybP3lw93MchkIzl6m8NM0DHRbKo9FKNbU9yHLiWLMg54PQbzjldBW49vF5N0m68uH550ddGbOCvp
fjwhK99LATmpu4ETbnhfi3nPpEM+pIIF1GUsvYzaZ0hX2rHJrdCtu6zLYhhPIhlZZpgjZFzGb7RH
A7KtW5DlgBRRcQyQPLZO6UDplBOweeeecStCl2WDqKDX2M6PxYjZYfBryd/rbE/bA33KSZD/0nm4
rJFJSKpCa1PFgFchTgmJMdsCeru+DSFjKB2MM8RHFg8MhgFvlZwPyL5itCE2l6FFWNXEr2rkicIx
Dzln5C/Qk99LYx8xgwBcvUJp2UAJ4epOheErchSD+HtnUxIzHWfmVbXLmza3RRelMNB8cNt86xH9
8hsYt6KOjazGfYP0oQ7fzLnZWWF/p8miGxbPUlN+FgqMG7RTsFTpy7b/XL+JJmQeTdEAHw/7YUso
L4w6BSZTBeIAKEHMg4u7kOPU1j/kbzPvmfvVhW/QM7V6Kge0CH4vt85ouiAW5rwW1z3nxQiTXUZR
YyXxBMKhpEj3naXZYaE4zQR1r0j29Yx38XlrYj9aukRNJOFwNvW3Wp88Na6dsFA5O7fuXS6LYsJB
qQhNIfW4eWkuvZYGApxS7BMjuR+Q9m2fhb+81i62mEiAExYZYYuvRMADT8miYjc5dz5Kl77l8rDp
62+oizG6vVdHIiOpIU7pADZmQfbiNtnNJe+Zxts7+vcrEy1SktLIMPKYLWe09FS5c8P4QY9mh7Nx
6974shYmBDSaVCiWgRKzroR+amnf0soCr8jPZmkdIsh2K2segMqe0C12ZTZumHZOGlcvc66ewgSi
R1bkTrJxmK3E5/w0euj/rEhdfhoTKJKyajTSIzrlyAaRfWK271uxpxOLvFL+X/AvF1OMLyFVWplm
jee3fJYPZWpLu/w1Rsp5wniDQydEgErmIek4O8+CO6MpAblZjDhoiodBebKqfSUdI/kkd0+iztHD
WvUv0NiSLcPEAJ/BfOXOzLVJDglS+fYlKzyD3CRD7RTQ6mmT79ufbfXkXplivtqSV5YyQILE1TJf
rx7N+NhWjz1veJBnhflgVV+WlTLivodmKCHF7PxOrXpbhkp3FfM0dFfd5WVJ7KhNa5G2MBJ0KhpN
dJRm9Lq8DGBqv71z6w+gKztsFBCaRS1k5M/EoeJQEIE7Vz/w5HqjOvB0zkyEDGIedLza7+pJvLLL
hINsUYfRHGHXSjvXKp6yMHNE+UWrfUs7chnJuMtk4kI31qNISpq1q6DhDdXXXpoe9URyokTfC8ni
SxZ0HyFZpSoV3rgzhPeaXWhON+lkgKmnsOfJAgMCr+7MOVImE0LCaB7lmmLgFutLqX7pDT+FPDJP
OXG90ne12UzwKNO5kOt3zRcoc0GLYLC8GqAG6L8v6n5GN1YmnV0MnFu5HiCvzNLVXwUUPUUhRCbI
FeP9gAJq5mVn/amDhCLet888kZTVAHlljHE3SyYsIJ3GhSHLrrFeypFTaqG3+4/IcPX/Mz7GMKZ4
iBQsRpN+SmBUShNvgrbZ3GNgo7FV46tI/O27yTscjL+ZJegvVzEshvO+bc/huJuVyJZDd9sM7zOx
Azu9lmhmVSAR7P133XraEv1Ktbqhq3drcZA26+/nyz6yYzoSGetQoZwOvWvYNMZKX/W74S29aT1K
xEF2pLDLb/9xiYy3KWZLLmeKlJr8EMDK5H7caRgjpHLy8TN3fJE6kz+PigqxegN0nhbbiayrBdTO
tCYxHGgjMvOEhxQbStwUzeXIlTit5XVXejHHXLNlrMViSdD4jJpvk7x4XZTZouwYESglIGiAAY7t
3VwP7Bd7zE2b69KQuwT16FzOAr3/PJgYZ0LVsW1uuIxpfzmcF2PMtZuiRK6sHItrPAKx3tK3buoj
9SHvoM6H7ZWt37iLMebGKUlYxHmKDzdLgaLsw8JNhbtW4FhZD+2/rbDP9FmRVHWZDQzqatEu1b8Q
SThDc257KesT1tbFChPY+5FobT/AH7YAQqkO9PsehQcF1MT1cTomDorgMySrUs8idvNq3aXBzPkF
vE/HtiNlTZKsXgV9JOA3Ry0WvtWT6cQLCaYo80T9mwpRdBCg2IUgBd1cuZ1Egu1NWEdDXG0CE/Zn
2dAmscQHTU/l3vAXTNA3LvEXJ3Ja53+hA7Bambiyx8TzjIx4p0jooSzZKREeaGsUqtk1FG6rl6Vy
Gsn0peQrZ5HrkenypdnoLpF2nsxFgXOjJZneJR6YLfzouTm3O+FFu0cHH4UYBSDKvcnxBTzbjO9J
ky4loon5RvGQ7KRdu5t9yWv/bdTial8ZlzN0fTy1IHR1a/kk9F4Um3YrcNIV3rVkPI2VSUpbvNN3
zX4V76CBXBn/9CQyof1jyFSygjmOtdLl2kw5nt8VSxUBMGvNL0AZF7aFQ9SeY27941zMMadxWZrR
siq4ADndJ6ZLhGDpYkcYXdLvZam3zZDTqV9/06Kv8D8LZI5isii5WMuYHaGyvRFQP6LmTI5yoPQi
g115xhsv7eOtkTmAZid3dVKBI7/Vn8ve0YDZze+m9LBobhm+hrwvuD5icLVC5iT2raKmXQJcnDl+
kZNvWqmd0ijdmVqEzqIShNNDbYhOJ6d4NXBzp3X3ctle5ogCCSTEhNL0Uf4F7TjZglOdVL+45eGR
1wPhxRDd9avM3Rg0EUPTKIOU1q0iPphGMCy+Nv4LjcplL9lqRDEkCWSXkEhUEO0lCAbQ6S05UWj9
Vv9eCTtyIJf9OFUmVoIF2fL8ae6DPucce54N+eNuSWgtaHKMKNO2+6pcoOjjKTHHO61NCYEYXjIV
wxAVSWc5MWLAtSVw/oIpebCLn+0JTFCe4AxvzSeIt9vk25tuU6y4+z165cQX6pWYdPaDZWZ5aZH3
6PRiPgl8RHgY4+Ahe76Zb7P9exbGLXWuJQ4fDDJuMk3HxTLpCLKw+yXf0O+WgPJcyXbs/cMT/IMx
xkmOZNbCWAUBk9Hu9OhR1veqbBdTYnN2caWy+MEO4xqViUiKShsn5WkCsgeQU1/fF3tEyzPv9r4P
mWx9McYpQlpTGNMKOCJa1JlOVJvaehgCpbdFYudoMY8HnBaK6kO13x8FuwTCDuJqb/9xzYyzRHu7
V+K6wQVPxRtwQhyH2XBm68diPi/j6BECOaS5jHaQT/okdekzxzz9dFvbwLjLOJnHYRDQ7QbSrt6j
fYp5OvVpCh0NGoMzWo3z14jH6Me9p4zrjOY6SguCwyufrdvqQdkVTr1LH01X/G6cFyfe1UHokOOS
2nXAy8Z4N4d9yiuZlelZhcf1HCx+slt2xs18F2J6Wffjw8SjRFmrql2fafYtX5a9Ys5U/eTX1AqU
5YELsUET96o+in7pqUfBXe4mcOM+bX/alaj/wTDjkswuHcUlRJ4hHsKDsut30yHeyTuTM+S39n74
YIfxRHIuWYKyIL2lMgIWBBcj+NzEUQI66N595WKYV+LuB3uMM1LVOUKDFTjU5ZaWYrogdPVT7Ka+
4MQYWwN9WjCBR9nd3k3OPWFFJQetHA3S0tLW3ByzKdmTSXC2TdCbvnEVLcYj5V2l5xHYo1yUUkmy
r/Kbtu1tRXioeGDAtWLnhz1knE7fyEY3G4j41Pklx+RQ76hed3b7HyOHxbiXCjVVedKAS23A5tW7
LfTIoyBJOUedt3OMPynSYYrCqke1YH5MDN8w3ha0Z+v7MuWJkq2kMVcbZ4g0+7xK+oYK2IwxAtwQ
fL9G4ouiX1T77WPAuVAGyw5AhlmpSwsXd/IlHzUJYLwbtwWtumm/S9MXvLC7fbbx2T8uqq0lRY8g
BuWK98nL8CK5uT/uosB4ED5nd91t4nf/92Twwy4yLqOd56iJJ5wKVRj2ZtR4+AmeGCref9xJuvCr
ryXODVAmPRY2oqTZ3yaeljpKR6c/X1oHvEZvGc878baSyWDaxlSKhRZRNeMs90EYv3GWRL/Fn05C
kw1FR5IrsuMATVfUU9RhUlzrBa+qOjRlRteYBlfI3rJ68IRlsjWp/mZF5gHqxM9AL3M+3l+cx++f
wNbmdG3SclVHyiDkol3XnT/M2qFHq2+WFz9cXgTQNiVFc9d20SfO6lcedzg4F9NMwQ6qIWKomUC1
pHvxZQjG3XgwDvU9v0q1fs8vhpgrYUh6pFUxSqpGeCb9bZedBt4lWENAfVgMcwvMUenI0sJGuu/3
ubt8nY7RgIuuBYA+ueRrfijPEnred5xNXM+yL2tjbkWUkyYR37tABzpfGHmQlwu0g7oTXJ7+2vp1
uJhirkOYZGWUQ43X1dWjon0mvBu+nuNc/n8mZKbNhHGAFtMcKN7ssoPlaQGVTeJBQnnLYMJlaU1E
nCJ8KTKoRyl/lSfCKUP9JSu9rIQJlGM11o1IkeXEaU8UKFMEQOgDLqnuyJEHcVirQX04ekzATAdh
6awOSBlqTfRyH+hdFxrST8Tv9vKxPE8pJ8isZ22/18eOA8xqWysq7XP2nWUbmFoqw11T2zom/DjH
m+7UhodkJwK0JCN1IhHgvfG4MG7Jz2TXBENAHzbauUfHXpgxYIeHDXc2hbdGxmlErSJMmoQELhsU
W21Mu7L22vgUj7y4xgkCOus5ZEMsIGFEU+De7ffQbnxrXN2WnHnPf/yvu0LTENGrEwGHZs5Kqfdp
mgi4w00S2tC6esyz1Fb1jLOo9av82wxb6LKsOMqtARcgh/JAdkiCbK8DNshFs6/v3cUOE0IUgUQl
hE+AXjpZNuSPMzt2Myfbxzvza8RVPeZsHsuvkahEk4bJxHyU4qVLYsvVfa/z2Ij+cp0va2LOQ2Zm
YZQJyH+XbxKetNXnfjfflT91GyV6v3aarzy09V/c1cUiE0MKEccikfDoC8+Sr3pVINd2ecz2w6ny
y2BueZd63QNf7NF9vsrk5rkVI1EAK8p80D5RhwWpnPyr/ji7FcbMIB8aDLxU7i8v94tNJriYUzvN
dY0TKQ/1wzIap2yCFp9B7DlVT1Na2v0I0IFYP0jjsgcxhVOX1WMJeFWvAhQUt3dCg6HXInvadnC8
I8UEo6zoLU2P4WWi1lfaoAE0JcNMy7aRdSd6WTsTjpJcz/REgxOdzNtIe5K70gbQpxy/kuhEqn8L
fhdrjIshwIyphoqeD2XKw/MDdb/w1AJ6UPjp+R8Q4Ih9v42xXBuRkUf5rABZ2Ya9O4DIrqhLu9Qj
zqLWg8HFDONnYiXqhnlEljxrAL8Utm7EoEKPbEn5x4rWxRQTd4QeqLtUxajd6Kd3hRfuxwMdBkL1
zCE7Xkq3Bk75sH+Ms+mEeiktKlvf+2bQP2WH0A1P6lOyX5ziTrRBXOKoPPF2rlHG33Qa6rVLgfbB
L7VMqIDvKBe6um89yaGQkdIpeG/9NXjAh5UyTqchdd4Q9R0eAJ0ivIoj3TY+gfMMii7TYZZQJAYa
/NY4U+bDOtD2qDttX8O/1AIun5bxQZGR9Rmedb+QQN0Nna/FFM1Bcn5JWagP2/Z4h5bxLUUdCVLY
w7d0LRD1Q3GsktYuLGMPwosf26Y4HoZVGpqbOtEyUPi6JUR4jOk7OB7trFQPEZi+Q7F3COHNHPIW
x3iZIWo0KzRFihXbJQkUzz5j5LD+B97W60PDMnVECBhTnGD8QUz2afdYGPtQft7eOt6pYEfUTGvp
hibF3jWeHlDQ4HTU9+3uFx5tfuU+F9ZfjL9PIUvMoYgNmWtActy5OxnKF6V6Gg1go1+t7svUHFX9
XEIDWv6yvUrO52JZOkQiiFFhoUg0qd9SC/qFlvq5697aUvm6bYgTUFkaji4e634m6BhX2WsFWvRm
Ogo9b5KElzGxgLd2Eo0xj2FFup0AIh6C4oxOC1xIewOZv2B7SZzLpTJuQ5w0RUuLAaWF+nYgt+LQ
OSYQTWltd+bTzPXO1C38+eS6nA/GbVgUnmtaQH2DbueoBxSxWAJB7Eo3qmIr97q9eLmHCVHLnXkM
drxTwiQqXd5MYiwiEW3UTyIcY3+jSz8HbmtyNf+UZEnVdFnVIcX7Mf8sM5KP5YIMxTSctH2tRl4X
hcboP7bwygDzxYSexGlNgWCtS4kGlB1on0RwKNApuAGyDpwDst6Cu7LHfDJ1HnRS0Cyoy2vQJabu
0A+OigBrRWNmy4sITcrirm6bH+UkOtaUuJVGnCEE70g9HwZkv2VUnUkyBFBZ9hKl4USi9YgPQlFT
0izz/5F2Hdtx69ryi7gWEximTM0OyrJlecJl2T7MOfPrX0HnXjcvTBNvyRMNtRvgRmFjhyowizJh
RmiSsg3B7IjzUhy7+wQ8NZ2lQip6sSnXimjx6XE2gWBlkgkyliGEKHiIOGoszsH4LINRIOV8581X
7soE40dqZZaaPCCkKMrEjiFKbYaLlerSE6Iqm5TE7tOvY6i+7sMBb2GMc0kEsgJhbKLJvEvPipwf
UwgIg2jl+HdmGJ9qtTAMjAwQN5PcLhHz1on0qVAFzmp4e8gc+SjKpkZUsId0wFDxYwwY0n46HoZu
tTHJ4upb0d+xenMGaRaC/AlZv6KhMlRf5ske5NyKMP6XFb6Z+WP7NI+3I686t401vzyfTZWZfV1F
sYbXPOnDJyGHoJEi/dj/Uts5/Ova2CRZJ+XBJMUzgvjqIY/8GNuIzvIOAivZMV4CKDb8GAdefwfn
w7HsGVlZaBgMBcZNwTHDNEWkfu3E46z6BHISLVSOZH9/mdThfgfV604yGCL2imwGCeYptSJ6HqTF
NqTqYKIomAmxl6nT87657QfDalcZAMmNwFzUBBGmckcHhSRnuKh2iwm5EtPvaJqxjLv8meYe1Q5D
8KHHS1nw1sugSzD0czOmKI/00uxEKSQ7pX/UQHVDNbKHjLj7y+WgCkusMYU1qL10VNcW5ZHIbjV+
TXmthDwTDKKkcVsQM26xoQSMpmVmh+lzjSbh/YXw/JIBFExINx24cUBGUp3r8pvePXfZTTmBc0W9
6XJf6Tk9fdvx+8pPGGTRKkkg00Sf0A6mqrzyFBzrL4aF6Sr6fOZ2Bm/HnpKJjlOIa6DPjslFyNWi
o+aDc/BfJYLQVY/Ve34FSgQfOnRXYzTSWcGmbIr6GAuILBY5tnLppqjAxH5E141liM7+h/vDRl5t
MQc806OapLRq0nypjngi3ISn5da4G50aac/wjtcEshlsyrKK6FnVJMNgvltR6y0KvGhsVb/K8ZMQ
3RnTU95p1v6qNp3+aoVtUOrSZZzFGecq/meILqUKPsCg4uzcJlKsbDAekdRBLQwSmqDC7JSHx0n2
pdSXiNNpnFmmzbO1MsR4Qy+RNERYCSoLjxYqKBuAcEhOvAodPaK/If3KDOMIc9GZNQSFoHqfHKPa
X+ZjXH6Lqy8Y2+/V4999HwbliaLHuDuI4mgGsVVdssaxP0tB9WXfDG9J1E1W50gMp7TINVp0HCc7
ExyhvZ9Ua5y+VPIhTDkQyPM5JkKsw75r2hGF1Ln9GcH1VA3TtPoHdDyo8s5/z4/JwHkgJ30UtHis
Dcs5Dn9Ikp8IPP1O3krotq62LWrDXCpSYF2cO3mMiosG7dCe95znuTWDBCEIcyeDCkBQ6V7FF1zl
8E5JdNj3gf3FmGy7UTRWhlaNMDOb5b1iNM6glJ8ElcfVth3qygSIBgoQUWZp7vKunvMkQb5gPtFy
zuQHfnlsQGj5wUfWyhTzfbR+SZIAt5Sj98Or1OXPYoy3SMUDuO3uipUd5guB40Ie+xaPudbNb4en
2gZjlWhT4UzZM3zMdDmVM7/wmiu2b4hfG8nG7moq6LmiIlM2xC5sT8TrDDfipYW33eJqhUHvcdTl
JKDaUGl8DE23jD8RrqrKNvxcbTDA3WAeuqxpwf5f5o4MncGY34gf0oN8vzwoB8mG2NtZOBoNqOc5
N+D28wTjPzJGQxVDY0n0K0GG8GmG3F9axJZYhVaRgjhkPAjB56LBEMnNXFwC6W3/sFHc/v0OuRpl
MNBIy3FGVRNZrNDRzAZ5wJ/7Brad42qAgb9ZE42kFgX0kLbysWjkByUpHbkyjnINsqV9W9wtZM5Z
IQ+toiOt4kRy4iVNZ5dCbRV9h8rkfJpMDB/hxbWAm2EUzQ9dJtd1MkdP15IiyOMR4WaOoE/ToMg3
t7bUKylnke9NATufjK3laXFRT0qI6KI9BTfRYTx1l9inHcjaMYQ4gGpFt+V384DqzM2HBu5wm/1a
psKcwmoOgrqjpOlhI9xOy3joAuIJUs/pt9s+7Fcz8v9eaHIe6XoCtiUnVZOjMU3PZl4eqjB92HcY
jnOyFPrVOAhRv+CpZYbfquKiafcLEh5dwuk+2w48r6thgqdKiEgGCUoET/HRzKBS1N3P0xNeBq3K
bRrgLYnu7CoUqJZkjFUR4XqHcc/lGT1Vn0yQ6HzvHYWOtr5SMfgBTyJeTpr3xRggSepFaBQJQNKm
p159EtJTnnOekBysUhgokaZIHOWQorN0kyvfzYADVbwlMOgxQllkmhd8ppTKe36W44OEFoB9j9u8
YRRZ1yRk1DWTFR8s6iSptQ6RGkLoIbzk5k2j3pHkRTDcTuNJT26HOCtrjOMZkKzTR2R4/5M1NI4T
qqihTQvW3HoZfW38BksrW4zjiUEa62AJQxnVjR8XB6RvJ+mR0lYq9nQznnk9TduzTIommbqqAtLZ
bN5SR6RKa1QnNFT83xsoJl8+hhZteR78zprs4jZHOxW49TAfQaM6vbLyj+DU6kcwOJUPdUKWXkG6
tFfOcSWdC6HziNx+5HJZmaF7vzrUhiTh8jLxRAH3eK+iFdMTZq5W3ubxWhlhnKVR5w7vBsQfg6d4
wx2V1q7O6p1+Qku329sVN0WzCVUrg4zHBBlGwLIYm5ekYHePhGd0Bvu60LtmyStB8NbGoNOImnum
tciZ5OWMQs/0Ys790/7J3g4+Vsth4AnDv001msj0yplwVlXhXpzuG606o43Dz2RiB53mYRrf1SVx
4qDK5gWzMs0gV45HVN5JeF/MZWNnuX4SusGtCvksLr2n9Tw++e3c2soeE+xgIj0h5YBYHx33oBQZ
rWggFmnNMyDU7qXB6kBER6bKLtPFV9InqeMNjHBWzNLk6uDB0uIZyNZDkl1UTkZbWn1xl1evC+hN
9r8szxYT82jQOoySHldq2niyCenD585wotCPCmffEOdA6AyaEGNoSJoZqOvmNP9VnozgKW3nm2EU
eaedtyYGUUZ1aLKBUAoATT3VU4ALDxM3qGVZgTx97SLtn/2lbbuMpiA9JENIXHmH8xWEyUY1pyoB
0dZo47VtFx6Km7Z4B1JERzgKnATc5k2+MsZAWW72Zik2Dc4D+K/bYjrm6Hohtcz5Xn+4X3/dQTpj
p5IqJUwatA5JqH3QsTy8FsvSwuQ9mB4XThS5uajrodMZuEyjKMw1mkiqwduB8nDxWQcT7/5n4nkg
g5Nl2C1yRqUoEvX7UPljWVhV59U9ZykUH36PFa77Rr1z5Qxpqv5XEztoH0bypEidi+EMJMd6q41b
VwNn+ShHnGj//QW9Z5aBST0ulVymLIf6k3DuHO1UniABfY68FK+mubTGWzoXgnzgF81LTqZT+vIB
o+WnDxAqy+LqSzLw2Ya6CG0JnPMsudTzgSS+Inv7H5KzwyxNoJ416OnoMLM3eMYpPdEUdOTz68U8
Mww0yvFkJEqF4lsFnp54fNYj86up1J4aFN5cRz/NsrTNPuU8BDgnwWBwUlDnKuho6Fc0fpOMFsrF
EY86chuwrh/JYBCybyMpF2ssLewRY06QjUuKQxPdmjVxsjy3g0rPHDUJb8ATf5oK5dAq2cv+R9z+
DaoiakgImWAVZs6JMc+zlAngIBjtCiMrrR3cG8+Tjce9h9z4j31rFKx+Ox0rY+zpaHQTeIbH8CII
0PPy5+Vt38DmZ1sZYNy+ibU8KWiiXQtcSc7sInCjnteXtb8Kic0eN+Mig9MbWyYWbmWeZV7KYHvu
4NcqJHZSNYcYKi0k0a78zAR9AB0EQNj6KTz039tjBtjg0bvs75vEjqpmsSjnxYi7ugcpEFr+U+ip
L4O9/3F4+8a4ezEZHRkFZFzK7EnTjonO+f+bN8tq26j9FeQ3I2Io2ZTgXb21dPaCbjVDvoTGwrnB
NhFpZYe5JTFN05V6BaGIaFmcJVisQHvtioewG45VJkzWYsyHWOMRim0+61dWmXtzGUepFpUZsX9O
TklkHNDhZUuL8Vyn0V3XEA+SqH+5oQw2qGM7IdkDr5iRLkb/kRgU7hQ/xSp3VJrC6Z+BQRIZYMjK
oQ0FOgxFSRLxWvMU0+kxmE3Jm9LOIj/2PXE7qlptJoMTbR7I6SDAVXrMaup+flO56bOMxv6CqzS2
3XF3tfX+qFu5ZadqrTLDINJlxdH0KbmCcg4c3e0IMgg0kNNCi9eywjkL7xuwMhpmIJglKSCk+p7W
HlEQyx0gYbW/jZuoQRTQAimSqKOp638PXJqpZZFAu8yBvIFbCYW1zOGp13jnbXMtKzPMXRylUzdU
MWazh9m0BmX0gwydCO1XpRr8v1sQg1BSN8dZrCPvDcKmYmoxvvIljkcOfPB2jYEpTDlhmD0FDKqD
E4wuqNGUlJMzogfzt+O02jEGoYJijDuDXiCLausRsZri0Gn3nYDqvbO/Y9sNrytTDCxRqcWlNfBK
pslgSjiaGRYiF884mp86sDiXUJSJakt3xv/HOPn2TbmyziKUmhTiJCChBMlwbwb3YHii1TS7vUC2
DC0/scfriOA5I4NUslRXSzCh2GRIz7Myog7zRlI3ib9z9pWenb1PyCCU2AvR3M14ilVyYU8NZLYD
5IvVxQ9J4ixVeNTM2BqX0NaH/CI1PS/Lz3EhFrXmOSFV3wzIv0SPqf4SSj+76lZJ75XudX+lnA1l
kQqdoENQgXrfGSRLXA5J8pAoXjYc963wPOU9Dl4BYp8u8oito6X4BcmB7o4mB4rzYFOyoOKGPyuw
HVlfffO9yWplMRLmdBIymo54aPAQzEHFK/5QLco0PPuEsz4OqLwvf2VMFbK4FnIEvuNcuq1IDrn2
Y2hHzmnnfSsGV1QhDkSIiYHTtDs1wTP6qmv5Pgn/DoXfWxBWawnTRetLgldCVxUHcX7OZOFcDabL
8Qh6UndO2Puc6spMNaSlnoCb3Ck1DPahmSCX1Pu8MW0Q7Vt63jzVU22FdXNjaKJF1MZpouwGdebH
RixvRGNxwK5yUvLJ599D9ArY+2kMyFSq3Cxpgbah0MDt0JlHcV44VwTPYRh8QRqmwjZPSBA0x3Z8
VYpzE3zm7DC9LneWwc6eqyHooWcJHzKYLHoApg5Xg2qRxprBR506o8Wj9udsHNuRmWdTF5tguwNP
zNc8QovXz/0l8f4/E4oAqupu7AcIykcjup4F38yJt2+Ch1RsGlPLcaXlIrqdKflG/QCsuk8800Xs
QwVA1bdExW26b/NdYn3vS9F1r86CIg/NYMrIPy/h7BS1AgIa1fCUcbRSYtj5knhNmSDN+U3Nf+YZ
ug+E4ixFAthdRUeRG68JQ7eXK1s1tNMCYn+0pZ4jjdwkSWEPumkVCDxyBFRTmh/FxPjUmenTFJN7
LVcew9Z0dXmwpbF2AyJxm15434wBrQVaJ1JPqT5ply60VJ1MsAV3sLPb6SCew7vglueFHGR51x5e
7Wapx02KDvl31kotfE7HVwGiNllzP86fqy7nvNLoSf3924GVU5ENlRBWR1DXlDDVA/gkZC1AoSba
hlneEFKd0y5zpz74po4gPjGzj2TIyC+zbHkkJXWrJhVKa+iZQidgcVIVCW2vC8c1t3HqaoZ5YwSN
pKajjCvHWI5kecxicKi4+96/fatdTTCHGuJzyKv16NLDYK4wQAIHsld9NLpdy9OY5Fli3hddbCSq
UAHX++lVMp0u80HErMcc3N0O3a7rYQ7zFNd6MtIBGy39XteQepf7M6j93DiUTmHAlVPhfSHmfA1G
Ps7hqMLcp3g5ZO15DF7/7gPRbV2dp1HLx0yeUXuMKtT+JuxZEIDEBE1KFgl4mXPe7jFPiipu1aVL
kWchRWjHypdoeSySyVIgWrKAgGJ/ZX8IEq/firnppSjLFpmANkV+MA7TcfGLM8HcOwE7vn7/MVy6
GmPu/GUaNUkREWr3yOfI4bFCWkBw0sAX+ksa8PpQtok+rgjBFggKOUwiqcATglhY2zvpHlr7K0uh
VHGi0x0EB+lZN7C5GbrtAYaVaQY1wkIRlXEGb7ByB/JoT/IFWwd15mKLTuLyac0455qtFnRi32tF
ACwsq/vADC2hfxXUU0s4kMvdUQY/5mZuiS6AcVwNyp95mDtol/5CQBdHKtULRvmiTRBcGGc3EFJH
ndPaikB1STq0lDbFYzCpbj5Ftqjyxl5562cQRy/TKTBwQTnG2FvCmN/2kmYV2QQuatPfPzGbx1MT
ZdVEE7Jish1afW3UaZMj+S6Y30gMpitJscfoqzEGVjNyTucmsq1sMYezU2NhSUSKOxI4vK2ou8+M
vysjiwx4okO1TxAQoc4k/2y00m7K2MklydvftG2YuVarRQZBtSVZtHoGMem/qvKxi7m55/RIBSTJ
PW9SabtHfGWNgVCIZGKgWQGrUPhPeAst+UdKZoKDH15655186ohKnkc4Fd/tQ78yy3yuWYp1UG2h
JL9IAByM503WgNHmFMK8mGzG4BKXh4+7UgZRA7SQjoKgYfTye3g7uqmPTImrObNXO/FBOUXoFbOF
I68bfvsM/Gp0YHMz4RyEY1vAL1vpoUx1Kwvuk+EOnbIar91/M7a8bimbnFEmrZYh24wgb3hUlZdk
cdXmrumtzLgtsvsZVwnHUXlLY2IxKSu6foxxHjoP7dQOZYcRdEs5m7djZZEHKtIrdlbcWcJ9xENX
ip6/BdKrxTLompZhPJQm1XP4oqErM53tvHAI7sUodjrzmUzOaHxr1MQRBSfiUuDy3JdN4aSztkjS
8K/7VsfcXTorxWDF+2v5/1ea2ITt1YIZ8NEDTa0hH4h2jwYp0+xeRMkvN94ELpMaxf+9nWXgp5Ma
SS9oXwmEQ5X5UeCR3PG8hgWcOpICoaLcU+N5wEhr2L3O7ZcFaeeGlwJ7f7ztrYVBmb7NGt1YcPhm
8roktOiBdmuNRK6MuNQwErfLBV8JoQGymD666L0lCgsLIvY3PSZylOE5LcAYHpWuOKAwg3dhJIdO
rokXZYruliZ7nEPtZBb/iMOH+qdXn5sBKyOJhqYHiRolWZZHN0tPM++1tl1Yu9pgUz5Gbo5z3QIQ
Z8iKGmD67+7FyNHmVwkzv5lP6N83EOlyairbEwsru0zA1+pt34tUs7L7QlGj95Mj5FjcyDNtckgw
SJa8qdbgqh4N/+THfdTiuB/LRthjFJ70k47eWSjPkKdC9gdoITXWZH7eN7QdkPwCfnZ+R0m7pi4r
oOOQeWZyVzWe1rz8nQnmqPZKM8uSiK4eybgj4Wtk3Nbjj30T2xXR1cdijmu+5IYxh/hYJHRldJ5U
52G6NO1pQcfJ9Njndlhd8r62RsHphsQuCqdUOJKKvJ1kTvEsTFElB6jhS+1Jqt1IejAUf3+ZPBPM
cWsleaqVGS1YMwFpvw7hr8rw45RHU0d/6Q4esbM6hmlEaqQDxNVh9mITMyyggdDK2a6z0DYD5WgI
KueW5plkDlsjR0oQUVWWsZVtYfxpmvGDERSnXkqtRJtPRalx9vL9CO2tkokLDHBWRWaHUnN2CR7k
R/EBSlKu7GZOfGoPglvggRfbVGtC/C4chtuUW/d7D6r2fgETHTQlKQ1TfE8jQtgEL/XqTLn9oxNP
QoVzK7/nalfZDjCUp2ZMuy7KxstD8D3phzrxIDO/7548M8zln4gYbkATLk6AfqiC3hZBcl5fTK54
EM8OAyhVWZtmjykRJ0POAXLT0mXxZDd9yD8tuZV9liBLkiuWyOXq2mYNuaIM+1IscBY0vcd11+Ep
TEvT4LGW7wxwMRuWeledqRhN/a6vXfuQF8oOH6I1WP0AeoxWH1II0mHKTKw8NV+a7FMgPelRAxZ5
TiWHB6cKAzSAsaruCzzujJsBhcb+ENzLryB1uvuPRtIl9XgkPtsfVQfRlSxqoqYzh6FsxP8oAKjk
nJTHrMydNoK6Fa9dfftmvdqhgeVqCycd2d9YxhZKGQZv8h9RF6DRer6fjPw0pwPn7vtDCH41x5wJ
GTL3+UCpV1o3ONSnxUdqpTiLd4NrgAo3+lnwMgy8fWQOR6O3S4pnuQxOChDetsGjmtsN92mxfRNd
l8Xct0o8j3mVIiG86GgCOmuCJ/ICv+0I/2qC8XWiGK2kNti5evgkyF9FLqs/zwDj5OhiiUORhKpT
fBHuFI+cQ7cSLVAOWeFz5KeYaLZ4Ts5xPjZ/OYgCKM97DKI2w1MvH1pDRwlYtoLxs6jxRs+3r9Rf
+8dKrEmo3zeKiVxpPkDwOzkopiXXX8lyQ6ezYw5icPaSTVdirraW0EqoOlL6OLflY7jUnJPE8Ti2
szkJlFaaFEQI4G0+aiq5BFVplYNq799hvAP7m4h536V9M420q2NyBEv8Gbqp3TqgZ/Jyx3T057+0
xwBERerI0AJUo+RD8ozMFvqNcIvVjglNpuQrDDr7Bnn7yOBDYebzGBk4VpPyKE62oNzkvft3Jhhw
UDMtg7QfTOTDpyC61xoHhIT7JngHiQEHQRrFOk3gDVIK8QCUgZUIaA49tiwInFrIeIdpc9fogIMu
6aYpsjyuJamWfILUN8YxoTkM4ttFhvD2OHA+znZQurLDBKXhjCitGTDyV7uUl4zKImr3xV3kxTb4
k2/pPPRywlvbSr3MVo7ZYfxQK/rqFzD38EjipqwTFa3o8mvRe1POYdve/HKr/0+RZHX/BllntGJC
IC8pRZaJXBwu+ph8R8eb2vLSEzxbzNmKCEE36YJevgp1ZB3ljNbuxkvaYvB15Pg8zxRzrFJjRsk3
MpHW/CeMf5SKHZqeMqO+x4mxt/FptX/0h6z2r29EcYoalPeoKC1VRkZxSLqdPSqAOL9lNuEA1GY8
sbLHnLQFMZGqt+hy07tTsVzm2k/nM0nfPnCedQWj5ZiK1jHq/7+rmrs4j/P0nc76DRKtevJA0ic9
xUQqLyVL/9Nvj66rJTbTvdTC3CqaoiK0TW/fR/pAxF4eyG0XWr1XH3OPAn3oRYfopHGyOtu5rJVx
5pkrzWIpo9pMwd44FV5+GE79hZIb4DBb+zu6ef2vTDFIMqhBm6pULlnP7yqzR4zxogh2IL9UpduU
Mwe4tl8MK3MMbOTNbOiTgICQiieCStEqnvTQakcLbHL6gXKgj28i+mh5Xem8z8nASVPki9LIs+II
wmmefFP+pBo3s/g9y3yjdGaF5z7bx+GXo77vw+r4oW02zfMMVYp/RSJx8bwZx0ZH+Vl+wpUNCaD5
kF1k3v7yzDLwEualXPU52jyUUbLH8qxkUHpQ3WzirG/7nrsuj0GXuh2NXpLwwoVIBhqABVmxhMHg
uCb9JntHkIGUXA+mWBEWMCirLlhMJZ5SK2+zGDCJ00geiIxgVFB/lii7tBjr0x81nTdFwNksNjMd
aWUrFTEmM6XgFEiJowtuFcecSId3stgGxKofg1waEZAOX8JHHSKD3Yvp4qniD25z2z7NvubyGlb+
cMn8cgM2/TxN0GWqUuQya9c4yG7sgj+v8GcvfGdiCfg8UtvZ9it+sC2KBkZaBHUBLDemRY4NBEoj
u7yVLMkv7dRuqnfhdaofQ0lZ+e0W29f3dcEMjAhzGfZKiM5dJRnswjBPoQFugGB5SaP4qJrZwz44
czyUzbqTrtMNpYjpc6m0GlKCrviodV/UhEd6wDPE4EZJBNWYWhgyZltQj3WcWnPnGi2PCZNzpGUG
N0wliwlmlNHXkFwq3KSEW4rn3GcyAxp9VxaqQQUv1EOOe1uzh0v9kDiDVfi9M15mDzfdCVepB8KU
v/tYDJwA8BtTjnAAdQmkLPPojEl8aNLcgaKiv2+Ks41s5l3pqiQIKWGlVJVeOvfnuJ04vOYc0GK5
sBQD7Qz9hG6XnIAO82YQ7ZZwKiHbvSHXw6wwsYeql0s7BViGYHyTQ09tLxXq3fMPcTzkoDUL7hrl
rIyftMHb377tbqaVYSYKkSe8C9UFZKlQnbR1L36svMjLOku+RzOwDcn1L6ENOucnkfdq4lpmAMSo
DMwtJci2jLZ6Go6pSzWELEwOqcfWmdzS+/dvcSAiZ9E86FToF1+FJIFSyhLI6Sl/YnBQ7QzT89Gz
jg417X6mkjd28rm+QLUVKnrma8jT3uGunIEYHaPLYjXQxMyFyklkR9HtD+VNesgsDfliSpTcPvER
m+fHDOIMrZ6KGIFEHqM9dPoDmZ8VzeW4E/3pO4EKq3yj6nijziXQc5yO0fLFSBCmE0vv78fYp7yD
xHAE3YP0wKy5Yl7Cxe0k+kf8uv8zOHcTm4xfphYttxJcS2j9znxN65vKdBPllvCAjrOlrCBOh7ax
NDbo08gE2XtZPCbT6BZxynFYTsjO5lKKcdDFsEWGOoF+ID6e36GIDrlzztfbXo2uYj5bBpu2zjhI
JlekBM8w4iaSouAbO3pWgfrn+/7H2V7M1QpzLYG2qJESHS025dw4cqehv6Z5EOPCF9viPKL9DpW3
xTJ0HsvC9k1xtctcSppY9+NM+WZ1jO8nL+aH2KD1X/+fzVTrZm9oPRX1oNIN/2WD/iAz48oM8yBu
Faks6prGJ4lf9PdRa2Xp4a++EJuaJlo6EYESTlfGodRraAH2VpzcKblTd7fJ4NS8t9ofoufr3jG3
UF2nQ6226P5H1yBtu0LXYGpntO3q365B/kT4NlBdLTK3T500Rt52GL0Cb6mthU913jpDiK5h3mXD
cXdWXaeaSBfLLdy9iL8qtTsrL1Xz1vT/1Ohpm6c7TPjsf7w/ZEyuK6MrX11uYxQAgSX0QbfJMR1A
en3uxQdDQMt3dzaVwUrih4KcjeCZY5eDHgaDHoMwjl084J2/YEDckT9LVuKkB/GePEDVxk1OEwaB
ec3023Naq9PAgIleRgGmgdHURueKBKu1kyfJN5zBju8xUWob/KF+rkkGR7q4J6ae4AAO3uAMxwgX
mGXcQ7nOTh4x8OzV3ccm6q6rZFnzRxmtbUWKeed4ai+x0rhmzhNp4nw9k4GVQBuWrl2wkWmvOWZW
Oo2e2CTkyVHwzDBxLlgMSByNaO9UenKYcsULBflsxBxf5Bxuln0z0MBalwkJhh6k+3L0CQS7htHv
Yg5OUo/+Pdj5ddJMBkOqJBOKeaKcHLJqqTGlKkguspYDt97ExuQUDHmLolu7OtddLYHduMbt3Bn5
DeYED3oa+8qoWjKJnf2zzFsYAyHILFSCgjEpZ6geBvSDzb4ancrmZk447x7emhjMiLRQKnT0TjnV
+KRlqatFulUYYIZEfmh/STzHY4AimINBIsaMQWPRn7VbtT52INDft8G7xkwGGiBWGiZtgDiNkt9p
dn1QQku5HQANlEMFIp4Cxyf+8G78rwsaLA1Siv5WhJ/ozegcWv2itVDdxWzqoXBBt+ftr2//axks
1UgcaEoiNEB4qboZ6hMZL7F2o/Gkd/6QvruuicGIGFNm0qxikGW0g0N1Xzi1HT0VZ/MhsHJn9js7
cnmaz/sOD53M/z1bcxsMIJpFflVsvWF2pNjtk4NRQb+J4/AcFzFEBjPQm6vm/QCPh7g5JGQeaxvi
7a0VHkfHPA03gpO/7X+0fcc32OEWMAPPYCJGdTJpTln8Egn/GDxaUp4JBi7aAqq55YRUlrzUGGNb
Tl2JLH9vfGjvDNHQCOi4IDTAIOBSVDNJ6LNOu6EEPpI/+CYaDeRnUACAzqHikcTQb/Ebvq/sMesa
asglJipSnGqHloapPydDyklfbTreygQDgG2exVOdg31Ol225akFYr1lB5HZoOdR4fVwU4vaWw0Cg
IA5TKjewJWJOrbpU9YtenuUW9O7oiHf3vW4bmFYLY6Dw/Q1RmvBzjOgfqOx1acuvVJapO2SfeMDE
+VBE/N/jKw7gJho6lNKm1oWSKhmf91fD2TnCBEdRLUdxWCA4KqsGtGyTHYfZaNXwcnBEQIIlNnOr
57Y2bGPFdQ8JA4RLTsbG7BFf/DswlkAgeUJ6jHJtuw1Ysipez8b2KNXKIoODajVLjThhIyEG79MA
fjxI5+rF/IZhqmNng4H7DbeYzpm/420vg4mROemQhAJE6cJ41skhq1MXjBVW38eWIj0If+uchAGS
vMznICFotyFPxiH1kXoDjFSfaaGELwrD3VQGRlQBJAx1BMkI8RSCadS8o5nGwQJVf2ybD9UtzHIF
HjdfnasPyeJKgbEwccKW5sU5bD+l2VtNHg31ToKaz3Qbh87+AfnDcQfBGjjIiEzeXXkVnEahHKNr
E80ctMfCPNf24C+3E/LH3eH/8R7aDESMqzXGYQwDlAexiKbALr8roDfcvY54135IU3tlhfESs6iH
BlIxcMu2/IqipZU095VR+1PNExXZfrOvTDEuErdxoBYT6qKQLfGQPYKgj3qkSb7s9KGGypUpxjM6
MBj2wgAsC9Rzr9laeV/0n43Sj9sjxyco6v5+31y/EnPfhHqTFKMKMFmkiwZesthaImcS3wbxUJgA
r8gqysO+zS0kkWTD1AxdgROyld+EGHqiSAFubDnHuxwUql3sVniXE9FGsdIZCSeZST2NXePaIAPR
bdPFnQhRW6dqK2vpF0tSeFHIeyF3zwYDymFAqjmjhBXFRfwsgZexeZMepLOiW9EbOQSW4WOsFs1t
8s2IBn79KTv1L7weyM2sx3qhzJGb1DnpihL8f+SOPm2aJyR3bOKmF/Dh2PVTcZAf9z/l5jNgbZE5
fpOC2nOIFAEq6uE38TNSO45ga8+LPYOVcnREJ/WkxNo3yvMf5hyqWVPNooH2t6XRbDF7WxQPpDhy
e44Wt1R1jrUtkF6vkDmKNUmDTKIaLrL4oHTPonSQZH+abClSbQi1t8Jk7y+PbtmeJzEnspbbSQsJ
si+zfh8Xd+bP7CPaKuslMWEfdJgxiT2j5iyMT6XsdeqXKfm8vwi6KzuLYCu+Ql6aalSAagcSft10
XvrbJCRWrz8u/eu+pc3pldVq2MrviNEA2RQKtN18qS7prWwXlBX1rL3GGGgESQi4LFDEu82d4qA/
m8ee4x+8lcrYidWlCl7FVAwW9JToIB8zMlebbpPKznB7x/Kn/aVu3ajrlTIYo7dD2pc6ysBic1Fy
OzIqZ6ouRH75OzMMipjaMkkZzTJW+lGPXKP5OgffupHTK8IBZba8G8WzlHYLPltHHuvqgTtnwUEJ
hUEJfUgnM5+Q0q/CRyk46vVLkZeY3Tp3yaWYeDlu3qdhUKLLKq2bJ7xCkxjBWxS5VRA9g7rUMjWd
1yrL2zkGIIaiBJl8rdIEFk3hY+bzMLxTxTxIeHPMPvTA/4+079qxG2e6fSIBClS6Vd6hd+fgvhGc
RjlnPf1Z7Pn+aZnWbB54YMA3bbiaVCVWrVrF4xLhiWQ9RiipY12hqJTmc5Cv+alPeH5W5shg27Sk
7mYRWxVoRQnHcrHT8ra5kCNdBqnb4WOXggN4cXo7fS8BEX8UMEggOLxJtN0ceWNjbBc3ijKBaB/T
M2fUtbw5qF0ULv6PFYPj6jlaQxjfUSaaHMsrkgapf9SK23w+mOJJ5S0k3X2ibs/E+I2xRqZJVihM
587OcKGJa2HnJ2I1h+ZWcMjDf/IfhH7ojUdMRBPTfAI+ZL28tOQmCr1Gfi55GRdPXZjMQ5nTtNBS
TOwOSuqPINOKzNC5fhBOJCaMCxGwX5WkCzD94WAeckP+S1wrLGYcOCUzTgQhjO8wxSppiKASkOe8
hE1kGX1q9/opmi5Z+3j9RLuDGFtVYHzHlIvxIjaYgV788iBYGl4ydDiHZm26Lb/NOkZ0VqzoEk8A
ytqxHz7w8As8nWdcSbmIuYxcAPlU91BpsluBQdqsh5csnriKT+3nShbClpyyKhuxZwpdwMkW7SSY
TU+wldVSfMzBecly5qG2OV+SLUEZqp6aA2WTlhPxpyKXbphjFMns7jPs6O5T+Q/aJZuPyZae4khC
Rz4G7L4p/bU+dEMwiN+vKwzna6mM6wjlfgQEOFGdeT71oO9Qan8QFos0sX1d0O7rensYxmvkJPvf
DCHWaxw0O/Win9jb7saBGIzcEhpPMRjnsdRKYWY50tPOjQCmm4MymLEbT7Zan49ioBp9TQsZN7L0
pFkzDV4+VE/mcEwVrDzViY1lpE1IkZBoe3IUYzf3UWQiEl3EO1tjjieJgjZECC6OkVTfU0Gwp1a9
KRfz29gRvxllXxtS7p1SVfjtmETGZKamQDA76bwUg6kL1Qdeb3aiU+ZWtnYoT7PdHcgpcuTI4mjM
7kfcCGQ0pom1VTVSCJywvxl4lO7ZuCuD6mx8p6hA3hqr/cxgI4651K6UyqKlG7dp+YcWy8MSEO6Z
TuV7emoph+vH27W8jThGa5pCnAbw0MBTh64iPSTRMSbHeOZk4bu6uZHCxJ5pNVss8USu/zdo7e/V
RGLAq0zwFJI5TDkMQhaGaArJSgWWvTt5tFT9CTR8+ejkMcdn7UI3UVf6R/2ZQ+lpZJjRgN2kGTAu
ixujx2sCc499UiOGDXVfAWdkjgp96i4Pf/DRNpLZ8NqDFTjUABqVsYEyxOQVwTK3MAkS3nuDe0Ym
jKY6adF/wvOpc7sXpFoHYlNwruaoN/lLhTZA5uiH6JEX4fZzyc8TsmS25aALKsaU0aJf7FahGCJ7
uaSe4ZjikbJ8ZB4PPL4bVDcSmb6OUoupZGIbt7Pkf6mtX5A7Mlqd+DJIXMzvrs1tRFGPs8lcMfhf
kbjF5xs9MyjP/WHyGzv8AoAAUjLFp68PEajrIOPtFN3lTNmoLOs8uyFMc4PSDqbn9jD442n1hzPl
/eQpzm5Ouzki4zRFSV8TwG4BAAPXRYFgtwZFmfGCOf1ffosFGymMrzSlGDuSSlyk8jh67aH0xlMZ
GIfE1vDmyN3hG08vecdiHIzYm/97PM7ST1V0kri0zIYTcHjawbiVjMiJHNPXWm/4C3mUJAX7GZ1V
4fEU8c7COJEy6YREMqgc8a4f/mrTG1l0r/spngjGe5jJsIyaCQ85zl7fuHVxIIQTvzgiWKRtMVaJ
tNYDJp8WTxOCLjySnjPzwfkgLBWEqol9vjSIKkl1GbOnKPdqzUkkjjLvhshPXWaBtkMcrVkfocAn
NWgg3MvqScsPevU6q6JlCi8pr9G6nwlvBNJEa+OFAIyvVlQSQZI236ryi5G5anrfolWi3ihrQGo3
nlZL1HmFTIkTpFmKCAnuQFZpXUm9JUcRBPD1Lfhx7gCBlY4Ey2mUL3JQ+qHNY0Hdr+BuDkxVaXNg
fRVIKdENofSZRoctpIN+GI7aEWnJbex0gjViT013EG5Wt3AEZ/7yn6zBYJyH3hp4ESv4wpV4H6eW
VGVWzVvVsZ8+bg7JeI/G7EfsHgOwIz7QwlLhwyFaofX/R7fK8b8G40I6WSo0pI+gGV7e6/5ryKO0
534yxoG0RZ82rYZSdN5MmIoz/TBqrWYu7DrvVnvVvvVTYvXat3hsKquXSocI8mBpc/So41nSxLmr
RCIQhDF46zDK2hL1edAx+RlVHB/BS5RYWG6v4reqTDT/ekf/3h8aFL/GU4vn3uRQKIFkp9b/zwp2
TtbCQnVnqUrElFLsGqbaW+Y02XH6nE7ySU01p+7zp+sqvN/6+1Qvk0ldurEGKU5sECfLLd2isw3m
BdUcNP+wdh14GEyAWrxCH0fLWARvWZR6E04oryjd01J8yQCqvX4qjoNnsbtRHmnVjKEDJ2y8ePQj
LCgW7wyeg9/v3W7ujvE/XdthLdQC+8fooEv7R5UdTnjbJZWVvmQ+to2i8CxblBBTP4Cu9Cy/D6eF
957lxBmT8UJGPvXhqsHtr13XgBhdsyJpfm1n5SKLyU1llPYUfRNMbq5GNeP3XE01iKgZMlCVTLiJ
Y0MPa3B7O61DNwqCaPKLdqapPBivf1Tu9S+6H2M+hVGV2rh6ZZzGYexQf0zREO9ehxSMruV9uD60
ySUPg+vC9rvTn69bduEHSCniYaJ7rrV7EX2SOcAcgNOeytbS75unHuisucdi4etSdy3/Uyj7QupF
wHrKAfCG0ZgvatXZo1jfpJ3ihyvSoJz3tN61kY045nmUVSKZBH1GuxhcOhgJqNMDaV+XROLY4m4+
t5HDOBgp6fW5ihBSpMhXDa8wb9L4x/Wb2/UnGxFM1JqLYTLqGo2Dsn0j+WoNJqfasX9XmoTlOiKW
rLBEh4uSqNmqIrNuhgfwjFpZBBaPCTvrMdp9/Sg8ScxRankV56GAUWGTu5gcGvl1Qeeq8q5L2ff6
5PNATBgu9TBXOwPlmxUpG3GlIPY0pzg3DrXfxIu4628552KbdKqUg4VfhZMawychkiyxsBW4JIVL
1bCHS5KICU+h6tjPyiKiO1SYS9LgAvV2sVe86OQfOjoVyXnsUVxxss4Rl+/Xb3PfcD9F0rNvfJNZ
xGQpNHiLSFpQbOisMPqZtl4OUloATf6bLCYbrIEoqUXsonDEws3N1RKWQyJYZhTEk8hRxf3awuYq
GV2Ux1xZ1QHQRjkNSHYJyVM+vbQ4WHZpl3c9OiRc3uJ9Nfm8SkYvi7Yw1SSjTukoPY5Oedd8je3E
zXxgot6xZgB5PGiZudu5eEf9+PnmE8bYKV91YHbCEwYzN+Or9DZcGrvObiTTroyn69/wX6zvn1N+
POQ20qpJl/UoAiCwB8WuhAmI1EueM9Q4BF+lKFVv/XJdIudaP94YG4FCnI9q2yPrjpLXIQcm8EcV
ohTB6Udyz8VkBEajCFB6TMhgq+XzuKDxntZBVWbHfJC/SsvsRkOUeWEWO0YsuuoygkynsPSlsuI8
4qAd9mPC5x3Tn2+OPEZzVaoD4FdKiMR2fW4V7/qd7qZdn9bxkUNsBGALHl7bdBF6BHajWXhu9BIg
/xcUHA+daXhqGNtDx+Mv2S+jbqQyvkY3hgmlODju2VM8yiqVSjYyBndxtKD1c3tUOQ6HK5HxOIUU
YjCJMjxNRyzcsdRT4o6hDa59hz5C259t6ly/WK4xMn6nEOumN3MUmaT6SV78Pjno2jGLXyblaxoG
+mIN5YEjkmrmb7ns5loZvzNKXY2VGLB/yhlROtLJwOv0MnnDObJLxPrDH3HxbeLUB4vFRn1E3RRB
W4dDqrLdAyhOfKS0OkjSVS5jEs2wrhzu402+EWWCP7HSKf9k74j2ShtQqTWC1tX8mCOLnzl3uV+H
+rxMli1pBT7LUGsU3nX6RI/0yRsrLCqe9VORdqcmil0tqw9xAlR3PVthrlkmGCTLuLuNF3Lpy3d5
aFerFAarNcb3joBVgshvcQ+m1vBORJ0O7bS/zEJ6VTN8nzyyYqOwRKwMNfPQlgTdLhIdgM7sWRVe
+k4Noia3RrX2lrW0ozxxZ2VCsabsEDz1QNPKL1KHdoQuHuomfsUGKDsvajuRdI/gcwixmyyV32mq
lVbky9j1L3LYOKMcW8qkHdYaBQEi2fg3WDVhOKoQ3ZilMlpaZB7MOIK7BVZCqW7Q3UGhQ8vOKpY7
quLzIoaWlKgnEVx0fZVYRl6Ckeg4FNiOF4Z2ic2pditIL6UAxoFy8FUMp+SdasfC4GKcfXRABfy9
G9rEkgrys0zN2aqEL4VRowlRD9ZM10TNXwqxcYchDMxUtvoOq3Er9YCiZKCIq9Wtlb0M2UmWxczK
VzQsyGibcMRKr3Neb5wMiaXswB6tIhYVtEBz4dgkP2TjZw+2XxBpAdvJ0T6OJf+WaKqzVBS0goWG
9VfTi46mHR0oRyjtbHWvvLbIh51eMS4W9yVOQpfNBTwHjeXgT3QysBs0VhuIt+AlxZ4isDE5lTed
akcIlsLKXq8fmBPaWShYFBlSmNIOaQvQJXmWhXvs8TXLh+tSOB+QMJFdwOoNtVrhrbSpBvNl99jV
NfbZSLagvS8CbyfSB8r32qUywdskYLMHrSCAxubqyLnuxhG2TMUUuT0EVfwKJudzml80Ipzkgpyo
8sba+6TGF2NNCksQJksyQaUSvWEQwUsF6TRW8Oxd+ZcqFXYHzGhfiRY4KQI60L2Yg9elWJ4VC7x0
ff/x+08W8huNWy4sqUwJrrXG02Ynr14K1f9Pn+YDHrnx7t1aJmU74dOUgIioN1hZVykXUr1FMSfh
2R112oYsetiNpBTrvWu5wTObcqBgL8R7f9IfegsIpa+U1UhwsDSKWxXhpFnsptcsCmNFC9EOGmZn
XYjdjt+LJliTs4gl48pt2P11/Tr36+2b6EVNYXPKaumHPI4/xrzj0cJ+YD98Io/li+S2fuiunDSV
e6lMslPF4hqqBLNc8n15SDBbFXvkh9i6vSvZcBtB0lqo3jm8vif3mEzGE+okjdUI+TFQzQfda3ww
9Rzp0sgMeHeel+Qk4yyqf6onfRQlZATNioEuDUV8oeOYwb/U7P4xNRbO3ySzapZ0CXF6yO/oVGrj
tyfS24sXWiVwPaE9ncrvHGXheF+W2S2UyyVSEVhp4//WOA6X7JQ7sVOf5uPkzF9Ld3wGAx8nQaYq
ccU7soXXIQMVS9KjUBgLkSv2AwZ8BXs0AVZZI39SFrtLCo6a8kQyDjmVZZWm5Yhy+blJAas2jyHe
dyl4v4ifSf8xXWAcTaQXmiKBshSzZX/pyEmUA9GfjcgPKw7ejas09PtujD1biTSMNO+fvdAHaMMX
bKxpf6WkDpqXeeZB+EF4jSVOOs4WEyt9iKJRo/AzsNokQf0YOj0g6pIdnmqfB4LhKSjjXtR2aGpR
xlDQAKhngkma5Y5MeDcmHAXZbwJ/uk12fH9UZ8D7PlYih6+NGQclEIP58lWUkoMBlqk6bd2QfJVl
IcWyPxAITOFzayaWYKiHQXiXpfxZj96TvHvjWCjH9bBY7FxruzU0oEulaRn3s9NdBr/wO0+/FNiW
k1iRLQc65zm5j5beXAYTQ8ZmxqKWFUELm2MxXVb6pMxcvY1OzaLCXFIX6E2/lPobMel9WTWdScyO
Qz16sqG+NMlwFubmoWukR2IMD3r1vcQ7Susxqh2CRJpzQbTOf8WbEEZD4rbNjV7B7J+Wprd6194O
WnwwtOSS6eCwWu4UoXHi6CWmz5aRU1fnpEeECUK1JKyRJCAIxfHoLVl/C2yWS3QeWSpHB1g4dy8W
RqZnEFOPjVXi/WjwRgs5ZsYCuGup0MWV9m5WrExJG+JLZuNk1c96JJzvRVXnt8+lKqKM5QuSiUnY
Xz2WOLdRp4bQ5yo/RnVvdctNHINXrU9Au/zjum7wZDFeXwKHmha2eEutTumtA168tUfQ/uYVDnfV
YHMmxt9PnaoIRQZzyXQnyTKr7T2Nu9l5V883QhhXH5OJFLOBxoB4VL3smPi9axMvdh95M9i7urAR
xBh/sc5hX9IXYRa65ojlflaoPFR4Y1//OPsZHMVMapjJN2T25bmMcihVBI8kOpWv2dkRU/kgGaXz
TeGl4XAR7R/qUxgNaptA2UjoKSsaqoDYdl8U34YSDPpva9G51w/FE8No96jm4dquNPkGQ0Rs5nZa
9xeUVFGqkV6ui9pXus8TMco9LYDxawTKLQjeCNCJ0NjLn43NbL4Ro9kzxrvFnq5lNTLM1tH6m2AB
0+IizUeSmGKspPxr8SRQ6Ike6Pkx4c17S++nOJtfgV755stFdZOBkBboLDglzOw0GfDMia/fiwfz
nk79Yaj8LH25fre8z8iYgGaE6pxT9nIVe4KiR6l96PKbeeAwi3AtgAldTabVoZZ8PNVAt6R7a6A+
zLZh9Re8R7lpN+9QTLAylajtOh05MLa/l8VZHX4YwCK0Jc+ud6PV5wdjo1XdtKvQJZQuM7fD+8Xt
sNREDW3xFgVT2Rv9zGlE68/egxup1H1u1EQ3ihI7FbBRfME7lADCB0r9AmkpfTxlj9rDdQXZjyz/
GB87gWQKWW0IC3zkah6VyVukCT31k9J/GTghjKrA7+HyUxDjUOZylkNtwUeLWtTZi9qSCV7VXexU
xXqRSBnExbxwviDvcIxnSTu1a6sMFZnEeDQ0b17OSvVCjKCvOAbAcWEs002jiSEGrRABeu17MzhZ
UVmdElz/Uvv9n41isP4jqcYh7D9m4f5uVoL13bQpSYME/hdlsnnFgv2SyEYi4z0kXRENwQQIPD0b
foHHigOsua1eysB09ffVrp7oipim8Tkn5Rke405Ssi4LGZGG/N0n6exmOhgOeQITAGVkwj5nfntt
HxC5OSzjVcpcjeQZ614d7LmuD7VX2QYqF5mvnoRLG6jvdMNkCQjtEsjAG/4hrv9Tvib+avehWMRj
p6GCofQ2Qe1HwoaTnrfhhOM6Nca5pGVZFIsAK6y6FyFKrUzrHFAfoCIbHjgfkWMTGpOoJGUchtUC
46P1eMGqUdlK/PWEzpByP7oKiBPXHth7jsnzQpHG+Bm9KWMxTyG2BVVjFJROdKwxKG36lZPc8h71
vDMyDqZZWlWPc+AHlvB1xkRlLtpS9ZVzkfTDX/Gc7Cxg35BsUgpYA/FVb7qJne+T115a/z9mlhrj
X0BZsohYuI38pDjFE4BBXwVUenkdKE4c0Bif0pE2D9sEzya1eTNDfza+1ChzZvfxamG1OE8bOJ5E
YzyJ0GFuXs5g1MTvD7nT/Fx1i3IIh1b+we0eun1pX/9ePJ1g/IjS1HWI2UrZGcT4RhdjnzRFMChc
RecENxalOKbySvIKuiceFe9Nt+gseGUfIkv78be6w1EFKWcNEy+J1RkHMndiOQsiLpSumaILFXrZ
KkDwkPjRWVWt2Z2xkLrnIRE4d6ozvgSFCExThIivYu604jdkDEP29p8+G/ucbwQzrYScWtl820xB
OL/105frIjiqrzPeolqXUsomePjeWG+11LwZ4rexMgCiT8AYp3j9aETOdZG8qKbTm91kk42YFk0n
IJts3yY6R3m/nujkK/Y2+h16oslBsiP0Y5dAdDBS6fMYX3nuWGecihLBF/c9HnejV2IBB5hz8eaR
7ukS0fwm5iQOPJNgfAs6OHkG1hiE8OV1iQOtejfM52p6EXqOGXDCqM64lTETMnmoIKjs3yLtVVkO
XXffp985H493HsaVlCv6QhPdXUcL1OsbBcRgqv65wShsiuaG8WM+AShzLt3FCvQ7sL9bgMikbvjA
ywQ552VHwbB3swZzBup2Orq1fdjYmjhaS2J8S/L85/VD74OOPvMgdiZM6BS1w0MdSSfGbCZ/DKJD
c6BDNrw9yxynwo6FlalUqYsB05j10EpiUMES04kaHmsqL29nFwRDDmAtIjKSGpD5vtPvZ3l1ZxGO
M5Kqp3rIXGMynrRZwi/SPcXJZM0t6BrEiGMd+3Cgzc0y/ifvuqVQc3hRqk4ybDE8RGckRh64xzkP
Iu6hGb+jZ0K+Tvr/kJW6hzN+oR6nOYDyHuyfoHPlqA0NPFeyJHYEbJSApAlX2Moi3keDYdVt7syj
3XTvIjDiBehfiGgVKebCdE7A3x9Q2twr43a0WuhiPUZS3aahrYP3GfD185g2J0MZz73Q3kw6WEum
6STrmR0mpUuS0s+yB3mpv+txYUdR9CWRW87nps7h2oUwPgp9Qj00hhL5AeikJo2uA2ruFOwCQMfr
rMXlYexSO+6q//ohGKfV12unriICKUXw6SfqqOQf2YF27UfetmWOCbOjYeMwt3pYwbQk8zhgWl+O
MYxyuK5Z+1HbNEyZmGDiYDfA6rEohwJF3AzpK9Yr9c1jBR5b6VzmgTj8dV3Wvzi/f4R9/HwTrqUo
zgcRK8UdQflZJZE7he9a4dXNs9J6KDFbCUAlf8RuL6mfQpmcTq3HQjArFCbRbsJSxTWY7jTLsDB/
4ERcfq79jPxTGJPKAWgZD2hhwQkBQqg8qFwWk32d+BTAPADzekzk3IQjKF50vD3p7HrhSz65M4Hr
7uB/0ODkZFn/kuV8ymQ8K/BMk2aCxxxjSiN6NJk7BvEr+egACE71ylES3hUyvnXEPtslXyiI79A+
tbfNc4hUgDzWQXirf1C0E5XTnudJZLI4HZMOSh4hckSN3aU5UoCf18+0n2B8XiDjQtHhjEPQv2OA
t3DGdL4Y1SHMvdxsOQf5QCn97hU/BTFesR8qY1CGFDgDjGq06/dGr205ynxTkN25w2a8HFwK+jQD
LR97GJeyySSLtpYVVhf2bi9Xnl5IfpktnigZWKRReUQmdgEAXi1hB0WUY4RrBub0uyGV3vU7ondw
7VdnHatUikUq4H2uiYEU126NkSGxslXNTnjUNRwbYjHRsRYb2LULHz4Zna0AM4wpfRczasH1E3HU
isVDa+JidLOBXpbZNE5UaxetGjhRkHNpLAR6AJFSocU0+XrLMj9tA1N9rzEOtHAUi3djjNdZYqMS
JGqTqeTEg6tp7pq712+L52VYgGG9pKToRFgh6J8+WBXrD3CabKFayC3+7h5IUxTZILpCTJ2xyFFv
45nUEvgww6OK9CVPrKZ55ZxoN2nbCGGsEVsf/hd5kOsfKb8Pyq33cUBZ901eRrqrCRtZjPlk6qTE
YYl8KD7ET0lQelg5G3e27naOZKt27esHvJLtuLF4VcJd5/YpmX09zeM8qIAmgwtcra1yWawuelDy
QJc5gKZ9CPRGEBPIx0rVUBb6UPYZBJwp5mVbIJqC0NN94ODuVhvy3dJvgvBr81pwOtMcjWHfU2Ir
i5rQ0Q4PkAm5WyRniQvZ4l0lY2ZtGptALwJb2LWoP/1NfFg8awdg0+4pVgy7a7zokXex+2nZ5mKZ
+J5nedwAogaaz4a4RhNa81w5khr7Q6HYRZq6c9K76Es6tcwrYe6mnxvR9NY3GeHaFi3wJxA9Z16h
2fg7aq1cqe3hR4bpiesGSW3gtxCzEUavfyNs6k0VWytxvZ/LFSlvCA+Yse/JNnIY5xIPTVloJRQ1
PVC2kOlnjCUN0VMaJM50ijnFmn291HQN4F1dUVhAnJGqGJz/0JnisdJsAwMj6fp2/eL2ncunDObi
oqkqMWaHqvaszM6o3WYSuAib2krC+6hyrsv6F238FMbcHrajhH21oKaGDTNifuiq1FqNYNYUdyaX
jvwYTexBXzmqsV9J1AF3EoksSfrHi3+jG1KTD83wwVXpqhbdgq4EsWOiJR65+mW5G5zFaV1MWKCW
qD0MKEM/XD/2riFs5DM2WOp5TvICFYXInF91cOoRobj0CVZ/1fK5777Vffp6XeKus9lIZEwvDtV0
wMAT9tsOVl2YlkA8wXAzOedcrbRrdhtBjPYM5iC3QoEHWOXOnhCMjmnR4leJqyWg3BreDIcWwfJj
fM97uuwq7kY0o0tLGoUD5jNBfq48zPNkGUNlFeShHb5HoA26fp+76d5GFhPt46bPIqGH1Q/a4mRK
eenTlRPleZ+MCfJGtC5Jo2GZSAzWoeJSZ5HV1qcE023Xj7LrU3RFwx9TFUW2SGm0cR+tBYqUunFj
TIdcfZO4TpLGst+c8UaG/KszTtWqiJsR/X7iJ0HuCQ+FXbxpWEtUYsud9IXHfMg7EhNai05YepWO
0aLHMquBWgRm9Hj91vargpsjMTa8RIohgdWIHqn7SllbE1vysYrL6u0WS9kGzlfa14bPr8QYsLIu
QlJSHi6lc0o5sfvVzVrZ+qNFjgBD/KMNjP0WaS9nhonyeFhcpsQmOsjPsw6ad45MLoxs31l8CmMs
VlZredQUqHjvCLfIY50Q9QbpFWVEX/Xbj9Vf8dHAtoTE+6Nn4eacjAE3alwJVYVn4az7YXbRWjep
D/9RRRgLHgVRj0H+BxW5n1wVoIECa6OSc/g4HMQAuI8v1+Xt+z9d1GVFMwzCAp+XrBhmZVHBQNda
YXOJssRu0JheU7tMvl8XtQ+n0f+RxeLJtLhekr4H4+cCfnzBQvbjZDfxY105UWVVqEzV/phSSETy
el3ynmkjZhNs6sFBJZm5U3Mt5ERawJpSGZW1iOM5LitX6Bf3upi9u9yIYYeLQALSpVOMvAT5naWl
vgD+8fFlNC9xyQuZe6FkK4p56bSJlCM640SqXGFRtghF5K3n3r00RQYRMjy8rLDTIZncK5kso1sr
iXdA5jyikenIY/T1+p3Rq2edvLyRwphU0qaVWYpw8unBOEpBH7QgzEbf3r8uZjfj3sphVGCQdUXQ
ZtQnaFV+8NeAcvIdR/eDJEqxZE7Oved5N+LY4d946vMiTMGOIpv2tNSWUDyu81vCBUvy5DB6EGqZ
FMcTVG45Gj6xpSDzKz9qLHIo3nSQxMfH+Bk8X+vEiSy7kWx7QCY4jyhY9oIMl5+D7rXzl/fUMZz0
pTvIwfosODzO/V3T+lQTduyXqFnRixNoczBMOw1ntXiTm0OhvpTSHzzit+diIvSYiUZR0U3fIWkP
eVMCqhkGpcljSN1L5rdimMhcGtNYSpR4RameBs0ThJMwvq/1RULjs3i4rvv7hqwSQ0ELR9RZIqJI
y8dCEpHYrKAXTW+V/MjtEe22VmXlUwaTAdSqEkeDAD38QCyeB+AGFZ/CI2ubB9Paff5tZVFd2TzE
CiAjlSLBJ0oP81k59cHkmUcKxOQ5Dd7FMb6pKKrEiELKNNxJVpd8b1JEDwD0/9vnYTwTRlsEAa03
lHSArsRoS4amrfp+Xca/uL9/vg/bV0sR+sU0R9KUHpAyPYIZwC5f/o+7k1dq5Nzbh7JsPhDmw1ot
w9oKp9RcvThgsC7Nbc6BqGP7PW58HojxP0KmYr0mrUgRH5sgveGmetZoL99pK5tH5bUfoz5lMS+D
shGUUIyAg++JG8uuah5rsXfm1nCU5l0oL5Ioe//xeIwbqqATIbIlAGzOH/TvdnxbBx+Uhq88Ld93
rZ+nY1xRUbRTIhO0VZQGmUpf36w5sdceMNX6G528u36yfd0wTEyMmWCWYWFmSI/KSZdgvK0ZgLbI
xfqvolid60L2ajWmZEAEMTVTV1mQ5VKLkxlPA0CWqJKWdwCmegTsXf0ptxav/DZ49aW1KRdmBLJ3
/Y4blqlGMNr5i3zGc5RkGrKyXySHjI4kP+etU2LEJn6a5XMp53ZdX8TlZRZ+JCtoYnhLY3Zygl+E
Mw4l1pvY7EGJ4aiFPQ9/Yeizyt+EkWOBH0DiK2dk8Zdyr5Ey1iBmSuKnvsYgW1QfMhkPh6y865r7
mvYGQ7C9TItd5aIzmKGlEqyrVw0QSsankMRWuwB2JGhZoKjDTV1VIOA17uNFPnUpIIGyctM0X8aa
WFosWBjYPZBCv21A0bOKiiWlGba4qEEq524TFY+z2tpdl1ukqG6wMscmZgWwC/FWeXA70fTN2LQT
ubEToT83XXtRihcQVffWqBs2LMBLBiFIJnKQzed4lp4RzfxZfFwa1e6mXrCzQT1IwnBsi9qLa3DU
XlfZvYRq+9VYYKnaJbMh9YUEoKCC4mJxP/ZWjWyY4hOLx7jiNrj24ugvEhkXGlZmW1URJKaTeljX
3i6q7EamqwK0r52U+WOxnjPjm1jMnD7Njg+A/SuKIppEUU02IZGkNe6MaJQcNAuk6CyaR43HhMgT
weQjJsjhwbtSYn9Mg2H6zvBzXX7pei6B3k5o+OUoTC4ypPUwKN1EHc3gzoCOAz2iXABNdOZ7sEi7
0y0wJB4mzd3olle63Avqvwhnvcw6KeOsDPAyfnWJ39A9tIF8vhf86jG88GpJXGmMW4kEpWmSsIe9
2yNWoGC5tOboN91ZAVFg4vEQl/v28KkkbMaSCd2iSiVudrKrlxnlArr0zfiRo/43PIkBDwy5k5Bv
75LNWXpQVS1VWWD9Rx55syAHrQJYQ9Z9rZTeaUJiG/3sXjf5XT+9OSFjf41JooVUMS50+jItxl1b
EWvKcgE7GXIeD7W8E+V/OR+Tw4hCsWLrOr5eIXRHAV47i7A1W38fZdBRkfowYbg+KUEoHIVHQUPL
S3khPfp6efYd/GaTLNhyO1tF21hpD+6vBqtJFwA41dEFsYE3l4s/DstNMwFBmhecx/S+MaPfo5mS
TsDw/GvC3ycKFsxpiOaasaDQMdkqwShLfv8nn+NTCvOU7lNSmaCchzskbiuhT+1p8Z2mBtel7A0Q
4EN8imG+upmTUSRRSgsRtIk03JQ/VLzaR5sAOPGQBukR2zJaTrDm3SDz9SulBe9aD/+05Md6/RbF
p4xwPhJPm5mMdYykQcTeP7DdkMYaZs9IvRzUEgWP2nNnGugXRaZH3TwuTJKMYZUitUrP9UHFSpYQ
3Ih0zwzP4e3f2T9R6qOauRHUF1E0T2ChRmfIHTLf0IIp8a4rA88omehRKOrSymEFH6eAbtXQjl1e
1pbaplYo6mfCZdrmOlUmYgjgFJS7Al7AeF/sHnUbwQY+9m7wNIv2ufWak9XwlIKJGakxp0PaINJL
UAj9pI7flSzgvm45Qfj/kfZdS3LjTLNPxAhaELyl7e6ZHm80c8OQtBK9AT359Cc5G5+GgriN/+ze
KWIiVA2ikCiUyeS7tbJIlqxy/rgHo0Mf0KMWpJA0E7WxCHaL79Za9KypuhnQaandlcaIvwo/tgaz
o6Lya7kWnFnBt+M7t6qlHJJCymCuCyb9qCydnUHpIbUEe7TXvr09UTw1nLLkFc0VTXHl++wrJtL8
yVVcPJZeEwfo/iC9z6ANjD1h+CJaIIcYhWIY4cIASulRRhNEfyaraiJ0PKNA/b6qJpKb6Fa5u3zk
BKda5eAjbetpjnJ4ZKYGJSj3tP4BZEGCTypa2fr3DXRAxiLUyxoEmHPhGSxzFNyQ1rUlaroQmeHg
w6xTmZA6wVVCalurBi+hsp1PBoYrYsG1JQiPVA44zIGpTa1hVoSUBkZsstzV1x5SZb5iSwQl+SZI
+tb/b1vFgccyN11WRYgAtfoeSGwbIPwQFX33mKK3zs/XbExFGo1m6uCEBaiYGupEy+CPMwjNCyrh
gVLZC0lcVQKxMTMVe4xmJ6QSCFCro6nOgoeRKMbmqePyum2o1CA4oGfFt0AjkTmNVxxXLu7/A/Oe
4CzwnHF9TbRJzwFoayiCaPcUuqYzXX1fKcD6YxdEvvbX5S0VLpALRLQlXuKxBFTT8+TGjvE6YInK
qbmRD9ZRmIZZY6k/UhSfEbbGIQyoalRtrOBBf/NEKq9qiRcSsaEnA0gVKtOJkJRXhG+bIWyNuV0f
ZOvq1tSkZGeYDqXXK39FfljJX8XUaqJrnVeKzzVz6iMZX7X1kG9yFRu5g8wZQEDS2O1t5ItAdD91
sPmwHPLovZYvRo1gr5efVPMV9UO7rKIrQ/uhzPU9QzVebo9FOAoQYf+i/xU788OcGA+lCVosMagR
FucSwn9ZPnk0Ua76sPdTTBAxWrxEKL4JruJ/QIlPwxygJ5RWkVbAkShCpKp4GYfH8a8quZGaQy7h
OTLY+vxABydFN0J5TFWRcJ/wB3AfnCUE5ybNgIWt/pBnpdurMFKVppNQ/Rrt+NCqYpPDEuO67NOr
pBlOCes9tE46ph6LejD2gePzc3C3QZoOtVT1uHhC9Q2CGvZiXi2NoGSxH2192uDQX4rjZipJjjFy
qzlKSQoJqlTyQbxqK7OSO5GiCl4WH+3jf6LFL4u8elw2kjxFhg/PsKi5m2hsy8aMp5LplNJ7arxH
fe0mRekb/eIP0n1ThQ6p6HdtgiYyS6Bq97j0zZdMQa/4/Kits+/dl07q/MRQfFOaAgGSrkh56ddy
gUzbNDrrerhker34yWFB6XxlwFX9VRtW3A6/HwB8fhzuBGSlqaB6jhOvYPZW/o47saIH2l6VkBTU
Hy+vbf2/Li2Nc/ZZSVCBnRGjDRqYsL5q+RdavzWpiI5eZIbzYskYixwEz8jdNahQWVEQdZNbyuVh
gDbE5RWJzi/lvDlOZtanJsKMzlV85Yvsobfx1FzlM+bMoC59sO6KbwKTgh3jZwMJacLQ/AhCT8XX
8JScJNmpAstjrtLYmqdfJW4c5NchmLeEbeo71bltkoPXjtPnNtSZVcNblsmO+sUzQKjRyA9x96Op
/SzyOu2kpI99dby8aMGW8hpy8YAhqsrEBVym7/DMMX5Juwdd/frfrHBBTEPNvoAeHq6h9tVCYFok
XtnlrlBGcz98+XXmePE4jIZoSEsCkNSPcKIFjfAqJ5/5j6L2CgGgWxyYYOZL1Sxoo4D754kSR6/u
UfG+/NH2a3KfiS9eHa6dMtAarV+t9TTfPCyv4KbHYegfWrzYlWD6ifl9cBV/SFs/d4GofXqvyfg3
n+RQJWqmZMlV2F9QRz0R55wg3kWM5EKI6bE7fE+/Ko63ztmLSFj/ITz73EcOaOQR3Mxj+xGerU/r
0m9AIgDZi9E1HETZriVKu4i2k0ObUZuIUvRI88TtaTZcy3Ko4V3ezssmNJnLyU4FjUNqITvRYgi4
W9qD3oX2mIjIZC5HAZrMJWXZ2Cp1pyAJx9JDvrxM5H6cX+PsmySKsNanwD/fOWA1xd83T/aWJIrU
djBkVTXKkuQLlMkF15rgEtBkDjdiS1MwTzj8XZVWndZmAXmzHCPQ3eIIEotDIayiXIYQTeZeQAUr
Ki1bs7LzSXZ0Z8So7FokmrzwSj6IUOQf3j//c3SNL+y1ptWXYcXW3Kxxu/bvT1fsjFzZQ3jAzOzX
BoN6xMR4meFedkZBUl2T13ths3thaPTFrOJ6Jef0qPirBiQZbbDk4ISt4jLjwTgSwQlYD9Elj+Hw
pErqWk8WnGrSXTcE8d/N0kIgBQIwSwPi2L9CUYAqwBFwz/2+yoUSjY4y/Ce+7oGhpR+7eunguS4F
6gGVbJH3iFbIwUhfmWTK19s0Teg5qcYbq8mve4VeJVI9O6goQd9iwoBBnwv2U3AY+dqfpie0ZDIM
M6O9b9X5bqkeLnvM5eBI48t92CatDGO8YIbcGYfKkVUs6r3u3gsQ15cicBFZ48BFUqIKbLI4heDj
tq2yPSiYw5INavdJc2bmT6kdgsvrE8DzhyttDgRNeqOxIgRgHf3aGGirfgxFKqF705abC1X7gLuN
jUWivR61uGUwxBasFHela4YQJ9XOgxeiz4a5K3f9fBhGu0ARXBZs4eVYT/vAhI15Zqh1TycgtvyO
2fV6uoY+ZUUEY817jY2/LZJDFqTHjKRA5ym4BqLD/BwDPpfTfA2Fs7MoXSXyeg5QqNKqS7kGYSR9
NJNbqRK0tv5D8u0XPH8w52++mG5lC9iLwbMzB/HTWsA3H9Y9mq8R9QiVNoTWOPSIEtPMl/U5jTTY
S3sf3ik3Uu7+rVmd/qhFkYIgvkOv8O/o2EIQhuhrtEzP4LxwW2Z3VwyShhIGVBHnjS7x6wDKPQy+
YkeukAV7b/swHKjKKrrbVMKzYIdFsmD2GNlUlDM87QAqhwDzqcDH7Fr2NUwdK6ldiWYh98751iiH
LKDHkrVUh89Yih1LV8Z8ZNHb/z+UbE1wUYvMph69nCO+64LAYcTwKNJdjWjaYA8it1bWr7vxTZo3
YEr76CYzQU0BYdv5duzfJugn9ZqnWtT9b4tav+vGHFrMKClahgcPlSCFFSmAYlzdEHO1LxvaQylV
xrQSpcRQZJ49p6qyfJjgLy4E7U9Ro1yFlnlclOhuqv9Fa6W1McXfmnMLpkwiwwH14ltTzHZtWHZf
Cy6W/X36tR7+4mxjtWqZZqIqnvusuAkx29DIb6EOOdbSbixRL+Nupnm7KM7BE62VpW4BZulBc+zB
hpYcEe1A5ElU3d0/vp8L49zc0pE6INTAwgo8QtMmgEypc9kXVgDnI8btWjgfJ+it0fIQ8VtfeSCQ
c6zY0+rvIMKyqIgrQ7Qazr+VKJLGMV/jm+I2RL+UaF/2l4JRLkwVUEszOXAfaSRXSoEUXadcJ+M1
AcUYDd06gz7O/eWPtu9wvyz90fyTlUpKGEL7vGZnjHid6jC/z+PBzafIGcfwLS4kgY/vg+qnSe7R
OcdtM88TfK4CPWTqD+WV8S/mZy0MowERqKKaJj+TXyXLmg5B72VEnbz0y+qmGw+XP9xuPntrgwtd
5Iy1qbSGLvV3EKk7fRAGw1PuViDNDpHc9pEJ8aSz5HT4t+alXoSCGDmLcoEfRa8/vH6z1NWVNlAb
9WY/FrGEe1Ep3NGszgU4y2xppNcKTWxNLTu7L6gnpbJD9btURfpp+bLk9Azu7bepR3OvOt4kYJIr
1fmq7uhjF47PrAS5Rxi6s/5zxFeca2Q1owQaJPVhKEenNaGHDjaH0K5a2QuVxWkb1R8lqOEqIoKK
XW/B9CtVTWiy6/wodEfbUjaLcn2s2AXzZ3JIs38TuakbGxwKKlFaDnK65lNvB1dHs0TlNN+sM9rI
V7k7wQz5enb/3LDPBXFIONVqOk5LtUJudZOdLE8L+qOYBENkhkNDDBcyyajR/pFFHYpU46OqVba6
QGO3a5yMjU48N86Axu7Lx0K0XRwyLrqUhEaHT6lCs0ZZvvcs9SrSC6B+99rfbBh39kLWQlegC9GD
Hz8T1OXCA2tRLvmPVrijlSby3OZTvFItvzXEa9OrdO5toxNUxnYvExVIBZEftF/yM8IFRW0Xs1Ao
NakqwrEz5l3cf7Epnxb4yWBJohNdZBzkavYofUGFVyICr959j0BB9n+r4JWRCKhz6mp9EluHCQWz
tfdNudGgM1hAMFLExPvRR/THIdpY407skoWZPsr4ZlWqntr6K+trv46ixxCag1k5vcQjQs2iXAJW
ga2Eqec4kr9H1oweWz29HeL+m9VVr2hKOXeh7NISKow6pLey2qNRe5VUxkvYoBOnS3P/8lbsZilV
AlUn8JzImspThudTI0mShqbEKLfLY3eXPspgZMX7abnv8YYqbiU0Gx0vG909lBubXDgRUTJYaYmE
D2W+Gd4q8n2feP/JBD+uEsURi6cWEQtR35oxAr27bKsi/sqPprw/tv1zIfwUh5lps5VVeI+ZmBmx
h4n5hZ548VRjuL7y2mz8BhUer2wWdJ7VyMSGRuvEYMDtInYwpyWzsxAZouVLyhLXQFt2WHdeETEk
cMiTnpG/Ln+T3Yzi9kxwUG9VjdZghhghgvajHPwoO5AsYEttjxLozmIPl+a0eLL8UIIszPxXbyPc
mpZMqAK9TA6KoUnUyE1E0AAPHp/kZz9e9cPJEJXRdtELrEcETm0RUAD8Hn+0qjlaWoX7WVbIMcvb
awn8d5e/4677Igi2KJE1nfDV3YEksmRMuDHz3skwdL2cleTlsondFLf6aYMv5y55bXSpAYjEG6tM
7NEDLd0B7IcPxj0wH1jytGo7C6vIK0794dAbs9zXU/qIdvXa9Np69XHlbIhOkoNOuSA/JP+qDLld
IweaQwXW5D5ZIbo5ZaBrT47QOrn8HQVbZXEeP6hom9BCfEZT+zFi4Ct9rjpBtLbeun98MgSCmLQ2
QDrBt5iCh0tjmorSmE5cNfyp1ee6/zmE14PIJ3afRhtDXJDRLtY81hLWElW5k2VeX9yWoKmsM7vF
UEchwOj9C3Rjjos2ooy2NBng5Wkjn0ajAJdM/5pCraw3v0Al7ZC02S2j4aNVacFShV4ZC+BqXc+l
D7t+j81LAu2uZZkYMh6d7EtWjqcGHWDLlJ/nkAneTvuWKApJBkavTd5L2DKzEp0gSMUqta/2WKKu
oPWq803hZM6uQxrrXItuUarwijQY1NStvMG9pOYHBkqb/ERkgc/vY8fGBneu0LYuL8qATP3oELwC
UXiITvMbegQHqI6m9nxghxlKXgKzu+65scodtXG0ZlnWJKAize22OHThG5TUnSS7nuZTWQiJj0X2
1otg4x5RSuOBUuT04uOaAI798jb2O3s8o9PmtfdXOcLsrvLz3sV1fBlVdt8ym6Wum7wxvczpTLIY
b5lWK/B8HeyekIOkooF2/AauOnvIa0wTiZi595NjBiWgP9SJjoHq3832rKoVVUWoVpR3s/pm1Ycu
9lU9sfvspZD8Or9aMCR7eam71+nGJncIlQZfOCRIsxuTnzXvs2jYa7eIDBnJX4viYsEx1Kc81hGT
ZFl71PCWVpvsgOmOAwU1aZmqjyynt7JVODUGzZAyPseadQ3di6NaxJgQA9N6iFF5PLcur3vfu/73
syy+4SHrwqVrNKA6+NZtKbuV0ZFojJEr1b3doL5di94re4NO2zic86lhmTqMLyN9o+GyX6u94XHN
feoH0crW/+gPWP2MWXndI1MtFrNsgA6Zcj+/J/X7kAn62nfhdGOB81PkErK2LtDWnoXVCy2mYxnF
77UEgdpCERXsBLZMDutKq8isLMHsRV0xn+RjkONNkctqUEl/kbq+U1nv0F7VbSbPP0n3VFHwCaO9
n46tD22C67WN9rLn7MYDn6vnKQ+seizrxsCcZwjVOMtPMcGj6ae5vOp7wXCL6O3GK+xE40zUIsNl
Mjr6SfZyN5qQ7cvOK/q1d6lnub2oarn/hiDgjwAVoK6A1PR3EFrGqKZyCZutt4rdr6rz+ptudx7m
S9fmJkEQsH+ZbexxMF+N0dAygnOxqs3WvuHn6IPoUFrDCBvIb0HYPx5EnRD7W/i5Ru4spnnWx+GE
wLRCrI2Oqrl4INAEBFtV5V92lt02OTy6LXUlZJNlvuMpM/SyZ3EEMRTo3RBnWRXcbqJD5hWB+jh5
kSOjZZR9Wal+K1D9grLy8g/YxfeNfe786FGT1+kAb62J5Mdp/CoZkQAO9gHnc4mcx4xjCmoTC/n1
spFAgKS+S1HkLWx0L69EZIZzFCaPhVqPQIJlAmMwO/X5YC8/LtsQfS3OMSTUQ5s8aRS3kc6hcY3U
zeX/f/+K32zHCnebyELrB3TaM6T4uqYMrPANkamj6LWjLMNR61Rop9RerkNqIW0FSCpaGgfaTRaW
QyVJsjtUT2H4nSieYGm7QdNmaVwkYWo5i8BUguzlqT6C6eYxDGKQtBSO9OKp6Px21zLfaKM70hUR
WotMczGGok6DMStwcj0A7zpa541gnQkS3az7d9EvR//Y3M3m1VWty9AdgRmIHYPCzMnBSwKOAdCZ
Ce4YEWzwdVlLZqHJCFKF46k8Jjeyl3ljUDmFY57pUX78W+XIgJ7JdC4d0R0gcJWPl+NmnZmlpzRF
k5WL+ouP4O2RTsb3/+Ytf3Q0jaNB8hK4uDzKzuS2du4WP4rBM1DBajG/jDeNU7j5uelc406Uzt3H
/8+N5KCE1omVZSGMG9GzNZzSZnRY9HXIXvTwy+V1fqhh/RmNfZriEKWV9ZjOkYpHPZluq2R+tmpq
0yV/nUzQGC3NA8mtY6t3gTkVb6WqnZqG+ZUKzlrSgAvnqwSNctKmtYfZRacf8uelbeB300FjP+uh
9vCQQPeGerDiLEji5a8pnJmdW+xmktA/BZ6ZupuCOU3tfFiOJG3vYoueNNVyGVGexkh7wgRWoM6p
M5Khtpcifp4046QMJEgK/RTVi2uZKWa/QBkNXdUI9FiWSe2STIcWkZZsgK6SRaAKxAlPWYpukrnw
GX2eJeNUWPFR1Z7jjtbrXLXb9eznMIx+Natg/bmVCYNijn5eSPkSdxPaZ1UDqn06poGs5mtngXtb
zx1j0OxhbM6kjk+zmqCuqr5e3qJdbwdfqkE1XVnL379DcqSxVaMtQm19mk4JGe77Nnm6bGLd5D+c
4NMEn+yDblWamCEaaanh9ng9s9iuiKhfZPdFYxomSHgUUGTxBJ/msPTxHK95KiW5ssLmeiTqEbOE
TgYO99SSvDy1DpfXtZ9D2tjkMH9QLUxbr8Rca/Cmg5ZrOIQHAqGgwrdcEQ/dbkuYurHG7VSmdFM2
WUSGtcFdifa1V+hBWM50orfGqXLjk2bTc+fnznwlwsRdyPi0zTOA1lrfSyRBSQNN7U6tjoEZT36Y
QZWije2BqiJ83L1rNva4RO2ksrSvaqy1vM5BeGZcTd/ocYIKvRTMx9pBKuIYv/+rPNnGKBcsKk3e
VamEuJgWN8p8w6LGWarEntjzf/Mbnv+zSy1NNztTXjPszVE7hK7y0J0mR/fJVeKLqAl2w4PNsji4
r9pKUfLVb1bF4RZclqO/0mOIwoN/qBZ9Yj0X3GWjnpLIslCTSrsc7NyWPSTVtW4xZ25/MLOpITRV
B3033CwE+o9a/56qw2Q3pmHH4BRIwVyWxMapHvrHomOOLs1eGTa2XKOAo3eCh8H+2f2M1z4SN5tb
vo2KOcODej27k4tnlxsew4OOiUO8Q3xR28guAm6McUAhFeqQxxoQsKc3Un2iybVq+QKnEtng4GHC
AGBKTCQoJwWK57qX4iGJq6c8rI8raIO7UIb1RXSLeyzY1uaBx/ep6q3RQYUST4aPqfsz+ATARzwd
5LfvKw5W14oH5ouHy0vdB4dfVxbhVtpgbDbKMsBuoUF5IDlZXQqGp6tQKI+8Pt0uXFx8lXVlyltK
EyFu29izt/bA0r+SE+QIbiIHHPc/NFHGY0WYSwY52CtaYva9gUz99EU/maBLR1HV7RMEgxBREjY1
73rM573MJ5dqra41a12elTxU0gMB2UwjiC4EW8Vni2RwsWRJg1CzwIuEvhnZIVoeZBEh1P7t9Msh
+ESRTsYhybQFx0t9y0sFMxyRLcnngRh2O75cdj7RR1v/vsGNIquyuhjxzhsrkOGBgX3QpiPTvl62
Ivpu6983VuIss/o+woroe8dOWnXKpHMtkukTLWX9rBsjaYruoZLi3ZjNFobSkQ9aai8ZRPwx+/fP
5+5w4FfEGN9LdUBEbcTg0nI60tudFDmUZs6sH4a5dYdYKKguWhwHEp3VqhD9Q8TSuOnTSg5F7pCt
9M0b0wQR0ErzV1A0f7uX920/n/d5pvgGT02rZ32agU0U0iW2Cp2ylXfPa8fCTpXhmBrx2UKR0VKW
m06r7UJid0z5Tk16iDrNUUp6L/hBAgzjG/pmtR5ksCusfEgkAF0V9Be+k1tlvRMwWC+KE/ev1c36
uRhqUsmq/AifGvwFLCwGFGOp+7dCeOKyb5cXJzj3vBZzGybh0rZ4qdPwtUFTUZnHeOi5LIfq2yKK
GAQOxRMqQE42H2YdOYnY+krG81Acw06wWSIT6983BxJVWjxeNLRUmxAO0g7mfBxzAbGdcIM4ZEkb
RZOWFv6gB5o/xLZp2hD3dVW/C9LnubNF0acAySgHMgWpFCOrgGRDUZR2oVie0oyHcFK/ppNo0m53
vkndeB8HNSmLJDlucKNVWfYS9/dRAi6ufj5WbPxJx+mpQxrQs5TyrELJoMyFhEDr/fzn/f3rEco3
QudWOFQDmGLxcYfjcrCcH7OvQd/HdAVdGfue8mmI20Ud0xBgQUdMPxbBFL/NsUdEHKL7G/dpgtu4
kLR9yVZqRzk6y/FpMbB7xXsyzPblQyyyw+1Zk7VzFWUrQMmBVNw39DGvrq1MAMy7832b1zPf9rnm
PiRQRK2v5+4a71af3IWp3ad2G8Q+vTbW1knUW4rXiqJ3wHgigjLB/i3463PyTaHGqAx5pSASWtmb
2gD8Jt5a4RG9wv7hfH/aWV10gyG6mYMrOP+wkz8tLmK6O902AtVfnsVwL3BDg0P7vE3GPtGo7GoT
sonzT2XKoZBHBZ9OZGW94jZL6pdazZDYw6mmul3nC3rlvxjVLPCQ1c/+PLuWiml5amGUgQPfrrBy
IoNzzp2N2tFIYCHunpTjlOJFejuIBvzWR/cla9wBVjrTKPUZB1htr9vwQRLNS+x+M6oSgkZBqCTy
gXc31ajlRA3KESaetsOIFGXrFaQRfDSRmXWZm63JepQe8hFm1Emz5X70xjh3JbkXwN0uRmxWw+1N
3zOlAY8RAnywNEtXtA3qxbYSgZXdcAI9EYiHMPNF+ZnHbIxVEi9AoqTJQYNpT2Zva9bdCDgPBaZ2
nW1jij840jRjiASFMDWVr1O0xU5K5svSUy0/Jck3tDj5l0H2Yxr2D3/bGOTO0ELbRprg4K7yODur
CIN2mK5WGJQ8cEOFfuOtaQLw2yN0Eo117vq6pVomQFanBi8+rKKdNUHdFXq86o8hZU4siZ4Y+6i3
McFdIn0RZtnUoZlOue29CPp63Tc8nDESVJ7EXJ+7fmJhJlZW0Nlj8bd8H/VFkkf4lnN4V5nXxXhO
sy+57DQI7C9v2/6X+7TEoUQcZl1PF9QFWnJFza9LL4gGd8/VZiXcHW82yZgVdK2zTe8x8yxSuxU7
qV0ruON3YWJjh9ueIZabcBxxfuMcXaqT5ZFIw0WhC7qM9k6VpkCTkqDTwFQMzsnVXgrNjKGDLFPv
Y62xWdXbFAVK662aXpvm+fLmaHtX+tYcB34JqfuYDiB1K5LXyKi8eRgCayKPvd7bFbVcY4m9ERNa
jToHpjL4hgbVu/ZxsCZHi39IZXFMFQy2xr1btSVmxyZbR386mP5tZlVuVYOGUFHROmwca/leAi8T
jQ03RM8GNf/ScFANpFlrs7GTqEB/ELkOy8ll02PXil51e264XSgHvxAOL5FzQ+xUqOx9Di383uLl
8sfcPcFbG5yrN1QPNblD6qus0CFWLbYGHnEZIrhI+TcBpb5ItGq31WdrkXN+hUrZVDJc+OQcQUgD
XMsYr/eUoG2AG/8XFYA93Nga5E5BX/ShrC+K7CbSq7m4unkcJmeaHTN1/+PH5JIfajKQoi91+YOg
jaANAeWvVx1iA4rXBIoo17J3ujfrIhxXga4worfVam0MwElapQ9MPQhWJHBBvrGY6bKVLmxFKqgt
rkrhiGreQFQJkkB2ZH4ZiGYF9qBxuyjuhg6rJCzrGU9JXGlXRab5/axcG60UpPl0FCxuxxZCjk8Z
IR5IwM2uNRSyvfL9/HNxNVc5SI7pFNfs2PuLI7uQCXdFU0p7J+43q9ypToxBSrpV9G48hUH7weza
nQxoj63WRPzze9XL36xx51sOYyJpLTQeB787Zl58i0GxoD4o4CvAMpHgDsIb5Y6cq0MuTHTvHfXf
jHNHfZKylCwy6DJGNFuwmxJand1r5qCdMCCHGNPe3n/cUe6o62B8nEwpRFXdD4PlaLxWP+pvGCn3
qK05aIr3C7fU7ehf5Kh+Wyd37kmT5WyByLUbRefaCAp6TERsqXtdmVsbfIaTkk4aRgvOSs7FV0Tk
UJ+0HOTeDtHdSgBnHUUZJJGj8ilMdJDIRqRoq9xbd4RC+bv+pKCIObqlJx0bQxBzfbR4cqHybwvk
Tj6ZoWo8ahDxxP3tZJgTo515UNAnifScP5An0rT2lHc3UZqh9p2ZV6i6uQpG/PTmtdFkh+hfq3SE
U4G3OJzzv9o8PbZKfhjC4TBVplfFud0370P5rTG6szSTczvpAevzp1TKHJb1Z01VBZGR8BtyoVGK
SFZdMCPpqufOXWt06Gs9qrd/UzgLr9YdtP7tE3KApixRZlnjsOrZgbqjORZeeMyvkmC5WU5rdwR6
30VNrXsJnt9scnCWYcgejK7wkul7GKy1OuMQ+83BemZf1Dtirx0SM1ppldsafbytyPzOHfibdQ7e
piUf2sKcIUvZegxE4OhrnATZ4Z1w8zcTHIh1amjESwO8Hnx6WjNIf9fxRSVd4YfksEsrdW3OFnxI
PZBuF7e5De++q7cfXcnXlic9V7hv87MKtNbfReKEexnc3xbJIVhcl3Wo0xE11iPqB9Cfko/VEQx0
YIwXbdlOOLY1xbclVZRCIn3G99T72o1VTLogSWbdGF/7UZR9FJniknJKqBNE5RB8rQw70u/T8Cmh
LyBnC7vCFdw8KzpdQC+eNJZEIICLGgkz52jnxtErfXqEluT74hXoEBJNRYluVn62DJTlLMMwFvx+
7ToovIrZUGGxDRTM3RT0o/+HSEK0Qg5cZqWaLNZkEOS8Lm5WVkb5uDjov7PTkzjDKQjNeC7ZoSEj
6RKc6xSEGFr0EkWlvcSNHWVPgo0TIAjPKFtHZiiP68Z1YAnR+sk2euMQlfRbkuQ36lD7YdUlrhxO
53FQMb48uXj32YwadwVjrhQn3y7/INHKObiBMv0kNRp0T1tVegpl2S5VxRua9IgcmX3ZlGjpHOJI
etYXTQYZTV3H4B6aLKUa8ahB/ctmdgEUIgmGQU2MKPL5PbOS0KrPcOChDj/K7+HyJR++DsuJLedS
wli7IJBY/fCPk7gxt/rxJjcaqlLJjGzQQJDUelb8ZRUku7ygXVjZWOAu9W5ZJLktENaaVXiljKFn
jhC90Gpvkcih70QcibsesTHHHbwJxLizmo0aiBH9JvQLCrdTgixi7uVl7Y0JqKuaxf82irvKuzFN
koUiczM6o6dcL1f11aoWm96L7jqRR6wr3myRAdXv2pjgeJO/9uGhh/io++lJVJQReQJ3lNg4yuCh
gCeE0gi+jPa5keLHy99sPSKXnI07QsswlZIxAz0G8rxMj6R9D5N3Nb4qdDcXEdSKbHF3dNoTSVJK
YCKYkOyYvmca9CI7JzX8ZI5tTUR5IDDHV86GrCYsqyqozw/Pg/F1TINyOaTxMVfvwdZ8+TPu32ef
rsfzqsRtv2hWwjS3iJ3I9Jf2JgK9ffVUZKYta4ldaoeUFZiIPVCIdlBRWUhwxPiCWreAG2zBEDWo
y22t/JJoN0UbtEIBbdEn5YBDaotQ6dQIGtB+54KaANmUSUYldDiwEWTeHyyaBybb5CY/iw6DALQM
DkW6CpL0OWJ1dx7f9e5boflkJo6EWUZDMPOz15y4xRGDw5GQQW8pjQjCrp+907nFzRgUAYF6jewT
FzxGxxxEliImZdH6OEypkj6OlR6gnM+llykskKZbi4TeNFVnpWCi5JvIHIctpsT6WImxRnCRaRSC
WWDpzFpbo145igbD990GtWXUcYDNPP1jFo+sNBM8/efpudAGv49f9OJ+BNHLGJa2Kkr67R+GX+b4
gaNyqbQpl2EuVZG1aZjX5AgL5O/1ZAou0v174NMSF5+zMhpYl0FQvmFfWP7SUckmgz3OD014J4N4
NfYvw8xuwKN/2uNCg1ZVu0xZmO7OFLMKV2r2nlHRQMQ/3KKfRrhDbph4cchVqoHsl9306PtWgvwh
xRRaLKgi7T/aNsvhj7Q5NWMbdzrSzYu/atvGsW14q3598ShMW64/+8+b7nNZ3KFmmVyyoWuRSPze
e4avXSVnjHU61tk8qYf+myxoPhA5IXecQaNvlvMEc3PhMulH2NwO9bWWihSzBUeLb0dX0A6fNZMO
Rhp9fiVdahOWvnRFcmjYdCRNcYiSWeD0/3DXfX7J9Tdtoh9WElrH6qRDJdjGCLCD7kgMQt2t+wYl
vEdJnMkTfUwucpjnuR/LfE2tQclexr2DMcmjBG0vK/gQXnZNNz0Jk7HrabrgMR8Jj806i6KpCDGQ
U2g90Pi7ylXzKt8O3tqabryJohXRYeAZmopZ6qwEA4TgD/Vzyx9NVzKOGLe2TfacTEFjuEn91A7h
v3lDfZ5BXmBTUtUEXKI9Pm0SP+pJ+qCY+e2YiyrS+9fNL5/h5TUlSsbJ0mEmHsonVaq9cB4CiE37
GUY2MGJ7vAyUAof5YAXdbF2bJPMyZjVkXbO/mjk5SyGGQVAFlaPG+2+WOFgpqrRKrQEYlpJv0zy5
9f8j7cqW48aV5RcxgiS4vnLtTYtla/MLw5Js7vvOr78JzTnuFkQT53qeJiYU4WqAhUKhKitTFJ1A
jK1G4s2kr3GIIi057yETUoJSGqqwUKGcsdDb86lfzJ2p/AgyzRMGKBiBW3mcc7tTBE+N36YwsiPw
3SvlfROKdibmfmOMthHm1zUuQkHULWmebbP7Zko/hEV+EKrkGJZTZkdVedSmp6zDKoT5bhwAgybC
HXRjgEeGpBBax9t7uF5lvlgZk4zMFag9JYK8MtnTodbYja1qN3uSm3KBbpwrlNXwzLs4GmNwHTma
+Tgou0R7mkpOgFyPyeAu0EHopkgsbqXoWyUaUEJ0luomGPalciyKXav9lEBD0yScvVv39LMxJhgv
MklCjDAgBclswbgyc08qX/EO2f5Cq8dXBSwMJGhEVlnoylg3rSSjlQ9JqZPU7eXixRD24MKyOpP3
il/9QBemGC9fREESS1ptaSvbGK7y/Fni3prv1+Kn0H5hhHW4uFYwoIMHPK0UTN9aeqE41U64Brwe
+MrGL2+BsTwmf9Nhl+ULw8zn6qc+afQOqzN38Q86XpCDmgS4jwll1srnXmGrFYQLc8zF2WcTERe0
cJzhCfqBL4mT2/KNiXIFZqzQ/A5cHl8C5+uxj+48Duo5i0UEXtVbjG9R7nTlj21f5KyJfWorEjGX
PkEYJNKDGMSWzEMw89ZA84KLywMSJcJsTii7JGPjTrlk6bHhifPr9jJWo8T507Cgo2HslKrIMEki
p796vPgUFTTNN5BKLB6qlPdQWcPxXfod+3rOxTQpqwWOQG5mGzxKYDDsDvlhgvAsBqv30ZF2Supd
Acj59jLXJls+WKa7fbGbINaM9ZrWyqITnfWT3foqVDB+rPv6QYUObOLzZTdWg+LF3jIxpJxR6I9r
VJo6CS+K5kujfwnGr5PAyfHX760LO0wYaculjhQt/ieMEC93IRiOtoLpo9P1k7uTnCCsMrGjMyZM
ekgZyt0UCv4FvBa+fCveBKfeKTBZmLj1C9krVxJnupB3HJgY0raLptdgAXDqtrckqbsdph9FVz1t
+wnnVLNgIHNoQLczw0qrmqkVla0V9DLvslx/upw/2Cc4UKZFST6i3IlZ+BPFyxhOfAIh6l7z0q+m
MzxvL2o9qb+wx4QS5IY5IT2OXe2ObnudfyHXwNQ79dfQyThZB88ZNfLxoJG5rusooX3JJrsrq+/d
8JRUQQ1e+aPeddcNMHJ1JbuiIFxHPRgVYl7dhbta+o0vjro5guF2HHKC3UV1jr4Ll3eBPzrKovGa
P7zAojGBZQkTEmk6XtiNQ6FdEaS7oxukvyhDhrfEBYbyyBUPor6+kTdoTGBRzERe8gTfM7g37MnD
lJA9gb4ffF/DTr9PZahgvqPlUoe2FMm3bXfiWWfCjbBEYqiXaK1RQAudyCd+C056XqWVZ4aJM0VQ
RFAnkGkjn+JmtP2Mwf//QSiPOv/WZtLfceEuqaCXk1E0iNIONvKZoqtyu359ryN0XGwVJ4yxQ9nN
rNZRDMAcYL23Wpi7JAMXsvkvDyFLfT2JwzSHCvknRtehDci6DiwqhW8FL8XP9GXbI3iH4NMsNkjD
07RC1WC0RRv4RrydjOf4AP02kKNR3bH2BUWhbaOcUM3OiOSoUwS5iUAz9LU1BzuB5+fr17cmmqau
6aL5HsUvHGPsYmPA6B9wjXjh6mJ36Ati90C8jqBg3l7LH2IWcGeqDiyozM4ZDmhWSwNNT6gmMYW8
6tAu3Hduv08OC69Ns75zZ2PMycqMDlDeuUVDL32tsn2Qciqq6xt3/veZE6V34AEApTu4HDG7KO11
8U6OftQGrz9Cb5LPB/e3GRYBE4od6RSUHv8Bb6AL2lkgfKVEupJNtWP/B/AGzyRTaYdcIGpU7UJp
0hZvQlRKB3ewNSvZdVcYu7oNH7f9grOTLBxmyNOeCC1iU1ypxwWaHBPOWGv2fjL1HBdcD0zn3WTu
bWWpC7mt6IM3d/XEm4tTrdz/u9VQv7w4UIsgmKCKQtpToU8HQpUsfBbT0qp5U8K8pdC/X9jRyiWp
oBqFaDTN3iJHX+aqtEJT4+wY79CymBcSz6Uw1YDJ9vluGGhxPSe/0pt4cMfRyh6U9qiPgru9h5yz
y9IMgzqqj8MelRUqTzHMELwWOT63JpeBp9LZE5jwUDdCTPSFNuM9yaMzmMJuwX+BVQJUdrErzCdR
7HNmDQhPKLQDcz3ulDseXmO9A3TxO5gw0mhhOZZDj/MN5tSyNsDZKjixKNpFUr/MS/IECoKnKfja
phnvbuHY/iSprC9DFxVgWHvPcWo7cUyX4hWTw19hOH4v8pOoMqDBSSSnwDkYdQb+taM2Pg/RzRDa
k3CbZYdo3G/7z3pX+cIg8xYIlyqntLwUnUK7XZTlURMsDEm/0QkLStUyvuh7rjji+qvxv071SW9Z
UZa2m2REL7D+W6T7mQPFmt1FI5hiedq820Hzk85ylemJnqmQ+TOz7yVuUyD6klPD+3D0FPz59vmk
rxw1fdCENbAOU+QXkRdB7KqxpdjuhF+1zkl1eCuif78IaKJQyXGQyah7NgelBsGoBpprQOwKb9s5
Vu1AmQP4MkmBNgJz4uRyFoYUmgxOIWm2MYHPdqpDiOCoh16veI5I78pPG3g2xtboJlMc56lCMZcW
P3WvtYN9dygBaog93vT6en56YYu5t3N1+U+9s7fR/vRSN71CELPJXfsugtr9DK55dGyrl9CFSeac
Na0x6mqmUaGmUwzisOqLpnK2kGeCubKlBURjvY4+PAkdMfO76a4Lf217xHqJ+mIZzJ2dCfJiLEZK
XxLaYb7rHCDNIOQKavs9ru7J1X00Iq2C+/rjuCILfunm0GhAPA+wxgIsoGIF45FEh8p44KyPfoYt
L6S/4+JoBXJlhJoJl9e+9y5GeyCxNt/0DmD+TuzxJhF5H4x5OdeYNq9NSHY6WZHb0hjfTYZ4i0IQ
rx1Pz+nWopgbXBCGPtULgHjm9i4vXvLoLZVOSuineW3Fw0P8V93bCydh4kYOuV2SKej+aOByL1Rf
hSotKE3/3adia3OhIUQm6d/fSIMT72jAMN3aoXS64VdemZPjf2yJbpi7uM1pySyObGV0k2IHaoCS
5xC846UxUaIuDDXQEkAK8l8j4CB0smz0gUCBtHX7ZPrzkwJGv/jrwsNdraaR5y/2qUrXLo1WK0iR
K/lt7m4E+RvnY63e9xcGmLgRz/UimRFmaIyrypntbq8dIru2oRJ5O+xeyxOxp+vqnncpcw4YW4zT
BROAF3AVOvpwNPPaNlDz003ObcwzwoQMvchnPeyQH5uZNybHUv6ZC+Vf2TANhYACQyGsHFcTLmIp
lDqa7GVlR1rn9d2XiMursP6RzlaYlSxxQmLocRFQG5zC/kaLsKbC74LCJtndtkOsb9rZFBP6RrkJ
0iZG2ln3N2Pnd+CF5orOrGcUZxtM2Os7jJO3tY63kf4mjkhm9UdZKu2lNq1SV/eleBfP8ikV89ul
r+zt9fG2kgmBcaPOg9GiGBHFk1018Tcj/JENpbUUv+q5/b5tjLOZbOUjB21tMusFck/N12tPnE/K
X3AeyLL2ey9NJmMKY1MkZYoiOlQ7muq1bY+56Wyv4g9Z2dkGE/zMJZkTEtJO0pVxNZw0mxwjwzLv
wlN5yvflc3pjXOtv20Z5W8fkTJNUj7reFMgrpCej6F0IFzcdr3StcLzBZKLfMnZL0QeoDJh6VlrS
BJm4ZfAwWZcY5UHVwl2uRZDsfjB1sHwZjyTBMJCZ/0gLTPoFGAcKwQ5fBSddL/zIXPy0jX8aRRFZ
uZxag9p5mgYpwl67MZbULsC+IOQ55DD2at94SAH70bRUM8YDYRlqK4QuRmZExwFTKWOsUgUGt64h
idQ311mt32CMepcO8VVVTX6UPOXjwPnOq1uOEiqIrcE5IhH2M8+qJqQpspGi/5oMXpb/KieFc/zW
azEXRpjvKplSMwBpT9sw5Q/Zzbyg8DpUKChMruIJg/BWxHxeTSqhsUKHnczmMR18KXFaHsZ2Nf+4
WA/9CRd5adiFaScKyD8iSLmoThbvNdlaJn/7NKx3Ii/MMDdAumh1LKZw1AZ153gn7Sar09Et0yDg
0vhabvHUHtb7gxcWmYtAN5I2VtGbQHdudtGGxyTofENBVhiht+PH7fXxPhRzIwxKJkHwMkRiCs0H
cbZAEpujU7ZtZH2m/GJJTOyf22Rsk+x9SYZPAcQEujD72E6/1Z7gqPv8hped8r4by2iuK0IFKZL/
1r5zN0QxEHQSGFz8p/Zd2Lx5U96HY+fPtHKS2jZFqjpg2ggsU+6EqpFyQ/lNoCz0jbOnnC+nMEED
ZX11CkPkj+qN6qQP2iF3I/QAgaCAvkS5Rw2ZC1Oip/bTq+n8GVle814to4E0SB7ncLTNPv+W5wNP
Qmb1YriwwUSOQsuSVCsRC+ngShxaoME56teN25866PpKtv0DHU6dO17O200mmoz5KI8l/Xajkdh6
Kt9Kgul2Rsn5autmiKxD21UDXSEThAfRiPqQoFigm/XbYCwoHUlvZBA5wf4dpvv5S53tMLvYCW0f
Qq8IGAO/2WtQLtAt2R+phoED7L55bd6b34tr0BntZ78ALz2lRixftj2Ut1ZmS5sg1wmUHDDwasxg
UZbRHfyeIKHYtrLuL+eVMvE5mgOjkXqkzROkk0AMO8yuLnlp4i3CftvSuvefLTFxuZfkzGgoJiUE
4LZWIRFZ8aTn/hAozzaYcKwuYFYIEloTM1+U8Kdo+GKzT6tD6vhdeawSVwQQBtPJmhuNHJ/5Q8Q8
22aD9LL0+RSg9kJh9LLhkB3lBMgVtMXpVVeXO950+foV/tsiW68Q86AsxQUhLBicoHgMMD0/hKD2
np+2v9w6qk4/G2Jy9VrsZ6g9oOCt+PJ1/UCL+uEB2DoXFZ8THS6HMA34kvkTERyfYasXo6YrWbFg
eivMIcIzZvslLzngNs4BYAsVohQvqOdjbY25F1PohmBoUwGHgwiATc+LzpTqaSOuaExcUU25F9sI
XZ9GaJwRWiFB2xyHND0EpWgtTW+TOriv4spGFP+2/RF5zsKEkwmZSjiqOH7RfJtUe7m8H8ejmbxu
W+GdQBY5JBl6b0hBgBW+Qgo1+J5eK7ZkTbvxOZN8E6qsMRfqvl7junBPJrJo8wy8YIIcM7gPHwxf
BjxRSwBzHnax3TuiA31pZ/CjAw8mxdtSJtpoxIAMloAtFduTMe7kehcZjqxxYAhrwiHA2P9+3rAT
M0ZZR+BGg9OMtnCT7CUPA5tXlKFGfl584Z6iljo/88U70+nsyv4fMrP1Y3j+BUyulOTK1CsUcice
FkcC9qZ7qR7F294j76wxU8fVbPtDyDmbZG76EWQ86SjjWBr3mq9dxXcVusPVCxo4p+CkWKMD0hN8
1nE38c7o+r17tsyc0SGNekXUkfkOUH8EH1ZkC7WLhoSjYy620TyK/ODv8bovna0yx1NWFMgH5fjI
/bBgqOaubW8gp2zP5K9afRfeRH/Ixbsv6I1ZLVXab1Gtsb+Z5H1I3Gz48ldx4Lwe5kwGQ5hphYHb
kDbfaN6UdUfDaR3JjmMwn6QOMPm9t22U3rCfo+vZJnMelRbl9LJ4z9ooh/R/lXz+qgZ8sYPMRT/G
JWrqtCumNadSPLSVgqF+Xg2Yc+QIQxoYGZOgzypBp1R/LYz22DXtX3FenddBmFu9rONQmCrg/+U6
GCwjl62IzL9i9LJLOT5No4ErCZQrdjJq3wMBLU0x8E201bc/2joS4vwzFMYhwQNXziUlpsrLn9Pi
xGVlETUGrcq1VjyVHSUeGRXCSXu5j03GPyMIdqHpLSO7Rl1CsWsMqJDreC+58i6wFw60fNUxDdDh
gkYMurksC1BcYoX9jFoLaaadUEu22i2WGr0FqLLJkHsx859lJnGqBqsR5cIoE8fipJSVOUHxsysS
R4PoalFmdjDO9iAUnN1cDZkXppjgNcW1BGk5oNbM/JkMdqQ/xyLPW1fztAsbrJtIWqF1kHYGWcHs
Ux2lygshH9qguNM81k74VuMNZtzxZOXep18/BZULu4yjtEpTBXH+7iiYR3hpXSoeFbrdo/LmR5E9
/EJGdUhsyGTd8GdzeYtmIto466KQ0iJdou0xgm/X5lWhOSSWbX3kpBnrJ+JioUxYKyRzTGcNN67+
lXgovxzi+9TO9+ltZ0cHXpVu+0SorMB6Oc9hq8143NIZDzp8T3zFk3e8UE33588fT2X1lYmmzlPY
AiiqiYUzZ6Ub56DPRZaWRINThLjXi4gTz3gmmVwJJaWg0aEC50xK6guYQ4AMZwtCoMnXQc7Om8Hc
PuSqyKRJmj5pKeijKb2FfiOZuVUu8Z7MiW/ovI7uOrDrt4OoIhNQ5DSUxrKEM/aH7ARNc7e18y/T
zgAJq+wNv6AAbs+78nH7etg+ASorO5ANVUq6HgXWEXIoZHitxqsRWgpdbgfi/bYpnk8yEaaMGgVq
pbgPc3T2QI9OjqKg2el4XZGvpNl1AZeWnff1mNgCyt4+BjacktEV++IZUhvOjNzopLudG1jYzmPq
9UeRZ3c7XKsiE1XwkA+VPKAuCmRZ9RoJu6TjnIL1dsmFszDRRIDabD3M6PyqlobxCskq7eY4etFO
3un77e/GWc57gnGR0epDYRgFvX0WYET7qzpyccNum1h/jpyX877cCxtaPFfFPMMG6MpPKt4FlEQf
Hbb73J5yS/sq4wkGjFRuFV94y1svLF3YZiJKp/ZSCnqX3xyCkG5K7e4fDsH/DYbOOXTvv+hitXMZ
iUOkz8CmmF/L6Vntc4sI+8DcyTxpOs6Zey8nXFiq5b4pzdHACMQBsvfARv1D2snlzaSxaeMieO8U
X9jJoqHT6gATjMFVdlt+yb7mfuhrkTV6xJZPFHWr8ARTuN+NiSeNKLRGAlJch8yeVp9QqrZk1ZmS
r0toj7MXk33QH4LikIR7oj9wHJa3YCa0dMDDihIoOwE7K/aR3fvxd9B6vEGvVXIB+HHQeRt5cYV3
Q7yfootdrrulBNkvMHWKH/+gL+cZaK0XuKpPXNFDS8XO/IjLUsfJXNR3bu0Ls/kca2ZpYq30rRnv
9Bc6bE5F3rUX/ogGZ2NZthRtmCVxMPEwK8tbIzkqPEIdntuw5Z60GrUFBCUEnJVWdgp8kIb61bHa
QX4aDNJ/yRRxDi8sM0qil9BamZFYi5LfJDdj72sqZ15n/Y1nQERbV6FvAo2Tj0WHXmzMucAAFMIn
ZhhP0pGy80a7/IZ30Ne/ztkQc7WFYa3LaYC8slXKyJJC8UUWYuevztbZCHO3zZomNgmBm/d6/wPE
WAeSxX6fjrd1qzoqSW7C4d4A+6OYKncAX9lZX9/oSXltVPNfXX2/fwnbAUhaJU2XCpVPUI/tezU9
1uqvseW1NtYv2LMVplAgNWTC10NdJcGdJ/8Av2mu8Kpu9BL7HKDPNphLLqo6s28NNBBTVHBHP7op
nzS0miHK65i3XALu1Tr82R/Zor9WiLEipfB5+f35MeyIL/j0Bk+tbV9Zv0nPy6L+ehGa4knXhYRK
FzTlYCsGxEgg8J6ZxyT8mSXutq0/xMGzMfodL4ypcpT3bQZI1Rg/1otVDN/G1iuNUyE9C+FJaH9o
wRX4XMOBc9msp7Fnu8xF14GZawoaVEznYUZnI7PURAK0A/+/8N4767X+iy/HRBLZjJJ+bFEnVa6q
k/kVQKcDJJq+UY3GxQ33mkUnhTN7ed7eW953ZOKK2BpyXSgL3gbgFBF+RIVpjfpL0j6ISNi3TfFO
GxNddLmYgmWEbxL90CwvaoF68PjvbLBDwqIcBmY1YLakX0SnRtcrQbIXqrwnI2cp7JSwNmRgLi4x
eySpCSZo431XjF4T8Qj2eGaY2KFVS98uEI13wv4EnSE9O5gD5wHAM8G8s0GcX6eBhA0jw6FdnnKk
+TxmNI6LsSrNJWDFklaiXlfE1Q4TNK4al2/ynN2n9U+II3IuMd6C6N8vYkUfdo0mRmCXyZN9Xd0p
xr068noAnLigM3FB62tQ4eZI7pNT72a3mt2mrgbYUkf1hQ/RQfSo5oD6tn1+1lGf5xDB8lIt9aKY
RYM6Ba0TgiDZ6a/QDXx8zfcU1KPs+M2bP+RsvyOgzoQHAlxlpIlICsEleaQlwt7vHkcoS8pe7fGB
RLyNZUJEnaImqWQUXE+Q8k7EF6vOM5TWC+r42/ZucrySlTMpE82Mh5RuJvFNw9OKb0rs5lJmdZwI
+4fHw+89ZGVMkkEsxoEO745278q2iVkF6BVrtzHEaDA4mOzkx7q12+PAC7j042ykHgYTPgQ9H8rO
wFHQU9Hqxtu4firEmwlMQYurzC/b+8m7pFlRZvDmgb6yQc2nbTy1tTFRYAfCLgpuZwjIlieJ/ke4
KnGJ9ZzzyDnyrEJzrmdDr5vo/EWhK8gWIVdh43NWx0ms2LECE8PkVTroqFUYryp02aNg8YxeeQIT
u2jponLoFRV/eDUbDoyD98QwmGBDEmQGQ6Khm9W81spRg9jmHJ/Gwa5IaGeqLcS2OEace5QetC3X
oafnIoq2PWrzLS09zQfKVNL9p8LFK2P/oZp2PhtMfKlGVRpJh2cNpb+ATPoNLQCRAwE/c82R3uR5
CRNbxLKPcmFGpcTAFAO4R/t7CEBtewlNejd2jZ0uAE+4JE8UTqC3hzB8C3pOu40XjtnZgiRNoHtO
4+PQQ3UDCKzfxA1UB6OxMz54lbcmJohojUhA0gb360Dc7UyOhpZiQCzlWcd1F+1EQOsLizcGsI62
OV91bGMxW2K5A3MbxZxNjgy8c+GUFKlwb/qgWsPrmjdPxomV7NzBCKLWLM5w0TVLYy2126q1MxbP
4nA79M9KwqkbcO45Vl2khX69jO4GkhTxKjOfu2SvpLbRcDyeu4tM6NAU9BgkGaerAtJSnr+U/d7o
rB5ajvE9AbFUv88ra8kWK27vhmVfxt72eeBEEZZyYVakvDSC9xHY4FD7CoiIJFBJ8byFc7JNJohI
c5D0WY8Ecy5uQY4RREc0xLZXwjPBBI8Y8yFE0igSixQ7AqRzO5sPcmTcb5vZ9guT7R4WmRrm+oik
pFatIDtGy4vROHHKeyWti/L9Pl4m2z5M9WqcIspyRFC2ml3NVi3lAHjZwbSJT/tdo/dPiYJfZlzf
SWi1EhU7BrqMjzdLJhVlBx4YmE7AjpFHTq5NzmjyJFL+kI6c7TC+34SzURcdqo3jF6rFl7vTTnlL
T5Nb0Ltlt/3d/hCYz9aY+zIXI71IxBlUOjeTF+4I6oAYZtv1zuyUGIfmKXH8ISk422NcPgkwDz0L
4E6b1MDKpOs2OtSqKwOZaCDJq+/T2VMzXobH+3TMIRgVNU7AuYGoNVtAxtnBAQwn19WufDKvkFHu
4q+hxxue4Nhk4UKyAlqFWFMAoulluxbuCjn1tPbX9udbP3a/d5MFDOmGpic9paPRx0e1sERRtkQo
Is9322Z4PsnOc3XRpJaJiOMd7as9BTu+9h4mMizR4m/cukuaUBdVFR0K2RpT3GyHoZwlzMjiCgVr
ZwpwY3kf+oM7n2SPPlJVnkrEaqZwYZDJFGJNEJVWRDsPkoZWJutWwA9c9N/4lGFd2GDKFQMYjkUp
RzYyLZIthQ9VkvpBHjvxLLqJKnmGhIcw6R+EwbT0sLZkc+G8G1cd8uIX0F24yIyjYMwMRcFrbk73
xZhYUno75vttR+HtJBMjpWrWay1CfaGQnLQpLCV/2jaw6vAXi2CCo6pIM15rlOgRR1kVJ19NkQ6M
5ffJLDjvl7X9AgsQcHAKpmI1NgeoFUPB7CXcsGh2EMeslO9Nfb+9GhrsWKcAWY0sEkUUDZGdXSeT
WQp5i+CrZbeGct2pXjGEGAd101DHWDYHsLU6Q3Npjtm8CicuUEYo2kYnigBID8k34s0/8ysCNtLa
oZXawYUI+Q2mTooHCneIvYjzHqX3ydaSmftG06NIhjI44n+GIWYM7yyzpQ8ns52d9G/olC/Xy9w1
QTKGvdCauEmXXdT/Ggxb6p+3v+C6k5y/IHOzxBDkJpEK5GnWRXYJzKmciG448/iNVq/Ni6Ww5eGF
RHk8iFCEEA8YiLCXnbLP98Sdd7zvs3bAgJEXMckFB0cT8mOUiMfZjMmM90uvWmZ615p3fW7nMS/k
rt4ol3aYmFsOpEgCHZMycIb7ACNcFVGsDJDLUun9kQQHSW/2U5lZ4bQcKqBh9Yrstr/d6kVz+RuY
mAy6ij7Cg40OEENP+hoyG7vwlJ4Qn5Hr9zvyxrFH9+6T70uKSgeiZeSQjLPMUhaoI17a/0FgI7M7
hpCSphMYAuesr9YnyNkW6zCSLC3AuWFAlfZ3da/4Svlpab01v+FxEq0e6QtTjMtIIsmXmuBikVpX
nr9FTWS3w6MRWKQ1ONFj9bhdmGK8xkzjJo/oY3d4lVNimfNuGXi0DvQrbHwllmRUAdZGDSt8JQqA
ofmwCr4jCPVwvG/9oP12Bra5MBTyHI8qctIFAp2xeNOUB0WM7OZviCOILGHyBbeYabJwvTZKUyGh
zIg9Si9Fo9n5vEAinhc31h3uwg5zuShplBNMa/3j3N3tYmHW7qBDmae6541Cr27dhSnmDmlLcLS2
GaoDpazaiiSfGrV1SkjbVTUXC796Zi9sMXcIwTC5kSrI28TmrRWsRnudiKt1V1Hr643djtdq/nWJ
eE1V+q9+8kFZgYoHZYKRWR/MlLwKJrzcHeB/90R+bVPpOJLJkhTMg7axneHm5ASn1U1VTQlIWEOW
wNr3MfDXQTMNwgKWDArZkcD3NR0zlHagOgdNmZBOMWHSEI1/d9vuKpqbXNhl0tKmFcY+T/7DCSdY
hVM5hj/sw0Nq9554G10bsJ57wNk4mS9zylmr8eTCOP37RU7ctmOZtDlExist2stRZ+tx+pAIPPbd
1XrW5SKZwyE2i6ZFM+wE0lC7ZaVTzTtUBZPxWilTT02S5yaVnXQMv0xqFVhJ+23Wmx9NDyqbmfcy
XfvSyDcVSdQ0Qybs1bCkci7WIjrnSnNqjKu0e+7Vuxo53/aX/XwtwHlBpYzkSJOJwfYaOy00kbFo
imNOx8n8BuWfpjp2yvXE3d3Pb6uPlph4QB/BKcRjKchtziw0neE7mmViqhhOE3JluFeSsY/2mJgw
500vRwnyaFXbK5Mt6F6peeb4toACrVJO5Fdi8kQKeJvJpA5BnZSmLECzY4rUb1ov3Rv15MXRdC8N
IpCD48/tb/f5XHxYIdtj1LRQzoUYDbgiTWxxcAv1qe04FyBnSWx30QhJFMTgnXWq6EekfdFCwc6W
8lrMv2vi+PXfrYfJG6QlXEyFsucXy/Uc7k3ja1XebZv4/PT9uGVM/JwHta8IMi4nUnPLVG+5Eoy8
/WICpaRVE1A8yJhlobE0ULZgRHWwZ3M8prgvrHEAt8S/WxITHYkA+o9mpqgh6dCbkaXLnM+y8gr4
uGlMXJyNeJbMIMAswftMIkhNDpBpxsMGVN7cpyfXGhMnhDjVkoq2W5P97KKK5UuhFZ7iPS11zjtM
fW1vH++DMWFCr2V9kin1Yz+J+0wJT0kj3DVG5nb5Yx/r/ra1zynDx61kIkRnhk3YdnghGhpmn4pp
D/UNeUA7O3goofJDouX/XR/5YJDtGRalTnQVfRqH9OQgkMaehnA/y/fby/p8WX20wjwu5FgbejlG
JqQQ+ATKFHHqScZtFHKi0QpG5aMhJkQMsTHJIQRcHbUW9q3ePEt5a4la4zTNbI1meK1IP0aRQgZB
Aa8Ku6n/Xk76LjZje6y5dJ6cAMy2EZcOEvMyVANov1Qa/Fy/XxLO9+M4DNs4NNt26OIBz7Y2q7xC
uu4Tfy5Nr5IPo+BoyZft78hbEBNLBLGaomhEelmb14VZWF39MBQ//p0NJpoM2TAXyAVAnV8TF+8B
P45BcM3N5j4/EKmnKEQ3RFDeyCwrUhm2SQIlPxRSy9FrhT2UMUl6WNSDqua2KDgzD/Gzvndng4xr
VoKak6DB06oNbmP9tuwO0sRxf54J5vYyiBDrRYNOpKjbWnrb1ldDySlJrIfD8yqY+yuUO6lTDZig
79DhWEIHTHnq1Mf2L7oVHz8Q42skqXIZZJqoLS3gNiOZ1Rh2WOBtEVgCuoXdriu9COKf8ZvARVLw
NpLxQQXqoktXIqvJx94eu+mxnH7N+sg5u+vJxnkvmZvMlOZR1iG/6BjNcJwzEZ6xeNuHiWeCho+L
p5GJruBSBjiwxnRTtccq43jcSvXt41diLizZVKU2lhHZwZVT7Ue/9EdMfi9W50q24Q33gV3rnITm
DxnA731jCcjx1o6rRkC+YQBkKYuxMyjVHvQS1igY10lz14jRboEKmN7exhixKkeZ8wvWr7PzD2Cu
szI0FSGkZU95gBCXuDwMw3AlLKa7JDknueJ4ospEjWIa9SmawNCcJ7tBvZLNq3LiHGmOj7A1g1AP
U0HKsJqyexDV8UHP29dtL+QtggkaVZwHUTYDvSame9SiU2Wn8TgquE7BhIus6aVY6vGco+JW5Jjf
CyiVViBE9KKDcsebs+atiAkQmtEPUjqjAS7p/qx5hvai8dycE2nZ2R5UFHRFHwdUj6R9mVyLSmJV
EBvtngG6+3efhwkSIJjDMz+D6KZU544JtGs5WWhobhvheRkTKFpVniepgSgIRnPtVBdvpJQL56P3
28eC24dgxI7tGJ0YyVIEP2vd8Zdst8CKEdMR7oUvuOZ3hG4gJxLw3I5tc5MpWgyq0gdGUVfpn+PR
GQSbTO1eiq7EVrNiKLqV5U41r8Ziv72jKzCaj8tlYoNgLCRHS58uF1wbP4tTsy888Gfbkz0BRDM1
FjgebfEonAqfO+pDY9znvYZEsSJKwNaKzPeE2IySFwMSgWRPvNZKMS7SWfUJmss33Kr0+mn7beu9
lHNxi1WDBplsqhifZXYB3CGUAe+Sl+ANNE0+4AtO4obemPM+LWeF7GzyYkRlHMWYMy2L1Cq7wNFn
dKpnUrzLS6ZGDNx9YOc5sdNptBWTB7jnrZr5vFkQtN1AUsxGGBNeTOau7YhdBhUnRVgBiFM3Ou8u
PVUXuyvXfTibFL+Gi/sfCbM7sCNRii9iH97xlaajOjyRtj881c5mmUvBUMeZjElFQWCiTduh71xQ
lEnfq9zsx7hvfuaP2yeGt6P07xcrrVAyXYiIbEjvas8UBjDSTWhtKAoPv/yHsHBeHHM/CLU5FoOA
l1/eWJRSJfKW3tOxpRAK9ZLaSjkr+0M182yQySWlVp9nOcpUR5tvYn20NAnqmVfT4PfTVxP1mNCf
uE8o3nYy90ZdC03YQGjECca9QV6X4G34/086ffRNJsqkZSUmWgZW7WqA/u7/kXYdy5HjSvCLGEFP
4krXRt3ydi4MaQy99/z6l9BsbFMYLhFv96wIVQMsFApVWZm5RSrPlO+3vYLniezo8TxLddNkJmbd
EEfrt8oubMGNP0a7fu8xu6hekzde9X49bzYkWSXEBEjKYBaWhQPg4CUguKn50Uy7OHel7lj0b37W
WREePLmMiXKcOjxtwslpeKyFq8nFxTxbGo6kPkjiHri2aIgPGCK+97P0ux/Hv4TI/yZOJY/mezVj
XthjMma0sSPi02ZfF8hWR2xCrlKqNcJrRPHWxcRMMoR6j5cjigf5bKeD6RbTAHhplx3GDHP5uRk9
bzvPalqzWBgTPNtgwsNeAnREnYyHQpqsaOAxCK0es4UJJlBizi+UOwkFkbCtrNh/E6Xn0eBA+3nf
h4mMMuDgY5LhGQfcOfF3vfxUFt+VqHS2d2v9qBmqbkLIzDAUlbFTq2WrNJQVtHGje4rl7608hvaj
aflW5kwvULLnc27/OTyDILIwygRjKHD1mhwgTzKN0so0+WTgcCkDaLCFzpv61gV39MEIZXDv/9xe
77p3XJbLRGXRyINYSGk7PXuQpm8db2yARok/krDFytgIbIQBMMbYzvBT0deEErXkZh4vsV4/VZdl
sMGK6JrS+pg3FbvZElO3AU2QoV2p0r0ieds7tp6NXJbEPu4rQVTqjgDOQ0WgIb8+NzZ9yeEB5NQ7
4YBUD6MmwoFHJbd+yP5eosYEKL/rUlDxojU3t5IlTT/MMnVLXeasjn6Pje/FvuYhcVILZgukbyvL
VpP8TIpHU8C4zr2ie9LIYR7jLYkJTZrcDl0sCxj9rwAUnIx9bWp2yNMo51lhopOcxkGNhxcyHelu
6m+C5lUZOP39f7gsLx+H/oZF3hb2Uvhb00m9i28Nb94HO/PhNxAqdIkjcYIh7ysx8aIZI1KklOMl
LgRngMur6aGLPwoj2LfyseaVVNeTxYXLM1Ei6duhTlukpVAaeSdecIxs/YbsWlvc8wcgViA+X6Kh
xsQMSSprMaItEggRhrVrjK9Ke8zJnV+ch/6sqBCHGx9T3rnmREKNCSGKGbZancPze/E6IOcpvduO
G/SbbJws9uk/6fE8jxpyuLo7CsZdmd/KjTNw5Z0+sfhbdpg4oRaRrMUpnqKyIB2NsLrr/OmZVPlg
lcl8AIcNFGLGp0JUSquuEysui11iTNYUhU4hVm4evPZBZCtTf5v6sWpNo2i3kNNMp7suEdwxrBsr
wFAbnkZ2ksmQBqTs2fMzXku2pg2WkenP2xv3yXuztSImZUp0QNeyFF118ywd9LNwo9r4Da7+Jrxr
hkX5AyuHcpHL1vSR2tJBeNz+AetPl4v7s6QheRrV6HiixFk2Rz3fabOjTWc1+GGaTjvOwOOipjBO
FscqxyFZyvCm6gOELSy79jrcNDmOnX4wT41DkUrFTbrj8RDwohiLE4/0ptaIgjxO1AGOAtxkp92r
j8X32W7QKwfJO6eu+3mmtr4sE8fUrJg0P4FykFlC65dgWEAPfnYEImGgmolEzJr3xjczCSOrNMXB
ygs8sIwBpFYdeQETYGgJlforltBHhB5WG01vOcByKnj+dWjbVGpqiYK216bMJcKPNBh2ZHqu8uY0
1+dCSyW7KhHHgIcy8/haUgBXbLuHNvDfAwy7ZwOKgOJ0MCEo3Ua1R0T/GTIeVhSZxyy+F6Vhl06B
pQsVYJVtdfB7ZGydYplKZFeJiP5tgrHjwBpG3YYsx6GLBDfRKs4OrgYVUwK3EhCXqsiKu4dqIYZp
iVdL1Hz0gNFBxkQ84HG97Yqr2dXCChOQg1nXIDiK8K9U0NvL23Nt9O+kxJCTkf8cdR6dDW9RTCSW
8lQpa8DYMLRyo2FEJjMOtf7SSe72qtYTucuyWGSBKISm6lPWHOWmeFfd+YpcD9DMtDHYisJSCtT7
qNnpmac+vXp5L8wyATodNLObYkSTTvM643bqEJBdUwJDm9Mblc1ZJA2OW0eMubqLrpz7UMZ7c7B7
B5qd3yjQONyPyFLFvfS2bW11aYtAyThKUhSoRPow5uuOKJ8jgHni6RDGLsQ7JV5WwsnrWJj7rIx+
PwTAvYCcaqx3fX5VlZwElXraxuaxEEYdZfO51bCeRmj2eqp5JIMWkgyeinJfjo0VSXii+ep+exd5
VhkHgfJaV+stuh1qe4rSayPZ5/5Vod0bxZMieBNvCJmzjwZzvRLcM2UfoC+VKt/7+VTO1alTZ85O
ci4zFmk8aG0ejblMyVV30XQrgOJue9NWg8bF9VicezpXzTD56BGaYDo0osJphVMrllZOfm0b4q2E
SfU7tZpBCYTjqwKvA2bHWuPxd/MSYBbSqk5yCvj05xROtC8xUmHYBs4s8pu9ctheDe/OZzlzJr0s
KoK5Cke4aqkCM7RrgnPp6tZM2SI9bleG521MiIjVOkpLkYL9jvkBbNb7+QMVlqv8RX2kAxCxG+s2
F7q7eoEtnIOeuMXzTMtKISHdjJwYY+P9WTeQcFhmB7YoztHlbSdbtoSkdVyADJO2Kn6rH8SeeUBp
24bss9d96O725+N4PQtuTQqCSR8d4/aD3B9rM3KmCfOdABoUU+Jsm+JEJZYsB3OlmtKNiIWg+ISa
X7JLDjpVN+LsIMc/WJacPh3UompRT8/y21RGGjVa4vhjeyk8G/SIL9wh8HORBD3qDpC97bozCPqI
f79tgvdkZvlwCgw5JMWEbvKI4Xrx52gRNziNSKQxns1XYVv3AxPjVkSRNOPTLRcrmkRVVIUK4TWa
D1lwiLUrM7NNw+MsihZk/rwPL2aYjRP0WhvVtqM42h7z7arbgAa5tdTvuiei5MXDMPBWRb/jYlU1
JitzID5x/cYNRmIixPTexvxeXamc22NlcoLWHC4roz9lYUoXunDsK5xbcKHmQ2lJkZPM50T3yu7W
9G9idS/U94l2oAwC4/Q0+xy3p2Fva2eZNA2EvVNc1qg+RB3Ap+mH1Pzq08ZSX3N4TtjxskKaQmyZ
oz9nsdxRkwpfzLDc4BooBEvCFFV5ZSD+hseGs7LVw3ZJd9kQ1cjBWAsZBm9S1c39t0xyyvKd45er
y1nYYFKYDiOmpSygxFcrkUXg+eS+SG4zgqpsg864CbBI7nSdi1ubY3m1cr+wzJQw0y6vI3TcIWfg
R0CbmiGeruJ3eb4JUNO3Rh1KVHlsiRjEiSbMOW1bXz0fC+PMcfTDoSY6fcBUOBcFQDhRbMfijckr
4vPsMOewnPRJb1UAHbPJHaAJXJY7IbAHDCBsr2f1ilmshzmEUVrUpVTjmk7RLADXCjjBkRGAonvb
zGo2cDFDGG+JpEathhrbNuiNHRkiNMMgbDeIVgNAStkP7n8zx7iIVkVNqKs4a10GEMFc70o9tWsM
3OXQXxpS+du2ufUUZLE8xiu6rgIFcYkqTutQ2ELmfg4cP/qoGk2WwK1Fc+0x3kHUehpKAeiMysUL
8x3vMU99y/fpu28hY335/9UxEakXy2OdpFQEAQLGaBqEthYPYGPdFwFvbpzjiSwpg4BKZtMnFZJ8
EBhQQanfKiW82Lh+7SwWw8Thdpibwig/00VILF2ljn5rOsEBwkcnSvBPbrlU7ZxwTJhUeIwx8pmW
wH34xO3F70L7kQuciL99voC9+nq5ZJijKFUZqOG4Ac1931vlHB/zcnCq0rTDmEcqx3FACIF/tdfV
SRqSCueZ8m9KTgMeNBQ5XNWqDug0/uQiI7bDoSQy8UP0Zz9II2RBLSYPcbUYVhG0O3Pu7FYYwajb
Fa5Y5zaJUH+EerfWFRbp3zPJ30coBtZx9JBmzdP2qd92WMzCf90Ds021VlfDi8MOnrDjh07e0pnY
Yui+AkHqVnWq6bHKTa8tgOIDOxumgrztBW37qcTOk+eh38ckAsC9kAur+TYP0OTjiXvwbDChJA2E
fixKjB+azQnEsRYmnwf9bnsdEu800L8vUq0q60VNClA8jU+D27z30GSo7GwnPoQv8w7Ng4MP6RBN
s7kve963YmJLTeqpKql6pHgU3eY5uwc35z6xg0Nzmr6LnuLKL82eV9zkGWXCy1CACMCnL+2xGy21
VSw5M6wwGo5ay9Nq5u3sZ9tmsbNZnNRqgLF2iOiMjuiKNr2AIuj/RTv9hOo0xbJlDwH3xqNO/kfy
/HfQlljYZZMrdeV3uGBzcqPLLxGP6GL97bgwwASYNPZDjLHgRk1PaDa46CZDa5fepjU0p3nhbP0Q
AOWF2WncrCrzxUKAZIU5Qwabo1WoEatq3WnkMe2u9/DMv62woAnSK1WlCbQ8940mJbkX33S7+qS6
1ZmKQxa91TifOmBnBRkff5h63S8v9pk7IpO6KJ0yfLNgshTfa/2rMDh33Az2H3oKpioTcPuL5qfP
LnxSyQkJdQET+JQPxf+VO9VPwHLd8U7ZTY5wLO3kwbhtudu7Hv4vZpmznglNpSoNHkCUJpZCVQur
s31bsQZXdEMbRMp4Cj2YTm+blmKLYGiBiqpdnUQncSJHeOTVpf4hsbn8IMarujKqBUPBD0IPXxBu
zNgNZy8PidUj2uq3cvEYVTfScOhAKG12T5Hwxgm7nB1hIZMyqQbwO39mcIqnuuQjfIjO4QM+hU2Z
GzsgNQ8GVu+7oRvy4CDrMf/v1X+ehoUXNPgU6hxrKMf8muz4kaqgZjtltkCH1nmD0zzWEJL1bXkn
8RJXngOyoi5aQmLdJMBk0wKk+Jx70V30BFqjs4QOuf8RASwqOLwHItcqk36MfqpD0QmfOyzg96ND
ErtAaQgA9AhM6IXXnSovBAb+v/qZzCQkU6HnU0i58wPTbn7Vh+Gs47l9QOh/TU7DScNwAS9pXw+Y
l49L/774uGaljRgnA2SuHz0heOt6G/kQx3vXywoXG0xmMqOpKreE3gB4Cf9Wxxoc2rHj3TWrcZFI
pq6Z4O2R2DKlH/ktiUzERUWeQCcgH9u8OvZCtDNTnpLG6olcmGLWFFUyCYQCD7feM4/0TVW7GI7g
Kj+uD52AWEaUTNDqaey0WDb4YJTQkZ4nqWy1cmtNpnYllrIlaGZs5cII8fP0uUIvf5yy3SDP0IOM
LUUyLZVEbqA8l+pgCZgeFavUIoPA66av78Pl9zEuW3WxnkspyAuV0RPnnR9d5WhG+IAWhO/J/N33
C05ZZT1RWuwI47H9ICQAD8Jiehodyn0zXgFN4vaGlRxKt3PaazjWbRfbvOO5miktDDOffBaGVpE1
ZIOJSA6DRI5lzCtlrjvwZTeZ9FruQT42+RARrjW3RDlg6naKcE94EGeeGeaCxWBLGmUJDmRs7o1+
AlO/nUsngVeaov/mj9SSQKLTMAxVI+zFoTWZlGUzcKxt9E6U3VDMkER+JQlq7Opu5DE1rnvixRqT
Z05NmmY6FZkNzMCWlWMnAOHnP0zCt7awZfFOLzhd4H/wxItF5p4gNVHawcc2TkcJUrOp4wuWYAen
2+Bnb1MMV22XP4GBHgXeGaBr2dpZ5tTNlVqMQ4XoQ/YdpOJyL3TyF/1B9TIv8Hj4zNX7f/EZmQOH
GGoQY0TyUcq/QJvrRtptZrSQgLqTec+8dce87ChzxIa8DSWtxCuvRsI3HY3iWMdnkdf54S2IOWV4
0wXNGKB8rpPXIRisesrRmZhdI8PmTZXI+VorFKJ4iiw2kDluYkEk9NjhJ4MtefRZJ7q5V5wTPOx8
B9/OC3aNI+xSF8g7x7gd3+T9v7rmFz+BHp7FNa+raS9R4mAMt32biHLXJPLBT30efRXn+7H8zUqf
+E2Cz4vxTMEpJXByyfPRHBGW2/6Rk1VwzgBL4xyR/K9YCXXB2kJRYIfN9G3jTO/hZnZ4BHrrD9nL
HrJ8znGZ4xwYCDCTPdnNderEDnHDd9WDxAr3Wb7+5lhYY4JLYWLYwKS5DJWWTtzgDjQZt6Xbw0la
PJyh7s7Lttc+nibKEuI1WkyyyfiITCYJarfg7k2ElzA7p5BhEK4z09v+bp+U72zsWphhgWph3s+y
EGCI4irDJGKAMvG4t5R9AbFL6a44xo5AOyU2RO326a52Mq/8KXgaB3O+lvYufwTzghZiuWznEgF0
6J6C5GrMf+o84VSeCeq/iyPng6g4M0aUIsxOR4URreXYuA5UhfM8Wy1GLJfCOEqS5slQhrhlQVuH
fqGQH9JQtKU8d+W62uUjtFN9wKRzwET15ByWzWui5wcpkSrbkMuPOjNOk9ndkb7azWNr65N49gMh
stpU5ShU8HaEubVEQfKlQqVxMDmGyV2teQYvCVjL0ZabwdxVqhj3eoRNdoq0sFPdtAqJ2NsOvJbV
LE0wd1RdZVNRpajldtKhnxNrns89BMHqvRa0KI1zrK3GgaU55rIKIKg2ihSpUhKIwGC01alf8qvU
Kg6tS4EKua1yeFI4cYAV2CB62GcBlaXQgpOY5Y4+eEUYOj0XGbb2LlwujQk4k6yMWq/CcymRWXkb
HcsrSAx7fDlVeS03vFgCQfnXs4gvZvStiVduLOa/WmH+DorSYyd3IfrrgtVrOTQflcqq5MZRwIsI
/qPuBr5q1WHyoLdm5XUV4NwSpLEjDPsPndt14h76PJYg6qDHEQ+jTiy/eRXS2pvG4SR2uuWDokUI
eTQVqyvBHKsJMn9CVJFxB+zYbKQEGKne60+55x+UXYPGEI9od93tFnaYnMUM1KJLqKAGnQtDkX+X
47rL7P5Ia7flnXDgki+v3efawiLjDQlotQbBh0XzDnGMForlR1RvnXifOOEdLyFaPcUXa2y5XQ4N
v5PpsRqUY44KcaHtBeG115wBZa2Qm7CvuvrCHHPfzNms6lqRaU6eB3ZrdLYafFdDt50cv3XlGufs
3Aq7fxGoFjaZCwhjxXMwZLjP5dqwmuFOHJ/64G3QPibhpit58I3V9Gh5xpglqqUaYgQV950iObTM
YzqlGzyaD1RgBmMmzvbiVvukS3PM6noQzmaQx6LBg/ZLKjtwyXWDPiFlBg+cf9MKWppjblkwyyWh
0hHw3ai9q8+m1Sez41eKPQohb2nbARgM9l+j1dzKpjBE2Emwyd/0r2B6+pFifKW88sGFcQ0gVeoK
jvbGq2986pr/mZlpIBcxZFnGGMRXu4OmyLFJu+nla+vEt1TupRMsElitRSGfoP7Yx+dPelhvfNv+
nOtLvphmwo0P6HuafWqlRI5R7cYMxZxEedo2sp5/XIwwESZKZ3GeqSacBpoN0e7EX+bwfdvE6nSV
Jv5tgx2MEyd9HnMRN426+6SH2dfujAp9y5XB4uwYy4QjKXmZKwWKtV0SWg2En/W3tLhSEpezIOrY
G06hM+csrH1FDAJkyjGGkj4Ptn/4rugOlGxA8mO6IgfxQ53sT3tEVDXohwCOwGRwQp/6siyh4Fmm
dl9C4UhoLGI6KlAxUH7ZXhzPFt3jZYougu8iq0cFTEyPqvaQKdeZFmBs61bzvW1Lqz0FTbwsizlb
c6jOeldjWcFzdK+6GFM8ho5yDyBA54T7eqff01ckt1W5ir5f2mUOlhproOuOkGOpu+y622U7SuKj
gZlccDpre400LG19OeZ4lYXUyIYG1GdRtlbQBvdK2nBKbusn+O9dZOsLjdT4ZUTDRDlcqYkjDy9y
yXH4f3hPXWww95gZJ0GRG3ilBO/yLj8Y3uACWI3uE1rxLnGbV9q7qJ9RNh1OhSegBbW9jbw1Mgdu
UpMRfQwMjOU9RgeT10R61kbeq4IuYuNbKcx1RkYDIFMFUK3KnewZMo/BUbw1dgruTl7/kLce5jbz
QzRzhzFCTTvzBu26ag5R87C9ZZ/9z63l0N+wOMhDY5iTQW/Myu3c9kCZLuTb8aTs6bSJbkl2uo88
w6GZMo1Z29apX28ZZ6NIYlQliXG0Ve1KQ5tad8MczIG/2uY+Cq4GmUeR/A93zMVDmVgCIvUuBK0b
FVma7FJJ7bJ4KfEGCBJLMxypE8HSaSu8gtv6hXOxykQSEMqU4LXGzRZGJ51cS1FllSjV8GjWVt3l
76xV+YPE1ydpPpe4pGfFDpQrX3/KuCz7q7wol7eGwtL4+umcIhgDwEGLa7QCS0mI2hdiBxi32kHF
5Ep4LAfOoVvdwMXKGCcFhiBtqgyfzQe1NRJwMORBJ0h6qQYug8P2c0MhjEu2mZFTfWaMLlYe1ORB
rFEYhy7fz+qrIj1l/s4cuBPeNC79cQwWy2O8kkhyFKoypXE4hD8kq7KpjHB1opPspc2r362n/wtr
jDeGgt7pJZUsbiAXq9rZEeBFTDNaNDg3oZXv/lVYXhhkbjepJ5gVFvDwzsl7Dc7B/EdCvO1AsnqB
/m0CahNfo1ioSyNoxSCbMguA0VW13Q49547e9kFwCX41McuxUbaUKE1oAe0EN1T01I52j8rV9lJ4
dphLrCiSAaARZI395LV0Tv0UqldKfv/frDC3WCZXmin6iLyZETjNCHiBNl/3g2pFSf7630wxt1hD
IIcgZOhMtYED0UgTzLfGkRBeDZ7j1yqLFB0FfQbmCn49voa3mpd6am4X3ymcrN6FT8PH/6+TTeRL
JFRFJlLIZa9NJiVrmlTRFoDlzyVl1/v5bnv71qsDF9/+XPfihpYHNZ9btLeB5KFd+8bOzjqgchRO
E3gFp9BMQ80/hyJwWXz18nQaMRQBKk2nMq/CurZU49mQjmK9C/KWc/nzPtjnVbNYWJ5mXRGESElr
J33U7chtX5RvlMsRyJ0P3xY4S6NxbWtpzPeajMAgvgTilQrs6Zk15Q8DDm9a20V00+g321+Nc4pZ
/F+RRXqV+jBGBi837mrdSYsTF+W1mj8tXIMJ5UlXGsVMpdDkzrB99Mt704p1EbnMQ67bcrUX5v/6
0Zhgnqo5JBIMwJjDA+3GJm58E5xTKzoIu/5MHJkTpzgfjYXvTRlo/wQT5uoZZUZTPEXaTZfLHpkD
O8fwLil4zaf19+ZlU1nsxUhIU/gFkCQUuhntqx26zEf/pH3TQf6WYzI5cPzZ4r3PeGVjFrAHxpVZ
a2guDBT96zRieCGxK2JNznXxFrvgV9K52TC9SjZOxGf3fXEAMyPDuGP0WamWUKnOjuFDe6QEd/Xd
sOdFFs6JYBF60WQaQlZiOiM3D0XyHGm2kF77vK+3nQOrbA2kGw20JdqB8uE7iWY1/n5MOHGEk2vI
TBxRA3WIMxDxoVHmVs3r2HLakpwUW5WZdFDWzD6SRBTYtQd9V3v6bnYyN80t3ZHuMAQxQAgZVGzO
dsDihBKZCSWhTJJJpXPK8mf1bdxLu+rQ7ozDthneeWbCR6u2qeQ3KAYPoJvGJKQl5CDNQ7vHsMfS
iwUe7wnnPmPLHu0Q9FIHFK7Tx+9+l9kSqazGzEDegXEEHhPJegHkEjpYYIUYdSF0pvCYbtzRSfbR
UT4qnrLXga4bbQprf6MUAIOj2ZkTeCUPUcjZXBZmkStTUoczQojS2tMICZvAluarIT+pOYalC15r
hnPW2EpInnXAdgsNkm7zifjVPiDmWYMfWdsuw0uAFCYnmdNeVhuCREsDjB0Tmqi4JIAUFweqGM/L
6tYdhmr0UckV44/icFhnY6Oj5tKgdTfcBMpDpJz05CZpb7eXtX7gLoZocF4EX6EcjaGZAZWmD+nf
MFjV4xe7eethEn3fSMYya8CjYCg6aESvlViyNDCIxuRqBiZ/e03rHnFZE/OlJADeM4PCldX4oAd7
Mt6I1cu2iX+Ijhcb9Dcs9s2Um56oUOdFG3d4Du3UK73ip/+IwedD7obfQBzy7d91PImiKTrcQvrs
kS9MimMDSkBI7TldXthN+qNJcBvPxBLr5KxBS7if0n/B56WBw+Evi2zYMnwxyGYZwMF4xpDYUFhl
BlhwaUPShlNa+Ycs/GKKedfqca1LfR//TndmR7LSG9DZWejCWzpKfzyg+bqLXMwxbp83yHLqALN2
1TgDpHsuhHfgTbZ9hGeD8XkzL2YDelMYPpMsX7el+t5QOaeXZ4L1dH2K8qmGiTz1fwF/vu9I8Ja0
vALpetJ02S3G2UWx6ZuRjhHJ2lWY3IzxUYIu6bDf3q/1UHSxwmQ0pTwpUkplNRThW9r/mBNM5z60
s1Xke2naGZG7bW41JEEtEPrvRMKgGf374jhhqDqSQloPKtudRLyslI65ed3Enib4nFxt/e5Y2GLS
GmWK+kzoAZlTkMzPgH30e0rHSuUmJotXr18/SwtrTHbjF6GRiAaGboypf87Da2JozkTGA8nk267o
3GAeQ0tHEJENzKX0/iPRAYgJeYXgVdgstJz/2mGNLYehXqCj4w6ihsY1j7ode9Oz6qZO4N4HZ3Ab
0MGn+JiJKNjStgWPumd18mJpngkpc5xMfVXTUdeD5mEM29Nexr16K135TgC6INXrz0jBzOvMy205
4NxB294F4MFX75KUsI7kDITxJPHkCoqzXjZDHXMn+D+23Xg1BCw2mYkycxYas1ShroUuKKmulOEg
dZyTsprQLUwwUUaVfLMI6LQBjn/dHgQB6siNW+MFgDJkknJ27s8wAJwjvVj/kmRmzmVaowPp5xpW
Ez2R/k7N9j4YZ8gI5hQZEzCjO8mc9f0Z3r5aZE6noOi54lNdGLUM72sJJB++ijLaeCjC2Nn+WisQ
ja+2mLPZGnqrVDElEYJ2Qn6gyODCLqG881Re9bbs5a7q6ei+OjgXPMjNn9/xi20W2tBDC2VoJxEl
0Gm0Zi3FJPSjkUeWn1POx6bhRT3OvrJJbJuWlakCtYemHhA+78PT+IGAjshnfp9eJVfcFx+hbnPV
b+jR+lpP+LpM5uiFZVeqJEAqYZ6ppva8J7Z8M3kYLgWsiHc1/nn8vhpjjt9QdVlehBJll3BBlGRi
7CH6v4t4X00wx69U9XFUB2DysxpoIiFzDUgmKM1sy1HscdyTc/hYzt08iMpRphLIDQbY/V2Gbmyw
n87CdQ8tFvQr76KD7NF+UODxJr//jJhfl8lc/8Y8Q6eOCnRXIdLZN5I5KbHS0elDDgaB55ZMgFFK
U03ChCIHmwIdygqv8J++Vts89ZyVNu/XFTFxBcKcfYXITCkP6BA04LF7Co+NPN5J462ICSp9W8Sa
aCCAxaHyGkWjm0ridQ+C+aKsObGS85VYDtKUSA2IuhBDwljcgebkutZAy11H4b08ZU4h5RPPJekJ
2jjOBnONawkicSZBcVe60ZFFGMgXDEt9/D04XY6W7nNJCOiJ2jLJRBBt7sJhFlNc3vUhMk6mwfFA
6ZPU6Q8LRCdggSQqGoXMoirMXwlCgKKFWsxnUYzBwwLgUhzOr0Yt7Ns0s+YC8KxRdERQneuq+G00
w5MUCTekwpsog4pzpwl2IwDrr4X7Ui6cvFNt8NzsejX0TBVE+KPmTnFsmYW/F9LQ1ZrQrfNZtkJD
tZouOOjCr8Yc70Oxd4JAsOW+9gGgBu86qfZ9lDpy23yfpsoN+tyaVMmtysHrzfpWCovcqoPwJJv9
qfL93ahDgr5XHxJZ38l67ym58G6CQ2QQwCpVpzEmW1+CJP8BqRcLnHfXQjZcK7P2EOjSOdHC71SS
EuJI0IJpuythGGxh8N/qMTg1QfMWiwKQQu8TwScXBwfPT2ecyd7M9UNVNB9h8iNvI6epXnqQzOfi
cCygXiy2hjMa5Q/SfIB3G/K0IOkuX8sYum5NBRbHwE2H2VaF2RIa0xJSMHr7kh3PolWPxnNqQNKi
klwhwqiO2tu1Pv1QjHAXCYUjpz99fdobkWaF3WRLI2Rw1WMokdzS2vlcBLE9hSjP16OXB/0x6lVX
rAa7KBtrHt78iSYZsZdV6XM45nvR6M5tOLuDlh7R63XKutnHxdmoMSQwNft27qzUwL0p1Z5GYlcg
gxtjmJ3U5jGBtLaWNJbZxleCPlz3eoL8T7vJqulUJLmta/09yOCsHnT5RZp64VRY+gC3MMxj2xQv
aVwfp1b7aNPvpmACC2UYp9hURUvqnkgUVpYgiwe9m/f+kLiNnj6VEbFqFUTsKnRlZ8z3kNoRipep
lWw9LR70IrDkHE6MUbXXuWjvDKE+CgU4/uOfYakhyP7AW/tQw2fEWeRArlbaFgi1i/PEnNgkUSH7
k+Ea/i2pnnr+bXCm5QP8Tiu+Iw5P/4Rrkbn4RTnrZrlBjGhcf9feRK5gd5RPgY6NZo4QW6kdvGzf
zqthfrFIJhHQQzUqhACZsT/cROkurF5GaJD3nAi/gjj8upc05Vk8jPO2SRIxxW0i7vRjfeMfVOxj
eU2H1nh3/srD+KstuuSFLSPJpN7scEVSphBa9lFeiIv091Zxpyv1fnv/1u4uxFpVEnUdZlmKbhOR
gZQRHoTB4MTyLQoA9iw+FtXjNPHkO9ZS7YUp9tKS5ylo6hhPMhWxxZgjS8gObXkt5fu+vC4QLLZX
tlKONOWlPcb/JUOczLaBa4ye4tU3KPq7AVTZJpTQGkd0EPRxUVY7lffMXc1xlobZY0BAWNXOOAa0
fqzse9C5U0GI+l/Apb+ukHH+sKA0eyHtdyGmyXaZH8IysXToG3C2km4VezUvV8S4P/gzs9+z9TSU
tLcxphuDnbGL95BDBcp32xr9Z1vGGP/XELdMP8GIR1XcAjYv5N8VLhf5Wk6/XBCT7/oqNGqKFO8h
VR+ctpQcSUpsTGl7sxRbclx4WQ6NAZmHYeMtjcl+JW3oiFHi2VLFiTPX4dFoIYdCeB3DtaC4XB2T
+8bmBEZXuUIhHhpA0lOTekL1ZHSP/+k7sUTa+WwmQ6GjoSv6miVPyV4ap32VJ7v/ZoZJCwNJGDQA
ejCaqBQHRWoelPRBMyveQDvHI1jy7KRMa6XSkFJr+WuIWKFdF8OxHCEo803RPsj/L6z15eiyJNql
FCVRXWNVc+INSWQLvtuD+Gp761Yv5IUjmEyAUDuSSDE0UgFQ6kEdL7vxg37bAp0vUgENt9zNPJ4r
XtRl6WqSPI0HkFWAIfYk2ibqKba0z3aVA/2WbwUKjIU37Cvencm5WkwmZPS6ONWTjCd6VF136KbG
Um1HYKOGnFLXvmQ8ICDdto0IxWq6qMKoNYUCPNtcyd4okn0/dQ7n06098ZafjgkVXaBK6OACN/kb
C1regPX/f6R9V3PcsNLsL2IVA5heGTdJq2hZfmE5yMw589ffhnyPdw3RxHd83lylKs8CBHoGE7qf
e4/2gAw34SOvE5R3/BnI0MVuaPD6+k/zcLcbvWgHmVnOZeYdD3ZQfiDFnFcTZpnFyl68xRl96Tgn
jgLxBOm+3YOE2YmIxWW/Wv9iugwKJQl5VLYDsdHzdBBkNGCjNOkue0r6NllA/HvDaveDP75wL8I6
1F8sMkdy0aWolxDGOa1+FCGngciDV63hmWCcmCxkgZh1SHNH5Vkc9nL83E6caucKHQzFqcsymGMY
oKU7GTG3h8Qh5ZNHSyUmE3M3ceK30BfPi718Gs/jTuH2jPK+GHMglzIZ87zBlY4ELxoOsvaaLF6j
ggfA64avXfsCuRKrrSxR7KxOeipnzso5m/se5F1F4VE3I+VRwB/MGQLW75Qfk4/P9At9BJLfu/uB
p9KENq8+ogZGyzGZgwzGUQDZh/6QWYvdg4MOg4No50NT2za6rOPlxS6N964W1xtNKSs6tdupKPc6
SQ2J6eDQKm5ZPvUdL3zkmWMC4ljSK9Wc8S1Fn+qkDSfJobMJZG/eogt4cU3Q2qceGNh5fuEvofhl
ofSUXS20y7pF7zT00YWd6g4m2MYisKmEmlv0Jlq3QSqWJD6VUI4EXnfwOqJeTNMDdmXaaMsac6dI
Z72X2kCmNnq035mHqKvnVBJ1EMNBAprojJlxmbJYS/EyLVTNHePAU1BgG0CVvn1iVkPKKzMMnI1R
uAh5jrqFUR7r8uuUopk/tzKD1xW2umtXdhhM0+tyTBf0/ziTBrVC0j/Lyviqqbml6IMlzPqhK3+m
Xfa8vTreJjIoN5TlIknU+xnI5xVifapFDEILyeO2Gd4mMpgWLUuZpyPuQaDmtpqdiyayo6pzerCi
bVtaj/wu+8gG55gVSOLKBG7TmhrtU0QcZhl3gQfZIIj2AVh4ymKcPWRVJIRhkMe0pHH6YsnBD8H8
pPJGW1dx5GpRDGwhVREvS4Amvqm36uSmrL8Yw2OWHdv2Tkp4lbqP40bwfFfGGNBq9WpRR+qAkn15
+05KcV/vKSJzexPoz/7gBa4sMSAVz30GAMbO0bbmxWmt9o1qttAWgOb5v2/z/HNZDF5Es1ancY8q
dSncFeNnMj5laPeRDa9Ak3H4tn0MeR+MQY1lyqeKtPTA58dOeNVC2U5bvyY30XKuSt6s7qo3vdpH
BjvKccoGQsHe1AIkmN6USN4NIhrCIXI3DTOvGZgegK3PxoBG32lDK5XIU3QO7dHOvJRYpj3ZyQNI
BSzTmXXepeYdFAY/hA5pSJwTXGpQ8sjlQ1ae6wmZ71PUedH0fazvBfm2DP2isre/IweV2ai9kApS
JrQEGpWGrXaV1ZbJMWmk1qqLOLfCwrw129Az8tLZNswBFZN5/E9F0lXpgISJlv+ozdoTn9Q55CyO
c2xYsRG1RK4kHpEtIRirVZ0GH3IaLGn50oCCbXs5q0Ht5YSyc6CaIIa9IsNZt2isGt7alFMWX79v
RFJBNKBAqZi5b9KSatlg0tSZJNtdG+3z1nRSPE7lSji1MmSE5v5xe0mr6WpMI/22ydy6ZC5AdDFD
14A+VCUQ6ijo4UaKgQY7xq2055hbPxEXc8yt0+NWb6MGfXfUsanfpZO0E+zF1xxa/Ix/lOBv4HFF
cpfI3Dul0qRuUdB5jIzQXjmFCJSt5BPNoMDYo/5je4nvYwofgeX3Elkm9nYqGqVHZcNp2trpy2/C
PL7GsfooJ/FZMPoHHWUySwqToxZ3x6A2LKlabIiyQSNtBqVuE6IS+a0cBRd1w1MtBM5SoI4oFoew
E36MyqdY6iy5k3aBWfBy3+sH/PLTmfuqGiGYpujgmFbe1tPnZbzf3puVPj7qvi4GKEReRdVyVQZk
aJF6kf3FQz7Lm5Oj/Ni5dCI3uhdUO+DO4qzj/MUk/fuVSbMXTRKUqKPRdL7+LT7kfnCK9xMogFBF
e+XFUetvlqsl0j2+sleNRMQoPDCPKtvgUWjH/jsrGp+HmbcyJhaALL20jFRQXSao/mSnpQXzjxt0
g6VKR7lxqkC3F3JsQk+vvgoa54W97lQu+8qAVZNlQapTuob/TsGHAxgfCIBCLZpnkSbDq8LOMOW8
pLt0XnjhIm8vGVxaREjNGAGeEO+8Gm4BOvnQD/a9R2d1QKX5un0R1lelqxCVBrOlLDKQRCZd7oQe
L/i4sXtyV3fHkJc0W3cmv02wGZA06se2ymCiXAqrHpCXu021RwH8qunijQHnZvOsMciha3UolROG
0ILpnMUuSfwIN0w+F4uF5o3tzfsLilyWxqAIqZZeqGnv8X/EGCqQJyHkxhwGrbKiCW/b4DosXuwx
ENJnYdQPMZJJ0VB8ga9EuUR62zax0tpLkfFig4ENBCvqkFOVENVaPPKlOGVP6S5z9NAKTsqNiuSq
aFU3qH7alDVk2/h6CHWxzQAJgXxMDJyUHX18xIAkkWsrNvdNgTwdJ4L6iy++mGJQY+jbRFkkoEbn
UCmp2A0ScCRAH/QeLT/+zMsgce4ZOy3cyoEZiFGnOLF0X2MqpxwfG0gKb28f73gw2FGV3YwMBFJF
qrZTyU6sOGHhOtJe9owBi3iGZt8ogDqcerD0QIVhiSf+Ax/zHyeQnQieQMwXtA32Cr1CQfNFHOyQ
J/fN2Sl2Atgc4zAcF8QX6mg8QLXpKSYFpxGN88XZad8o60UtL/DIaiSw3J6FCj1QHBN/yc78/iDs
eK+JR3g7KQA7KgCoU2JINAm4BOn09zjGNV95PbmcG/phxreXmqZO8OwPBvTRJTe5Bu0Pgiujlq4+
c7P3FK0/hrCXBTKAEGuQTxgnmMugIN1axSME35DQGPfijpc+4X0vBhBURS00oQSW9+WnuH/Np6PA
I53kgY7MvHHyZpmEItWpvxjd6DV3p53wXO7BcWZHrvm0jQbrNZcLkrMDv3NR1kUj4hUnz0/GELh1
dG8ayidDDr/0Qf5qirE1ddVNMkErWxJa25CsZfbFkuyT9kcGAnFLItVu+0fxdpmFkNLIZ7lFPhH4
u1fmn8No7qFL7m5bWb3eMgjyNFWSZFVn9lnu4iU1J/iwZDrq7dHo9tv///qHhOCYqCmGSOAu/4yt
k3pUZk1AxNugIE7LWe2zBi1HySYnvnIL1xqD69E86BPYUGiz/+AomLcJXWMfeL/GY7nsQaubd7U2
5hNN0EZtqgjpL+JTW1Bn9agIuPBGlTGTg55wKSDo1fpwyy8WWcAnoZwAg3HLl/o+TEoX3ZBR5WOA
zOF8Np4hJjgUyyWLlBA3Yj40T5WHkaU9+LqsGmpZg0sDNsMVThNnkFBePfNXy2OiRIyIjSjhwp/N
h3dCrUdK5i5Z2EeUqd3Qmo6xrfvgZLCFu/dS3V59RR+oN/JUd3k/hAkf0zCSytLA5Vukn23U+aMi
4J0bcq74em2eSBrBrBGm7Nm2BqGR9DRu31Mrsxsewc//ZTiSveo2br8nxxI9iGfe0OnKQByChiuj
zB0xezlrCg09bA04kuXb3qWlisQJ7wU7exRsqjlSf6d+MbFSL8Bgmrnn+cb1e3r1G5ibY1YJ+phA
FAt3PCKFVdugh42RyRX8zoc44ev2aV49zBdrbDK1V7SszzWMjlHG1lyxitJp6tvQ5KXDV0/NlR3m
0gjRqKBLG6cmj2706mU0/HaMOZEr3ZkPCHBlg7kiQVs0WkUD/1h+NeOTGh6VCZQ9uzIHb5lgC9xn
9mpgcWWQuQpDFOfjOGHWQutzV1RqS5vLmxlD5lrnhOh1gmcMvaiZnVIJLSPuOTmLFQqaP44rS7KX
FnnUCBhidOQvmFTLLfCVOxEkM7TH7tPwzh/RPvLV29aPjKFKBJpZpsqGvVAwX8IlnvC+Kp8yuH80
PVuDNqIRnuOA1yNTcrHEfFDdyJV5kmgNZage+zEBBVN26DEXVxSVH2JKoo/BqgkVc1M3bMzLWhVK
zoMO4bNE5BVY6NX/eLguv4X51oJgooSuo4VmwFQg5GWc4Vh8w6AL8mFWcO5cOiwrWtkz2jVnf/uO
rt0dVVQI5i0NRSFseiWesqgDm7TkhHlgmYGdB5k1/0tMdWWETbAoKG0bfdggGBF/LoItyojr/nvx
GgN9b2juhrfCP1jtUAzDaHNetxCQkl9liCtqotdnyJPW/+Ki8f+jtUqXNcrG8GdklcV6H4zUR4n3
BRoNQRn2mDjDiwatbNFDDqlA25rgGPY/fKcrq4z3EGcpr1UTjzVDA3vR/YiYueYchVW3eL0yxjsQ
odKCfsLKxnvji3AmNhwjiODlxxLZPUqsWfm8fMrq8bssiw2s8ilsuznDyZ+afRrBFYU3Usjr6l4D
lat1saAyV5h0IsuMoCrdG2gfC86j5HJbjdaiUpWqwesqUWQQZ/x5LtJRUWjohnMxfYkh+ji9bJ8A
3v9P/36VLQ/mRklbIklOb2QOiLq8MTE5Tm71a2iSKQJ+DVVjB0ATQ+iJTDUHOuHQDHeGvl/aL9ur
WH3zqVc26Me6WkZnxlXRQESIEmOomV3/DCBOEbqxP5+Nc+WKd9Oh+goJOG7SZvUUXBlm7i3pMRCF
E45TUH6SJoSWPimeteaJs77Vz3RlhrmoaiR2c5C8t7MqHgacvfRtCS0q/UTbkLXc6jzeO5pnkrm3
o1CQSob0Iarlp7rzq+T79prW3NPVJ2PHPqd0XHSVakAPmR2brti/yuQhSo5la5Hxx7YtzlrY2Rnw
SIxLNyE0J6p8U5bqbQNBl//NBOP5G8kcWzPFYy6tkj1RAz+Jfm5bWB30v94xBgvEEVyZWQiiVsjq
euFx2WlP08NkUdIoSnIL7i2veI5uulfu/DvnCut0f6+uF8lUFcqmOOVI4Wb7CT029WQZzuIPrmpH
XyHIAvUJXu54tcxwvV76q66sDk0XjX0/4wSiVr3sIeeRuqbdOhD6dXMvCLgqR6vh27VFBkYwES8s
mQDHAS6KPU1TqV7tmy40NjqQKCQHzDCKvNfp6vPp2igDIWlSSItBOwAoUTnlXY8P3S62VfQvpY+B
u32IOHilM0DSoytPKQH6TtbV1jgZfkD6mzrXDkoletumeKCsMwgS1qEcDhkm1oQdOcDiIx1kEPH4
x+C/6FCemv5Y+Wgofdo2vPaqutpQtnlvNmW5QfD5K19PCcho62jK10OiV5oNsK/tMC9EUzCVoeuQ
n3qXm/kaH9RbJFVOmpc6xQ2Pvo13NtkJmyDt567PKB67BEPrqSvcyiP2csbiOr9/qb/xosN11ERD
lE5A/SeyNHjSkgSFWcLpqKmnhW+Beb/9nVZfg6p2McDACkQ9IgL/iQzR5Gp1bylaj26zI5jk5/6n
2jwZKIThQbwsB8V47Uawk0Kbz+9ylXdSKXJ+/JKXH8IgDaITjBsQ+Idfs77vmUYnBqr+4iLmSZpy
F87gTNNP+aypeCZi5HuATmWBXhU7Du35rnVoY0TkGg9zBDJMmYc2FEy2VsqATdHURQntOLRVp1/Q
kqxbk5nsU+OtzvqTCkl3jlf8C4ZfdpbBm0iG/mfTwHOMmFcJfEpZYd7G0F8wfQ26C/UL50ite6qL
PQZzstYMjZl2f7RugiZhwHd6k9r64MzeO/3yTthTZa/dttl1VP1tldBm2CtPBR47MxsKpDWGzEtI
h1f9k5HbEFWyt+2sVqmvbgxhIKdu5EjqJSqc8Tl6inf5fWlrr8Fd8g1Syk6Jp5TwlGMiAFS+Hu/Q
8tbIBDitNijGQmc+A/NF1kBJcNcVvqj9S23veoVMkKPGoha040KvRoUHPYjNIk98LT/TKkNjad/Q
kMc5M+vu4vLxGBRSk7RolYAGh2gYyuF7hRta3uUV2tYfwhe0IwzIdGobqOlEARz0vemnpbILdac0
uYOmIaHya/WUmJ9MHNfYGbu7PgaDGE/IhrdUBneqqoM6VItGivfeKM+AUmC041eyOSBDGJBRZ0lA
CgiOMRy/atONnv4UhIcl26n/MhOvaoauK4qhwUUx1yHLM4gzQXHNSfP4cWrS1zCX98gK7cQC/Nbg
d++TiccLse71LzaZe5AuRFJiBYsrMfTjQ3zTU24D8ODmT6UTubxp7vVbd7HGXAdlCqQoqlHqFmU/
KL1CcDFlbfAGmnhWmCsQaD1m4UJYmXOk7oPKkqbJbWvBLefvHARbmwu4/mTMLejNRjHCBqaoq43B
JBz66rsr4E32rDYCXltiDjuoQYJmFpB4qsvbOIMuqxNiHlkorCB2s1Sz1NADMwbH4a3HTJfvxRz9
oG6HROpAXC9Ug51V8e2yyLwTyLPB+NROQf5RSFBYo+1XihfuaFGtORKwuDe3s8UfkuIdD8ap6u1E
sijAToKRxVGr2zq/jySvCThedB02fu8dm9CVwm424wBJHK3TbRIrVpUEVtz6RfTdyDzOOaQX52Mg
dDH2ATrKMRRo+yTdRFo0q2s0QnUYHFTs6hB7vIu8/syDiKJoKpoo6ixVCLQp5WQAkqFKNjgE5F3L
0QAPSntS3IJLAvHeUvFheRdrbHalSkJ5mdAf6tRy/1VMwN+VCd5Cej9RodyYZo8jYqJ61Py5whki
INqYQOldLK4oxDuKbqaRuEoXu5qQudmsWEKHIR5VtmooxMhjBBkN00dsZxNI2o6Z7m9/ntUjfvXz
ma/TVrJijC1auiLxbilf1IRTnF5/TV0ZYFC8r7tKb3N4wgbTJ8SubfgLKhfqqn56F9rI8XNKX6t3
6MogA+RC2qckoEOcY3EstJuieskqu4l+bO/beo7oygzd2KtIdDH1TiUlciaDN7vJE60kZIFTfJvv
Ondx8eb+Rl5MB3odoG3iQB9vhQyyU+HJYW5AgkekA+ZC3YicDdSbW26RbfXqXq2R/pCrNQa92ULn
FS1LtWv46gm9BG8GWhn0e8mFaCLGJziAu/qmuLLHYDolkRYgroabG34l4aNGHoz8nvPd6Hnbuq8M
ptfCoEk57TH8zws0dsFYcBLB3insebkE3pdi8LxaRhLOBiLeOneq/Easdxha1vMHzproJd1YE5uH
CcvFaKvhfU3vg3k25Jv3vyo+vD4IzorY6UmxUeJayPGJouyrIrl6eD8GTxLncq12tKA+9x8IZ1Mw
TaYsOshOaaPD4ID0xiO4Xs2xtqsnwcoc7ZVmthZ3uKl88l10kDS3Q8w7cgdqeKtlsCTW+iHRJ2CJ
cSP+pIJQ07ErHfEMHZfP70yajrKP7od/e8zrqkbwWFJMSWEuQtuUS5c1cNDV58nL7pRd4Ih3latB
yyVBJo9XxlulDUPh67c95lKkVdcoYJ2gj/kJ+11ArqbYJbc1+C55RF7rKZkrW8ydKDRD07Rq/PU0
qu0isoxXJbErfN/RA2mfLwjoFrSEk/lPjuH3ItncgbgIC7pZCFoDddHpSQ2lt599gEBE55ESr79A
L2tkswfNPPUQukf7b+NQ8pDcrRAMO6r7Kx2bejSBwMOadfC8LI9xtEFpCHNfo8Vl0b4lcEdSaJkd
p0Gbd1AIcyFGTRULQcTB7LCwDpWCBZ17yyHaZfe8AeC/xHGXBTEeVkGvbGi+15J8egUw8LNbbNrF
BikxboF+PeFz9ckYp5r0WdUASH/1VtHa+XKiObTImR4We37PamEuwU4gY2bxGrvWYeayUvr3az9b
J0Zvgt7TKdE6U6Au3BkOBLiM9GnbUfCOCAMrZaiAQk9GJdAsbvC2tsNWsEeefhJvMQyWmGMBGaAI
gVEYICsoB5GFgSN/nEHIMmT7/21BDJY0S6oIbYh7Bq5LMf0W5nYxcvZsPbF6ORjslGPZG9Fs1ghg
acBAm+4Sr0NDZWYJPuTznPLlf1qSygTktTzlxYDZEWdWymfZSDKrVju7Czt/2w7vKqsMXqBLGiT/
JWIT6KO9JeIPtSGaTZrZ7VJwniqKnZLioS4KqP8I+9jM7G37770hH4OW34deZaBEriG81nSwn4BT
TGhTuyWfzCzxIi1xp6DGGFdrJeXiqekCotTRNRpMyKfTXlCQgsXEvBD0Th681hJS3HX7qRgNZ/sX
cm4L+47Eu05NTZnq+KStFWOwrKqzmzz9p0SGboqGpIi6Dvn6Py9/hpIvkalcrC5HtoaGuVLnNKhR
oPy40xcLDLzUWYw3PvQcHKk86xAAyOaW8zH/cpguJhhkSUO03Y0L+tUpNQQmKeAXQj+HvBLarDkH
l/NZVLraK7DMzEQXCVj/nSV8MFG9Ur245MAKB8JU5pPUYyiX0oxaiiweouQr5OPBH3Afxt72AfvL
2/hyBZgPMwitnkvlew1ldMlzfJ+/CaiFLegXLA55ZMVnbq6O3qqPZ+FikvlQoNktQbqIGviEIlEB
fszqpX1tHbT6e4U/vQZft5fI20nGGWQhZEoIlV0e6sjVtckSDcEJlWYnzDxfwN1Nxhn09dBJOX34
E+jPZV54n95UuwZBs2I3dvVs3OqcgPIvOYDfm6kx1agsmkK8VmmN79S71RPVXY4csg+/hG8jKJt8
8yDvUvBSg28DD4X/aWdZgQYzSboRszdwS5CdyL82kt+Vdi58/t+sME6ia2c1DhTKpj4nniTop3oi
Xq6B38/gacG9jwttHE2NcQi6CvZitcWto3Mho5+cgyfwTWJPFwy8OuUJvC9n3c73VH0ieOhQ/Me4
MmibbZRxDwYY2DmgxgEajQEapS7jodOB/2U2+mkFzyMPj4Zu8jJkdA+31s2gTdCQXokor0cgnALw
iYPNox3PWWLrmlV2eGj7s7DT1F1u8HiK1h3D5fwy+GNMsS62KUI1VZ4wvaz4pU522wdIpTd8a3UM
4OgoQhQQjkPMGYrHKZtlu+z0yFpIt1uCyA5E3QtbWXOSJD22kXkoB/2pm9PEzor4KVdepRIU1kUF
MThQI/eQ6MgnK4kzSDAqd6N5nxTjUTGDfTA2qUVy9bUNcm+qB9eQg7tJ+ypKP6Ukd4vJ9GNUc7QI
ZJ/DTxD3WmLfnHUFvqoEcV1t2GZdgOF0MGyULB5KEcrFU4VpmTYcLSXAdHKOmCSIfk4AsAiysXKZ
HmSR3ObCc43SohHsa+j9bW8eBz01Bj2HYiBVQdMgy3yro6of3VWl3zf/5FAvvpuxkuRLFRg5GuqS
Mnlqm8LStfJeGvN/WszFDAPPVV4tc6ojcyREvjn8ICSB9IRiScq/3affhtjqRhBRXms6lkhjERGi
VZTfvTuY/uD3R83d/kTrxa9L+PYeGV2FI5oOwhI5BEqIBwlCgsE+3PcnzAA5vPf9Xx4il3UxWIz+
LhLP5YDEyZceFDbTXgJlN3quIbHtEejscbNC6/BwMcgAshRNURFHiBW01Kr2dG0tqA+dwAH/EBp2
MHN05hEQcLeTAd12yaV20uFw+uqHAG7Xxms6tyggeOHU/VM13/cyJ0T5S57hskwGf8tIqRvoytCX
Py1QpW5wF/utQ/kw+M+7v6SGLtYYzBWmxqhz2oQ4eOi1hLXSF26rneIvLn1OqvsCjXrbZ3TdkV1M
MhAcNeYwGQUaSszObjWvn+9GwolGuJvIgIhUCo0Rl1iWTLwKHZ2JF/woFVu9l70MPTLC0/aSuPYY
NKnVvlxq2hJI7n9JbIfPaYzImQYHmc0bseSZYwcdBCNO075B3xG5H10dzU7iHZ2igi4VeJy4F289
n//7g7ETDxVUjZMKcz0Y6KSYMu2+t456+D+JONBv/9E9X0wxoDJoYZLgEUKzG4Mz0NZfl4AiLvJo
vyMaLM+Q4HD54hHvS9iyy2CLTqZlGiqEzhSkqSJvAt0NO/WRWDkPL3JlfQdtlY0lv7Uv6Yv5KvJI
6jiXgiUaCNu+TDUBB6gTCztShVshbdCmwOMJXXfhl/1lwCXoBBGPEqT2omyA/iokiVyxQvSQ3W9f
CN5yGFgxgiRAoyOcXlB8ihRrHv2I21dFv8nWN2NwpFenNguQSkCVQAKnFdj6bQXiYlSXmqZk02/b
S+IlFVh+gS7AmE4rvjdvooT+QBuM6eM4v5O5PWMULj4sDRNoEnhwJdXQmeM4zZERZATv1BpDBYMe
gRqmelLUpLL0XnSiqXaVKbYjSfa217j62a7sMu5OFWQ1kwYa+y/KXjQKEE6OGBlVrW0zq7f8ygx7
CguB9omhkNsiyF72WnOuY1dJfC7z6epxvzLEHEPNWCZtpu0EjXFWBTtH4zQZj9E4cBa0DshXhtiz
GASDUebvJU/RpgptCxipf3GRVj6v6LnutK+sMd5NiAItLhKcRNqAbhyQ254syAVg6rsHSi2TFbn9
TuCcjfVK2ZVVxseFaTTNZh5IjtJbxb6+BXenkz7HN/J+OqDv9XPmjkfjwdxtn5X1OPNilq0m12Jd
dwOVFVfPeKBBftUnd6X5LsZANefzR544Ntci9YdXMTS6Zf5/3R+z9T6x0TuDILPZfad63OmZR0Cx
GtZerY9xeQXRBjlYKFSWt0rwuWweORvIuQSsZoap6zMxZnTeDUiVoOk88/KbKcFhmb3RW9zcGXfN
s/HAywhxsIQV0ZjLRDf7BOQvPRQ7BeRD6q8TL0nD2zsGSNI6bbUiMaDkI56b+Tzy+rvXMf/q4zAA
sshJImQTDGiVXd72fvyGmaDJhvCSE93z+k14KMIySchZq8UyaOvAXW/4vzzaEFpUUgL9LQ+8C837
QAyKBENpzOmIB1xe+KnmaOqpG185Z4+mHD86MhXjgjKtG7CVZzMKWwAVkIo2HktH0x099AxY6LL2
ty2tn4SLIeYWKYJY4DQgRgXRgV8Jgx8Kur1tgu7H1loYp9wrRMvSBl7LmM5R5CMGt6TcTQ1PmM6F
+Hnb2PqlvayH8cR1a1TTTHUwktLSJSdInbQ9myEHG3hWmPszp3IedZgMc5pmR4rJ1tHMAm4YuMnt
1awftctqmGskDEmgLyYwnET6s9JVPyS5tyYj4wwR8A4B44X1rmzFVkVEKAYu6UCywJtd5a2DuTKx
IQ2qWKMDV213S3tUs108eNtb9RcQuOwV42a7MIcyn4GTTMUlIJsbus0uPtF783+hIOSsiC0nN6Ug
dEsbQbo+zA7yHLviqLmKHO63V8Uzw7jUJDDbJRhxnGeo/qq3fXDoUg6VKOfjswVkWYmmVMlMQA3x
+uE10f6lG9D4/V3YAnHRj50yhii8i8murb0BhIA8NoiV6wjODF03JJ1QLggGYSQplJS+j+Ey60+N
6KA3SA8euRpaa/OZf5hhsCUI5zbW645WNuJd5g070DS6htMdGpr3sRMQQoLBxNzXu+1DwDVMT8lV
YBWFpdgOJeCs0cyDVhSWvISOqdT36YSmbyCpqWl2Lk0ob3efpfnFyGNf1r4IS+uaBNUVkO81isrx
HGtv/z+2gwEntASTYBkQ16rn2hVvo71pTQ5elXZoURJQ466zZk9+pBJSwUvq8bpt6H1m3Mof5hnQ
Eqo8ayMRbxQQxHm9P+xSqovNZS3mmWGgKzJ6bZQpK4xU3Se6ZfaaReqbUrIrwV2ac8w7y9yPzeDY
nJr9UpYmqM33VJwhdtO36NssYaJ6QmrRvNNay3xUrHHHK5StIej1jrIvBtDhgj0jSSnXOW0fBNep
o9xSNrfG1/c8ZvUVZPvDGINsUh7MrUJ5khfBa9svZX1jZJxYYO3l9YcNJrhpMyOVkAEA9PiDkz0R
6EhNu+xbZ5V7A3XHwKX6X7yJcd7CGDCKaj3OygUdYHXyKIXfjPJJUF63AYEebfboSxIxNUmTZOOD
dLWhNnIlt5Hs5GXy2pW6j2ZeCES3ja2E9VnP+sLeNrjiI8BpcjHIbKQ+RAIEzgFA2rKrxMySex6T
+1oR/g8TzLZBjntqawM9YKOdPI23mde8jEjboFW32XUuDX6L1Gp3sQOd7X86+dfrY5CdJKkYLAYO
Ck2JaUicJk5qxyc6zSw4vMoW7+sxaC5H/aIXBppsdPVBnPZhdyDCru7cHk+k/+2zMQgtSWMBkj34
xUqJLC38FPBqjrxzwWCwXmdyqray5Cw94vpPsvK8vYC1u3T9XRjwzSs9qEYMmzux4tXBQyx9S/8h
gfzHuWPgdqmWpgxDXFetB4WbUkcv+qgK1rSMnLWsvYmvLbEFTTPo+nSiJ5z4w4mSZYR79SAiL88f
LVk/YoYCFi60YX+QWSZx0QVhESLBlftRdSapk8d3U5daUckLu+m9/IhFv02xg1OdnhVinAMayA0t
u7U2gHz/XfXLdzm5khOsrnljSbpYY7yGGoStSgR4jWTf7Vtf29Ne88bveREXBbStVTGA17UkUZIW
B48CAkEjXOKlfniq97kXn3kZn1XHe70qBvuUVDeUCAMtDil+FNHJ0J/i7HGa3jKCCTvpxpC8sr5v
u104vG3fL845+cBTA3LBVGlxJJf5uGQ3JHweYrvEAwrjSNuW1kL06yXSm34Vwi5Li8hpwku2qcd9
Kqe7KTC/LiNU+er4YdvUWgcZLtrlkDCwVxnFFC50O3+hORIoKHeDI+PclhY4YjzjVuExUNOfv3Ve
GCA0NL1plh4mC/GuVF7E5NkQnznL4n0sBgzbwIw7k8BGmVEKDA98Jij00U61X4LfxrfQaw98XiGe
XQYhzSFXMqXAiO5QoZtYHjytjiwpKZ0FFGgkmThRG+eksFGoGIIUMi0AKGJ4Q1BbzyJrrv1p5OQ8
eGYYJNGFvsQNTxBDQY+y3I/1foh2Ne9qc/CKnYAC310emg2+GZiE98quO1ICAf4jhXP82FS1GMp1
E8glcv2QLsUMa3/I0/vt48c5BWxaWkV3DGpoeBwIpmVEqhuAfaU91PLDpEfu/2aKrvYKK5S5Rd1c
UMGH33jx5PbDfRbuO8MmPPIM3rYxQDG0aVb1FbxJNbyomO2bFnfm9aXwbDDIYAaVpICmEEx7CbxI
+RkTRWjg/rq9YzwjDDRkU5RmWipKmKIXPDLWtySLH6aQx9nGM8MggUIaUs8JIlctJv4cf1dGMH9P
g7O9mLWRgmv8Npl+3LwwkO408AJuvi+YysXnOc2uhl50lAZBgXvQXdrT0L2FaAhGPxEnxKB7tQHl
rAacWGNqAf2DwJ888hNj3MVN5uT1spej0NYSw1LkluexKNhs2WTCjUESl1KGkDR6l9BBjvpgcNcd
2hPZhR6PDYGDeyxBZq63ipCYyManAoq62NXytovPI4/MjGeGeVGN4iCKYgiC1GpuLB0RhZZOzpJ1
9th3//1cxB/HhZ7aa7jI2kKoVQQxrd67YTYdopa3mvV3zu+IwmSAohozZB1VOItxvEnTU6JwcqS8
CNBkUCIjATqFkChFyEL7+WlLYOhjxOMWzWQetyODE7ObDFy0Xd8uEQ6BE3/qTpUHiTF7vJswlIdT
4VQ33EYonj0GN4apTDuB4AtBROfUQA69eER2PrdSDHqBzCG5WX5sQ8i22yUigyCSIaf1oiDazJr+
Vo6+T2P12MzxjR5D9bk0x9txWPw0m91ts6vQISPyVFRNJPqHed8ZIq4gN0XqzrTIfAhAgZjdS+lu
qT252G3bWl3ilS3mG6qxPKphgzJxYYTHpq8sjKA8Ef2bFHwZ/x9pV9bbOM5sf5EASdT6qsXylsTZ
0/0idNLT2vddv/4eujFjhdGY3+1BgLwYcJlkVbFYyzm97ObGnSDy2jVW/f9CJnOOlAt0bk1czEXq
hIOVtd8qXtV9XYQqayh9KgTwzp+NuQLxgKLXyLELBPV2s9+ERnFCf/cfGRwQqv+Ww1h03U8T+Lhx
VP5zuVPsDP2beP5TWFD5WNxxWyNW6rnABLyIY+w7lLOgRh84zW71TrKNHyNP98QjoAo4arHuSRaS
GL0QWnMEfvpEbdvwiEO2gIu3axeXyZGyu19XQt5pMQqRK1lqhKMiOXLzXIvirZg9zdkfFJCWe8fm
TfyRqKJcBtD0/G7on+LZnRXOOtZzM5ddO3++uEO6ThEkvwG6jTSfCjA8C9uitg3zpZlO8viow0c2
gx3yiJk423c+y4VULY0wcQfETCcpfomg+crUFyHnhIbrr+HF0pjkQuuLiabWiGeELfDzjT0A4pDc
bD7awGqc3kV36rbhJdXWndM/6n7+TYuFhUNc5uYIRxHvgm3jGUjT0F4M3hjc6ptksTTGWTRG1zX9
0GHAT3WC/jmUPupBtiP9psh21xV9rbfpkxIy/iJU9bpoB6xosGlC6DdPZriRPMEDtO4Dz4x5msH4
C0ES0ck4IyFdKW8GZq+HN5NXP1stNC180jkjvzgksYoLMtIXXXo0vJmO2rnKSZjPmE7lLZ2ST2/m
U/qscoyNeqAvwe7i1Bin0RZFnGj0TQyPaKd9Y6WRfyD+sIlLtymEu0CsOG99jjqybd+yPtYSHhU4
vMnWC0fQtjlmsQ3fkf0nkmzDkKf/q9HvZYls57cZRF0Llhk8+tLvefkYaF5oOGHL2UjesphXQ2zO
zaBUCKtGDI+IMrF9Tdx15k+xHu2oCOwxNNxRaLzrpsBRTZZMrpSDTulBseMkxqNpbIn8AxNt1nUZ
vJUpn6OALADKsoniF1LlYCQAi1Xthttsw/MfvGNi/IcyZJE/6bhZtHjbN6+R+q4mjpLwSDFW65AL
SzszMC8sbYyVRiMRnAclRAQqi1Xd1AcMjNgGKHl2IJSyci+S7PHb9V3kWfgZ9Gwhd54VBVU1rG+w
5T3NzVNCsGBP+Svp0IO4qQHDMWx508K8GITt+B4DYe5GAcdHn7Mop6Hdtdw2Di3PB47MLR1Sbbji
UGSqTYtlRvFI+nRA9kO3JhtlgZvRSuxvnRMDqvOnw0M84MUKhHlchHlQROF4Vk6yyTfzFswCyt1v
eu6c16nJu74JTR0sFpd3oJbDgDJS9Hd0JD9zw8fKm8DFY5UvtPSBidns9brecK5VwviVSOgHRYf9
OX3tdGB08zdCcj8ov5qRM3nNE8SEJmKOtxI6USEI9ckpeMx7wdIMzMkeRI2HtrbW/L28wQnjUyp9
Jv2kwVvmR2lDJ5vKswkSEP5akk3DIAl0ToTjyXhLZFxMTd3Y4GOJI4IvedC+yfWehMUhQrhX5gkv
+l81BfSLKibwx/GPEVekYmykmSA5peImt4NX2MnN9BNjtpGl70Eg7pp8yJ3Vt81CJhMaJRMiMDzm
aI6bDnxnoEsa7QZIBH8CJQQy9svq6GYvbKH0Q9nXzLM/o7YQ2tJrb+kgxcPQ6z1vWmD1nlNUwwDj
NfByzxHhQljdVIBjA9OMk2rvAthLQZekypxcI08Go5OGrIWaGoFNJgwdvQ7tttkYGg+sdjXeWiyE
0QmtiwBcPuJJXU/Vbdb+BCL2c9HVt6Uo27kR7TRubWX1+l5IZDRikHtp0MKR3neglEfllBIK8MP/
9aB8IYfRh1wW8HCr6PMTUAPFPnL7Q4v8cHHsQPya2h0PDH79YlsIZB7XmiEEneijztJuwJpDnzaC
axwL2RoxDsB/Xq+N0ULhLzrI3Gxp0MdkLGDO4h54m54PVttpQ/sMeW3g6yHKRRIbIvdT4c+RP6Ic
9su8UzcALEdh8aRgYfU+2DW72o6/Bw7vmbOGELhcIBsoA7lIN7QckRGlLK13eAtQLJMDUsWO+tpv
y/cO97hkG5vWS2+kb6aDCbU7/5Y3Wrt+OSyWz1x5el/mYTsS9DJijhH1frTdYfQisbM31Yu3uWfc
Vi4f7J9+65fAZSGVuf8SKR6HIoadRC+9A1higKO1exWwnLQnhLfXHKNkJyVDAfAMc4BenR4IyAR4
b/+jUa4vChUtiYBVV2OhJTtDEGJlmjHuVDvp+KKNo9VgHnVwE/EXQRdKZU8lArTMCufAvh64rMbz
ykU0c4qk0iqtbBAIJsbgxpEXN7pNCjSjms51QeuOQJV1FalHsCGxPHeioAZq0iPBnJsW8gFoLDSA
MNdtpg2IWrh5jtVb/SKNbTYf0mEcQK0HPTFR+xrkrSRHO86KqK590cWFDCbOFBs5TwNkwRwV9M5v
KEIAJ6CdABMr2cK+cHLP/Hld4urdh+QWjgush1+4keu+iXoxQ1uBFDmtuheGHfeBvHrzLUQw7loF
BrcqBTSQjfx9mSR2OzwAk9PT/MwyR9CbSTNHA9dP6rIoxmEL0RB0GVgnnFzfKf38lmTh8/VtW2+U
vCyK9dSk74nSENxB8c7HlB3GaZ/1W1Cq67c62IlFSi31M/eKrV5avG4GzupYb60L/dQDCBoF2aay
OrGyJomzf+fH01c1/GcDZcaEG+SF4rEqaTseNpFSg5jVSZwTN+5jW9Ve5LnZN4m+HevybQ4jSwKC
WNsXd0o1W7qontQ+2Jp5VWDEKLHmYrJ0lZxEArKW3nTNMt+3cej1eAUQWROtVpYOpY8UVG6AQDbj
TY2vPxVVU5NNWZc13WBCL2UOjKGP0IApe/lOAY+jvy12gQ2+I5vXw7rq+xaimJirT4amxiWOjdPt
nFhF7PXFoRw9jvateveFGCbkEsUYjF8tXFHw0rndrYSWFuk7bcIDjFNs8RiV1n3EZf8YA8acetc2
IsypE16jStrXgNGXJx4A2OrNuFgTY7RpF1aDQt9ova7YkQra66OEBv82P7XhjdDe9fMf4K8q0kUi
2+FQ5Y1QSSoMaRCOkukJ1duUnsDIaI2KpQqV5dePKWYpeIQB6/b7z3ayrQ21QJowqhEv6/pu6p5k
Xj8NPfyvxnv5fsZ4hSwkeVjQzEh+kINNH91VOob9GmsMW4ujiKv6rhFRA6eopkrsWFE2Yaw6nWFa
amfNyMgnIMcA/7w9SBb1gsExe8rdYTvVHA+1fvVrpkl0yVQkw2C0BcTZvl+HMDTlJn5KttWNYJs/
pL25z1Cqlx+uL3NVNS/CWEURjFIdpRkzNrSQ0gE5ARSwezqOcV3MuqNayGFufyQJtbESUP+icoZz
Ai070jcbqvP/cQNNRkvi2R+HjA4T/B4zQSkZL41uIyPG5wP1rHqQxcLI55SBFGV5qEsockzSPkX6
TNgFBqe6sP5KW8igZrfIFOi1mSV+CJ9Ib2QaNwU7wZOtyWr+JF2AXIROEFeLsso436hRwqFA/Icc
6lsfvebVRtM31zVhNWRaiGA87qjiL6aZ9+qlbUM7EwN7aLwZqWLtdg552TGeNMaW5Fqsh76jZfHO
3HV9Zs/yr34sv9WmdIgbDDrFPOjrVRd1WR+L9TgToZSjAGcFanNj8Kb2mI8fLUhOuVBKVLO+OMOF
JMakprkcop5mpWkNI3Ob5/Ax31IeNwxx7cRXHqzLqqIvxDFWNSt5liYDiCqbBkiqR7A4yymn0Wo9
37KQwRhT22nGUBfol/zdWB1vlNIyH2jTBAEzeniv/ZmzXUhkTKtpxkIXC1yU1FckGLr0HemBeA1A
vdCY93pd93lbSD9f2HEUtW2eTcj4GdVkBYJ4GJLGVmeRd/uvJkwXi2JCtUIaEXvOtJtstE3/pi1r
K0h2syzagbHV5zcz66xofr++uNWbZCGU8R2qVNZhL8LDZwYuqwKJpHD6VnW9Z4z5Li90q2tlT5YK
nrdfjTkWchmHIkfo5SW0NTU9Di6wGZzi2Xf6fYT0g2+hg/Mm4qIY8yyP8Spam8uNiX8OEhCYocyd
7CayKeOJTNlBHB5TEcelfJmAEYx0lCI8yIy2cAdtTK0k/kXK5lEY+9gCv6Jz/STX75vLlrLszIEJ
N5S1FZBPQOQi584cdSdYCrpUpx/92IIfL7DqBJzDfipzAgWOieisl5knA/hKyJPVgeP334JuH/CC
yPVYZLE8xsuowAro56FB0tOT92BA2EsP2Q4QbZuIX7ugTviKk2YHYHwp0wZAd6NSOXizUFii6pTp
X2J0UshdML/Gxl3SOEEx8o6Q7tM1uYyrEdSwDOYUyTgjsc7veKSu0RCpWOImPPzZrDTG4v8OHHTG
42iKURuoIuLVi04B0Mpn/rHUwM+RvIKDXW62Yf5wXUc5F7vOeBsCXBEpp4N7he/O5bYTvB4DjiPg
T+3C4Jb2OAbPkjRXOUgf8pgGYABwjmjDkaO7lOEzsDOgC/MaWNZdGiIwU8IDQDsntRf3xFS0RALe
HnZTnO9A0PcRjIr3J/t3EcEcWDHEQDJRZsyIEmGDMYg02ggEDbOVCjjbU19wjutfXMpFHnNeRqEM
+pQhU6bfoWLjoBMIQ0WSKx+4L431s7pIYu6DdMxQvBTgLWkjFTKarv/Nf6LtYaMXbUyn/XZ9I9eH
CfSLPOYykLK0F0YV8kQkxMRe2ero5stVINDp4zepAg/EmHtBJ98WyCKZYmyTwd+I4Bbu6reoig+Z
Pv8ohsrSjQrd39KbkcyckPtfwqp/fiLbUNAq4hBlUogBq029AzoYAPnyM+K5hgdYiFTe9S1Z9+EX
cUxgGsWN2o9g5XQ685Vkm0b1raZ+vC6D6udX/3aRwd4TSUzmYsaSRjm0kB9HssPSKo6R8IQwF4WW
Aw1HilDYTFIrGO2kuylEMEBztmtVCl5bCqoZKn3lfY4KJcP34xgK4lTTjIyi9Jin801Ghr0yE06A
TXXxy64tRFHHs3AsVas3oRbhZWzgSSSIp7rca6Js1eAQaFUngw4XvLcrb3XMRVSOpRoCOhwXOl58
slt5kRe4ia02aEzC8AYyDdFrtOHmAFa9wGKl9GctVlrHbdrKI+6/2rQwEIAp//wguOkZ5AKteTe8
gV7qv67tLOPfilbSRaGgaV+AIIfdo1kJdhjvwvBVMGvruu6v27NBUPoSDbSxs5j+Zdx1fm0gaTM/
Dna969CFUW+NY7Cjbz8+0fR6RmohjzG2xDRaUZSxmZN63kza3xsUFgV3pqC9vFrx+l5elscYBEiO
GjmIoTKNeepVtzQFK9J3pfSmRxwDXw8FFytjDELRBT1RkQE701zI6NkxxTOxxnnmu+AFZauOcSGN
sYVsTOuxr4AgZYaWfqd+KHaOmxBckKVVvfXpmYAi9QLue2UtCJVF0QC/OTBLZZaVuQG9PQkTOEvj
RgZTAu0t9o+tC9hefgvNmr0vZTG6gl4XcYRLo/ZO+5izffzYgPC9dCtAooiWcIr3qV1ydpYeE2t9
S6GMxojBTEwl01Gyar1e+W72nFfJ+qIUGfTDFC+Ppfjp5yI3E4JF9cYdaITDerBn0w6Fn9cNe00/
wAXwtxj2oZdkoxnELZCs1OGQzN5YbwjZXBexvlMXEczdrIzBoBd6g26/THbxSr8Vssa9LmLVXSyX
waiAqCWSIdFW9vCo3fte54UOSOZKV95gRGTzJ3A4MhiRUOUVNYKs+WdP35bmiD1DtKGVwIEqki1Q
MNxE4dFvrDmlpRgmrJQqdSBhgHKAUeuWYZpOqH9ry1MFetOg+4uzgzxhTEw5aaahSXlPhwEG9ww1
D4+bbgpbc2iXa+uZuxhkJn90ay4WyVIfBkUzFCSnnvcMUxNv+oPyE8yHtrYRt8U7d0hqXeH/OTsW
hVI1QfkTzx1dJ8X2oMQ4vgBWE0u9oYMj4R5NywoXX3Pdmi9SGf0cy37UwhSvuU49VLljave5fyoF
3iFSjfjqlC5iGKfUojda6YGP40h3tN0o+lE/gakMfRylKz10zvhifqcbO2257PHrRn6RTD9fBD+o
bqezChBrpxFOAtnGEifByDs2+vni+6N+FNOQwkM1JUhVEzS3BgJK9rx7i3dO9POFGKnw0wlN3sjs
1TflBC4hCS2tQYb2Vt6w3lpcvNR7xodUPgx7ELFhem5RiFdwzXzHtF5kK9/oW9U4Ng7GcBzEx1ZZ
2ITj9nnrZFxLmNdFkhSY4O+l3J59cNwYyCxoxCJR4Fz3LKsnJxtEMXQ076Lz7/OWjkJBcbAQ7xjZ
T1XbDxmd6eChQp3HDb5ovibrogE5OlB6P0sJ46Zq2qBCuiQKJ1vQMPNgpm4Ypych7Td6rLn1FDtD
C8qr7m0wzU1RJm4D3r5aAfgN4FvJ3N+0Yo1A2t8VqXGXZdmpj4Ea08eDZRaFXfTZIcsVYHbJPAz0
NeMBwx7RNUnRNe2cyVhoXarKAulyFUEa0T1SCPtQm+zrp7DaDbiUwdzCaAYgQ2ZARvkx7YOtfgCV
wU/BlTy01NjyttwPW96jfLXPfymT8XrAWAmHgRIZyJ70QdG6fafcphYI1u+nIy0tz6frq1zTtaVA
xv/FhiDJWQKBU1YcBKG38yqziiD8g9gMc7yGJONPAUjnZ2VrBNVM1QgqnZPgfSje66lxO1m5KUfe
dPLqu0te6DXjkOK0SkmoQK9V6wxFZdErOQFgdwYA8mjzJ3OpS3HMysxplNMS5AaOURwkWbQkxZIb
3nDLaqgBNVcUIPvQtqjP29dNRNDCucUtJSFlu28iuxxjS5ZewOjGcT6rKigvZFHTW5hW1JXDMBUT
6gpRcxPXADo3pnfBHO06N4D//4GJTmtShudejB9NwFGRetwZMVBzVF6j9erdvPgljIfShNQMlASr
NmoUqgx4luIjzbZm5LXJNhJ/XLeEdcXRiShpgItErxYTzxEzJmKaIRT4O67yd7pbutlO25Reavff
rstbzUnKF3lswg8tgnXTZqjjE3QbN7ftI8jxMJ0V7Sm5NLmvdsj52KVnOuNz/MzNlq+qlI6eSwMw
BUCGZTbXqNq8Q1YTj+oU0Vv9BkYTKn3cmrXdOPoeBtQcVRR0h23GaWBYfdDLC9mMibaJ3IxdMtCO
/XPaZ9v1buPkPzADtxXyzfV9/pdzvayUsVBZ9IH/EEFa+TYhEdN42Y3uVo7qAUnVEXa8afj1l9Vi
dUykoEtjM4EJD5HrvnNBq+2BHM/7TRb+PwwH0BvhyzW+kMZobViOmaSImPRHQ/cDcFS3ipMdJ9Q8
Eud/INZeK1ovTo59/FZtN5RSiYpEfmx35KDtWpfyleU2rxf/3EV6ZV1seVPsQ79Ne6yrRQ98u9E8
+vKg/PKlNXzrD4Yze8WRuO0zJjDeKbZ39M7RG46FsFXOUTVr9ELhfZe/Na7yCwTibujkr33qxK+a
JYHXVbTMUxtbyGpzRK8Gm5dDZaGsi6RX4zrAk6ty/fv6RG8w3Q2Ouivc0Has1Fad6cDr610LBZZn
yzh+uZ6nVArgEYThoBluLe31iZNo5olgnI5Upp0uo6XOUet9YtqVuRd43ba8U2N9SytETaWgdbjF
iGml22MV2uCkNmevmj6uH9NaELrcMMaxNFpfSZGG1QyZm/YvUcx5wfGWwjiSCQGoMEQwAT1DOmsE
IxqQINXYmaq3hDsfxnNbOuNITCSQe7PAMIPsmXd0zkgGlfBsA0j9IDg8816XBogcWSFENETCRDQy
6aO0pWurHYoy3djmg46kLsXa1U+8Uu2qOS2EMZqd5l0glCZ0oqmPQW1L+lOcPhKRd63xxDDarSVt
b/o6dpAmSrKHFM6Y4paFqORpd6C6KnGf5zZvgmL9flusjtF4Uk0JMhjIB9E5a1pLDTem7W9me3aR
g3J4L4ZVrV+IY7QewX2XFQae4WS+1bNDWW6uW9X6Lmq6JhJQfytsHjzLswRESejVTOZtAvQJsmvL
W1XYXZfyL7t2EcO8tCpQwRpmhWhv/BhLMDLpABm0ytfhZEhWdyw2jWj9mRpeRDI6XxhRpAw0695X
u1BwhuiQRA7hodis+lhAjf69f4yyx5IRS4A+RUt02+6m9CVI5R9BVnN8E08Kq+ty3c+kRnoOJHvJ
8DSL+2HwOdcg9ThfQoDFShjFToiUZX6LImiKdmQQRnjJLt4mGy4sEz3qL3JMUULLug5cKbZwkIRB
kPQ+dky8pzNPHX10H4KesqICWZAbH64a0EUcG0OFUZtKGjr/neTX/Lv34YQ0FkU3R8PmloZtwft1
ZV89rIVEJpORiAny72qHtHj1UoW/QBHsGGG9vS5k1W4XQhiDIpJvklJCuKRXW6nZjh3AxslLEHEU
b7VJBVWEv0+LjY2GKs5TgaDvJhjbZ8Be32ZZfTN3wS7pQ8cnEx6jxq40fW80Ro5Crj9cFrIZ2wK1
jzIVeLE6/lABZPBGUBOrFjH66wyN6IWBJZM7qfhIevv63vIOkLG2qjPbMtNpa5OwSYabwdgVs3Nd
xOpje7E0xtjaqC2qkr4H697r078GcUswiaImWykdbVHnJXPXxC3yTiITbVQBmXJzUBCmOfMG2Mzb
6Ka41x+yZ92d97QlVHsP/5q2qZdxbGH1DJepKCaqChUjH0rKGNcLG9LbJPMEA3OAm8wvbGCjJ/Fj
MR2qgQNyIa05s6VYdsFRKBqDTF/VqNqAcs0zwU3UHgIPWQabjozSx2/QgnyQb/+r0dZCOIumLOe+
IY4y0m/+d/FMAmj8LN3Z7nYpOmF50KnridNLso+d/W0NYMwbzYhw6wybrm7HrfrwO5ZUAdY6bDub
K5O6MNaHL1fIeB+zroMJvMWIStRnNXBC1TbVcmMO9+B/94efQnKYa1fIOKfKOVQWcVmKJCL2A3Jl
U16gbduJxvtI2zThc5JvEuM5rDbXjXTNDyxXyfifOVVaMgoI9WSS2UH6ouuZq+jcFCBPDONugEdh
Rj7JaU6h+YFpoI04WOVWvqu3wCnCqze/UU8V70nAE8o4oLEiwIur4RFEZXLEXn8k2rgbiuzpv20h
E77KhlFhIBztYoMPRMm7InSzyr0ugp7CNV1kPMyYNZUwhfAwGnrERhLZeR1tr4s4z4xek8G4k6Sr
VDExcKUr/cNIgPQ5YagkDzekS/YZZu6j3nCmZHaCKXoCM9Y7elhtZQApuv8y4tKqosIVTfBzKqOd
y74bqpo1YgSmkU++eC+qqDh1IMvRazcQZHcEKnYpZI9ziK6s5q6QQqCKRS6+aNOr0W7Sf5q9uUuD
ytOAea9J6W0DJrEpQsuYqLuFmbzJYv+ggtNbGUo3MgYrrvNjqkxW2siWntRgzIqfi7zfgpTYJlP6
2pHCrkj02ieV23TAOarF3WBmm1JBSaoIN2VU2YUkeqXeu4COsIEt7I1xBSQTzUrz9rkX+lPWYTxZ
wnSwGlX+pm76A4bAt2Uq2oZc2nkqbfLefEmNaB9VT7POZfqg4fyXI0J+wJRMND2AlQyfLxLpZlaB
gqBGI1EP+OrQ7m4UAVgSGuZkgD57F4SWwPFGq3pHAI2jmxr6FNk5Y2BlyxM6OhAlEHDDK8Wx6WbO
G5cngjHSTJgxGiYiJJ/JS+mfJB4c4RkU7MumLdbAbJqkhN2oi+AsyYs7TUDiYc6dxFe9XG63Rvyr
aP2t2Wt7Tc9sJSBWJwcuIdN9jAGErkmPRWw6SYlJJALOoLo/lIPiymns1ECtwrhchp6dsRrcUCqd
UR8//GH8dd0weRvE2H5DwricR7QY+uNdVhevMeker0tYxXMDEtE/x8yYvlyZWm5SYPy/+zESUHR1
Xvue2MKzCHwpJLWnzNJu/4SsayGYHUMtYhJOsgjXqUxuoOLwnabjXHD0eK8cPzubHAbJmBmU9kHQ
nusQ7snJek8nbz4PdGz1trlsIjt+mvpFihoXuiMwfaUqhziz+DHuqgNYyKCfLxxAoZdqlmuISdJj
9EC7attDMaCpm+LWl54UO+LDddXg7R5VzoXAZjTDUpxgnWMe3+atYCcxBlCForFCpKmzYH6+Lm89
rlyskO7yQiDpjKHVCuxipgT3PfoA8r51tFGyilw6KMYPksQgUwrcMgTKYTk9tZnoXP8JqxHY4hcw
DqnT4iSQC7zd6cgycAi2AzYXeHicK52a7TW9ZNzSmOqmNEvQy2YiFV5ho1OF4kGcKtCv5w8BqW4w
Ub+7vrTVSuwi2mPtDT7OSASFhipoMNM3YFmwgz15AJN24bSVxUePWC1J0s1UMNUCGG+284TUOjpf
UyTFQqDjoS80sYQH3ZVQkUxs34nfo93gTLtwD6BdJ3uNY85h/suKL/KZ04ySuaiaDi3uFIAp2kZu
mtjIZeYWxlBeajtyhGPEiztXjWaxZuZoqwBch/lEd1m35/pGTe4r/d03rELh9PVzd5e5G4xE79sK
DRc4z94RrNCuPMzoPQDwya7OA63nBj7w3v+MNjZPg1cd3mKZzK2RtGmWdumAfGdf2U2tbKs8eu1G
HsjuanqGSBi1UUTNhEUwTm8UBh1Ve9xOIrhuGi/cJHayk9x0z03bra/oIonxdmaoA9R6grL+xlNF
7IvcN8hBAPZybtKeXnVHfbpuk1QBv/iBxeoYhwco1VgT6wK5dv2HOh1RDbUGfRv6v66LWYX3We4i
YwhkqAaxDcvfOf302DvmW46G8MRr99K9SsEqKaFq5uR/VdwGeN4aGYNQM0GPzCk9u9TXNEJuXHHH
gyTaOgWCMgFMVnvFu6ZbvM5WnmDGPvS8T/RUQr9HGn+fkkPgPyjpUeHNC62qjSyhF0dUCPrtmWSo
MWd1NaYmMk/9IYw3pNqUfzSwDuizf2Qw2YhUCYa0784D69O5JGP87G1A2GHnUjt5va4sVM+/6ORC
GGNxjRTUURcgIRpOo6WSzgZswnUJ6xmdhQjG1JKpDYVSRHJQuxkwnoN0nXLyN6EIiM/yBbg/dgHg
VJPbubGa1MHIFXg0AHWBicDP4YU+iPMApCnkrSfzPY+UTU46L61e8a6yRKW+lzPR8xVhk6XIFyLf
zFk1PaWvG/uPeBZwLTelSU3PhMvOBD4eAjoWoIYBu0FBXpIXXK+f4kUYo5amUkRGJiPCmI27AFjv
XJqrdc982U2W4js2/ECZUjxNVEsDdbW0rQ8qpfW94QFqr1vYZSmMQnaCqA/oz8TYr/nalc8KxlVR
leeczmrgt1gNo5JqmoggTaAPrXhvCnc1yKelV1Js5fJpVp90YnLkrWBjmqJBZJQeFI3oqEx+VsZZ
0YYyqFLRmTwFAxMlgPJNN9mj5nCUoBXEnm8iNCZ7HCWkm/VZCT+LZW6crAtrQMgFNG/c7OlkV+b2
r+Rh3FOw0fSee6t+VfrP8pibpwkQCvl+LkLeWIB5d96advNWoRWMwlGqnBj3q6p8lsbcNXXRSSTP
pdkBSfmUfmQksgy5sP/jHjIXi+g3hmBIWNO0B8fBkWIN9XBdxkdt0XIbDxuctyjGbUUAniPqDE1J
8kMhv5boQ5mc60v6elV+2je2hliIgSCYUoPG/uBW1k8meuGL3kozHmowZylsF5ZUjbUSynTn2mNG
Nqi0hTyiN3rEVxScbbOSekP1Zwkzuz0dypwfYxOAxJPrq7/G6vn6rn31GZ93jXFMejBGfqzhDWo0
/g8tml5S/6mJxAFkIUCXVXy78nuniv7/ldHPYhnP0Xd1H/TGPDuDtFPb04xEan6seShKq0elnuer
RFT/2ctyHMAG3ho4qqqqHQHFraiUH/1U2PzBHl7EsJeioglkIn0tOqG5A5yroh0y5HV1/6ioD10G
Mrns7bpAzrpU5mLMI2HMI19AH5LW2ApwVWY19PTW5DhanhjqFxepjLgmrZGiA9gpEvVgJMBODBvA
yPF6QHhiGBWsujiUiiYRQdp+MOLbef5ecVlqVl344ogYfcvQZuJ3I5yD4oGlHfTP+8iecV90O8BT
b3jojKtGpWpEkUFCj0CNceGt2vVDTVc0i8cAg3Za7olBZCXyqxY+9Nl73HA6ANZ8nylLQNwAITJg
d1n32vq60CrQwMT3b9U22ZeqYY2+tvV1HsjOuiiDDiwQSdLZfIiRyJjFV+HJoW5icqi6rdGA7Pbp
uoafyVJYF2jKFzH0Zyx0T0V3mmLKECPukwfaE5I7voOGJFQNyMHfodd1P9vE1rb9i+igJSqx9BP3
4l87R2D2mEiNi6oosQ/3xgTfw+z39OIHF5o3b4bb9ERHn0EGNIIphHImixvE4u/8G3PlgWGKS+GM
yqqzP5lzjEG1xk2f8AAE/nfkzbeNY1iS26KX2Xf//wNdVCQG801AsmIGivEr2Sy1Rpehp6LN7uR0
O8mVJWTunLxcP9w1g1+KYfyKjBwpisMovbdNty8kwRVb1erq2v1vYhi/0k3BOEmApXf6+DlM7TGL
rKF+vS7jX07psmXMKU0AORCCmkYdH51LmRdSR9vF0NVxH5wmB9MKNg9Wi37lF9NYnBLd3oVpdNU8
zmo3Yl2lvJMN8xDJvLnxlSz2Z01gzK/zpXwIZOwdYlC81uON/qAde0zelx458d556/pgGKIKzFI8
ahnvlclyKalZBe9l3OqG1RevI6/LetVrkX9EsFc0GrkFUZOgcpI8Wopwn0mnqHJRBbuuDjwxjAFp
A5lmXZ1EJ++trNHdhvyUUt0aUNK9Lmjl5UoP6LIgxoaEEMDKQz2IDmhwgMevoZghzJljojsJId1J
Ir2VtJkT55GbmOSPLOsinLEsw89TWdGxTAKELAWk6/qHyuNipQ+Qr1p+kcEYlhLMQ1bpyHyBAWRG
c16XWnL4UhYwYjC5Rx+c/aQ/+Zo4xqiKGEXvLMN+BmAciNBaKdjyLgVibryVLX6EwFMUxr6yOarU
roHKT9EuaU6Bfpyy7+l/1XomDpmN2deTIUH/YX/olHu9va2qm7R55uwdx35V5i3pd8I4xL+DK3C5
O21oBcAXQ+v6VFjtbb7PgdWEkal3jliq4teOjHEbU+u3sUzB/1WLgg3QQa3IUyyUgjbDlkcSsXpg
iOcUBFnwUmxIB7hyDa29iLDM/lGaj0X53IUPbZZy7Hp1KxdimK2s1FpOMYUmOaag2HIY7/1Z2QBb
g5O9XL1CFmKYrQuA15E0BiofZOj2Q6R6BpqvOcezalEXGefSz+KaMvuQlCqAwehcFJQBGO+t1bxl
Ty0G+IoNbNi+LpAq8xd1UExEaaquSKjV4fOFvHgOiyE3cUJTvK9mt0/f5BEM3ttB5UzsrJTk4HsX
khjXNIDvssAtDC+P1Mw+darnwuut2qXzT7Wd/g98nuvndVkb453mUc/yqNNmgPMTSwd4d8GJY1Y3
D9AKiqmi0Ilv+bx5ZKowpVw0aG8Lfpgl+vxnYjXye9Rs4+Tj+jmtqvhCFLN7XSBrKGgisieBV5K7
Bq10vFTQyiQDTuj/SLuy5rhxJvmLGMETIF/Boy+11LplvSCswzwBkiBBEvz1mz2xsePpUVi73z6N
Z8Y2RBIoVGVlZf62xuX74gIjeecxWSCET27cZRW8XUemE/rrPJn33db7+pGCKAwQGUJyqXxOiNFR
UaDtNoOMX3500M2b/s9D6ecn+p8lLhvfpVcu9VIhIQsXZ+vycBusOp4Lufvzx/kyzP22zEUCM/sw
XG9Cb01o9GPwng3fkKpnefHNWf0rXP7rsP62zkX6EiyGrOQ8kQ57I1DBCEZ8YbT6lx3ilNK9CzZY
nxX778Zsv0wqgsg/D9wHqOkuLsR6MqUxHDVVh94CM7LfSPIpBQjXGInTUQdnjA52dH9+p18e3t8W
vYjpIa9zP+9H5NLjnefe2P72z3//19/s74e6CObDOkdDV56nDAA/2ZDkGtNGv+pu8/9a5lIgvODh
6uYYsoPW3kkHpzaUsc/ZKGXy53W+rj3+fl+XKnF6MIjuJXKjIbVjHGEYbp3HhaPNuLES/xvW/deB
739eHrnYiEo7gE0MPs5swUUjdDa99rNWRBjUuFsFTf/8bF8Hir9XuwizXYV7FokfSOc85c2bstP2
O72M75a4CK/CNETN59BXej8a72bx9ir/ZsN9XfT+9oXOP8NvV+3SeAaCocGaRBgoNUtM1W6maTO8
EH6ny6yo6qSRm3FMlLUZQubReDTf7MZvf4aLDNprp7mn+szLaZk+wzNgk9aPEaQS58Q6Bnv0sI/f
EUbOJ+nfUevvz3cRPsisgy46A729O70EYx9HlXMsGvnqVtE1Sq0tberbrp6+ed9fsGQQ/IkbIrEh
uKAvdWlG44+FMrgy/U11Cj+7e/E0YvQVfmz4Ea7LeBhSAu7DuJGf5jz3/R0f6Osj+dsPcPGyx14q
ywqRHozJmaZz5l2Eux4+uRITGt+l2t+udvGaJbcGjNIh0sxN0qGgKFMB7vV22uuEZOPj8O3j/XuE
//x+YUbk+Zi9pZdaIiq3o4GeNaGq3V/mmQe1pRD5PYt8/vn8f71rf1vpX6dT5Mjq8SLP/LWzkB07
a4eVx2kfbfABb93tfzRY/M/HuziuRk8N0RQ9Hg9OuecxZn/nbc7oqUCn77uX+eVt9NsTXmyVySMr
bzD6ldDRT8kS+xr+FQH63tmfX+WXce63dS42CRyqB+F7CKXoerMhugplx8R3kxHnv+RfB55E1IXm
FAW+fpEOtTCzW0OKq0jZIO/nFatAq6AFNDJCs+la55vK4utn+nu5i8sIcup+ncOnL7HGtmFVRTeh
57yt/Ok/eXV/L3NxC/HRnzp/wDKeLtJKWbGpeRwV1X+S9/z28i72es3FmDcA0BPL2tvDTc0f/vwY
X2f5vy1wsa8dvlTFwP/7MLV3SCLB+l5uW4gaVfv85rss/wsG2vkc/f3eLrY2L3TjaR85uN6Ht3Y6
3fRITdRzuynjMV1Tso2QuBZps/luiuHblS82e9kLh3be+VAtdFOH3R3J+c9gnG55B9lBlXMmobns
tQqGbY25m+si6aJ5lzd3HZQf12I4mrDeVHN7gPT87Z8/w/kz/umMXKS3VV3xKmjBy/MClMP5u6Gv
f17g26e/SHAt3dcWFGRw+7ycSUf0ednhzWfBnckwIJw1GzsLYvKcJ98pAn1zHi8pBdIPzCQMAieA
YxhniuFGlD/+/HDfRJhLNkEnqrXzCqRrBmMKjYfZ6qHYlSFJPSUTx3v582pfMnZ+28KXzIJe1o6e
VjyRXMiJg94bVeRhIA/tlG8cz39SDdRrMEhC4eJb2XyJQX3JKnTQVUufetiV2i79Jkx8Daf8fawu
p5dpJS1I+mNzN4Vy46VtHDZMzUnZ3cGafaCIc5QuFkmlsqeYtuEpCu9dd2TBEiahnN7+/IrOh/hf
2/nsIxV4kWOjZYz//1tuO8+ETNQGEFx0R6++o+Npjn7O5Xd6Nl9urdC24TzhQdr4UmvKt0U4+WfM
VJtXDud6Gbf6uzW+0DNEwIJoItZwXPSjLwL9aNpF9+W5FqiXW1LIMY4G9AgK9cOK1oFxwkeWo97t
apVOPHiF3D6zujlzwzJu1nlPxgj9BWcDwwoG1+pMVeubpX52gJDHKdyGFn/zh4+wdDeicu7//B3O
YeNf3+G3n/3i9mjrtsuLHL3XmXpxpTMltoEbj5BWlTcCKNifV/t6E0IZEXJ8nn9WUfznZyeLXDtn
Prd6/1KoaoAXyedoZVO8wmTZ2lVHPnyz5tef57c1LyLnanJCiIXPY23t/fBk7ye8fpAT2tsiidI5
AyMiCdCG8DYStES4srIe08kybuLomzG5L3cjLjYkOTbGNuyLp9f+oqX0gWjqvDsMYcRcrbcSng9/
fsvns/Ovb/rbMhcPbJnWNxhtPNcxZ6fl8zP+b+zPvzjCjm3DANGDXjPF7v/nt4xaRzvgwp7pU4+6
TQc/Sqz2qtcff36ar+qUf6xzsUVJUYpRnY/Xeajbmli+p3dQ5cvCDKOa/1Fm/Y/lLtKd3m8cC4Le
oETYW2o/enMyu6mOvmkNfHEh/WOViyRHOTKCNyWKL9O9u5gDltFxqcfUo11s5/qbffdVG/Mfq11s
PFXKoCEeKi/leK+maeCJGWxGbn7URDMla8Pc2plZqF8WN9j8+ft9sRv/sfbFbuTdJBbuYu0lWmNe
71cv0eVhDmBNUP+yJXO6bxKZ7xa8uFqUa6QV2n+V8fkW0/DwrPQz8b2U/bkquThmvz/YpbQBxVBi
K9CuShTUj3wwEmC8eNXvzlqp31HfHGgGfrPaRY2UR7Xx/RKR00L24uZzbGG82ncSUdO46Ax0lqcM
JLIDCUJo9g7bWQy3JW8OKxQO5xnkqOauHdejZ1wWhg0GrJ3bohkwyeH2JWynHjH/foi6H55sJJNj
07Nx6lknyAH97scxdw5kUqhkoMLLuf2zaQo4xY0pB9IKs8Q8pcOErHRI5jyIPW3QgxqDTdst+Hvs
krBy3lP/zhsim8FB+anPcxg6RontdkyTKO1sX8dFVL8OLmjGzrRvNNoIDq8yJ7LeLdiYwen9p2vr
nzzv0kVGGXfplbP6eyLRrZnWO29qX7pKSPBP4qZg0ymXG0JOWoEr4vqavUqA0XJfBy+we3zN4WfE
PcyXUXqTl8udV0xxQIPnfFhinYPkJKJrXuRXs8nvKru97vxxR/ALFpqHBWolrFzm56qrrkZjNpqP
j3wJYsn7BwiYSkyQuq9ad0fLwXjC7KCxaB07ak7rFMbrWsThBGOFYIA6sSFpVNMDj8yxLt9DXY6x
UzWpcM3BTArSe9qLR/Vcu21Wy+56dksWieFXtERZ7tvX9CqXUSwI/6jyO6XpO0Gmk4/6vnXd69rI
KfatPptoed9J+RH0zVG17sHPrUNFunsz0nvhOhyOvxYOZ59CUQ6T/OGekh6poUx14HwuVpg6A71Z
ouWmCpHQ0nIXDSvMS7p91CmPFQ09uOV0H9UQs/LCadeW3iYE25URZXKWtzVE21cbA/J18dIXw6le
3YdCWvuFO08Whu5XArcsxfVfqvnt4qW2LJNgLTfaEi+gxL8YOtw7PD/agX4wM369RkyWJhZ+mM1S
ZL6tEce6xK6CuJswICxkOlZn4Vb3V9S0aW4ki/p3u5vjofBZQ62kdabEFr+iajkav/CTxbcfnMDs
pO8+1BAoEE14WO0RbFkFber8WpEArt/4tUN/9RWJcQYp4iZ8f5twX7Z2atP2QIm6mkrIew5u5vFp
55UB3JyhSd6sC1vz6GmsSQ/MoQlje4ziaF0Pni736IA+tXxcmOuurF6xyZy1yhO6Tlut/b0TmV0z
rVBwI2IzWAMidfAquijOS/9kOcVVZbqNyKODBxtxHxxpoltW5TUcFfwqZ9hvEYu4d42q4ug43Y4T
OAUTb7+WxXE2Hs7fqDfG6iumS/NL2p2fNHb3ivs+c3oBi/rhdaqHw1T5STfhPC4FMIy1YEv02gbO
RjvPpV5S6dNkJsPMhHSPupy2xfrLnXrOqnm8r0LxOM3tVelXbKhKNqytYG7v3Rr32u36n1VpKOPB
nLau9dmMAEkWNAYWHod6zqKw/4DnJwud8oBX1QIIRyZthyctBPaYXne61DGwsC2E+2EmCR7/Osk4
MDSpuiHjyo9zH/rsXOGHE81BrP3WzYtNw9V2CnA4zQxNBztd4V84dP22WceYD+Nx8ktW2e/hQpKA
zGwAra0OK2SH1Zza7pp6xZqIYbh2oYMcVvPT6vWslutucf1Ed3BwMdDF6D3nep19NkUAsv3qx1A8
EQdDiW4ACQvyowWBw+gfXEPeeD1XXvlJWNKOh+ZmtXPkoba9qWso2OjosSQ/e5/DW53TBJaW23D+
gLoGpNywux2/e56MeYx8dDrgXgA6vs6GZfnFcSkov7otFwHRa5kJjx8Dkv/IVX5b1HYqyIPvrGlj
dLyYfrPMxR0NuEoiTmJ/rDkjkRU7vj4U1P4JWizMXYvU8P7dz93U7/PYU3xb8SYZq2aOgyDY+QQ2
ghNcr5UcjsKWN3Y9i3hZoYxPaAJDh7jNAybs8UlUKqstr2FNGH6ui2MxLg1Iw5XSzB2jLUqf60KV
L7C/SoazA5rx3SNYI3tQlm5oV6OuxuEKlxpCWI6dlblAVCraz5yPab02bzMPTbqGPiuxHYDLspKU
yLYQVwLbsCIoUndoPlvuKwa5t2yuQVnDgZAo1dz94EEBZmm2XdADy4mO58lkj85xSyPWOX5aSP+X
7sK0cpu04uvdmjcvfRc9hqY8S3E9SYOBiACkdJ5b10sU7kLbOjTd8N534SHw5Fs9eC2TUfnTJ2HI
TO7eBUZfl9Q8BiuOSYEdj/MUL7a8poTjX1SXDWa+55HaEeHEZUG3evEPQtSYufcSx66OxPCSjb19
N5RzphpdMdWOGaT2d1MLi7LZGk66XJIINwyXPKW5uZ78MB2q4jHgDbRKO8TcYqtCcWuW8GnkxcZt
OcIoZXRdksW+LYfuZIqPJndj/OlkKsoTGJSJW3WJ6J8sPJvjdTirjbWxlTrYJXzuXGNA0MYAoiK3
Fl3TMigSz6n2rttce8bfEUudvBCBqB2HWJXoPRK9A937DDVfydHFz1SS2NHQOaqd/ggcjDIrrw9N
mf/oZIUDId7q3DzOYb3tLNrHxO8GpuZgV9Bph6PxoRGctefsRzKmEV2ypuF7K+rS2qxHE5EnufJ7
YgEa6OZtpd107oFD1M2wG3h4hIPAO6EyjIG7pSMFHlJgvKxbr4YeIU+3O4OcbPI7SLDj3qj6e+PZ
NxFf0byytrTgaZ9biYfBCDvnn1glYjUN47ZVxyFfR+ZGAYPmUeqJ5oSoDduzIvgpaXTgvMj0sDJR
KlDX1N5vlk9l8bsWZISgQx7gmngSTkasJbWm/dRNz8TN77l0WEXcJ02gyeEX25wWe0uTXUAs0HXM
sYXVH2sFhgxmxFI/b2JpmRSepw9tOx0cjDUuZuhASpnuoVydUac6OrhYuF4/hIa6fOvxl7WHHvvs
WTULiT464/LTCsm2WtbUskoQ1p3rwcZkxuQPcVXMW3fmDxjsfQ997wDf4aQQQRxUkD4z1qdsp2yd
6z31+poNufWw1qbLppFs0MNFGud6H20JhaAiXx/W3ssmU+w9D/PrEAgoMT3P3DmPm7m6kxHfaQGs
EokjV+Ub78SCq16/Rz1owkvwNi/Qe82jRIhyY8wvI519MRGoFEEBXUxMQlx5GILEq5b7mQ8bSOvH
ozVuOIcDrFtfqYZc9dENGhV4cpVS/BanrpLeW7GxKzahhJtygD6kfpEz/NZynQQV+uka4ubrEk+B
xWzRaZaHbdLA8ZDm5bvi5WYqwvsuHDfnS6ybgmfSotvfRx1zl0Vk0woMliKoj6jTLOUHYJuqo5qC
69XyXnLX3nXV+qqqJVOhuXHdCfLGZUYKiDQL67ZY+NUy0J3nIxguCeqi29attqqjCYZen9xB39gm
unPDYuuCizKVP6IIOq7dawlJdsvqXs/JICBx+FC3eBulYd1IcbHpdxvt5na2Ys9bhtiFNQnGPthQ
atitFvGkil3r4YqH4FXEClqlYhSvanYPalmYRmA86yMuzsjU0LxbUY/70EnxdTF6ijPWjHpvCnFc
CsRxEd2AhRYHUxEPTv9T22XmyfXJ9HliJucpd8fU5jBB9aZMWnBhlEEGg8/UseEn0XsjgoqLgKDK
q0IJmZQutqT25l3g8oA5UY4kKaBMhmg32cZjuV1v3JwkawBmgoYY32BHNcZxvNvBW28FIaySKgta
w+qyQjjW23IBwYX79otaogPt9VNl+ZD7IfFcvrfkyR6WTd5M27mFsY9Wh8YOPptlSAoLt9341pj+
LsxvBmveOYXYt5iiho8681S/DcZpN835tmhW7ILy4LXFdZNH8hh27d5S8oe7oIAI1ITcVe6GVjPf
X4+hku/Enat0XqrHs8w9b+WuLoJNM9T3mEj/qNUCkTjkxqETPFJfIceR5cmI22A2sG0PX9p2gUWa
czK0/2gDOHLIlhwxfZp5psOt+KgoWABGbHzLein6+bpdkG4suYCDgPSTQstPpzF/nZ5ybopE8/oW
7jkpZlzSAZYN0ofjC8eY+LoUrIuifV31d401X2vX3Y5kjZcBitlOtYHez2FcSFY6eG4LNwYy907W
D6Xl3+Omz1q3/YBLCvN7YJb6vinL2K4gUCDpAfEraTqxoSE/QNFnTCkZ0XubTz0Ub8flCQY3TCix
WXIosNntZqQqRsMnIcbORsnjoUIxuIZJjqe2KYwCcsWkUtmox6wodFaBviJ7CD44EeuRLZaExDXO
QQCpGTrflAvARevoVtBTtOu4Aj3cb6d9baH0Fd5WeDJGf/xnCfqfXKAlOnebcuYHaUXXNb0L0CFo
B3ufgynlNvgBQ/HWFvVVxOW9a0QaRF7GlzblxNkiw9yKwWNBqzdRh9gwwzG3rFODeDZ14npo1pOl
D6QONmutr9Z1PkRLDjWeJXVbD/WWiiF5dbXYBehuLwNYJVGkNtTyDyrAOJUzayBsqkIR09/KFdtN
iPbWN9ATWGBvbGo29T2raLcrBvgG6iam4ZPNp/egD3fcgiLAEm21dwSf45cx6zZQa464lz9Lq7qZ
lLjJffTGkal5s8uIo9IlukMafKhoy1aeQ3kteLEmcOTcrog7Kt+afj2qejyOOT3VBg4RpsA5MS/h
ioMjnSBtymjr9OROOz1AdP7qhuRx8tqHta3gWWL0a2uvzHT5yaFN3JfVg+ryR4Eyqsdu8B1o7s75
baCLDNaqsTNDQ0TBvqUNttTpMpfQDe3d2FXVfrSrDBhGOrbiarA13PIGtkBlu4eP0RSWzG3nVHYq
s3SEf46nvkYZCKd00cNJrK/SuizSoYtuVjWnWuorGfabwApi7q43w0QfhRN90tpKGkclq2qTooli
d5ancnwd2mbv9prxSW9xRWwiVX1Q6NpZgFHQpu1R+YT3fuUdrKDd61r9hEBSAo34QSjOrKm48mf6
6fj5HoMnEMBbmCrcfYQ/58o2WyBvkPsd7nH6NpqJ9bU4FflDLT6VecW1uO1R4oXTghES8VFW0EBo
u5upmJOmrLbrZLalaxgKHZV0c3QTlCU6+irzBsGCIHzGAXqqoKlA2+i2rALWi3P+VaZ+hZIrag+t
5YvYDnDSV73sZU6eYFPya3asRDvYOkK+StTmVQCQZMRUmMMhtDbnDPKiBiYt/V1vF5kjzAeyLcC2
BCh/DUVT3HwWH3eBKizW9X7sT1NmEXJNfH/r45acfcxk1wHQj/CqKKBRkK8xilMWDflJDi2FOiGe
z4W6mbIgOhhisrV4hgTNrgVFGodfM7B6t7WZ91wUC/6DgUqZ96OKAEPNotlOshSAgfgVlDmSaPHi
IOyvyVBgnnlKtTWf1taO5wqympY7nXEz6EBP01OxeJnsIX0yTCYOxu5AhwCukiZrhHkKw7oAplad
HIsfKHyBXa9MpBs98SI4uS2G94LmSrrkTjUq7oeT6z71JM+gX5dYEe7kAsc/cPijZ1VP1STffVEl
9Xl1AN/ATfLiBm829gFNEZsLQAS4KPC1Hm2UTwgf9wtETDoPVHMnRCfL2dK6usF1uDG41OVaPQUE
4TJcrwldcdN8NjmMZCqzoyM8NBSnD54NKYMmQOlnHYbJua2aKh1ltRvLHqFLv/flBLBL7kI57mbA
78X0sZb6Djc6szy57UWQ8AgQSnsPQnXqRIA+ic+qerzJjd/F0AO77sb+obPkY0d5VnvFUxt5V5hS
3syz3vE+xI3oXQcRVHRgKPZY2JSJdbwvqX/AnmAeElzq4i+Ao22Os9FN9FaU47YyUDar80wLk5hG
x2d0oM0VJutEVnfBoTLjXirwkpEp9w7Uc/oyKec1CzSISM38wGESmTi9+9hxuWkn5x4bOQ1dIAnd
C4Qm43EpU5RCt6vtfziujoWed3XjP7V2gAqPXAHfYQMkUblq9hxlHIWkU20sieBTszwADOu3DxV1
Ic8TDc9eVz14VfCQU8g+esPtYlcIZ/MtCdRVOC8QVJnhfYORVqZW/wRb7lR1wR3aR8yuvTzpG/fZ
y+vHISKHQRWJIZwtcB9tzomHLpNJrU+iXFGdtCfPF+chWMg2U29PUFsLXf0sA51ST2+HEl51dpvg
ZziosdgpQIKVhcngaUbQoLdtz6+rEdixa8Xgjl2XJbS/mhAq3qXPis67AxKIx1cbFcH+VnQpJGFA
zwcTqV2Ca2+xWQgzuEX71x5/6+G9OSLp0w3PjC/x5EpczcgXOwEhWT/4BZ26XdXb6RD1m8KJknkS
uOJf+Vzu1uCHjQ+y8CF2Gr2Z+pCVrrcTXr+JxLKRgF2cszZtu2y9IvxoXTKyng8HvpAjXdC97COA
Z2o/meB6kcF1ufIPUCrSslJr3CqzKbrhsR9R9uVWfueLaWK0w9zTBI06PIGsuzQoxm3PrZgH065E
pJOlhNZNh+t4CqLYRtnooA+AWGhimXe7XJ1A7z4GPgTKRn08K+9JXArVNGwkR7cT+qy08bBHvIRC
WUz5DrzmEU9R4NoW+Jt98+oM40aQPPELgVC2YjLQkRQz9iLzFOiPAem3RaThe2yQ6rYFfuMKdDK3
njpolrWjD6HM4G3p25MVTh2rTA0GVyEAWOgRYgCUNXN9nKpaszromUOKq8L9dGACz9pex2f0ifgF
/LWcPdRWd0pQpM70w1/KT+WFmSQ1EhHLvcbT7LrAvUKrg7Omn7Zi8vYB/rTHq2traYBqL3EV4DzD
uOtYiXXjDfQWfr0fayGz3vdYs/pvI4We3Gif+ry9Jnl3H/TdjgSwfxL+NerfbQGTymmkcV7bm17J
dBIiPRtYhhHdkrUGqNVuAhHeOi1wLAEWiRDbFhVEE4wb17U0gMkK9sV1cFtqUYEG8DyGkCPM+a8h
kKcznBs0KJ1N1wAtDTfnjTTan3Xgv1ZuPzDHoJpE6PFyO9Vm3pJxui9DKFGK6gdk1LaRJXbnvTU4
gE2grzD43Se0de7QbPhV1xA6m18agDUjx73LxSPI92lV/xxKSFuU5WsU5PuqmZKwC+/skJ5z1/uI
d9sBdc3aOwdn6Le2/UI7J9WQNALLCVCQfzeXPna8u5lC6woD3E/Yuqwq66M2ztOcD49tPSfguhXs
/GhuVz2Xfv9rknrjgMsy28sBo4u7ptDxOGGoBu4aFGNDsvcfiuFjtdx9X8NrkIrNPGBEAVBd1xQx
z00WWQ0CUzSurDTz0e3t40SL3ZBHbERHKljslCB5n0J5siooTw3+G436reYwg1u9KtG1z8bBEajO
rIPxvETgf9gkSF2b3NLB36NhkYZhmdhOmyg/3MtlRAq9ylOolr0WDsth1dIJcANktyvNlAZBAakf
H4mIoVu8yHsnKg4EqFkM2Oc2b30Mijgbw6Eob6Nj7Dwhz0UcKqM0BIjeOubVtuXzuCrcW+6N6k4j
yivVmee+drc0KgREQCLDwha1p0tSiF6xHnsrCu/bQm+9krpsjXrWVtbbjPaDpcpUez2AfHOjKDwi
wykecQwXQZ6I3zz6UJDwmimV+X3nNIeW/JygDc2oM52kCF61NzC7lUeo7hygafGytgAWlzWDQtl2
EPb9asmTQqXAw2E3O0NmaHnsoPC7FAFq+TLB74997OMWFeUsaouJsWGh0hvpgXhAwYE5B+ilXXYO
cHnKq2ej7beCLJu2eOtacS9qlG8UIs7Ut5od5Jo3RQCZr6X76eQwTzLDVhT6psfED84DiqWFf/jV
ckvnj8YLrk0okIh1AAxbiWqhfYD78kms6GeGmJSlzRiTcsZ+HX5N/pQVPf8RzOLTUu6VBbwr6vQN
emXog9vRzhbVc5Q3PJYzEC3L/vD5zFy/v/G0BytC9UAjfeWh2Tm3d5blfgCCue1cmlkjAX7QI+13
Q/PumEfAGFcYqdiPortSKEoD72EEQIgq7x1JJZSo5kOr7PsprPc2sU5LPRFW8+VgSgGVG7IrvPJa
YL8TEEZR2i+n2Qofyjq66Wx6QxA9c5QQHQU8wxuk5tCYXuefZOQ3GiMpSxNkyukc5DH1xgj+i9Y2
EISAhQESHiVj0XYM49nY4/Ual3WTUAouqu+YrDirdS/NHV9+aEiQtBYHLFYAKi1+WI7aKtPdyFml
Bsjj4rdH4EUx7vzXkBSZaIejXYSQ9V6A/7tQloWPvGSmlMhV7CsyVyxX5s745Y5oGQ/6DRJdaQfg
hUdLamyMAIfgZ4dznOfVHtXD3lFTRqYuHQqeAK7B0LVTX7shCriFLFfhQBInoHGFitmxrKtZkBTR
P4GASiKHn7qWG9lGaSDEBtdVavAX+QFY9M68qV0Aa0OTzmCSYKzwtnaGPKNcHyEmmTR6Uiyf+La2
8u08oi9eLfTeWRrogOaJamArC9l5S3VVrMNzftjfRD5ajoOcWRk62x4ljMXpNySRryYS/kExcP9J
sannNcg7GOHiAmfeu0m7E6DPmJ/IB7+3YeyEtn9sH6IE0vXs+1HP/yLtO5Ykx5Vlv4hmVCCJLVWK
yqws2dXdG1pLaq359c9R590pNpKTmDNn0bOYMssggEAAiPBw34Ixwrwug78btRvkZ/80b0boRdIM
ICmsr8YOHEzQd9IPpSM50xPKKg8hWBfGN1FHutAqh/fJW6kZmwJW+6N+1EFeHIEDlpyZ8B3kDvah
a3i3ESp/gzD6GCcH+ZFjJaRQf2Jd6Z0b7pn2bbGnZza7sS9U4WGLdo0b+bDGQX/iFlxQAa51wDMZ
x8gpLiW6uMlZO5Y+KOsEjVcKm61b1jjozzCVRg/4AlNUwBkH9Q9U454mwO0MSIsHniwkLBbOJgf4
MSfcdIcMVZHRUY+KX/nTnXwwLpOXeTG4e2+v3QakDi5qoglVQfeAylPyqOUCijoZS1cizPXN7zSU
vBqoidtW/mYW/zLzDrBawVUn2lYkGWFGf5y91ibv3XI2bmP3lYPtZ1eOiBVnG133YZHD+5hIcMV4
CjK2q0sKQeGxgbi53anPt0cmMsNFGAWUUAtJUd2UlzODpKr3UXUHkrDbVjakbwB3/FgmhYskMyBg
ixnATN2dZiArde0wGqgT7nHvlE3k2FFDU32BUfaj167/MYVcIKFKU4HbCIB2goYc4qeAGdnqIT/V
L6hGO+2d9lNgcHuvfRjk4oiKrsCgx6XzHakYfIJYxJvplAfWrh6jET99FvFdbs8rLimGoqCdnPAY
tK6ok4EwbnP5WN8XPl4wnxg97zth9cvt0W3C6lamOIfMpSSuCJI90ERj9MrWYfSjvRhWx+LR1aKt
zHAOqY9Gl6EkiTlEiXj4NqK8rX+VO5Yz/TfEmoq8ssV5ZUIkzQoTkMsyHeThi2brR3CWPXb7AHIz
psP6HYDUcm/Po2iAzIlWoaSnOVJTAQYYADcRRe+oGDkroeUKiEImYP7e3N6rEXIe2Y9LWEkDw7/r
xFdGfyrfcDcDFOD19qDeN/CtZWMfshqVkee0mVhH+6z71i73gMpIdxTZ5U/9jxH9hNVuKZzbNjdD
/2ps3MmWakaqaRBVcQEDmcPnGdjHUQQeF9ngzrJQQgBRE8SttDv10ieinOdqf3sYf7OHdY2asmmC
8YJbI7MIm3o00Ob7H03qfFe7J9XvdqH787albc/7MMStUUBjlTQ92uwGMjwhdwAUTJG90AZ3yKoH
NFJvBK7OXPnKKcBoYVAZREUGLwtj6lEkhSHrHCOAuv0eB8HlZnNAq9/nBhSHSjkbGqJfN2t3eUud
VB8uhIIYd+wOepkLhrPpDBiIrFNqGfjvnz4epDoUrydQsAM/q5hn1E2WUbBfN4OshheMQXWmCcn5
AuCvcblIOA1n0K6n4YOBpH+uJhCKUx5SSz8HaBioxXoPm1fSlVluIocgbSCAhd37rpvmlTvjMCDt
7/9Hp7wj/2bnrsxxO7fOw8IyS5hbtJ+54ZiolNDhcNvZtyPSygi3dQtNwTM5hpHODXa4st0hZ5I6
4N4FYXL5TJF7ELjH9kZeWeT8Qx6amFA2rMGXHbRV75a9dm/uoGv8Jjr42YJc7SxdYeyBhgkSQc6U
GipWUSsoHIRG4ugA/KFQSIFdXp4Es7i5xT4MUdbTvYrri2wEodGzCsX4CK3SyabNl8WUwX5pvapT
g3ozzsgh/KVl+mMEolnUs8YeoKeR3KOd3W5Cw26t6VHwVZv+uvoq7i5iztHQmjq+StovPmu1Rtr7
XSGOMUWL1nWLJBONLH9NNq/Yk4Z10RozrCUH5JZyLzhEjmIve+uQ+YGrHwYwnGIW3PACTotnyTXu
o6OQjZsN6caK883zU6LMSBzhIxiTNN5U+2KvoQ82df/Bu19ki8X11aJrS1oQCSBXl4mhlE/tLt+p
yDagQvFIBIQ7wsnlIp6ZLDUOJWwa5UL35Pn9Bna0TqGHSqMHEIeTH6inoyVL8XJ3vKvcf8Maj8fJ
an256Jc3VhOPET6hCo5AAxi9EyuewGNF+4gLecGk/39KHOU5aNB+hgrT22Cj4Oq0h+yORSXFS7x+
L+pp3jyzdKKpsqWDU+2KikchRlUS9kAwZUebTKjjGu60iDJV28P7MMMFW1p1LDvOmnys6JgCf1kP
6RNAwoeCzP5gKIJjcruhaTUsLv41c5eQaUBWQ0tlG2j4s1VEu7rr/DH83tP+GM7mAbz5bks7gcNu
pzc+TF8R9ABK0w/sXFF3k8v48KA9dZfZFGxroS9SF928Qa2McYFOCVUt7AcYs5KDQZ/I+HjbL7fP
kb/WjefloXWZLE2G+0bdnorlTekfZMDoskp0jGxHlA873EtrCVK0xALXhJwQo/fNIak9HaWd9fYP
ohf7retI+WGLi15ZA3ZdlKLxUD1ZRxRmvJRxJPrSrvAY576IV1vdPowsk0BpkeDWxkewpjPVQYaS
AN0XBxR+ztYDgK9usy+/hh6aDO56HzK/R32PqnX5bH5h6kC3V3HTS5BdBxmpRVXKnw1SvFhyyvK0
2mS9TOrnVg8EG05kgZvTkejVQplaAsrf9YymEfrl9hC2r2urMXCzGNGhI3kLTwTu5Li4qYfO4O8x
RCvZUwjlb1GT7HaaeWWQi/rjrIdVTTLQHfjxvXGs/BT9wN3eOKFL0ZZPuRt55heR1c1wvDLKHQNA
10BohbHyleoxQp81fSvGl9szKTLBheJGGaQuxNPIJcG3ivpl8aUhb7dNsJ+42mGrUXDRt6qMpAwz
jGLI/JC81fm+hTRd8yL132SAw24b2+KlQKs0KN4tA4yJqszFwIAUvWT06LM0zr0nfwPk3dHeoAn3
FuwHL9qjBQH5tfkueDIFM6kyr74a58oy2/mrexBkIQCMyWF5BPrZDna49u0NDUxCoRfuIAcAbh/A
FnxwfzE1DzChdK7yxbpvfMEMbJ6uq+/goift1JEAT8b0xrKX/sg+JHOBjcH1AYRGrEghgx69Eqby
N9d5ZZfNz2r8VoWbYCYnyHrLBwbHn4KHoAey5WGuvSb5fnuUm367MsYFAEDF8pQmMNZJmp0Oo5+o
pjcDfnrbjGguuW0flKhpKSgauKFUo9kI+OsjKTAmVg3f3zYlGhG32aexl2e9QcSMumPT36vtAa2D
t02wnXbLQ7nNHo6GEmaMFYa1+rc7IM3fk7KiYsT2pWe1ONyOL6YsnqUJs9ah15lRhYWvjCyByYoZ
T6agWiBYIr7YkuWgiShmeEIFaBqYtZfyqOmAYuEprR5uz9/m/edjXO9P+pWHoz020ioVpjR6zsun
GiGl8Kbq9bYVwT56n92VlVq1asCncSMZIIBNrB99a/fSUwxYHgWmqpcEZePts3Q1Ki5e6Euc4NKP
1RrBssEKH0FlF3hkKHjC5RfAlkSBcoPZDSGaGuCWh+o0uDb+DBRQyxisqkB7cHCWHaDhvfAx89N9
cDQc0DbtFlz1YNkPQN/rVK8i8dntxMvKPLcLzKI3oTpCkAm+oL3NL3fZnQkij/wf0B9v7wTwgSkG
IWhLk7kwFfbWBNQNbrJAW6oIxWiq3KEpKAVoEvA41Kfl0L7tPdvLuTLJhSwtTJRwVHEMxehqQYv1
F9UIXLTE+AaQI3YVJV6cL70NEKsf6xGALz2UL4PpGW2oAs/a3JmrL+HWOUylfpYNZJAj+lp0aESK
0Woa2GMNmJAkGvbmm2FljFvVYWmNJk3w9kkOoJc+R/4P3Z48UDlcRFpgW3yBCiTW/lpULryhl7el
ZgNT0cHYMb1k42F8SHetP3ga+AnbO/ryb5g1YRNepBLVNAyePgWUbUlnsBSecln8yWfhe7rTf44/
APVGzhAKEIC8fLntSpsn0somd6CPXRl1qCOC0tK876KdIr9YuuBE+htv/RgXt0GGehrarIINxisr
ewWerjbFC4zuLB+03Tv16faYtnMBq0Fx2yOb6mpYZCxeHULC6xzSE25Ldt9/0dOLioxcu4vN/3Ee
uX2gW0k6zxRjzNRTrtwB8T2JNC5ES8V5vyzJkgk9YrBblI80sFG5sQft+fbUiWxwbp8u3WJqA6OF
adDOHA1HuUMPsvrjtpXt8GyhZmJB3Ycg0/bn6bD0WtyVCp4L6g5E17i840R4nH12eUDjv8AY++ar
G9HKmPqnsUhKoF5bwtjS7ayd7gGRds5c/NcBcYhn+cFF2Q0ehuz8g9QD+/FbxrmDt9dpVyc9oD2d
v/jYAbvQm+GKPnJ8R7Sevt0e6/byfcwrt5vrsSrnsQG7t0x8AjkIqvr6KLiLCReP285KnY5dxajp
FAlaSBDGlarORYnsi0UadNSlpzZ/GYGYzcGtFrbF7vYQ/+a4/Rgjt7lJg9arpkJagFwAA/SgCek1
XognHwTFXJGg2DbMZ+U83L4ONKlTqwnOw6658R3Qicx/IAoItuPQ6c6hi87c2yPcvBuuTHL7XCIK
OitDlvfIfi/oFJLB8KF7LUhoLCuwW9GbRGSO2/LgixnyZMAII92TazuXPDXc9+g/llxF9DgRTScv
B9RNTZk30zvSjb3aEx892iNerQCM22h7uOTfRQxr21mdj+nkNfvUGawQVIPJ6nPvjZ8gECR7mS95
9LW6i74BXs0KNbErEnbYfEeszHJRR4plyUp7pNnRvT72pt+kgKNadod+hNvuItqPvP6GVIBTILGw
6ZmLLi/tLt1pO2nXff0H4Uw0Ki7AqJAcL3qWrWo9kGuoFtTRQs86tT76dD2QyzBo01hAt0eU0BRt
e8JFnQS1VH1kVNyjg36GF4Zsik8M2VQc5zvRtme7+kbUJlyMkYx5WQAiBi91/gXMSi3EbWY/UXax
KrgbCc4mvhhTSAXw0xXWjiRoEnekNnGaAeBkDfwApoNnGzpAhA6z+TZD25Sq6yYB6SK340Gk21U9
04RVdxUkfCeAm8rDO2JR8DjY3u4flvh3e14aZF46hLLWMz9XeIYV0OQCy6jL6GOBs38ynvRUsB82
XXRlk7tbVGaH9uZGwtuo+YU2MbsI/XS4HzRB1Yd5+pWLrMxw+1sN9SzTWdg0o6dK/bbML7e39eZR
vvp97uJQNpWRZROStnF7mnTA7MGK4d02sf3IWdngdnMiaSTsG4xBISCyaYC431exq0xfW9TR098x
GBvo7KC5bAYwuVKcVv7SiuSKNrfa6hu4fd1KCdXRsIhyZBZ9bsBrU6mKn9fz1wLEO3M2CKZ1O1qu
7HFbu2pNaayY8yvomEZBOQTlmy3/7JA3bs5oWRBMMXODazcxGDgIXFSmxU2xVZI2KCccA5H6s1f2
snaeQFlt+Wb1KSb3JBxt0LBk5oM0PAosbz2WAQE1kSFHGgaXBnzZKsUULr1FKhMDhU4DGohx8Qxe
ej+7x0G4E4FPthYReFMMEkQFROVxUOCLTNQAuSBXrn5Tcs6DY9V8qqtjOIkun1vzubLEXyCWiQZj
D+Z5pP7VY3dAZxWACHiTO+i2EOI8Ng+dtTUulkB+tw2ogTT76KAVFyAPRjxeQKNAdZNHkciFYBIJ
F1EUMDGMdakCmdmCgYQsnzLAupRMPWbycF8TIuC8F5nj/KNUOnXSR/hHuxykxTfMUzvdoXcaqrK3
PVFkiNsCRJ7iOVGwZEqHS3r2w5x0dwapn/atkQ63TQkXjIsmOYUKglYg+52cCixX4S57NHu/MLx1
4YgUF7ZC9No7uFCiAWOI3iakiptg8gawXGkDAIdEmD/ZOq/XdtgEr3ZylpjDKFWIIUs5OLLaPdBY
2gfqZxD974NZBjHeBAaU5gfEl/a351O0dNxThKRBOMQ5O7/llw4NfPVz3x7B56mI9Hk2w/J6jNyd
BFTdpO4aZDTL32gsdrQ9KM90G9RrX5KjSAyEORwfk1e2eLyGOWYSLu6YT9IchuZOGQWzttmktTbA
hQ0N2f1SYvT1+nn6rKHfBf3d7Ka12JLDOLKANySPsh/YpR89Jq/q0+1V26yPru1zkSQN5rAKWeiX
d7MDZci9DEIvPz0G7g8yO0CVz7AN1tfOzn6Jrs7bm0JHjxhIoCHCyzmrHIZLPujY7Y2C/FT5YxpO
o+nfHuDWrVlRPmxwblnURdFnhgm3HKRfdADxs0T8pESuXe7BHlreKyT+Ekipd9usaGicj3Z0AR8R
SF/B6n7M2p0GzqNYYGJ7w/01snfPWm11ksQteGCx4foctSCtBWUbuvhtI1cfZWT2wfR6e0jbMwnq
TmjwAC3Co4stOTQAdsOZA6YNHKb/CzE40yz/PzNcpDSmuZLeL5qJ4jbRLsXbXzrSfwP/X1vhXG8u
mn5ZWL04l+7n6DUlB030XmMfeh06PgbCeZ4B5jvTmOB5IX2uwNQOcI1y7PXOvr0s2572YYbztCyM
wXPZYFnk9FBJd5XkNfrzbROmwAaP48U5FWXZwK4bCnCAHUELrOKbWfYc1PHnUY1+ROayi4LRAZsl
KAGjC/qOH9DGB+6B/t4skTuNEqT60n1WTbtcQRF4yH9NZQAuqxFyEVXi08Z6akq0FOdNfGkkpbCj
GESWM/EW0JyC7vxz3Vo7MqBRt5T8BSSAFGxJabx4NbpbrWlA4UrZB53p9kX6ZLXyXV7lZx36Kmmf
nIcpOeSQMQY1D6Kb1v3o0squtPwYNxMY6arntC8+ty3YiaoZPL9S44JzyW1B0RWDu7EiIL5pw10s
gSbGAKFclkqf1CF5tqj2hiqanZvNXo0jP45A4y3rh7Sz7mrQb91eha1F0NGnaKKpVlUMjf19td/r
0CCxERqoNluJX0nLOa5QEdWnt9tmttx2bYbbf11ugHsqgRkQdZDcpyDM0U6lfrhtZSuYrK1w+68C
G1uchBTBRFVBeLUL6cWSIgQtkLJ1B0t50TtBu8fmtWFtktuPGWBuJmppOAl6kPUR+VtfZpmTDZIX
Ft0lNtI7sGOpYOccfswgtUj7QDDmzeLW+gu4rdpaoEcPwQ7ipp+ki+nX6KaFeEewh0TOYd4Pkk1e
bs+ywGV0dltcuUwHgeJ+1BUIIge+Eu1mesym/80r+fJMk7Wgm+jxnNNiPMPRk2HZrSa6JG29T1cT
p3OXlCCJQjQ6YeL0XfESQUIq9brDfE7c/LX9Up80aPpGXoNrSpHa0S9Amf7N0xwIaBBzyYohyzyK
TB8DUG/qwAg0yJz+R9MPtHcn9rhLfWFBmT2n+JNDB1jNBCpBQ22X2xyDaZXg341Z/nJwTWA80C+p
PzPAWOl2Z+qKXpObl8C1QW5rdMBOVSVL7kAN8rS4/Y5Vk8F4ecwhm2XuUMU+F17xGF9EqdpNB12N
lNsRyWJmbZSwxEMHYsiTKeGpJ3AeNln8ZK5OespdsEutQRKajU2j4bOGhJEWQnAhgEZBH4Tf4vzn
7S23/WD46zi+bveQtA7U53icZPuRhiDHEuVkRQPiHuNLBcaMqse9AtTZ4PMKTqUh7XtGABOjEyAx
BG//rfNgPX9swKsYImkU3PUqzA3xcErq4jiWqs9Y7ShoDm/P3ZY3rE2xv69MWV2GEigbma6cJbR1
FaFNI8ExILLBHW9pkE5G1iFNsxipLXc+DUob9Ky3B7IZ6dcj4XawpOShXMqIiq03ucjLoiku3QU+
2Y0ndR844XeBPRYAr5wc/AWKqhqGrPF1najtkiHJwZ0TpHZxYrnKaZ/dgV1Q9sGb4ItQ65uTuDLH
+UQ65IusZphEojN+RKcpwVsle4JBiaywv6/cIaGAqysawmDpGY/QretOTEt1eqOOcRkjVzriduKK
aoCb7r4aGucftFgyycwR6bUy3lXj8rqk6MeSx9PAqOJuj3B7gMiDWsi7QmCMC02sOFY1BbsEmYex
PgXmTq8Ed47NcARhMQCfkRbR+aJRM/VBpcWYw1B/SZZDLPr9zZKpsjLAHR2zkvelDg4UeDrcDnX1
fXqUnOyNeCA29YzMUbzUr7+LmEk2p07TDWJA8FOz+LaJgWhzU2q42fRJs8tADmQOy501ihCeIjOc
N5CkhZBLgYsHNLvdppJ/9qCi02fl821H2JJaVyDd99dwuHghA8k1pQYeWIMPlWSAD4nrg7Dv2fsC
TqoEfBPJV/NndRbl4jedfWWWX7xRLaERALMWKjrWkoAa9XefFDaInASurrKfuopQK1PcSQ8B5nLI
1IjdoIwdKL73nTudoCvhATaHXZ3vkK4EDL27wyvONZHzivaJB+7a93+Bd3u+mbEbH6Nx92LUGg2r
ZeNODtA4u+v2ZIeSzk4IfN7cfYTltmRgPQ2DudcqgqHbN0JbL0twAS/x2wDuPvKb/fwzs6ff8QN4
l+4swfG2uaIri5zDyigDZnmLfVHjcQ7aTw10//ddJSitbG6LlRXOXbMJeFKLbYsg+yWn92BItRPR
GbM5EpNYFgph6MblHxYp6HdNNdKxRmUY2RLkecJC2yWd9TYqumA8myjA1QODF2Fc1M6kEvSlwIQy
HNqz5IDH1jf85NgKytxbHrE2xJ2cDQgZZ0oDnGnyDu9sEF0+33btq6VR0dKtvhMawe0Q8f90udQs
1WoAm7ubJSc6HJP0UQjJu1oZzgTnY01PpaJIAC4k9edCKu0uPy/S504SPQ6uKzScIc7NLGDHqrEy
0bWcHLPCD3Q/ku4G+joh1amBj3Fq7N58pBNwM7XgKvp+9v4RIjjbXGhUEpXoQLuyjunmoO/i1gY+
+sioxFi7NriOfoLxFZRi1S5w5Pt5L+rd3J5kqlk61RRUAbi7gSRDaD7Q0ROvWJDPAj47eKuN3SAq
/W66C34eNx6Z4IHLhWUlXvp+LjDFaDQxW1fuZTAo64Lgv72QGpobDcukeD1zC2nQvF5qE06JiXyq
AOQC0bE9u5CY2f0DKfWrPcaWbmWNW7opTHokEGGNkNYvVKzSAqkOCr4+y/o6ZqZNxshvA/WxAB1o
ryrfq5RpQLXOktTe7d0oHDk3v1QaKc5WuFFwntwWcHsbh81jYIP9bic9CHcMe/tdee3H0PmaQBGV
ZUbReOXW3uSDAhyIq6qzdZd1JXaPIEwWIFu23eevheVvsONszNYCWRMXsq9TdzeA+LYXnGgiE+zp
szpDySRRyElgSEr2tYJiBZhSJ5w8t9dJZITN68pI3KY0lEeEtK49pIBu9tA4ELmCwC3f+wVXNqZm
boNlhlsOP+pvw6E+qwdw1TvKbnRxHFwiT5S1umZHeN8IkJJWLaJaGl+xicpQHdAEDhS4CQbIrnCM
WXf6APEsMRAzwRhQdnYsKSivqA9Z+SYH1CE1CaFX1n1TZ/qpLKBRLkE9pUp3I/jPonYG9XDkhEtw
CGRIT/2bVfj4Xu5gKaZq1IH1xtmVjfBbYJIhC2FIosLZ+xl4vUs+7HDhSO0mvc/6GbF9AigkTnYQ
NmntpEdRIej3ShjdJVO4L7vv4L/C/1bOoWnWdmMFpzpKc/C19wsE9aIddvfb2NbPlR7FIKMO7+SU
Qq3tWSprNCEWr9SCcEti7EOl8oym9aXI3EmtsoNK033fJOe4Sw9kbvak7Fw5GP0OZNOp2Z9bS93P
mXSeGwJ5XP2SFV9p3jvgUBa4/eYhA64gA+ycuqq+131WLjlCdg4VmBrN50A+GL6hAPwQPiZRLFhY
NqH8hFt4gKoyLibgkuCi4BSnqWw2IIpdaIqbj1Mvn8scqjn0ILz/XL0z4PMrUzzoJyvHoRzbBGsb
eKF+18WHWIPE28tgOLR7+e/9dW2LO6O7yqTaHMCWVh8s/a1U30BoI5i6rchkqSqYNlRgpSD+zEWm
uJgiScHUSR1kPJFMZEJRSTb7/2IoKzPcmTkYarCoebi4hpk4aJzMQxBTk8v/ZoRzg77FCJMERiTr
W5Fc6ui1CT7dNqGw37hyNZWQ9xI1ng9sPlcuXQ2TVOQz5BUZGdV8pDaYHHzrgXWd5g51WghkolrQ
nVPgRYQtAFv7CbmIv4yzv6+Mp/IMTZgshkPQb2X1rVXfdB1sx5PAJzZ9fGWG8wljpMWkaTBTALPa
pBQqcdG9UXc+UYczOhAgIlgPouOLOTM/sSbggf93mHAeUish6MwnBOcBkqDIgiTUTwlEuyu/k6EF
Y3pL9iuAkFc2f769pFvBY22Y8xot1EhkxjCshd4QIclzLLoTdC6pKng6Xb8C2XmpI5llWUijAu/8
5/LlUCaVDHZZU6CBJEORtlMip6S1C4Z/aGoGHtHDl6ZMchsKA4JRbt4OVrbZ31euk7TIpBmLhYui
1jxK2h2VQwELx5bXrEfH7Qxl0JJYYnfDHGSw7UvfQ1Bzp4LWl9g0EXjL1i5c2+I2Qp20k4TTYIEM
eugm3V1demYNjmzloSH3ofSNjF9uOwn7+CvvZFkWy6DY9DyJSS31Knjo4SRzA8g/yPpV5CRUUf/L
5iKtrHCLpFV9DswNHmWqJPtKPx7lNPFvD2T7xbCywS2TGaTRpLDWPVb8y9Cy6yY+9YDpZsVGeZ+V
AoObbmFopo5rAHa3wR1iYZBWnaQ2eDJkUKKEIPDvABLVkfamQV9JBBIUGVP/9PKljOk8QY/JHZtT
EYKH/5Qhx5K8ZtMhm3aCmWROdu0THyPjtrPS6kNoZcyYwyTWGazZcrsLFB3dymPVVOstTR1RMVU0
RM5HlpI1eVewakDeAOww+nNk4LFL9qX8vS8Exbltt/8YIucsYTpGMThqEbFUFChAZn9JC0HYuM7w
s6i4chBuL5dmXJoTk94cqkcTotx4QCvVvoIS5eC0wz4M7yDkkAMGo6YQeLZ7/ZzETvVfc01xX8Gf
eeWoSyGE4AA9+j4oy92kFZAHax0Nota3/WbbbUzFkg0dlTSVO296iSqFao64QeAG2dzX1amKfBWQ
3dtmrnP+7yP6yw6fhM4yI9LMekI8HuZdFaZPZRT7IAp8SMzXYhoOc/+tof1FSqGwEz0OU+8aeHoF
KXkr68YttNbNivZw+6M2z1rj45u4YNBmrZmHsYSxk8DJCqdYnnrylJYv2SLanWyrX+/OD1NcKAA8
DqTsMRa0cwcXTz502XZ3uotG7/24FwXuzXGZMopFQJlqBuW8p0skyB0SzHVHIVl3T5o3gNQaWba1
XrRdtrbk+g7I4sPqIDeXJQ51iJy7aQokWA2EUVOc675wpUj2S1P1y/hbF4LxIdcg6khQgtblcU+C
Fjeapd0Tg/y+vaZbZ/H6gzh/nhOg6KIGrxQ1hKTRSe8rJ5V8yGqakwVxtvtA3d82eF39hmdbKmh7
LcVUCeXvUUalUbRu1qBE/FHh8g0atWlPnWyGBAmyfvXPRsg1dA3u4kxyUZeOPc6VGiYX9VMV+F0D
Ka0TUTq7TJ2yfxmgqVR5HdTrBEPduhWvh8oF4NyMmzkZYFc+qk4E4jZG7lSfCvA+aIK9uelYmqoD
YYh/QKr86Vh1XatjOrZIoqpHczpNhSeFguNkexo1wnK0eKsbPDMsyaQJ1xtccFCdc5ufjIfbqd38
0D4kky0qj20PiGqojlGA0Pja9AIRaqPIKOYugwTrxQzuM8W/vT4iE9xmLPoxMjMlQ34SoTOLa7ec
1T1t2tfbZq6bF5n7aR9D4fYYgNdWSkbc3kcH8nQNOMUOPXRA0K+M1HJjIN1bXsTPza2rxsoq35xQ
6SqaeWc4X4Y+Cxz/VgHyRUeLLklwH4Vvt8e4dSyujXHuZw2EQAUZ98S0/hQEv8wFitEeGQXHwmaw
+phInlJSloMi60McvvGyH8ipHV+l8deYvNLiWDfnFAp1t0clcBCDuyOOWQDJPxAsuU1xkSqXqocl
F4TDdywCf9KtZ46LTbVWauPUYeaiHvm8FCLZvfxzTttzMy22To1dBonedoKAOoFiEGmhHZbs8Np2
AmX6PqH3kAC91su/Zkn/JPfTvi9CVwqhWRjnxwTae0pDnogqPd+eme0ovloKNnXrg0wuDMlssHfo
3npknSESureDPYN1QHHqrhZMk8i/2N9X5qi2TPUUY5aU7phJj8G4G7v9YAi8ePM2u14M7iag0Toy
Uw3sViw/NFxiD4+Bfbc3nR6Nxtk+v7R7MH/+ixqGpQPPCXk4E0Iz3FTmXa3qKoXRYti15L6ynKz7
enu5Nh15ZYKbPlLVWZoCBOPmVWsPWe20sen3RNTXsrk/V2a46SMd2BvzEma0uNrHuOiDFchZYmjT
ZzMyhkWJNHmf26kqKDSx373aQyu7fCAHwqhLLdglI0vOQ48ROhSjLyOXHPy3JXoWy8HECniergCC
y4WEQaqkXKpwVywMpjJ+r4ggZptP/LUFLiDQRKpoFuLqK9WHih7C8ZLUb1C0iSxf7t5y7aCUd0vi
FZlgi21P4sfIODcc0zDOzAAjk+In9DnEUPWuvy/FkxaL7hFsBNfL9WGJ88ayBTa1GWCJNcPKHrJo
ry1o1js7uQfQxhm//9dM1e+LRiG7DJIghgn7M3oQCLtaCctiUBmCxzme9erg1sOv25vsmq2XmSEa
2OoAPkT3MnfON0PYUW0q4YbgNofM5idGEdTdZejbS9yosE0vPwDtM9n6KXbNh8wrHBFm67pj8M9v
4N+NPTJgphrgyGo9HCWgkI787O1QPIDm4nvl1Qf0zeRu6EfnHhluEVXJNQ/Au3VKiQKiPohzcD4U
UWkhtVXgon3p3OQBXPKdbRyIl55rF28bfyid0BVdfTfPBkNDZye41oGJ57aklVlDmssogozLuVO/
Z8XPZtqbwdPt1WUx5MppV1a4bUnUfCyzDuUJKMVnP9T60PelbcUygs2up6F729r2OqL0pmpMiOGq
p2A2FPQRDZjJ8jfogkAW1B06y86dGFQ3FOjJ2VU/gyHlkvrRr9wXXb63r/or89z7O6wiStuZmVcv
spV6ljz7pJrup0azjSTcGcpbCJ1wRUPFpG8FgKvtBf0YO7egsT62kqXnLD98KfEqG2s3M0HukwiO
DZEdbknzWI4WaD3jhmzso+y1B9mh9msZD7eXcvPsXU0lvydqNYrbhu2J6LWtXsfgrIskADZNmCaQ
tkhLAdfKmdDI1PWDhcBTkxf0MJTShUgC99/2iJUNLmjnc0fakdloc686VD4oIl0oTan+O5u1wP3Z
zF9ttpUx7iIxyrmVhjqMLf0xmp+a/PvtNdl+klm6DFoLAnQ1jx+U1EmRhwBPWRxBM1gtWqBMjcQe
nCYDK3gCzuVRSKX+3t1xNaqVUW5TaZU1KGWIXGnaaH4gt25YV65cY0tVKajkpwzSJ9lFnkc3TiIn
b4kbQiW3yen3pWkvk2H4U5Lu8Po/ZHO8o4SiJyxRD7E1+pDHgmq3mh2iMYUSI3h5bCsw/LIKwXKU
SgfSaXYS5o6Sl8Dh6E9T2IJ0KT4H0XBpSOUwofdYmwA91cxTSHq0jqhvUabt6iZgF8WvdKgP1Opt
swXoVhq/9BZCfIGMDdDVZBncyBwdOhXHrH6KSXMf0sSdx/RrrqEfGGX9sQYCXB7OZdZ4RgcPUj9D
2FqyTRnQuY4eGqU+KfXvapqconoKFgP6R7NuK3Xn9JBuT+fmWHdFjr5P41c8Wl/TIPs+Fm+SCY17
aO2GUfRNIfXO1LoJAubSoTDafWVJLyWIWOolEZSqtwIHlXVDwRyzhkvuoF/IRORex4OehE8gTLFr
+rOOn4JKyE/OoMa8x6wM8XiFJgoTTU3hpnotHS299lQFHactSEqodC9l7V1YtL4SN9DIFXEbbJ13
FPyhGsGtCcgMbgsCFxKWtGHOGiNJljKV2uiTxoKyCq3erj/MNHoU7Ep2D7sa7somd4/XjECbisRk
h57C4GlH4ycDfhfev9A1wE1lPTxuCeeRJuOosSvhxOTdLFGb3ub0aYToSGApBP8w1NWDdS4MIzVq
DCVPVdDnfq/hpRLgsGpjHmP6PWwCgU9unQHU1DSNyugJvOLi6pqxVZbm/5F2XT1y49zyFwmQqPyq
2Oqenuzx2C+Co3LO+vW32Huxo+Fom5933wwM4NMUD4uHJ1QhOa82jgkxbqUJZo1XluAYudTIN6vK
ojoMa4xxO5jagx5LDW7IwdZDblWJIuEHR3hbzOUy2thpNR3vuQRfT4WivUUZJzA1Ujmznd5e9P56
zn2z+/DffL3Lo2xjsInTSupGGJwHa7HHG+JLnmIXR9R2Asqf9kPwCw8UjT+ve/zem8vUUUEDdamu
6jpzyCQ9mkQtw6aVCtoyZGsGalWA/j5IkJq+bms3ZbM1xpwuIqT13NPyDa14hlSw185+KY7u97e9
XfpcseVd8NosjjliuUGmtepgLw3GQP1MY1faNv8vFMvoWTZlUwUxlqZ/ZAoJK6ij9kDJurhLcCc1
6YsGOkaxer3+BekP/uCVGzvMB4ynuCzVGC/z2WsDyhso+6vb+zzk5Zlhvlu6oI6a0tKf4lMqjcxX
fcUTD7yn4u4lBp83ocEtqh8YO9SwqnUMFiGbP9hZcd+Kj6pqLWPMcbsdF8fzRSEa7TElH8bYclWm
mWh8tEoXXmZJdeQluqlV/ctUokYxLu71Pdpr8XpnjwmywhXjO/E0Ua8T0Udp5a+jQ2zztB7Ee8k3
7qIAHdYg3yYOv9DEWyv7cJFFKYMf0jjcUyECrNx0+qELA1PiZKF29u7dImn8vIGrCDzY1UQr+wKY
iPOgzB96+SEpOf6+g/bvrNC/b6zIcjVW4YTldORZHj25OEgj59ba66oyRImOtyF1gqQJg4AQ5DWJ
AjYcByNudlOBRq8+5+a3fJUwfNt7/fSUgp6jN3h5vN21bewyZzkU1nVORPRbd4nhhrFwyIyvaPrl
eOPuPhEFU0oQcAIxDnOUSZWRcC5wxsrl1Eso4QZr5gxcYuqd6xIPP+CfJisYLL4g/3ajGlNsjctG
uW1Qy65kRW55WjwQ2FCOed70ya6bb8wx3te3aWG0tCyyxK9pfYwjWyE/UzBg97+vH+YdJAR/FmBD
lkEdr7Pv2sLoWyJF+oKOycXSIP7Q17a+BNMcWnp0zghif86G7T1z35mkO7r5lENY9fVsagtqnKIt
WOhmP9ZQQwTBgc+raez1eLyzxfj+OjZGNNZY3vzDvIsOOeQeIl8/q19bV8JkbHwM7TiQuZXVvQwz
7NLiO4oOENdgYMpIW9K2moA1ejRP2dlV7RmO5CNDh3wPlAKv7+LeUduaY9xFqbQ0xHsFGavqRMTT
VNgrrzS955FbE/QnbHatVWqjlnDLgG1epiRX8+iFXRkU44QpIowzhPrMI3Da8xRUwumxIypK1B9S
CIM4ZKGEZdEs9nrT2JVdg6yFxqe8iGAHRt6ZYu40UZA7sVEi1FUwLoCMADmIq6fy2jJ5Vhi3QD0x
wZhLjCbT7LCOnmreIlOeVc51b+BZYbyhjKPIIAM+G7TufVMjJ0zuGEgkLS2Jreum6H/FxGvvPhvj
FbJQ1Mo6w1SU98chaQMpyf+8sPbOBAMXK8kFWZCwM3psZeIxXR7XqeIsY+f8vLPBwIQ8S+Ec0ab1
yISou2rFyoS0i3f9W30UJKNS2ht3Zi7EZe7Q8WZgJY3cPqVh/VOLxmDS+zs0BWfOos+OMszOLKgH
Jfy19uQe8zhWaIzWuAyfprZsrJz8apvk66jkr3MxHYxyvsVYiTs0lTN2Idqk644TW/I2mLleK6Ed
WxmN2WAeRd4o0U7JwusN28sUbr8Lm4KJNanCAw02Jlvy2vvOmhSQL6quZkm2cQKvHlqYOcvae42+
s8kkD1Y0Oag5PYkow93SApne2WApt1cbVWiX3OS4G3Su2uReLPbOLAMzJBQbvc5hdkZbloyHRxIo
0FVJHF55YQeuYUi5MEMg7mN5w0kmp0symYtT/hir19FEKsFFgpBML9ed+h9W9LchNl8BTJnLqsG9
UI6LHavyaIOCypvLz0o626SUQOmmWpgKMdBVUT1xjNPP9RF+oN2pgw8Rr1Lm3IrlJIgY516c0Wu+
QU72hCHSik6YpFb5FWUw+V/hxJs95gTLebyAVh+LJXl3rGTV70bzS0c4Efs+fr9ZYc7ckKzjnI+w
AqVsUH0nX0hUuVOtHSH4wsGkXVN0xplW9SSF7TcrowK9PkuCdh/NIcuA9kxX0RJb5A1f7gLsmx2T
JjK20YMYpZD5SnG9kvagN7VfhZKtlymn7s0zw5zqKjbrDnOVSAmmGPHN1qfJ/A4eQ46VXUzcLIY5
xMJoGrNu4BC381MTHYQ/lmOm98Tm/2eiBKhZY/g8xqa0mKMQDL/QbiLymE+YleZ4Gu97MZGCiImi
sFCxEgWTjyJ5FcTxSCYe1yDPCv37ZvOXnghJn2I9YnZQp596YwspB4Z2TSiQ0NXAGo1ECwMEaT20
2rhg4/M0OleabItTei6K2r0OODwzzPknbVdLnYA6uFjfaAh4ML0b/5sTCc1okLxiUhNEEu8/lli0
Uz532JKwuSfTQYMOivopGTlW9hfyZoXiwmZLiCROqG0gFDGm8dCUyqkYsx9N9nD9c+1eQniaQzsK
7TYfhoLqGPBY9dgVPN6ttTbcchqsUS9tY2rsKeP1oPDMMd48JuusmRLMNeFTHjri6rbh8yrg8PBo
vncRQMUGgScfzS5sO7tJ4mmoZViS009VE2QhZ3v2w5ONAcbRapAAafEIA8KhvmmDzjcLS39M77Sf
kyfZ0P/ILPNndKc9Xt+wvQQ2zVT+vTD26umNusuKi13hLjlAMDcIPQUs2JJLTnyqiJ3sw8Yc6nzv
3TDH6Axy2DBHBVBpHnbC446fNNz19r9XpbPskbEZgiJIhBnwjbaym4SHNfvzDsN3K2HuhGTBAyui
KynEsymiq/Tc8LgsdlcBqgd04SFnKLKdP0PWT8hZF8gma59I5kvqQ2m61/d/9wThoOrgKsMFxPb5
zLpmoPSEyGOAoIeq+KLhROFZWL5EvPru7gnS0HauUM5X5Cff73xXxFLeEAAQaUpvhpRIlKiH64vZ
dS4dSRgCWhUJu/PeRJuIdaSAYAVpaprk7y/quv8DydSeHU0VkaCQQU+KZNp7O6Het2GnKBisAC1B
lrvCdBfBi7PVC1tiRd3DUoNlC8N82l1RuGVtRRjebQ9DaM1NIIMEUU54rxsKD+/iYgkDtBjfAXmp
amBkgfFGLc/SrtZHgnOVB5QAcfREW/UktBCL4DFdbhaPym6LJ17Fg2eY+RZ5LU4GjhtxxsZZy4dB
aSzFOJfkIVlvBMIj2KC31LVlMoDf9IPWNmFPnGkmn8ZWsDsinBPoMnURjwaAtzDGmQaUn8NSXIgT
S0jgfW2zh7H6aaTPRu+W4586LrN7zOUsIv4HB4ZGQH0EdrSDEcioTvGLYB+TlIwdJmhq5q7JTQNr
muwSPGz1kxHklnEn+OlxOPEEOHY4bt/7JP3Cm5BjSiNFDFORoG1ycU1PBIdwAanfwo09JegciKD5
S4duTT578AesYdbJXGrahMHFCNlvB3qiPURvF/LpOtJ8zGC8t8BmMNJMjcsE9BtODqipZls/oNnI
7ry8cGhiWwjm1F04dzX1uCvOz2rlUXGfpWrxPSfhJtfu9PUsZJwa2MdwgFkXgyN9pZbrDKoDGoYE
gpVDoqU+jG5tgajN4ocDHxO+jD0GPojUDpNeKBS3+gAa1OfCls/hHa2wlJN1fdM+wDZjiwGPRY67
bK0E4hi1vapg3Ehza0BBR3KLwU+z07xGHFjmWWQwpITqxZxU2DGCaIcmf+SLBDuPXJGDiqwgXhEm
KaK4RXYqeXkWpxp0IvKtWgxeGhHn+jfkmWIQpDTLbMSJQqNKE6gC2Cvv18WNtfvrVnhApTLQoQpD
rE0t3KJ1FhvBor0e5MfLOL4Vebz5cd4uMWgBBpHJmM1WdvLlqW5QMS3uCtWdhKDSAhItkFjgwD3n
ILNTZNkyjpVZU7dYg1BuLBHUuvHP//YJ2WaptSzUXopmMBj4k0tFNSUdzfJ0logchs+8CQu6IVew
iZ0iKyI1xgCzSpwyxBTAbAvKa556Q/jT6F9DhVec5XghO0Om9isIh4aBOGvnDiBvNUabtA+k5GmW
fOy9fw8ZGgMZmbaOqQSyBqc2/PRePcRe+ZnqI6pniP7Z6WPltJ/+OJHL2GRAo1LaSFPSSHaGxdby
g5Q8x9ppnq3eeLnuIh9if8YQ/cqb+5n0ZoM3LQ5ZSjDUEOGltGLqzfhiRIpFtNq7bo3n9CxySJVY
T+MoO5okBo1ZH6Y8O8Vp7/83MwxyrGEugSsHgXBcP+PFYQ2Nn4ocWOc5OwMYfVM38yLhw4VSiTL6
aZlPOqbo1i9RfZctPMnMjyXt9/ukM2/msJvUzqxSECq1lz460wOrraM//uic8pa2S11aqy1exYRz
yHTmwaZMRh6WaGdyxEm3q1w6DWnqKBp0bLUiuL5pPFNM1NFg/LLL0xWb1h1k+VNlztYc3kfohbxu
52Pt4vIpFQ1PUIxzQ1rivcsLc60uqQxDOXIs8iF2TBCLdkHh8arLH/M5jCVmSWILrZO2RyDVtVZ7
I1idLZ0KHzn3O8NKoIedutOBL4lIw6WPMPy2PiacCudFGUkJYExexhsacM8n9bH+TQm4UG/8zmta
2T8Ib+YYeJxlkJjUCX11Nl4GJdJZuZFjT+8SO27vTR5vzv49/WaNAcZRr5RGyrA48Uhftgl6+Kgm
fcxBkH8IPt7sUG/d4GJbl3natJdX0oxWjswNg/KEAiW6VYfPNSegop/o2o4xsJiiSb+PV8RuCKqC
JQeLKIRIr3s9/S+umWAgMZXnXtZDrCeCwsM0BzNaEOb1rE6uiXGr67b2Uf7t2zHQ2MlrQZoILy+z
l526i07NKDh9pnMQmHe82CIkMUtZKQkwEZoS1UtyME+JK7ggnwjQ53OUfdluPL7kKGezLq+ZjWdE
GRmVNIcHTm11ivvFqkqBB1Gc3bp458aGqVXI1dWI2yhLC14N0IRR3NzJzhBhsJRX4YhhQ3RN639c
6XwPWGy/m6IUiHUznOWp+BVW3hR94/V1fGwjZUwwcJHPySQYQoJ3ym8oi933XhqAyvwQBtOXyRtu
dIiPuIrV3SAw/s6LqjiOeYn0Np+10tsy6lLgcVX9GJqTIf6qRU6V8B8es387/8VpNzZ6udDEKBZl
9ICFvnKR7jZ98A7/D+0MvOUwsEGqwuw1WYB3oJ8A5VvzCNGC/3SUL+mdzWpmgualUhAkJ55ObesX
3bGNOcj0D+kGA3UvNCKaIEN7D7W6lhSZQNMo8+t8USWIcIp1VzhTJvgBui3Xl7QfZ/xtjo2k5qyG
mnuP63+Vfw/dp2o6mvIXHWT3183swgQmVEDwhkqYzKpJtcIkN9OCV0Msdk+1mB5bUvy4bmIfADc2
GFDv5CIv1aXGozVIDiC5jh4E23iuL1Os4Hm1EsyviqHNCwp3/Q7ZdVTBUEv80D2K+dKukmWCEwr6
KPN5lXxT5hRW9p1iY4O5f+epaPNkjmVneegd2jRT2bloGc8tVMDLo3lPIs5+7d/4G4vMaULXDNia
NAnYt+ru1Eq+JrYPVYSOgv5W0VMn6Sc3JfWz1s+lZapf1qhwr+8n77sy27lWklQVK+7oLD+qBrGN
NmhKjeP++375tnnMaZPDGWkHZcKDT/kx5+fB/HR9EfvP5bfvyN7KGWnEQiK4Q6g0Dbq6PkUu+VK7
hhUf8kOGEXnRVx45Nunr50N0s7HJhPR91A9JhHDAmXEplg9yVFirfGcOjtohNFCCpboreSRH+++I
jVHyHrdEaTYIhlIBJAo0RuLYCdvmTi/wKgvzWynXoZxRnoZkfMzqkjPIzfEU9p6W5myMhYl6iuYA
wNbak3nNxdx9ZC7qckorhFeA5ck2fMqylZfW+F0Z3BntclSuO56tVbVBO8LZTPrdrm0mXfzmztHz
udBlUJwh+KFMC7lj3CvBgIHo3gfrzpfr1nhfksEZKSsLQTAQaYVr4TYzEgWkcaHNwAkLdi+dja8w
4FJLUyXFPdKLbX0uiK+Ct7HqJ0uNfv+35TAQUqKSHw0JQuKwV9D81x+FsLtH4yjH/3jLYUAkj8fe
xHSi7Cjic4pGetC2r/cir/S9GwWDqlAleKSjssGcam1ou1RXESpmijcZDqbsLK0C/9KLUnJ87iPD
CI1KN6aYsyzFSkaUQvurTIX2u4cksxJ/tQiIRgR3tJsgd6EP5QhO7KNCdzK/8Kqa+5f55ifI790+
irsQ0zw404ryoM+JJZrnaEFrI/j0bqvKK5tTVt2ohh2Z3jLdiKU1qyY68nkXL/2oH07f5mcwxz4r
hZ6QpYGn4umxuJo9nzQobjYef06DOuM1U+xBF5YoIUamOGHotuAp7r9OA/gC6kOll6A1ff0XR2Oz
MOakyz2UBjIjQ0Cmj27ffMYsvK3yhOX3o4iNFeagC+1gGhHYrFHLumCmp91XqZUEs1u64N3nZSH3
46SNPebA68ZgDnJXUMed3Ok292bJ1e3ele2Lw3olLwGzC5gbg8zRV8ciXujV4Gj6bSt6cxKAivb6
TvGOAltY1YQwj4oq+f+rxx8d6Hb4ha04mT/8GByqbZd/4vWR7b/c3lbGllaVNJEjNUFYi9aFQHGj
oyL4SGehLXw5dbyGP97GqQzi5J2ajGhehLWvqxcdOvAWGjfzccZ8knKIuNqRHCxlyUGhiVpJTWZg
29LjVP+aam9JgaXiIZk4VxDvCKgMgiR5O48D5oWcvp++iygNGrl6zIzKqlXJbfTsqTLRSpnov5Jq
9AUhvNXrxud40G4MsdlLBlrGci4hYdVAVxpad7JH03fS42ybaDeIHIWDmZwjwZZek0peFXCk49Kt
0LEX5Pn9wHud0FN1BSrZTtdEM2d5UHAV0hJ5dkREe5mH4iVIuCePgZNkHKJ+nbGU5Wj46Hl5iJ3+
sNyPNhr5Id8ASpIAU1jOf9wtBlNQ5U3DhOaEOlc5QrrBjZ3yexJcqAHueLvF+ZRs4bWP01FQVywx
D1Svg0Ds5P0vKoQcp2BLr1KUqii/Qtm8M24r8MDon9qZ85TjrYSBkHpEESoaW+Loa+uGhZMZurPO
X2XNmob7wvRV3rODZ5AJUUyDYCgrxGVDGzf/+nSYY/F57WS8T8cASCTORVnINEVYJJZkWGP50vHU
iHg26N83jwwDYDgrnYr8dOZp482g/ChGXgPD7qv0DYQ0JuIQhmgxixzX2HIMj9mxP2QBRuZs8cCr
VnDAXWOCjko0hkaXqA78TepIqq91X8bGkyWeoBAP2jUGHialADfpmCtO8QJuf1yRui2cJ0e9pDe5
sMDbIwYWlqiE4Hfb0wYQVbZDf/AbVGCQHV5tBYyXt7IL/qMT72NynJzND6atuepZ1eGmVCsoYCIF
pRqpLYN5fxGaY5u33iqvVp6Yh+soyFktW2otBaWZRYLT3M3OIE1WYxzGnqd9vJ+0ePNJncGMIoF6
zDqsgNpIszDKZOoHLfWFyRnGINdGiHjgXe9eXxnHPdmx6HGoF82MFRkMf0E73IulUw/ePD0af64b
/O4VpzPAUYOxVxtCZGTC9DAlvSVPDng3rOur2a9gbD4hAx16niutlKrEkX6ArQQ6IaGjgTxQeoxv
pUfZNyw6qTynlniInOQzxzhdwpVAQGcwJRYrRRg0vGJo/bN+Em6XL8MP7cuIAUbZLc+lgtINZ8E8
x2TQRZMnJZ9SwFgdPZaiQ8LEKsXX6+vi2WCAJY/1ZRDqBSGUgr4G8XMbFgHwkxdo8L4egyhJlKVG
Q8Oov7RJMjf1sl8ohNoSdEmaJ2hVPl9f1z8gJqoXCkh0IMHJfDwC7QxIAHX0KTNf9Bbm76atWE2A
0JdPE7q/vjdrzGfsCiUZCwVhb64g+aqgyRZJ8/KQf9aeyluEvh6yT985K9xPGLzZZL5pWWqjiVZ4
tBtgPCVWXsh8DMtn8Ooqum9ijGWxdcMZ/nja/ZKw+duqwfTDmGIejXoXIRQx7/X2KetcQ7eahOMw
+8j1ZoXJQM3hWC35XKPSoXrDdMiaszh4oMxYeU1m9Nh+PNZvhhhYXkw51RJSIqGL55LhjgmmviEY
AZYFzm7tH7Q3Q0wIp2L8Y+ly3DJQG5QqCx1LVvIwpnDJ1QariYfOQKt44kV0+63SqFn//zEwqONu
wi2tzKpSbi5X+ew0t4OvQw82snprtocbJJMx2OSUEyc+/ofXzJtVBqkjaY3FYYJr0lwWya3kVDxU
dviTykxLL8IDpQIRaotXvt+PIN7MMhidKgsGaVIsNjcPU3qsIksaB28Kc2vKn+u+sKM/Zuqlp8Gg
zUwqgeooKz89puEcVyFuBc28F+qjnr42UD76YzbUixXo7CGRDdUqtuqQ5uLQR82A1GDVfgKj/qmE
Ek7H1V7cPQugzsIEC2qLHzSYm2YwINEDFy3Hz5F8DIXftfSgGrzofBe3NmaYI4ekeFHrA14A9C6g
vVnRsTyYPsK8g+ZeP3UUdj+c7o0p5tAt+QQdIdoQ0+AF0NxEg2KZ+q2eITHYuwlY46+b20WtjTnm
sCkNnvHFZZKkvdGbOwhz2n3+edD8Rv163dIummwssQdMW9ZkEfCWVvTaksi3ufqpKp+v29gvRG2M
MMdpmMscLcy4tOOb2SvRgFt8UnpHc6AG7o0QabLk1DKDgYOUvKUxF7ecxmY3Y9jKGcsvS1ZDlio6
hCavLWs/6bhZHHtjY1JOhiYTil1eHSBC9kWQGIBhihLTRTxaD97JYq5qpVaEfGiQc5SaByGqrXlx
C+kRisTXd4zz6dix/9Tsy5Ws+HSK/Bpnz6V6mlXOxfxR3eOCRX+DhMnczGlR6hMIrIB4aXpDkp+J
Jnoair1ZJd4Dfd3GmK12wOR5Mbrq/LlZIl+BbGeqloGOAXFzzBwTB7KW0YUJnmAlVrzM/GEana8k
kROHg9vpdXD9u+y/HN42+8JjvLkFKwEMsyp9fE129Aj+4Bu66bUH8aLzjJxeFEzOeoxRJBe4OUqe
o7Hzin3dLo0S4hTlILnt7Fr9kYW60ye3RgF5nqNhPtahZGkjT9eNd3xNBo2EJmzQP09oh3kRuSuU
lNBTYo/IVmik9GX5d10XlIb3jjSNTaLSChckOQuqH79YicQLHPcT75tNYDFrLFIITeCRaBhVUOei
XSdGkOWh10bKs0Ee0atzhwSA30fpyzphAE+I0BLCG9fhnREG1GY0+MlqhhgB34LkvtH7texddzf6
Ya/cOuy4+lRktEYrwdv6xCNCe5QqhXMMORebyaBXE6mzGC846W0ISXWkLiI8e1uM9XaBPp5BNXh9
RRz8Mhn8CvM8M9UC4XgZ+tUULHVtLfPNOHGK9dc/nMzOp89prmlygiyX0vxQtOll7LTn6wvhHArQ
V76Ph/OaNGFIm9DUO9FW7NxpPvUH5G0d1adKHZEzHFrOx7vucbLIxDtRlIyVsSIYrhMQxalfpxgx
f/Xt+sJ4RphIp0ir3hgR1DmJGOTNbIG5W0Up/bqR6/GNLNL928CoGMmgrEuwkvkVdLTgMQ+i8JuZ
/uSHotx9YsBCmcQ8FxJkvPMAzPK+YLV3kasFzQ/1SBvshs/JE29qgLc6egi2qyvloep7XBKLgY7f
5s5QFt/sBGQg41dV4Mq10m3/gBKgWxfRX2EQZCjem1vmCmQM9SWnH9+j9nLUH3OruVlu0D7o8Bq1
dt1jY4zBi7YSdXBA4pmrg90emQpw6YeH3Fg4ATDPDIMT4yJHoUTwHGpm3G2vkxp0tX/dB8lucv9t
KZe/b7ZJixFKqQ2W0nuGTxmtw3u1sHKvsjWncyS7foTgzoFY9DA3p/z1unm6giu7xqoSVhnYrdUQ
fbkihsVpJUb2BZ8cePVAzoe8tM1sFkkEtc2bEItcZsEKzZsp/KGOnDfEfm5g8yUZzOhC0Gp1BfKL
0tPsEZu4nR87P9aHAtUSqoHBG/XkLYqBj7jpFtBFAT5a8zz2diPdCLzwdPcMb5ZEf8Lmu61hjc45
A2d4kMebtX0ww8gelacaWr1TOHAuE956GMAwB1CBV0KFTSrdXA6y0R6qf3MjbtbDgITSdkUZmWj6
kKWXsr9N+sN1d+YtgcGFcCWY5cyxhEZ6mIWT0D+mFQcT6K5eOzEMJuSjoXVLgnpsoTwPiXarQvL3
+iJ4kMBKRImgg6kSFTlJ2vlaO9pj4+rWjOIAWrMLuz2lujV5KGoH9OqYMOTGuRd3Y3xdBPesJmsq
JXN573bppNSDikfqZfYAGlGHKDD91Kpt6GFxPuceAG1NMYeISLFRiC08All7XE1uGZ3G/AylM2uO
vGX8lfG+7l7stzXIHKkxGtNkIUCJBnoseKgMI0RMbHmpeR9x70LcGmKO07r0BqkEXB509kaxOzTA
Jf4MtYzKWw7/JnG3NcYcrGo2+2nNsGNG9nsUMe3YWyZ54M4w7zn/1gxzvqYhD9We1haJfCqyr3r8
ct31eZvDHK4+15UKIqJgnNE+mTrKALjzjNGZuNzAnM1hmzfQXadlEl7ReEGXAe0Nnj9Lj72LRq1T
5Ii8rpvdt+Lmu7FNHGuKAx3S7VH8yu0xiVV6Soqs9eB0AXL1Hi9PzjlV7AR9PTZkqGv4XoEe1MFJ
VRBB2o0wW4b0ZGLCR2ud6xu3i1nbFTKQISaiXEkJdm44aj7SQe78Wb/NqYKF/ZdCTAKqhRrcYy1A
hNfzuu+WSCcbsgQ5HJaHUikrUe0qXJNi9aLF9xGvqrK/f5IsQgXU0OUPBIFluA6TQVkdwnMLJhPk
eN36RMVOMDOKuKziNS7u7t/GHnPOJPAvz6jQIkMO3mWondReD40E+r4LnchPntH2nf4GKZ7b20Lw
r77mxjhzCMV41CqpwmBisQZy/6tS/pQ2Eu8DXdJUAolq5GtYjkIyCkuiqAZuF+17CRoYNbUgT33d
H3cfXFsjDPrKwyxPaP6HEUc7kmP9TPlninNviXdksEOrchIv6nlWqZezwcHWKgPD4TgLudKBAUH0
B1f1EMX7+q12M9uKB6KMA2/oYNfvN1+ScZOsXBvUueGWsxrbgP9TKUhnzofkLYnxhrVvk3yWL9Bl
HNunyFVvw9gSPfqwQxf7ueG1CeyWujcfkQ1/kmHJJkmHf2jnAcqKtGM38qsb8DHafNKgvYhxa4xJ
oLSVAfZjOmaZGQjlHEl4nZPD9U/IM0Hvok0Qn0MWLEsQZDlF80M0MztGB37zdN0Gz99Z7j01RPP2
vCJJ1zo0JSx5uENjq0WFEjEObT52MPVgFJbG6VndjxXffFCmPrpZHVnWpq5L5NKayaFUk2DlQrDa
XkgfxQNXSmM3QtiYY8K3op+IltLu+wHJSDE+pH1oLe2DNnLWxbPD4McIQq6m1mKAYPeoKt/q4aWE
JGs6cRCDZ4YBjJlkRqHhtna66iUaCtTXfkeJo628V8suf9rWz1moEMLJMGg0KsmuWVqan0DOIjuH
X5b75qY8qf54NO4gOGEnHm9QdvdhvrXNQEhZlmGtG4gNqGgXccECdoL+qyu8FAEG6wPh2eAVC/Y/
K2RuNcjjYRiYiUaWsdDWGfePE5aYL1tP8/hbzyW3wso5547iw0fEf7PEuD9yvO00jQgkW2fAkFnm
gvtfcTQQPLQ+0XnW9pJFICv/e12M96uCnDVxD2viEQxnTuQm/uINgchN2PA+IOP+Qg95t7lBDBBl
R3XB48xJF6vjFbJ2kRHaMSaBXLdhsmFxN+izIMaT7EgtuPtazRcV2coKyb6+STwzDAAvBZh9kxJZ
gdK0OoxU1siD8pJPPBuMx5Fer7QFxUqHnPU72YNM0tF05a/Cow6mhY7uUG9xJ03of/rB+Tbfj3G+
vIOEIQiRUTbPrM7Nkr8ixMD8NuQ28XobNW1eJm8f7zc2GRfUlxGKUC0QK1m+Nrkrt6da86cErJnE
7gTFWhQXabCm/o97yDhkaJjRDAEl2dHbVwFUTFPsqP+KKU7frI1B46zQ86yEIo/TYAgKmlBUFdzJ
T1TgEvl557pXcr8kA8mV1IZkkjQ6IwEtwwvDg3okFgSrbR4E87yTQeBa0sqwHwp0605OHn2JdVvk
JbL3Uf7t47H9zhXuy2mqcWPSrFVxSNwMvWd4JFFqzu5EKYp4zyT6q6+4P9vpXIygOxcoDUcK2gLp
0B5UzFRmXK1tzsdjW50TKdTQrw4s1EdoCGFquYSQEAc/eDYY+AjNci2FCIkVWfAicGWnx1nlpBX3
4+rNBjFoEbZSHif0XUfnoWlCajzpGMJGq5IXeby92SUa25wlncGJZdRas5GQJ9XOowOBUDfz06f2
s3Tbu4qXumiZc01n8fn8C/SQXvMKBimWNK9DOcHbmfiibRxjG7zFaEukNGfSrf4JPf+vVCws5hWV
ud+XQY9WHYw+Ruv9JadEbA2K1YUdgixZ87I7XoZn94LebCYDHhFYpUSwcmIzm9diwfx0Y2nhUZE4
ddj9uHFjh0GOIeraLKY8WYove7GdOpMPclrIoMlgLYT+s10jo9P/Ct3iP2IW25krL5IQ9gvAWJd+
N5k1gvy/F/7N0+xtdQbz+hvFLm1FU5acorVECG0XpwET0xyc55xtgwk/FAHhz7zgxiR++kzcxhds
ZJslKOZSfqIWUub5ORY4VnlGGUApp6weVXGhQyeBXJxT8pzJPN+gP/zKSWObcYuyCduRAPHlO0oc
A7r/nznaf2W7PiLbxwkAeMfLYAAl1Uk8zAWsjRDFW0HwE7mU35dezvyRct7lbDAooiyhMPSSKjmm
8tiPt0Z16kAzFd5l5tlYb4fQE6ebXuaUx/Zf8Rt/ZCAkzWXoYWiIIqPfiw36d4h7XxKpRomKT/QT
g0pexB1k/KgsRhNytO/XoP+QWRHMRAGLPsiaaTIcQnn4spWvBOXd6FHajM7GWEqgfp3dKViPeONb
hYMOdsnuv3DOyb47/f0z2LyP1muL0EZo8Jo9ydNs+RTek0Cz6KytOVm88Gv/gLxZY45+OihqTEb0
sYXLUWuCBPmsluOy+/HJmwnm4Keo7HeJiOL6urRQKDiMQ5CCvL97lNCho/vQnb3+BY39q+/NIHPo
xaUaJfBfoyKNsb2mEtBEaz4LQm9nnRykkfgZvTq2OY5BKjVf1HkM+nI+yjWBlOD80A3pnVoN527O
bsC/eIKsnUXqxgnnCS31+iHR1puhqE6l8nM2oOFolgc9al6iVnPqRn6MhsabuySQdDO3SNJ6utTc
Rum3VWxus4V8BtU+HkIZ0EgXv1Wz5ghQCoGsy+pHdeaMSuvIVBmaEEvNSqsYUq/vFitOhJvO+BFq
uqNMxXPaL4cJ2ulap1qKWh8KvDMy5fss1UGnVHZjfF+7yK9TWu0YhXOIELQjva2aL+Dbn1blHqcr
stZ0+SmEQmsv8+fQrG+VMD/r62qpReuVOOYxJQ8dJzf7P9K+q0dunIvyFwlQoNKrclV1dbuT2+0X
wWmUc9av38Oe/Vxqtlzc9QwGM8AYmFsUyXMvbzhHaSDsJlQesrrHLoPMxPX94h1BJiCTwB8KCROC
4fLOK9rS6ld7EHlNTn/AzcuhYHBzlQg0Iwdas/MRl7uVXwaDg25V6nf+rhJzgRKFgc0OTRFG04Gu
0VRbVxyaH0uR8Kpp9LN8dDuXBTEgCckOEralhsZLpMrCJvLVVHq4vjM0erpmgomulGia8qbBMqbJ
QXJKVu679DZXgpW8Jv/fWibv0VdhIiytbBZxom2sXdvdiqv8vexG//py9oPF31+M0LTSJkfbGOGU
tesEhqnGSaEGHGOe0TjnJeer7c7JbBwJS7RTDFlCsgW3x/iqHZUblNdBpGmv92gDc+g4UHsLscI7
HpLv1x4vh47VK8lJpGEaD91F+ZcB+sqUbMAA02Uf0Jg/eh6P8UP3OARgXA2Q+nm6/m1594swoDto
Y1gLE0RL6LNK+9bAX0Y31ZswY3rPIx3gHEzCQEZXrDnEEMGqk5jVIWvB1yUoT11GrDH6RbTCMZJ7
zvKoH7xyFdiRILGAQLYGaIZXrr4RwAdVplCOwx2/FsM7pgx4mEoz5roGpAIPZTvepv2vKPZVk4cf
3B1jAGSOjLgxMtzu5VgfBn8MQm9yagu6WCgw8RpcOD6ZMFBiIn0gDyKM1fP4vE6zVRjEXUIYkw3L
rLmL4+0XAyedMfegXkIwlx4Mn/bujEfau0PL1Lyl/SHl8xtXWH6dmcxjnlD6uOTzv93H0+DUL8rZ
eIyD8bxYAjS6ORjDOSMsuY6Kro2+pxCzji/9+mPBuzdLX4uWV4HfzbRfMIWl1Zk0TeoS+pgXirux
8ObGiftzXT/W61cRklMaJhx4A+G74QD6qTUiqZoKHcL3KK0l6iwUMx3368lD1ZJjU6C9q2uD6zd6
F0I2ZpgDUsR1n+iUl0BXol9ZsbpzrDpZBsqgcrWmfv6mgx3husn9G/fb5geltqHXwrpvUGVVtDWY
keDX+yIwTOlMJIjYhoNVl78UlJUljH8l4oQxhpfrv2A3Ztj8ACbaj8IyLVsJlfKxwdt77GQI4sV/
9XrbGJHfb2BHpVNUA2cGPTBHjON8xQv/KQTpzWqjeO3nvomg6/v1he23pmyMMu4n7UJdCxHDv6Vd
xefGjp36FH+GDnHQ+6HLZRDav/Qbg4wLUkUjXbsCr5rOheQ0WlKMTwK6fDTLldHkUJ4lzquGu0Im
gEWNlBRzgysfnleUDxs/Oc8Pkr/ab0ruP3lTt7yjwnihutUGocvpNRxjR+yGR6PSOU0VPBOMA8qU
rsFgJeZcWkwrDQfZ5Djtt37qD057s0cMlMza3BsJzcyIXxu3BglZ7LWn5WcPFsLCr0+jPYE/prXN
T4NVubOXeDFnhbteb/MDGJARR32SVbrCsTtk00GZSktZ7RzzYT0vv3YdNnWWJxbMjmG6NMAzEp2z
+WmuPmki55Jdh0z9LVm0iZ+FOitA145kWj1BwdyutcGWYz8FVzzKlerfNSdePt4bmm7MxaKuFBGI
JJ30hnJLlV5hT5OVfka3wzG39Z/XEYT3/RgAIYMuLDll9G+hwZSUWhCh9QZenecDOEfiDVc2q2pT
sRFDBRU8IaBUaiUmHJJzAkI1GXnkBrIZ5bPu1FwSqF2mGn3zNVn4SLJcGzrAhyKYdqQ3ljwiLGkj
i5SxrQmmZczxaZaE57jqOZ1uu8HKxjQDJeEotMZInwYVOE3z4UUikRvnmpVNo3N9EzmIwk7ftKMR
qiRNidOSBzWRrHx6vW5g/5QgNwMGVZGILDVUX68pqOMQVkay7krDsahCP1T960b+ECdcrDC4papj
JykjMiJFdbvmNxBNhOCvF5EbIbnrjDsxv5kb013aYOQ1yFBA+oiYF8sMYFWzsJid+hY2rzfJEUkF
XwGrA++t+gdn9tsOWyUV1NSUk+yNZ5NWpyjtj/6gu6ZfuvVZOPCKKPuX7mKOiXvqKI67SscoQSFg
cmS8JVlhNRjaVl7NlifXsY+SF1tM+GMqyoL5EXTWx2R+lBXJEuvcSsEhNrRroItPZq67188LZ9M+
EEIVYt2PPSZwBuIR40Ur/ShJrQZ9nUvyjKZx0ss8FKNoeOWcsNRQoRgnRdegmNO5kjd9hRi5Hd2U
30I8sChPE0+mkbdCBrxKOZRHo0fgXAvHAcJr5WFNXgpyEPXDZHqE+9rnLY9BLC0ZjKJfsYejp3j6
KfWixuoLiwYMUEW36ueWt4f7hWLoGvxfZGGZjRaQfFZDikIx5QeP/dHrvsUonfa9RZ4m8BegJ8Kp
7emFN77FAxudARuzLUEwXyGzkWWPYmTna2Yv+S2RHhXdUaqARJhCsKdStMLiy/Vz+zZWd+0UMWgz
VWVXTBIOLq2qZkiqKGCQLKGsdF+feghkRpB0yn39KAeViDxt5EQv138Bb/FsdXUdNFNIeuDQv6wl
sR3fGQ5BX2/pLn9Fhadftpgtsy6iPmgTTXSjWmgp46d0QtPm2lqjbLfCTRkHWj1yoIHjr9iiawEF
YxVyUgA+RbUXcivUud0ZHDTgoKvBhE69KHWK0OAj6qZFRgM6Y9YSOcWADsu/quduPiENADbR05pI
CGJKvEqULqiiYMzByB78xzPBgE1doDukaHATey+61b3GN935SGsFBU4gzzPtx0a/rz1bYC2IWERa
CCAtmm99EC/IhZ2M4TNnSRz8fKuYbT5bVmuiIVN3q1qDGwUZZWOGfCWyYtbyE1wZXuu/aYDIGFJW
OA03vCPI4Eu3DH1Z9wjj+/4+1u6L4bHgad1xrzEDJHozIFQzACSqNblowLPXl38HbkA/xEdMjndg
CVm6Mc3C0cSlQsfaYQKTJuUcUVBQu5e9+gjp5f92iVlyFlXsFJCz4ECKEBurR0/KOoyEcY49Z5tM
Jmypi1xfdVDuObJ4NEEOrjwQHl/OPk7oEmS+gXKEbc6Pi2HNwh6Xd1YgvTk8z5VdGd8SFLU7XhD2
h/TMxRYDFEktl5kc4cQvx+ltBCUGD6KVIAdFD3vpV9+5aeD9L3gxSf98c8liaVGVeIUj/d+kI2bX
J6SEcqv8hr0LJDg0j2d1Hz8uRplIJRZl0pgNbldlwnc3+NdPuXkaeCM9+w+rixm6tZu1yXGL96OJ
z6nVt2P8NJmvHITirYNBiZTIy1hCsgEBJcYn7O48vhR+b2H+1X2jw/XQ/XDgdefxVsXAxrhmWqIL
CmrCQuOvZXgQk8a5vjDOutiaYxwuWd5VaLqW6wfBdGXhmA9OkXIyXX8AwN/7w5YcY3Ps26LD1VLv
ls+1Fx4oFaD6D63lgPyE4++51his0JUFfch0RH46ghYTuc85SCBqgQaL/wcPydkktrAY6cVqjDFG
o6EFFKwNdAlTnvQhb5PoT9ic7j7F+FNE3UcV20vvjSB/zQOdO09OP8vHcPeySQxAiGaZRsmE4aT4
IHkILM7gE31Zj6tbYBQaqfjrJ2/f51+sMcgwd2u1zhKSn7L4JJPHNvfMFgwhsrdqq1Xqop21vGh6
1zESIoqGqEqmxErPlbKqSFVoUgTsPs8HdMI5Um3TFEJyF9rxgVcG3kXciz02i1B3dScKNVQYwsyq
o5tOD6KFI82z70g2NpjUgSFNhdGWQPXJrm9oV9hCSbMTrIpyexqixb9fu8eR6ARWZRUTcQzYloaZ
N3WFy5wNz8viq0nlFOJtxiU23L1ZGzsM5tbxOk5mQwvNdYo+ou8STxxtP+m4scAArApvD24Fqm5C
p7p0LTvUY2yrmmhLQo4B5fUQJYqrxZjQMOWBV7zcvW8X6yz2gmNjnYw1RSYGNWBUgj10nP7MDopb
+7nNe0pyPiaLwKG5Sl1hoAC16rG1Js2dmUWcSHr3RqOwpJv4CxRDDH7o+QRR5wlOeNvozxfr3b1V
GzMMcIRzW6YZHcbLluLYjMQqR/VOK7iHg96cD3C4scMccz2chlEzqWscCqvtnF4JzC4wp89J7kny
uR1epbGwYl6Kcz/3uLHLHPsiaYVBpUMG4fPyRoMfg/1Sf8ZEg5u7gsPjpOB9TuYODEg7RmCgwthV
5Fa6nRYHaTpch/odEwrkI03V0BQFU6GMicaooRHcwsQYfdNLqH4WSDrG9n8ywnJFDNNkkjWpISOh
dkcRfkVvJL+BtNR1M/KOE8FiiGISTaTZMOZYrHGimEuKWyvdhef0U2c19hiQT4kdHqJz5Y8nGtqg
XO/Tcl3jxa7yyosL97/n5ScwJ0QdsnQ2Itzlsj3o3WmaTuPIqQzuYPy7VTJbtnZxpyWRBLdS+fXQ
WWkCYgq7ILwoYC9W2xp66xrbxDaJufSTHqOX2gzoaS+d6oynamJXoEyfvvMS+5wv95bx21iT1DWW
pAxfLk5usswvy08ml2KNc0Deqr4bG5nU52VdY0WzF39CMtgpfhHFasFa0kM4Y8A8/s/rR5K3KPqD
NgbLpK9qvYPBZLXD9HZWjmLlXjexl/7FNoGlUkRrhAFujfc21HpYoOMEMJy/vLWn/jJvlQf0jXot
bch6Dm3tOUKBmrdffzgeF7sM2PcKWuKHGc9+8Z6yDEjBGMg/xyPtKmh96W9C4HfLZC/30MZENAnl
o9DR1t+hMxLDQZ7oQW2Bqzq/f8cua2OucaRp6qQoyNPICmK27F5tvhMzs6Sce8n2j+TFEnObsxj5
DkNeJKdF6yVobZwEIq10CCR/UO0MlC+c07IT2Ww/I5uBquKwL9QMu9Y7tPnkMsPW+5gvDK5bkznf
kc0/1UWlLmsGRA7PKPaAtEm1ygMlV9YOki97qZf4E9oHewvs21RQ3SOn0i5e+CP0OzHWu2XTz7K5
iAOVgCYdSDjW6FuZRdbMe1DwrgM7MT/kYM0d9bc2IsXTGis8hDcY5k0sw6McY+HK8Xa7n9aUZBxF
lWgfKMZCYTESs8SKBC0Y5qNavZR5ZxWFYF/fw10I29ihX3bz5eZQbLOcBiEoMeVW3ak/kG05mSrn
tcRbDoNisqyPikyzHeXsrWrQ9v8szTkaebwGu+dgsxr6MzarSRdhMBv6Jus67QFyd7+Kpvn/j7VB
e3rZGAaocqHq5q4H5lNtrgxD7B04qsSAN79IgYGJgd+ZYSBqmLpSWylfuRQ/qMYxHz8jy2HpU2Ak
Tq3bccULr+jvvmaQQSqtF5cl7jBOmEFEEwys6T1KT4J2ksxf108c/eVXDLHhYk76aJRoP/8wD1YS
Fo96Mf4EpdK9IIrWmg9Wm3DcNM8i81JPM13qUebH4esaS4rB3jhDPHo1A1HsQXCH0kcsca7vPl5c
jgnLMJaMYrr0AoJhSfeJeC8DjYXY6vtPtXoXy6/zFPThsSF3A++mcS60xsQkprkMsVzD4yTmo/ar
1T0958D+Hr369mxqDGaUQ9EXxIQJWuPH8xmkW40jPGQ+FTdZP2OGwTEd1dEf+XSI+zgCvQoZghVQ
BWC2shuQNJBbXHBwioaNnZuzLSu2IKm8/dv/jBdDjEeRmgazlP9Ko4o2VZjVwU8BL5Z+W5zWzjBk
yE/v7M2H4MNejDJ7h23L5Yw+1/KbCGQVLqo6hlN8ib8rrUU7KOpzd5J+1mhb/ZsrebHLbKgsFjnU
yqDAhoxgZZzy4myitVN3x2W1lvDpujHel6V/vsHoJB7B7CBKEL0EFVLn95h2z/3/ZoJxA2Y6Q4W1
g4lW+meuIAXypVw5zcy8VTBuYNbNJR4HxANgnrXSH2CPcDKZV1zhnXbGCRhkmrOBkiz1RiD3d8Nw
AMWyLj9e/1r7ruay+wzy55rSmzXNB7far1q3wkS3Zz21mwQXWRg8BCIWZMl4gxgcq+w0K8mStSTh
/K8fxTEIaC9L6/P4WPb3yZDwcBIRzbPUh1m4rIaZYnFi+kJmW0ODRb5wjhu9Hh892m8bbNCtz+M6
pwWWImbHAl369fh6fYf2HdjFAIN6eVNgdIxQA11uCZPXSYato2+jLh8qZbAlXhi1lwkDEF0MMuiH
ify87qcRoby72FScHLnt0Knd4jDeogX1yGuH/oO7vBhkkE/BQRDXiAZuaJqnfKNjUIOnn3JvDFwy
2P1Q52KMgTtzIjKef+jQV9XPqNfbDQFJAyGBNPT+XPQcvONtHoN346osmjBiUt7ITFsXnHb60Yhe
XAa97Ne8GQve0hjkK1NpDPH8w9Kq+9z4YUquKP4zG6dW5uTQOffKZPCvCJcSUVQOXkDxVYWgCChg
nEUf7OsHfx8kLjvFAKBqlIW89hoOfhFZoopnF57omuCNg6OL51y9NUJegwBvYQwapsI0TEtPO0K7
G6GwzflOijir2of1/61KZXUvaiVvi0GcsEmtSzPpEf42LExJcuzsDX5urrHKql8YUlwRMUY80To0
iOnQNhi+Fi5Yen5JhbU+qD6lmokc9YDJm/Y8cTVgKE78GRmBwO99fWTISqfFSLTQGpnkZafoqN1A
wcSeHvnjkXtFpXfLZUBkTusy6+YBBeHkayqbXhpBpxma6GuT2pLylerugGbY7sv0+foxvX5mVFYo
w5zasuoIDI9onWr9WT0u0vfrJvaoL94tjv6GTdiUw8GsiwwfQBESXOdPq7WeBFs907xKC7V13twD
xwmoIoMlxJyaRZ9gcbpfbO1IBxIMZ74HewGo0/5KLuDdAllEybpKjTK80gY1P6UaSgit6S0CryXs
OkKi2vP+OypSVqhajvtddQ/x8Kk1rbQ/tdEXZQw4O7YzIvluQQySZCSvk0QjqKI22jnUVCuEHlSJ
DplY1wJzLD25qSwzXH4103jg2N45kai2SypqxbomfSBk7vCmjuIBTzTZR98b5FeFW+UWjfT24EBZ
1kozK7VnHqX7Thz0zijzaRN91OKBAK1bQzui7/MmFUr/+sJ462K+KWmFsosM7F5YnJT4tWrOYcIZ
StmLRbbLYBMUdW6SdqFPd/ORim+Dotil4tv/Soz8DW3PO2tMbCfmUo6KV4TxLL/7Bl0YN3YyWxxA
kFl4MRwexyfs+J535lhErpNwJiUQWddzb6lVqwZdiBnJFkmI95/2is1ELPmaSqaBJqoMDJn5ot2N
aJZXh4ZzJHYu9LsVMdGc0uKBFFJJ13o4CW1rDa3pyJBEgqCQZZTO9TXtwfA7awwMa+kCplaVhuLH
9UYJxlN3FlCnyNDlhFgr6AWL/zznnkgGiRUSkViANqNDzv+S4wtueWrd2aUs3bzKD+eKsZNMAqqs
bZbiikUrrXFmiyeP//FkMECRS10eCToYSppstSfBsBNZOyl/o9b6bq8YsCjibqiUEfSpVf0J0nu6
5gyYp+OdP86NYnuN5nFMumjFW6lspLPYiR6UZ62qmn1tKjnQxDnqLKFjL6VlVS4wVYmlFfcHCV4f
geNc2m3KKUPzzhzL6kh03ZipltVb5zQKcjalJKYDEBWqjX/RCrHdKXZQqW+0poZCFs4cNFSqHyCQ
jLit7hRImVj0nQ0GJ6KorVdlzgC0SnHEE9BDksPq5sIWSP8pryZvFEdLRo/aatTWZIY/riMHxzmy
fI/1EJJxNhH0g7xAnaHDzBum3D8cCPJFgifFB9mAJpOyqKWFYkJqO0xsI/zHrH5IzUnn1Sb+cDYu
phg80lQoyEsmQJDqamr2CpZxSz6gEHJDueZSnr70PiJdzNGVb0LfYtClVKrRdxQVrtm7nfnQjJyq
Du/jMYikZ9AJTKGw6ETqF3SiWXp5Owyv03wCVP2dC7ksh4GlLBOrNmvxRk/+oTTjyovpanfEoUyY
oYWkDogQeGNye3R9OPy/bbLZtmTNq6pdV7xqpaeGvGYpmI/DCDD1msb/tONBXY969pjwGvv3miTf
2WWiGyUajK5FGt8Bwxt6j+wkSI6/THv4Ih1Fp/ejv6JBfGeRCXAmIVr6jg42yf7o1D+zY/RMyxLJ
a+ZgXJUTZ3NOJju4MJiFMqUxLkKjnWrhlGmYrtSfrgMHzwaDW3OlTGbVozDXrYOVZeAg6QKh+Yvy
Hz6bQQgeJMiVsvXtcIhEKhiIjVpdVT8ihlKFT1X6JKmcAHQvKfHOErMeAd0XQmmggKqdNd+0dG8N
qLRecc7s6YfykECNLrXkl7eJI6iccnQL/nATLguln3sDJq1GqtYIYZ6+o8c7mpAwrMWpPMFpXq7v
HF3JR49zMcXA5Bz3imYQIHLX1/Bs+rEE/891E3uP9Hdfk8HGyRS0OU9xOqYj2vvQcR8dMz98lMBf
R4UlJQ5OUmy6tiQGJwcFqjEtDX+JHyIjkPm0u4oEvHu1D8eXL8dAJCor4xw3gGMFbTkyEnBD9ICR
vsg4yxVPCue6LY3Nxg2GnmKQCkkys+z8VW19VenvpWXxUlO8G6c44OzYfrz4v7VpH5NyaiOgBEaV
oBbokJQOZqShBJU66gNlwons7jEquXSe1zdOYzNxi6SsupzSSQbdEUxv0l0wGxmJH2Zflfgodpxz
sg9al0UyqTi1a9J11FAe05ZzX4Gt7EfKk8C9frs0NunWN1iSKqFbV4GX1m/1v4unLktggKIjcx9K
PY06QneEmLbhy+N9vtrdyumN2Q+nJMlANtTUtQ8yD1MhzfUwjniTi8op7dNzOoKpbhYe5rl2iZg4
C8avOxJ11igMB7SgBnHZvf7Nsdz8CMZv1u1cVVKN+HTNvAI5vn9MzC6CoOkRwvX/jIsl2XFA1U+4
CZCdNBlBReL36tmjAqY+wTSQAOm004g89KQ+Eu0wCOeme5HJg4YkYMZ73OyenY1N+ucbJ2BOalUs
C2DMDGJ0UYLkjmZdph+aM9vNgcZgvFc1d5OZ46Ro0/99JnauaHcPVEt2+GJYIroJSpvXmLqLaZv1
MZ4nrNMilHvcja5Z7VGyG6T2+6GyusQlvLfbXtr93QYyLkgZlLmdZGS/aUdUAfeTHDQ0xSUO992x
C52bZTHex6hTqU10pHpkXztCEcUhyGz2Lyhaa4+UeVm2yme1d5Sn63djFzs3ZhlvpCfNACExjFe0
aCyWMMmOAQhnanOn1O027q1wtK4b3GOV335SNqcQpeHUmfStGn2bneRWdCd/ea5880H9SsfCen8I
ytvSxTQn95xyrgabYxgkU8zWCdnPovg8DL96KM9kmvFYyaHdkuEuVetj1uC/TYMnIvGQjJ/bGnJx
HfE532D/h0BdlSgEo05vx25zR+dK0OCxMPg52S3mqxLrrnhWbyFUcCtaQIkX3jnevzMXe8xTpUNf
ypqNdNA0ib9IcmpJWlpZkvCStNKhb79xlkfx9EMkdTlUbH4ll8zazCld+7+k4vQ0h07n6T4m04OG
E3RwLg6bX2m1etLlCRXvHDNIs/iaGIYdd4orawsnRcWzxCDr3CbYsx604WX9qqhnw7jrurNuPnC+
HsdpsNmUJTf6FLS2NA7tDw2+XR8sXhwgeDtct7R/Cn97J51BUhGqI5UkIw225JEFaqep+3LdwP4T
eXMQGPise0GoC5qRJ372oNnZvelOnnIr+YOjeekxezF/cizyjh4Do3k9octhoR/v3KEpvfNDpzyt
R6oCnjhcQNm/V5cvyKJnhDZx0iCfPCJZpHvm9zkw3RaSybIHRKWSha5oQfGXE4HuZ+ov35VlcJlR
fIvWOFXQCg/eYbtDOgBpTOjvKfdiBb9LX3zTX3Q1AbgxzWoAsdQPUgE4KEtumjRD23/LVMzURLZC
0EUgearmzZBQTHjP6d205sUim9nBSF4VlrSPijJc1E+anbgjpjWS58Qe3ThoPNT8kOd0ZC+HxJD6
k1sS2b/xv5esMLg5pb3YzSnlu5ycanTy6lh0wWQ8XT+0PCv0TG+8gVwqUpGbwJVa8HLpUSxel/C+
4jUs7D5bNh+TiUUL2SyW1qBxoe636GKVD2HqXV/I3hjb9oiwgpBTr2X6pCFcektAgNIgBUMoMkh+
8ty6o0ujmMTBPJFVHhFC2eQ+PfKa4vazBpt1MsFoUpqR1hj4DVTeubuVLCrkNd+v9uzSeRvl9fqa
3zrgPjq7yxlhUHRqUqLVMd5SsSL9FCPFq7vYrbvXuBncJclcXdVsNV0DqNP7MXle6uJOCRHiTc1j
CZyCWtEnPCYzKxs1aOEmp2FF8RKtQIUAUrGsPSzqaIEW3smq+4lAnloWkucRMa8p6YdOHvyiAdez
8FClyPpLoodWg4PWyOc1yU6j1AfzfE5VHbHMbJdqiYrAbH43BMMl+XTft8NBbRWLFCvyzxhWn/N7
omPau+jcqp5uY7N2SK9AKkKyRz35QbTHHC1ftlaOlk6SQzklq4VWYqs0zXM1EZCulW6c9nehhpBV
jka7JxhcBNGJLv6sl+xrush2XXzPReIU+nyfyV/0qa8tJXscyhnKD2BAtsRIg3UyPxd5mVjJKFmj
0Tj6lMhWt8gcl76fMpMukRFz9yoz17p4QmTUg0eum1V71jT89B/ioB8bxTxO4ugYa/09y0W00/8N
pRzm3WUEnigqyKLGHlbMx0CX640BRPKocJrgxi+Kj4ZoC98k4GUIqT/6cFY35pizWqHCWyox/BV9
zihB5tPGVJk74LHrFjdmGLc/LFqsRRq4ewy9to3im9k+jD3YCiqvjTmu8K0r/tqSGIefjeBUr0En
7ZQ3/Y1hU1r3/NAelEBwIVZldzmGs+JADOJbUAbjOdpwmgV3wXuzViYEWKuojtUWrjhuFLuM45tx
BK+APgQEbLHXoWbf7V9sfXg6DWO9kAbQthSPaOELpdJaR69qnUk89Cr6O138c0GujTwRyY3i23U6
cH7Cbny1+QmMRyzrykCKFJ87vzGO03PsAAnOskd5whKHPHCsUZ/0cXOh5KrJJqhH2RqEGS2iskYD
fSdR2brCXb+PVm/Vn98ICf01ta4b3PWR8sUeE+FL4H8WswT9rKT0teJ70ZxVlP+u29gbMaEcF78X
xdz5VlRacIYYkiP9kCCrljsZ5HhjR7lNzg3+2bsGKmVyMBNHPnHTDLwVMgiQ9YY4GxqMUw+9OlSl
IwSHd25Vhwr3Az7A5U1g7HvkzYIZOFhIVKlD1dPBzRGDmyVI0SxKGl7eylbm5b7MqYPw1shAglGk
+dCHmMIKy1NRfotUsJ8G1zeRZ4K59f1iVE3V04eN9GRoXicn1pp9vm5jH0VNUZMxKQkpcuaqKSgt
ljr9bGt1r7fnbDrKhte232MeRf++V7gYond+E38WVVk3swaC/Gq9Q40RYoIKKqhW3TtyetPqma3y
GBr/kFe7BE3MkUiVPIEMAgoF4jEJ1iB0QNsKrcT4GPvXP+Lu2jbRIHMWBm3tQzGkNxqP6c7H0K4n
gY+fd69292pjhjkPeYt7hagONYH8F4YY8k62zPRlmrw44ZyK/Uf77y/H8ruExAxJYeACT7JyW+mj
E4k8+q4/5HMvNpiTB7lwMFfHyN/8qxaagTq+DySfTixArpCzQ/vwcPl2rIRPMcVDnaXYIswMHKhI
Fd50YGsIA0CSIxyk0ua2DOz6lY1J5i1Uq6mQLARZz96RPGIrAODCboPOwRKdJLb+LtNy+aCMX+mn
vGzFEO/IQQyU5jHrXq6fcs7x+yDUo2niMClYDxFeMsOt0psUDMHTKct4w5+7wLf5coz/0Gqpbdq3
/n7ZHuXnZrQlHiswbzH0zzdwpChxE7X0PITlj3nJ7H5wO0MFLW8MnU6Oq/hDNvqyMww+jFKViKBa
oy/W5pt2ntzhW0c1EGtrcCDc4Srn3tU87SVyJF6wQf/XH4KbzadkMEOuQErfYuQTs2nDTW2CFiLE
ZGKk+lkE9kQyHEKZl8Hk7B4r2jP12QqyRlzsPHYq8qIntjRzhgd515lV6dGjtlDnHPVt0RcRjHcW
EurPZTAlePxTqjwuL8Q+Iv7vCaex4zplhamWWMIDHLF/YtGcn+D2R6Gz5iOkejxwUE4WL6HOs8kc
m5zU+ZJT5kah+ZKJk9WonDLe/iW4LIo5HNEci8JoICckQhanqr5H2Win+adQf0I333Xw2O9aubyB
2S6BapilrI8Q00822oo+Ae7vai/2tJsZ6liju7q1u9rpAwVjsLIhBXHdPoWMj/fgf0vV2TinDLXF
JBXMU5XFHtLQYN2Se5QpOC+1P2SjL4aYOEdLp1VJBWTAaFkCI0MW2AEf2lOp46TMbokUYsGr9PDW
xjiaTglDUy+hAJYqN71hFfphIXzE3BuuRt7tsjLGv8R5r6Vijzoz3UHFK9z51D3k3nhaPs0tOoDG
B4AndJp1ztZxPykFnA1WRyBZ6qDTScMrxWvv6ItbfKyD2TYsxaWJ756HmryMDTu6M8hlKSk6urmk
uwVvwuQ4gnFR9TUPOp3B9ZO5HzxePivjiRopVpNWHSVwzyneQKvanuDz0yV/iLcudhg0WbKwlAwa
jpCz4aPu+/hjtIX7CMyifJYB3poYYBnRKrPU9ESOwte0/DqOP+vqdh7vuvwBKa8u5iTYdp2cIhPT
kImof2DHbKelGgQaL1TqKSsdUKha2eDPuIHKQ1zySFp3F3exxiZIkmZJe2OAK6D5LdqG8O/gNS/a
3z+DGztMgIwczJLKAoJwrXxIWkjVjp8zCRK3ymdlcJq4cmrw2RieMNrXD+T+Rd8YZiBsSRsMo0aA
MBBurB7YwH4g3+xpn6QWguLx7eyCjvax93k9a/v3fGOXwbHFjJHFpQUnFY2uxS0qMh0E7nsESYsz
f82ciZ+poN/wg1vYmGQwTSkxW2xEmHCgT0QRmSbTpm+39Zk/Xck5pGzFNVJFs2kEcETUwurqjXEW
9fzBCMNTMQmlpc7deUoaTuJy/wm8WR8TSStTEqPzFW5vMG9h01LQ0ZjfK41uSRBpJl+M1ROEA+f8
0H269lEZRFvBaiVnFc5PD4Fv0c3c0FFvG3QGgUcOp4ar37YbxmwWySBbPtRVSHIsMj2s6Gih70nK
oWU40mrN94tXPohW7K4TxKA5rokHBQzONXMyy+ICy0aT2NN6lyuFXfWKtajObJhuGt8nEZdZhV6/
K5+XrcvK61Tm00CBHO5Qs2O01Niqm6Ac3IBDTFCc69u5G84raGgmskQgUMTsJklyGe8keF/V6EF+
6eXFYkEX9rqR/YBeMSHXgEK38oGBta9LAlwN0Yz4KNozpmUau3gerfizfoQqjK2+Xre3G1pvzDH3
opFLNR8KEK/JK+ihoxzDpRIRgv9mhPlycSbEvUkZoVrpcwVai0TzrxvY9+mbZTAnX51A7C7POH/g
uwn00xoI9mwXB9rHIRx4hPh7on9E3FhjTrtmKPGiLdAGHhZLPpuP2S2VZygxunKXPb30L9FBdweH
IEbKbfMpRK8jb/iSs21sSxPckjAbOU5JY96CZU2veB+UZ4DxuXlZLgUEqGnmWjtiqglVXWTzPvXu
4vR2+RVN/U//bQvftngT3IKXYZGSZKAv2TfVOif2ojOV1KXtFQKnU3Yfr37fsrdbuDEWoRPcnFY6
pHDE8FvwL2cMP9bcfZD8H9K+bDlunGn2iRjBfbnl2t1qtXbJ9g3D1tjcd3B9+pPQ/J+bhmnihCcm
Zm40oRLAQqJQS+bVUT4u+pUZtSWplln0MxVBApphVX+RVZB3ZaK7v3u89TAvg3wUtTgdJbzKi/xe
JJMdCrnbCIKrxsNFyt61UT9OROd9s+2r/LqNDHpMJSkU2tz8kbqk3OWlu9jZi+6aR4yN0afQA+3z
zW95oSfPMIMoclyIuhhhY4X+NGpvVfEYdc+S/JSl/jh5+3u7XUICu6aoS6gOyGzPm4mh2WWKAS6T
T9ltU199Lf3QDZ/7z/9e5aJb+CZoMO753b6bl87KNj2nKw9Cs2QdLW2FO66cbRUjZFl0MyTZ31zf
KyuM+yRq3OqzjJ7+HmqAgiNKJy3xFvmgwWhv3DYhLzmweXWruoyrVNFF6DD/uiyVyNWgUjqP7BXi
cY50yG4tZ0bA2dzx2dDoHv0WJ6yM0T9mtYexEEehRjVaU8FXlm8LL9WxecpXv58J14s2TDTFwu+H
QGVgztlzKEQ3aT85PUke932RtxTGHcpUX3KdkskN5XTQ0URhGjymWZ4Jxhcqoa/n8CNvIz7MCFt5
bYq8389gRijWDRTZAL399KXRnSj+ur9Fm1C4+hoMNIyt3oAZD3xCFmJs7Uc+3o+paPfJnW6d0tLV
IR22b5D3+dnYIy9yoVHxPLVkr1y+tUswKsd+dvetbCLeallMzDFmg1LGM3ViaAxHrtzkQQkaKLEd
HUtvnJo7D7bZGHs1yGavZVUdUk1G0IZn8F1Pcoh5WLf6qN4O6XDS1fzUZ6Xdd+FBkj/vL3Ub836C
A5vT7sN6CTVxgob5cFNkblXe6bxUGs8EAwlEomR4AxK+2EdnsSq7iYOCR07A8USNwQV97qPlQ++X
5kdoQksKuiNA9bi/Xdv5kdWXYkAhKYlU5xHyMMYTbXFI74xL4hiB5oARlWOLHp7foBT1G0kFg7ih
sBKSdTUNolzjcFUZOVvIg+SkdaRstKUJLXl553GWtumEK3vM2ZoUSyjlBHhHk8jRjXRD5WJRw7nl
JpnoF99bGf2Yq0uiMZqhTkq4e/Zjuish5B155hHOMaNni6+VvIkZ13WxT1diNIZiUlq8ebmdUPNC
R4NQOXPr7O/fppuvzDDXbCRqejIVIE6Z63dUfT2hfLc0w983wvEJVgCylJY8W2o8FczMnnUnpIo8
pym6jUdOlWb7lbdaDnOg0CsdRUKOXUteB5fKJgoOORVHqJJBVIP3yuN9IuZU9VleW2WJ7j0xPU3i
Y6Jc0KVR6F/2N4+7JvoJV36XKeo4hJqAJwLyNZQgEYp1jv5sBA3YMbhQwVsU/fnKWtzOwxRGOE80
syg7oGMEKWMNlUZiK4H2I7ULdAj91WNVA/04eAMMEEkxS2xIq1sl7i+3kz4L4tew4oDStpdffz+z
KBVFSnE2kGYz01MVn8rZqbqA85m2nfxqg/58tXF1XCSTkcxom3iQB7fE+AHmxQ5Nas+fp8fOxeiy
DeFeKLpC52jfNG91DARGpiprQ/sBFZ6gnkrRGUbO6rbbOnUktmR8Ihmxyq+ra2ZZjCRCZZpee09y
h6fUbw+TDaK2IDz/K0k8HltnvoG64Mm4/6ujhttEtiwZDPWsMkXbalGDTnaUCi9osgzjc9TbucJr
PqCL+A3hV1YYN8nVUUkkWvkMUfepsTSI1B8rzGjGns6ztXnODFRgoKEkahZ79VdNK6SxMGBFGM2m
z2Kkh5BCGQ6ahwLG5AGRD9Ubb7xw00lXVhnIKqe0jBcZGcokeuj0+7T7USwXqS1tqXzed0re+pgj
HUe4840ZqdcxJq42vhuDjyZLtIxz8jSbzr9aEfPN0KqnpoqM3uYh8jrlCU37Gk/shWeCOdmtKRVC
QzrMmSV2pYBXrLyxwI2xv1/bVf/VQphT3M0aUYYJIprpMT7LJwq9iy+jO5PqmmugakscOEZzXrzU
q79z/XEzulmZZ6KbYkRj3hJRwWHwd4rwxenQHtQPVlzrnjeoRd3s94P20/lZ2rsk0TJlqVCFzJXE
zlQtSBAw7u8nx9N1BrAU1ViyLEIJfjDmHxMkNWWtvNfyzFVaEI3r5LBvbvuWvu4fS8JP2jmnREUo
rPZfNeUgxS8Z2hvbb2YFocPwviDOnAk2lO4caLNx1rrpoCYSzoapmrLOEk83Sz1MxYgOrQnXT2m9
q2NzMyW8RunNHb1aYamnpVyH/qoJDCbDkwy+5Lq1U+spLJyC2w+46YwrU+zHCxshlCk5fXqsjzT4
CEHQrIBnBBMDAS9TyNk9VnRYCeteFyf09U4I6ONDV/pFxqm680wwYakAQpYxrpEACA2n0d6SPpDS
130H3MTb1ZbRI7cKP5QYlFJljXyn1NwK5qkwv5b5jSRx0nI8K3ShKys66eRsKXFwpfq5R7tAOtrW
cgdJZQ4abr9YV8thYD0L1aU0LLxYhUN7Tg5NoDyad6GdY2KMF3xuH92VLQbfY0EsxtzCw27wu1fV
Ww7Tg25LDnHSE7/fY7tlYGWNwfmyUztBMlFPw23ywfl5K9c2yC/c8k0KRtf0y1vj2XzktnXxfJAB
+CoWjbaVcb8k5UmNb+T5ZuKNSm+bMFS8TDGSglD+V+8QEl3sSqoZGpo5HpSlG1YyXpS8hlSeGWYH
5ZS0EAxALJrNd2EOkio0Q+ucsGK7w8K8roXZLjPU80FPkbMY/OgQvy+HSkAzHJImEfTdxrfU0ezZ
4uD4dvfr1Sh7LxK97fO+wfGi9WoIeJ1aYqffyoMRkEsNqZPengMqeCLc8NQG/3AIfq6XvS/FAZdl
SwfvEEO5CDv8BlRmYG3LUSSlrWM5b2Rj26Il4h8DQqJ4o/zqLSC+jeowwvM5PS++5kuoyIYH6PQ6
yEK4vENOP9dvEcfKGIMng2LErdxgpuLfSTtyyEAckvm8DrVN11yZYU5A0vadaCmIAmZ99BqIiS65
6sgxr7FhO1hc2WGOAMQNs9jSkJ2Mz7RlXgxmJzo0p8aJkYy1xafybThRVl9BgJRL4sqP+5fNdrPM
yj5zOjqzTwVRxRFENGJX+n2ZPuiCU6YXEvk5tNdKDKz8TabqapIdPp8yglHJiaqidb0z1C40np2m
5nRL01tyx03YAfN5TgZdEVC3b0FRr77LPDYgjn8oNPBZ3Z8GKB6HaUJUWk+xB5UmvIz0o2GWD5zv
s/mSXW0WG3CkFiZpJbwugV6Phh+dxGOK6a7/nyyYvH2jWZQ6BYxShsHy+RVNpwwxDX1V8FZY8myn
S/5PHY7elA9OYs52mA3P5fxeLcJLa1qXHnTQbQ3JJpAMFrN4P+dQpA2TV7U1XtUxDpR8vmQdelsy
dLOYix2J7RvmSp3Bmh5BY4IpCjQLkx5cMWMgW9qXuq0iW5mawhEN89TEimabdY5EjEVOsQBWtzS+
iAaqiMNnudQfBRE0ZOlLPIIJM42dpZhBGlI+ZPVyM1dPddM7xijZYmy6oqmhR6lwJ7X/ko2pU0/p
o5CGvhnpX0AO5KpJCJm08iya5BCWrauOolO35t2YvovKbZin9jIuXt+GKLL/I1UjSksP6vRNLDsv
lipfrzRfDrODMtwNFroHl9COxfBHMjReWBQgBRA8FW3g9tIrJz2sQSpcRhB8aXwxH05mqtoQPCgh
zjKq9oAin7VgXEcWMTn+mMdmYBDNLfXcIZ1lj0t8UMirgMAzicUHoZG9agS7QROajd2JaBDOC0fV
hgfJIr5ukAfSJHZDwt4Jc803F8Hu1enBCFVn7GJ056gRVTZwJ3nxLGu8YCT+aEEmmZSR21nmp7Kp
PCMaH4w0vx0RcSDhcASrdDCYvStJ0lFUm3shl+/HBWTnJDpEAvIdCqG75STzuzwNZ0HtvVD6NAzW
Ue9Jaw+9FBSKcJiG8YxRIQ8UYpi1xTh8W55KTXTTeLlEzXPUQrSmwvBfTD6ZymRHUusTotrTGLqm
0p8bofbTurmbFcUutPlem2pn7kT8D3V2KMe5cMMxfexG8SCMoo1ADSypxXsn9UFUUkL9wi/m2qOD
BkY7eCR77dvZkYfl1NfIyzb/dGXpQKv9VR+qe1LmgS6hB7zsfBEDVF1N8DFQTJLEoM3GS0hEv7HA
dQaRIHDLXVr9H2nMbDXNXpboTZWz89ILtozuVQ44bL6uVueVeSrouYaJzIGCdwBp4ZsKnaMJlDLw
TQP0jXJg+w/X/BUdmGs+jBN0jkqIrtXZMU8YBnEsJ32tzrRN6C8ZxQFCpmSoCroxmJejnA/IOSWw
RiJXmFJ7Aul3xkHXzUfQygYD4s2s/h/ZPOk8qFXhJazbMthe2oLzpTZf3CtDDIpDj2YpIhnAWhZ+
29+306NkYij0WxL7HJfYvi+u28a4xNREANwFljJ7cAUbU9B3NaJOxYtPPH4o3qIYf9CKuI+NEW/h
Ru+xfd+mWrQheHqb9ZO9GKm3vzLet2LivgZjGnVrdJJbq/8smPTTbyP53In2vpU/xEPX/WPiPiU0
K32mM09FBK0Nq/2URaZHBPOzUX+1lPo4msLZrLIg7ef/uEAmEtQyzK43MxTRpU+N6GT9bRb6ShJw
1kc97fe46Lo+Jt6rBwtKjxMeJsv74NLnOE1JgrIUrD+Fb7kFJ82wHa3/NMfODYjRUpo15SFOj3Ru
4H+CbbySLnW1nVWx/HNKny1E6RTaaFK76IdzijFQeNnj7VTG9RSz7GtZ1qPFr0NFLT1qvnaonMzJ
jkKQgaCBtyB6TNkFKYqkyoalqxoUL/DzVXg5qXKkVKWJXjA8wItwPNZaxYGKrT1bm2A8oRfmLo9H
mFiWye6szIlFLzZ5r++tK+pqBTWnXxfSjNMkkQ4ZTfpcy92+gSDmfG88LNC9MCMbM3j7Dr6/Kpmd
eRPNotYEoUcpt/iOqFNYXoqW87TYUlcHY8b/Po7M0uKSNh2hS4y2plGzlXejAsqicztYRGf+VD1r
eKaVDuh27Ij7+OWtjrlHzMKQEoFQYjnrrcq8RHlcZt7qtm6Q9eqYG0RS5C6HqhJgXXjTmpM2PZaR
3yhvYXLuiluxfVS125kXXGyh+9ooXfjK39U0ApXigIUpIsYF07K21eY1KftLInfS3wQyCmQddbTr
mgra+381Nuf9/1ETlWcq0oo2T1Tr/uVJKMANtO+Qmy2la2vMfs6D2TUFTRkTH5Gw1/rxPW0hhyoW
clDVd/MofG9faWKm+MaTgNxC37VpZldRpCdGjEqwm6RvDQj0IYXQKY9K/znPDkn5aVDe9te6/RWv
G8vc0RWmk3WFsm9mS3ScxvEUhYVrzOKxTpqnfVObYLxeG3NRyzGRBmFAESM9QhMZBHaWV5xDjEKn
3EBn+9Rdl8WA8VjEapRTpEwTrxz/EeeLtPyFvB8w5WqDQeM6bKHi21Ety/JHrX5p2mM+eWHJOdyc
D8SmJcXanMMcEmBuZV206jhGma1BWY9bYdq+vn6uhg3e4xEE9pOJHvUMfYtLjybmrpG/7HsA56uw
dToom8plJuKrtAUe319UEwKPnLPLOT+sGJXZLJI65+jITo/kWN4lwXL6YLziNTtRwPn9tr9uFwMR
oIRs+mgC5HZeGBiH1K2+U+FULaBDseO36tv+zm3SXa2cjSVHwzh4FakJHgnUHnHDE2KMW+2CNz3e
jrFHNal4ZCT0jOwtkYGGOmnzBFlp3MuDq7fvtXKIQehZBCaGt6eI1wy3+VZdr5BBh15WDUte0A1H
1cYL0KyopVNjUAdUZSAqzDi4xzXHIESej7Kcqh/6EKOXfAzITg90LEg+WO7CGXDkbSUDFbmFCyVC
h40bxZ0B5TJQSou602SRYpvGvS5RfVDB57jMdlTw00XZQB5vcT0bZZzogVivua7bopQHZtO9iJV4
05WjnbXjeVFIoGfRPckEzjuCt8NshJ+bSTgi8U+7bMKg8JKH0BWPwi1VsRSO4iNntdtR63W19Oer
cAQsFDXJMHntxpkZVIUA7sRPfdOdM+tLlw72LH8l5X2XEi+xkBJK4pd9+9Q7fzssqgQ1ZtOE6gLb
BqBHRFCbkeou9AuUutxl/AfJTVvs3LrmmNpE0aspthcg6mTRxHAlQoTpqznNnlgrztLw2vY2752V
Fepdq/2EfCCx4hn1RGV4UlKIt8yTb0gcGN28dFZGmI8mVFWS5chGuqMEfdxiOgkTV5poE6lXNpjQ
USMicgMmbJi3xdceChyxK0VQDURHIHXF6InH1Mf7PszVAA0E0oY1oHoGhbng97onhMd9b+PtG/0T
Vh9HWaDNMhioY1vhl6n/Xuje/u/fvEVXe8ZAf0JUMtYxsFgmoTtUud8Tw5PD8CgM3SGpn9WwtyWj
4Nzd25fcyixzBaR1bUZij7g7ukh39ZG+0fTRJjaVvo0fWyfz+T0BnIPLPts77GXVg63BjY2X2vJ1
U8D0DvhyouOI1OL+tvI8g7kGlqRME63DS3eZ/E7xM8WZIg7q7y9HYR/v4dBMSpzF8PbcC3s30e6V
1hdkf+b1lW9WnpSfH0thn+1tomldS8utnTd75Dmxj5XTjRjsrV8vVFlDq23L5SUw91EJE1u/On5U
CFmX0mGKpUcfcQNlp3yMbRndAIWpcSJv3lYywNHlUjQQCSFeX96ExE3wJlK/mCh9lZ/23YK3KAYw
MghWR2ZOo4PmHz11RQl8FpprDM/7Zva9TxEZ0MCY3zDgd+NQi6exKtBKeckGHoHRPjIpvzHS1Lpu
tQIaC+bsNJLPhsaJpDgYoYgMRlQCmLsFGZuVQmhcRsPQLNjCYjefKEPefAhB/vGF38LA8wUmWhwK
cRzBCA2/G9AnLCpBV6G3IDNQEtQfKyN62f9UPHMMUKjm3EJQD6DUHuXv7fgjwmTScG/KnGtkO0S7
nmF2UF2Z5VZuY7g4JYRIXscqMOEYOprLkhA11OeF5G4o24ZwrEfO6dpM26/w4yNbsLrDpiHKF40m
rVBhHUd7lG6LpnSzugYpzkEIG6cBb2TDeYFyjtrHhqyMRrI8ddB6QroDOoXTsSb3C1rBNCF29j/g
ZsCPYBRFbwVkEWx/jV6VbRJnWBymQcFmDhUZUNLID01+a0KIXOM1tG+G+itzdNmrZRll2oh1j1xc
bC4OMcltr9WHpgedOPT+fLNLbidDtKtlDFqxxk3H01bb3tbrcplDaRE9GcQah7KtH9r+NGlBrtSO
UQp/dYFe7TDHsF3MNm9qoAvaFZxcvzWjzpHbYP/bbS5Gk0GxbIoGRoMZ3EftY1LnED4iatBUfc6F
T7LgzH3MWcv24VvZYWC/M+Iwa5YJva//V9chB/mOvnfRNeTzsrWb4L8yxoA/OEyXtkfZwi1VkCtm
jZcI8SlqecrFmwQpysoO44nlWBloFUCOD7z1X/HfW9NVbo1LdESmAjmKkNu2R2/83x5eK4OM6025
ao6pWdPRn/CBVseAzw4OHWXh5suOyjznYD0wiS0SKygohUL3uSrVwyg9LUbnq6Q51mZz6UPxNjek
+xKKIERCWKKj+BhZbp9+qeWTSkR7gWTWfKnT22IqAqPLgK4C+lHzB1mOfAtKBXPKi9U2L+XVHjHX
SZZYYtVEaN8q8oNQvzXL+/6J2Xcu6FT+Cj992hskNVHLa+sGMnpNZKsEZD8k55xM+nf++VujfPyr
HSEf0XSQw4lVdBnNJ5ESkz/O9dnsUmcOj1ZoHvYXth1t/Nw5UJX/anEsjdAqE5xRUUNxXn7toKAh
OO+TIz/NnyBg6s1vPA5P6rB7i2TgJ7eGcjFLjAl1Wn+cl5cUnYaDWp/VIfQ0lRMTbpc6VgtkQAiU
jMMQpyCfVoPabW6IawZoMLfRaJR/MxziaV50bM6UYr58GRQOBPL8hgElJcnCqqQIGAqjCzIWOwL7
a1OVnIomb0cZTEpEaZSgqQGIEC6tGqSFPQ9Pav+DK5HDM0R/vrqGY7VV4hEpN1duzyS/09WL1d3r
5CnjZbs2e1CvMItx718tJYvcTOWCE5dC38HykZFNfe1CM9Bokr6X7QJcdBXwLw3CL+ULr9S9D4Kq
yOBJVFUa1VLFSDsaHMvbvj+k5qew5Bw+zm6ywWlX690oCyhNLUpnm9aNOX2OpNdE/Q45vv1jzvFD
NhQ1JjBgaS2dzFuO3RKIyYC4ntunwtk1NvYUiJiYJIeV2tXRYp552QvmHG/VI2VcrcAVgnZhSIR4
+2ujnrADJyyXUin/LzTrli9Z85K1pt1KD2kOtHyU0MK4b423RgZOrJqMadMDocfsBzgwau12yE7J
wkkt86wwuKH1KjGHGc+jObQ8E7QhUpM50wJ6o47XNMwJaNSPNMjqTLe4ciyzxYRSCWkfEPcVnnQo
nPeltesLWEl93vfi+SKDIYLeZUtI6A5W76oa31VaZJOa1yu/OVO8ApCPaYjVssawmQSqXgLcl3O7
9xZ/gaw0ZVUQXsiN6kqQiYN2yyG2WxRox8PAG5zmbiwDIvJCiiVscPPotxPa3sA0Do5A3c0h4p4e
SMCrZvHsfUDqasWDMUxCOQAyR6gx46h7cuWrRwJKZ/Mmu7OOA+8scL7kxydYGVQqQ+zzEihpjvOh
LNSzQionHf6mNx8dEaiOofFSMdjCrTmV0LOifPpTngQiumQl1fAWrfmru/pqhomEtLZI0IM8w2FA
7tBfMgg+jv/sg8f2hl1NMJFPW49FabVI7lmx8IQB1jNJWztKecpsf3h4Xe0wIJUaKIu1MRr0qSdQ
wRnLm/HwWjz5AB6dt/1F/eHFcLXGgFUbWYlQ5yIoJLL4XtIbqC5rnjU37oAWaozW23lf+lG1vPVE
OcuLdBhr86GzwoNskCcxMe6rOLKFeHSaCu30oz7dkfzeKvKgy0V3UOqgHSEK0JdeFZfe/t++jbPX
P53+fOXBcytZMarAkFZMXEXyqiiQF3ec3X0rdLt/v6GuVljEC7MWD3t0OGikv6SW/qOe+6d9EzzP
YsMlUVo6XYNnJbkKMSpiW4l6qFqBc/ttv08gsAUiDQ2VVQbSKhWfVK0R/7WAUXLTg6rTDG1J8i0U
MpZHAwRx++va/kA/DbJzOXOxEMMQ6NZJttR4Sni2vpsdJ7u0/X2uRphXlw55JlE2esyziK89uZMi
ThHwD+fxaoCBlrCiNCvCRzCLN5aXeDgU0iOl9mmD5pv1vL9n272A2tUcAzMjGY0EE/eUtWj08MwK
4mfaU4Y5nc/i3eIUVHAutYWjzmtx2A5or4bpRq+OU5wmVTWXuPGgWuO0NWSfMscofhT9JWz/o2Mw
oJPl0dIIBhJyWjzd6FFxSpMxiC2IP5CRY4q3KgYkZKGMM5ESdwgY3y2RKdM8s/9H7M7zwrG0nTJe
fTkGKcxMrHOL9lK2k3KT5JnfGu9K3dpj09mWqoGCW6r/ySB9HPa9v+81vFUyCJL2qNvpOZxmDu+T
3B3m+2hBEaBzk+avQPfqJQyIZI3RG0MLLxmahz4L5vpLhFhl+L6/Huprv4PuTyusdNKAUbiqENFE
0KoFmlGKm7pqOVu2OcaLfoj/wSFLIxnp6E4wTaib1xWSJxHUaidbd4XX7EyTgRCeuuX12Wy3GK5M
MlDSC0KhLCG6emrp3PaWa6mHqL+N63tVPQomGPES/Kt4KuFgJMc9VAZTulgLBb1AdBQOBiYprNLG
/trWKHgC8IREPC6A7QvturX0866hJEOeEfrtqGOQs5xdhPQkKy/7HsL9fPRvWNnIUSsxBPTTgfIX
rR/g88oQXgZCC14eK0hvEjd3hv5h3+gf3iXXhTFoEtbZODU1Ul6VJ5+yH/+KYKXfoEkVoGHb0S5U
fyW0py/jAfT+/vJ53z799XvHgkGYsElqpS5xoaIBHqlyZMHIj7iofSH+Z98Q7wMyeJK3faWP9AOO
hdeMD/HsVTLvA1Jn31sMgyQzRueatIMNjEpBHQTJBuxgftOfUSi94akAcXaOJaRM5RL9Ij2MRaGX
yIEI1u0clXmchP2N45y03+gny0GTkwwNnl3hWWCHVhcn7xVbtw66XHHiuU1OgBWCaQycxNLSJkmO
RZkD5BonvJAbCDhVp+Gb6mbP2oPoQ5vWr08CUqf7y/zDc/XnQWA73kszSbKiwiOF0hEUXuwroDB+
REL2RMvcwhn9e/sWOTeCxkBK0dLB8g61tap61eZHQzz8t9/PwIlM0kqswE+J2TN8PEx1onDK2bTN
Q6XLiiaBrExUWfWrXFygtpXj6hwhvRx9FtH2F3EAYvu7rGwwB1fKO8kwYkRWwyfJBw/lA6b+NYfY
WqBCXiutHB4k8RbFnGJM/AhCTsdxihCDw54yH1WF82m2/fznojBk8CvUz2TSQqXHtx98CRoqsW+6
SzBj5MHyOnd0S084Vp4eQBSK88W2g/GVZeZxQSoR0zEZGiv6fjynwudBN72swkz6hAyb2IQPQqd6
0izeiGH8HTEeInbTdOGqdj+1j0ncHI1IBwtJyCNa3n6VrP4y5uxDprybwLKAqwBHP4EcdaXa5bfq
E53MzO5SXk59u59qZY8JITLLatUOIxIu4lfzYXGn5+wUghfJXiCD+zEl8WDe8LUKtktcK7vMuS9V
NMOWC75950WH8TbyBKfz5dSWHv7tqNGOjWHz8o+bKL4yyoBBP8lNURk4qROCiM6JkzPm0+2xO6YZ
r2GI+u5vt+DKFBNRiG3T6POEiIJW8DIUiNXjv6wqvAzj5g24MsTEDjMZZhWT34jJFD/qCsdUHLPv
7EznxEhcT2EgiEwYglZQZAYp6dza7bH0hYuFXvnWqz/00iNHvTEjmytgQz1wbycZJIoiKZwWjNq6
5Seqt9S9ZEGMFKoSxAf9W87lBtt+7l03lC0AWZLS5TIIcl1Vfk4VO4m8yHJazXSF6uswXQxyN/OS
qZuX4MokA0e9VhqyJlGKAfQhhdJbpB//4hZcGWBQJdLUIp1of6ZsPpER9BzN238zwMCIgQjWMhPo
NxWF5CegutdM7sQ6/dA7jvDxcli9DIiY6mS0sEvJbCMOmfzokvyQ0I2X+qDR/iLAMYhtZv7sFm7s
8SokHOz4ALSV9bjJVElYcGUk6vIdHCOWPWivjaYFo9BjGmY2H/d3VOY5BYMgegl6PzHFTaBAGc6m
lTu0uuIh+xIeuq8Y4wDxj+GEx/TVtOtH9fAkKHZ299/CAEQ4v17RslTNqlrjwT7MT+KiOLLyaha8
BCYHwtiqkJZAE8EkiM/C6esgYgRMB4tDRmzV4tz7+0ENpqV/XU1USGnaEZp+0EK7hPaq2qieQAp/
/9NxzLA1H8uYSR2Z+HJT63W6P8TPcc1pLuCZYBCjnGNjKWWaGBIPIImxqzDoyPf9ZXA+y4fi0crj
wfqTSeKASlIaPoRdMIAQ2vC46UnOqZYZ5FDA6jbWFQIBOvednSyPCgYipA32F7O9YZYsK7qhG7LC
mCk1a+nmAg+bprw06c2wHBvezMf2fl1NMCFNmAhC06VAiEarbqQl9lp1AdoqoNWROa8mnim62vWn
KdRI0QQ8B4TygZgCUpGxh/jaa1Fn/2/7Rv+SlaWuKqZc0nBzGObgKWTwakUIkop4+2Z4C2JwZjKJ
2EcCLnkxQhzanqz4UIU3CU8MdtvZrp+IiWEUCUF/OEBEMZM+V9pTJgeaGvRGhoZVcFW9SzFPU2JT
FkzRrxYZyNGFfGrjAiFnejQQ69KRtAb/Ui7t8X5xZlf9RKNsmtZCN5mTBpq7v7Mcx2dTru1s1HGa
4Q8QZKeID1Fyjrgpn+2r6uci2ZRrYdRoBJ5m5P2f6uP0RDkOVJd4oj+fZRC4jgdeXyn9Tr+HAleD
TDyDrl8ikQJU02bzrdB9M/8m9w+VmtjS+FkjnEoRxzfZLGs4yHlSdwjlMVlnaQcD4yZLkdhdz/NO
3qdiAASdOtAFA6WwG8v2ENd2Sh67jgcdf4hvr3vHYEdctaALKVpU70D3Pxy72wRvbskjt7zX1h/e
sldLDHaES5IugoH15JiK/gjUUHm2RcuOD5mfvhRv+57OtceAiKZHtT4beMvS2aDYUW5A12Brt8hd
+f0bb9CV54IMlJim2Bq9Ba8Q9COpjsnkZk1pL9WlG/EIKv39tXGAS2VgRCkjM4QIGXqPTuZJOrQ3
xFN9EvA+GccD2XRqPBTWolY4V70ZOSPqF5XgSuNxfy1/eEn+9As2mQom9WiQzY8rX3jPjwnoCqkg
aQoS/JNyEk7gFzomPpfvfPsheTXLgEZbm4VYUUYjWoFVndwFL0+QQbXXCnIv8VVOceYPSaarPSbk
UKzUGMGFSHOpoDRypG9g8jigYwwieLU3uphwPxj3yz0vh8uBKzajOkdxJc4YFnYrDMjpXjI6gnxK
eVJQPE9hUGQQ5KSQacminC+CepuhueSvxi6uV6fGwMeA/EkKiiZwQyBYG49gDMx4GqG8VTCIkUOL
10h61ApzMkG4w7BFc0bRrua4AgcrNAYrlkQXoE0IM/OMkllykcLFV8LsPsbixiR0JGhJ758x3sIY
vMi7RcW8Ij6P0j5Z2o3U3aWEE1jw4JblCFn0JuuHGUMJ9DwNR6ofUN8QO7pH4vaed5o4C2L7zTBs
ISpVAq+OxxsTD/30UE7e/p5xDg7LEwKpx7wnJsgrDVT4wA7WQWLbl0Vn3wpvIQwqqEqXJjrtOyLh
qejvkFiPs9d9E7yFMHFEVE6kS+jDLVPkVxkKE3Y03SfCe7/0L/uWONcSyw8SmZphmRXIHihrm3LI
AgX1CL5kKm/PGCSok6EEOyiQdLJOSmgP4meZR5HJWwmDBKlR6VI8gSFzlJovjfWKOOy8lO2dmBeH
MpLsVhhOMress50l/nlF6AwwmC2lVqvQWhKf9ZPwNt0M0BYrkc0xOHcuB4F0Bg+GsIutWcEzbu4S
RxsCyXyAapZjiMc+OlvZt323+EO56ue6WBIQdSLzmLRwctm8GAuVDtASP9ZOJkgEW+i1zL0dI8Ag
L4ng1gkny8NZK8sAoqltPYwxsjwZSsGZftHDyunT13o8i/kZQ8/+/mI5zmkwYUVWKZMVN1grOIMD
S5ztukiPGTcCpA648+RhBWehoYXBixIXxgJS26T5krSY2xLC8xTmoJeT/uOiGAhJ+j7UzQgl6Db3
u/FZJEEh/lcnoRu7Si2EeiQ24Cam8VF1Q5/GNdotzOfxXfZzD0xyh/3vtN2lc40nDAZFxGKySm3E
YSMuZZ/PTupRQxHh/5H2Xctx61yzT8QqBjDdMs9olCVL9g3LQWLOmU9/Gtrn83DD9OAv7RvfuEpr
AGI1FlboBvefE7qXbdHtufSxGDRpZlFKNfqSy5bEFvTppujUx8smeNevzmCHrAmVrhlYjvGNtjmB
Ztc1v0+ejvAZJ4OTb+RaYwAk6dPC7GhXB73sQcZtpw7Ujj3TLxE68z4V/RIXto9VQiRiC6p7Db2f
Kjh0kJ4NNVRl1dTSk5+XN3EX9SFZrpqaCt1DdrRv0dcGMr0oKdAXau6N0AggUDPjJR/3d29jh8GI
VWlzIaYXWOfOTnQFFi1fesA4H55w6RtPamm/rr6xxoQYpaIpVS7i9KV4dS/XuZf4I6oFeHwc55fa
nd+zXy1UdUTi8x7FuyC1sczAxirNsTSHCKGQmdZApx02r1noj+Sm409y7PrYxhYDH6WekWHocSKL
2KbabSkExrWnMqghqpLfUJ7EUbUvH5d9CNnYZCBEKkEkF2NCFBCChjsHM833oVccSrf2P/WM25hi
IISYePmIPV6rtdBbDfK6eXQdtn5VvfzHNbE4svQZeJzwOKGeXQS0360MTL9ysCYOBNM/9Ydfb9bE
gEgjgx5RouxO4fQ9pfw+Ymdn4XJCJ6gtZlWg9y0nFth/hJ9NstVco03WURvQgw8FCWf6TmepZGIV
132gIzHpRHb1GN5oL9PVp2q6G8NshSYxzDATTNxuRha0Y3E16TnnOO5GHhsTDKpIRSP1ggw/L+XT
Uj303c1c8xpSdqF4Y4PBEsFQ6lAo0Pgm9yfEcJr0nstXhelcPoQcHGZLu6Ha5Wqe4i5r0+eUHCIz
hhrDr1oMouWX2t7WhNOewVsVgx3RMCiYjwElUrugOVjxdFGxVPNGXn5eXhcP+Nk5vhRV/aQpABhr
5yjTTwFBaTFYWf7D7N6QLy/GwdMXKxcNW+G9z3mngwEQRUpajNLASJj7Sf3DzCIMIHOzyftWIGYp
qaC5Q/Pcv4O40gibcdCAwrI/ueFRCQR39c0H007s1aajFJDp5uUC9r/e2SaDWDGmqCqT5k7yZL5a
RahyrOAZJHXtZ033GeoWqBX9b30MZJF5HBQlw3cbql/TbEvKdatfzdwAgbMktkpD5rbG6xNJ+QlF
INlGtWawVK/z5bvBmxzxlB1WF9L1h8vHcx+Pfy+OrdukEJDPCVXSlswjka6XqbNXHBNJA33cdSrx
ej3/AsZnewxgFYokpIRKNUDiRL9NbvrDcC3gpIRgcQbdWvIVcrn2cMunw95/kJ4/I1vD0Sa1EIoe
Kj+YjfIpf1Mf1C6VfBPRKhJ5AweZ9wMFQzY1vMtkUWdZr5YwjEi71kgnrLd1VFqRAtWVSbkJBRn5
HvRrZkt2mykx3GM6rsZaWZe/LHW7P27ajX163jZvKwy5rrEGMRPozwRLlFo9VInTyY3E7/XngiJD
gxilSiBtqzNBn2EgsbASFA1Ev4YG8hyUVxX0tz/Y7nn7Sq+bP9d1tsUAdyosFapxaK0gPhQP3coH
cMs/JbuESqB0t95+qtC4WRu7j3O1lnODNth+OBbzV0F/StabsPD0KLH0mJMm3r8tNtYYMDVyNWvq
dMIlQeoHdXjXw/gLJNOeoBJ3IOmTiKknq80Eu0LM1GdoLCjVkXNwdvF88xMYbJ0EaANlAhZMhu+L
/qWcHbF2L5/NXdTZmGAgVeqNUlVSoMCYdHZXHUmeYTKyOEzQdVot0nHuet6usq/JTEgmqVqhl9GA
4lezMZXmUPmb6pC78T1XTZ2zgQYT980gySC5jqee8Ty431Ynh5qv9tX4lZ2yu+4x93vua5lnkUHV
bO0i0s+g5RzRCbIMtpk6XcIbxN4HlN+OZ1DH3ACK2ehysSaQMYufhjZ5FIa3oRLQN1uflCLiRIO8
BTGAEpmNGQ8V2OhTyBFK8vCzDMMnHWJal8/hbtB5Pod/KIwL4zJJOnKiqxas2nezje3asCPTy2M7
6Z9AW8jxrd1LfmOQAZNRX7LcFOFbkai7XZaDS0xzDC33oL7uXV4b99AzUJKqYEdaMwQUdAoH+Q2P
fC0DWudPjyF32ny/p2CzMgY1CjHLi7HBdZelsZ/2syXIMcj7NDBKzvdFgatWrU61Xtj6Kn25vFLe
wWTQpEfWtclbfEWza64m8xQ1C1TbMIIhumT+ednWPnKZhmKid1AnbLw0KaOBGX7cqmkde9Hs9sPi
pfnRqA4pATfoZ6Iz42yN8et4mLt0gBqcs1b3tXLSMHsWqVai+WP1xRg7zuHc38ezNcbB5dWs05Y+
lEPxKC7HqSydyXgfQqsWePxW+35wNsX4dw8ZtkGZkaCf1dGN1tDG+Iy35pq1qBLnrtnvNdhsIsWa
DW51rZgKuoQrlYqc657iCVbiFsiJtcHyilqV1V+rk8V7/P8l/jsvkXF1QRCSWk8gPpqf6oNmS8EY
RFAAMq74sS1vNxlPz9IQkhMSfE+avSryyHBfC2g95MUm9N76M/I6r4hxcSEvw8oQ8VaIxTQgYDon
43pNJTu0EfzuEpS0wRZR2UsReV13Xy/L22Xf20VrU5F1lZgYjmPZn+IpTotIMnBo4udueo6VZ1X8
nk+VG2WNBQLINeZRhe7GmmeLbOooDiVpnqmahwpJPpuO4aFlREYyVfUlN2xc9Jjbl9e4/0DamGSC
h1hbCzHVkY8GPWgTgCTHlt3aS6AB0y6Ocj+iDxyBbq9Y/LmHXf/fmGbQRu3lUWo0mIaOrVNrbjQF
UVpZlYQESf56eZ27OLqxxWCNQvSJrDqccjW/E4x3IWG8pi9EfFBbK495PFv7K9Mw10M0HbSzjINU
gz6Xhg7SoQkEjfJ0rYtPUgU4fSlU//K69gIX8BCC6gZ3g4zX0L/BZhxqoah15DfX9R1jga6otJY0
RBwru3f71gwDLmnZdiDQpQJwt4ZPyScTX7+mT+eWlrI4Z3Jv97bGmN2r5cJY5gJeQKLO0jurqOGB
T1N/1RYr5wriLozBmGkhpVbh7kWXW/5EZdl7dEpprzIoyiKH97TjfSwmcBhMJUljmoxoKl+HbmSb
3xUdJ/28y5i32T22oa5MUrBHzvhUvVd9yb7IdhIMKAFpKJ/FTmLLty14tkAGVTh5QF54+Z3d229r
nsETTWwMo6BMyyEeI4qnBOA4gVq0capOlBeVdhvXduTJD5f9YM+/aTrAANOyKmJi6t9+gA7rDN1b
tDQpPUmQ852SmwXacTFUbxPQfnGDXRowsHfT1h4TUEhgyIirBPbUvPQTdb0P1/6HEIPgNIVUb9je
aWXizNlXVNDvyzVxRUjI1s1bnY2Ec4R5v4RBAHFqQj3LeuQLULVRqp+l6V7e2v1Te95axvenfs7U
Rsc1LDY/lOkN3bzOGCUcn+cZYXxe0ZKkCAdkWfS2saJKsMruYa2/X17JXtyy/WiMs8ulnDbNirNp
pEkgld8aMKtoiXHdRWlw2RJvOYynN1PVkIyyO0hj5YyZdiwi9Ys5ktvLZv4CX7ooQS3OMGX26R/V
fR9CHBlNd4/5IfRLDzIS5GA8aj9pNdLgRey7VBkEycX/2WOu7LyFsINOu4daTEaujhqsQeKjtdTT
flIpBCgzc0Ki/U92Nsj4dV43cpQJSPZH5KsRo7xb2NLyqvOanbkbyfizrOvR2kt4Zw1l72A47Kqs
m6ORtZ6mFjeTmNuGUNmhhmSROt6isu7ITfR++WPylkrP1ObdYKpZj/sB/YZqOfuQLfcm9ac0ivZE
pk8523lT6S/ZWBLyUFESDUHDTEAfgEx4Ygm8hqz9S/xsg3HofBi7JYng0GnkquuPAeIc/buBxgDC
G3jZB8CzJcar+2Gtko7OPZvTS2I09iD1HIjdJWvZHnvGnfU1DTs5Q9lzskXcp42v3RlPqz8444v2
RIkDZlAGyDf6YULJN33WuH5H/eqP60Y1VDD+QHQVWfZ/fzEIFbRLVRNUD53JpdLJ68totRh3Kd3o
kRd/7XZzkLM1lm1Ni+tGSkokFMk3EGY6BPd46YQHCcMb9j+d6/G1+hH6fSpC2lhmogcyZrU2U6Lk
GFJhVf88yvNhnXhscnS3/thNTTJNMGegKYVtTcSLMxyLYqYDgNDOwyhvgoeyHHATsxScLthhexK1
RE2KTMEEYPRlAOdA54eHxC+D6oQswFXOZf7cvXTOy2K7EAdFWtO+xRtH1f3MdHoJKlOfQY6NCQb/
m7wJW60GcvQgnjefkv6oh5+BwY0JBvHTZCWCUiGNmCtuURaYuy4sY/QW6VMhx8YQA/mrkC7oNRjw
dVaw64DZGexSnELALghuTDCQvpiRrLRZJGNkIfUUAaKj6voNCUqqbnlbdvPT5RtkP/je2GOAvUFR
N1HKjjYLTa5mZ24BHegwtegISHcYr3NfOQgOr/trN/beWGWgHoXsYhRpNUDIk+c6fu87zTbrKlgl
466coQeSc4WAd/FwY5LBfHOt+1Gi4XdeWRLYadYr+UBbAORXwwPH7a/L+7p7w2ysMei7AA0jpdCx
QPR7VU9TxQlyOHjElovMqi+HxaRH/iC6JXoC/+lp/8yoFTkvgw0Ws6TIEymGmU59qSK3np86zbm8
U5yjYDD4kEYmGAtVIJ4ZuaMGHu5viWZF02EsQGaWxYfL1jiAx1aINAiaFctY4a1Z/VyJXY7ohG6e
L9vYTZBtd40ejk2wNJOxLBpoEYK+OX+iCTnFo+xYoEJwR5c4kAh1k5/xkedUvDPBQIdYZFWkhUiO
E789ZEeMjX30ifI4Jvbv+s2hYCDDSGclbXN8MTrBWB1FN3ciV3mgDPuy13gtxsYiXPVDUPNoo3cz
1tudZXBjTaQlyToENb1Hu6MTV5ts7dQ5cVDeS7yeAbqOC3exwSDGuprgT5oa5DnN3DKIlZetpY02
xssvnxcO5LP6mGSRhzkHk6yjZoPVkMexA2Wn6kkqSHLmxbpsjANMfyhkLukgiJRmTIiIpWTvXcfx
5/130fl4mExAlutr1EVhiWar+/pEmS3Rgh3o9zR9xE/87VI0bU6EycBHO+ZdJoMT1IkPxY3wsgb5
S/su3UDqwa68+Ki5+avEuaI5iMWKIDWDHEs5xfYFjMlNB0W6AVRGOoQRcEDSSDokhNcmt9satF0m
CylhJZjCgE0VAs3XvfXKOEDTIrYo41bslnbLczXOoTQZMKnqAenjEeekld/X9aozvswDRE/MFu/p
4PKRpH/qgp+ZDJ7kKqjnNUgOO0qSH0cD8tqx0d1rg5pzzv5lh0bH079xeViGMlUpvYaQgFgFNGnG
YdZPefl8eT27hebzx5JZBZJKRLJrqMBmQBv26ciD4kt2a8kB73q+fBJlttxUCmPbLCZi6yTrM0tM
aidvO6eaYycqI6fO22+SpnDiec4msgUnYRFBMhnWaIzp/bFzjLpEK55VaZyWRg6MyB9XweYSrfNM
yXsDs27zCh54sMesfekq0bzYQm1YkYF8ijy9kDBxhBmd2ZWiuyB15kCzcvlsgrf830dGRCCnFRjA
daQwftcx1jeHlVuJ0b0JMcBWB5eDKQUxGjuXOIL00nIM5wSM8+9ET+2++KUORSCBaBcXF8YM2qNY
v8zQkG/LHA0ISWpLRfSygP18btwmXZ0WagjgwbCmsvOLglhqJ9q1euqN2V1W4fXyMd1PUfwGaplN
gAvQj6mXHC9n1Vps1dNfS696awP5kJzED/GH1BUcciNaPVTUTaf8edn+/taqRBFNFKJUtil3TMAg
2NI6CmlPZPEL6dRHnGhv3z/OJuj/b87QBILhvCcK/KMy7SzP7SmXrhJJs1tDcNV0tsfiM7pNRDub
pEHaxmQijnGldkgU1CNkGqP3TF2sLP16eev2wfm3EbYRd5iKpElllEFHJTtA8POmlTEREVW2mddv
0F18v2yOs41sRwlQM6kmA2lGqQX5C+Z0Eq9oajvrDoIMOvo8uGxuV3hrs4eEcbqizPPV0OhsZLZA
L60agzlHORmgak0j0HRMbW0eqDZldJVWna2q5rUYlu9GDHaadLGVtkjRpkGCQdKCiYzXkP7lza7z
PgGbc9Cyfog1xB1SdzDUu0Jrrap+EqK3SONRDOzH9eevzdz9WdeLkJrA104PCaaj2kClNJse7zLZ
B/azGeqvm5OrZIa6NDSLgk/biw4l7Ep7b+ERdv0llDnbob9jY6cDUpcmbd5cB4uOU+LYQnRc+bZ4
mlf7IGc0T7wK537QezbJXPzEbLM+wiCKQ8qbVfwulhyc4W0dgzOSVLSCWdJkbxW+yjKyrbWsWoXU
H1dN4MTXHNhkSVYSLe5TrZMxtVmtv5RIvMbA4KlKek5RmGOGrQmTOS8bXceWrZknq05fP67pl8t+
zjnXLMNKLCRqVmU415R6hM7l0/dqy6WL+csT4ffXZ5mqVT3tlyJExYv4YJXMR8zESVZZgm8fgtwI
XUYIYv5fmhI4p4KlqdYUMgo1PXVC5McK5uOa6yL9mnBluPbh2TAgHy3pJnoz/+1QemIIEUZH/5fC
k4LGWj1iS9BjbK8Ikg3ia/sgWoIDcZfLX/AvQdrZNOPL8pDHkNVFOkX0V8gFrYF4l1t0XqG2UUvk
RJ77kHs2xnix3se1UMlIjRpZ/7VZv0+rXljFShO+0XS1mFAOuby8/Q94Nsi49dSRLqkTVPjErHf6
ubMmDEn0UgkJSJ7k1weD4J+PoLMt6iwbVJyreR5qE32UvRd9N5GedJYb7VjdoMsXrMPg0I5t2hZb
OdpPobZnl44ulGBju7xizhazwX08KbEAPS3U1OfHVriSosmqYkfsHms8mS6b+otb/l4xG+DPTaOv
1UduEb0meCth3Fi7S2zNooWVCClnk9tN85f80dkmE1msU99JK4UcWnVDnejKdIlFuZzLa16ajLeV
TICQaYMQGRm8XyRXYx8IVW9P+rO52lW0cL4aBwDYwcQuy6J5rCdkxcT2g00JxzScnpr8QU8jS+XN
Jf7lfXveRQZw1LppO1kd4YhmaMvC7E2FbjUKUnHSag9Jf2tEir0K5R3I4HmnhrdWBnEqPTf6Ose2
0roqhpvt7lgeqEReervcrcflVvdViF+kxOKlVzlo8JH13XhoUxQaZK1guZbeQ8wNZVoQmb4hFj7H
MfbvxfP2MrDTzNlQGzEMET/0my8ggXBDx1yt7Fm+o7yjo4sVOuZBDlCx4yU99+/9s3EGh6ZQ6cxa
RqyvgD+7Fyor690x4wQXf4kBf1thyWeLEAzJInzRkcfi1lze+nB2pRoVz3E5ZCQOlhZ5+Ty8B/V+
bkG+PWh6kLKYs3d5qzmL/Xghbz5pYg5Z1ghwHEOu7Xx6R9kJCqCvl41wF8uAjhlp8dJGGD1DF5ST
PIBb80OtRfJpLb595tWQOeeU5arNuqlU8hVZLvDLwEPBfAbiroREVrPyemA4GPfBDr3ZPzNqojGp
cFLnEalqPwqhbD1bOTEtInP6ljh+LzOY0xmZJosFLn8oAViC/papd0sGYcz1Skqv5s8wyxDtfD4Z
lFGFbFqlEOdznb2s+FFkpyLnEHby9o7+/2bvSjkhYVwhdDILgOWAGcErIiFFDtVzLXm6fAR555xB
FHEokhE8NngzqK/KCqrkO+VzZf7zjjG4oYlrvPaUzwgprGZCsSSPrKiRODcdZyFsm0mYiHqamkg+
duFdOEBFSrzGyOHlzdoviYN9WZQhMWOAsPLfX8aMuzqD3AscyKNTSYmbXWcQmRFxvWjgDVMPVSAH
vHBhPzTZWKVv2M15SAYhjuMVWfDwuj0oHySM2Uk9UtZdlVPA2N3FjSnGl1qhqpt1ShCatKca3b4C
wmge1/5+kLAxwrpQHg3dnCKdIB7DY+OPaJOWsH+1z6PM3L0uN4YYR8rrVtBNqi9WFSjF6KtlRL0l
Fl5Gfq6TWyovssoTWtqF2I1Jxp+0MR2VJEJWuEmF1VHy0a30YXTCaLCKksuhRL/8H0+DjTXGtdJw
Lou5x072EMemcox5ifYMUDbd0zSQAZIcXjsXZ31sd4EWxsoi1XQYQfTjxOmro5BC/du57GicY8g2
F4TqaJJowvOqSFprNOpnczjpkfRw2Qpn99j+gkKo4kI34M3C0HiCmgRrlLmXTexC+fkDsU0F2dQr
SkubMYolUCK/b2aQxx0GSNMQHtPJrmQu2dhiYCKdhHrsc+SXoZx7EscnUNi5aGtxayWyihT0iUL9
YDbaq9IpNjqJrbqb0YyKYdss+ULAsZp3ys2YoJHZLDEV2Fm9LnuFnHsaSD4S1QwGo79b0ELXdVFw
eZd4h4pBnUSnnEQdytykvBPCr4n+PHSOyJva4X0LBnZkuYfeZoiSWFuM9lRqkDVcPKGKnEyr/aSd
Oe8RDvgYDPhIvZhLU4xWD9oXKIGwQfU15LB4+jn7LSWbz84gTh+FkVQsaHwof8pHykQ8HqQr8Jcc
Fi8OQk/EzGzm5TaPUY23PAZ6skwX+qhH4PAPdWbi0/cH1Cn9y0eDgwRsU4IQ62U/6nCgBX3o2Q8c
04E7Y0lv7QsoyrYlkM5oNWkCpkVfDJ+AGy6+Fb8KmVWdaN+78KQ8/bc1MVG/kMgGjh/s6cJ4OxtK
UJqYYsEIz38zwwQr06xF4aSjMWDuXAFVxnly5+r5sg2OT5kM5pAsF0FhBggVyytTwEdqrVm4Myav
Gt4uW6LH+NJHYjBiHqESZRrYNEHqrAYEnKjxWm3U4lpFNKla2vRf94/BiwlcL3Mh4IRHNXmco2cS
hYplJAZvMnX/+Kk6hi40VdP+4Hap4nwcEgAF7bOkx2/9gW4wW/TAFHsd3lSfAtuzOeaTDWPbmlmD
jUyJm893eva+ln6Kzbz8vfYx/WyG+V5yHEGH3lBo8/WblgUKPk8RXuvxf1wN85EkvRMwxoU6rqkI
p2lu7XaN/SZPjmbPazug3Ul/nsDzihhAJzJZoD1KgfYU+oNf+NFhcv4Rv+AV3Pbd6myKwXQyFO0C
Ui1sXnQTYlgqa52lDgpoKlQx5/VMv8OlVTE4TvJSF0Asj8cFEh2oStNEB7cqzTkMbMmomOdaS+UV
bY/5nSKAsd580ddXs+GRU//lqfR749jCkZYUWIvU0/6aKMih8Lbq1myv75UjHBIe5/J++gYMSf/f
c9nyUbHKPXid8VpajoMruoMfO+ZDGVBizNxdXnjPmf3q98Yeg+hmn8YgzYM9+R679wuky2j4omol
dMJ6veleh69UDQAynt94J5K7VgY2Ji3LaiXHRYzBmEq4kaWrzDgMyZfRsAfT65WgL0AydDssGGjn
3Jf7FZDNuhks0UATqEUCGn7aV0jdgwFHwghJ6gkuldo0r0MH8rzOjHy9ZNNnpHACJYL48Bk8QxmN
UPoMkW2oMhM5r4oJb7o1PJLoV2q4g+Fzm7f3HeW3FbbK0uiNmnQi8ueJeC021iTcx9kh5GXM9l/g
hqxJwBAFpHcMlImT0kiRigxTlgUyuZEUuybfetVD38tc23XxvZe9y9u3Xw/cmGQgTQ4rKcxhFqkT
+g0pAa9wE/k6Tmv9zEuZ7OLnxhgDapUgr5APQF41W0prKh5ToliScTXE3xWekAT93X/g59kU+yBG
enpQO8jcOOpSOVWX/Cib2W2j6VjqKfSsfuVcbU7O4tjHcS8PdajSuQy9RBvYdZTeCbqjQAmndTnf
jGeJCVTbLF5ITCMgWoYPByd6i1/GgFLdhRbeMtcYcnHAl5NZxQ+OZfqX/9xVTQTjgaHD55gDKoyF
qEcCDVIO/9D/UBFz9Z6+MExH5kRguyJXxDhbY87mYoJVGxxw/yuTN3YEHTeQDV99FMqDFgPusy97
vV3b6l0GqSvuTN7+Tp9/AXNgi8qcph47AR6JUx56JY6ScspHTwFPG2drOabYu9hYB9XoVFyRjUtr
DtkNmuWP0TWexI7mJYcVJfrUjT4nzU0ME/OGOnBH+rhgNlnMVJDNZM5lCgALxonQoI/B1KB3IRdw
hel2MBJ/hvN7a5G5sgp0zxtjDEfJT9V3GbplqJYfq5PolMfE49XHd+OozfKYO4qkWVGX0YDxkfQx
KR0jF6w04X28fbA57yET7bZJNHYhPaimCPLHxtXSYx+DiMHs0Rh9NXOD+P1K/GZVjB/KbdelfQw/
bJ3Qb39hdKSx6hcCzgcd5XiqlWFIbsXzfnHX+8/LZPwxaiUdAk44Kh/KQ9dUUxESpbYY8Aid/3Ir
nS0xfof8b642dOSd8mrOh+QogHbLmhzJjY/x88prAd33vd/m2OJml9UzkScsLNUCqMHcFajKt/Hd
HIoeelS+XvZ0njFm2qIEn5mex8h+Z9O3Mr7JdWjCNIe0CKqMNxLAOfwfALvxbT2tDbmvS9Hpi68k
9TXteeJx0/COIlu8TI1MMUEwhHxabVP1Zj20R0v+RZwCtZDpkN1qhUWu/+sJYQuZY0f0cjLwBitP
kle4+S0K7pjpOEhu6+tfxYgHz7uvzLPHsdXMIlwHRQcnyUfasL5FhAtHq6i5a+E/AuRHRnnz2RpR
ayNVwVgYCjG+fjUGg6ccFVu0wCkLwvHLx3E3tN0sjIGSvFEV0iMkddb+sSmf58IRtetK/H7Zyu6h
NzVQueqiAfkIxqGLRBmjJdbwVABz7TxNVr3I3zq5dWMMDc5pwRm23F3U2Rx7mWpyleshnRupa6vp
btfGLgl4Qf3PLMrUgeqGrMpsf4kaplJMaDs+gWxU4s/zKZb8VfOE8OGyof3lnA0xwFuVgySlHSBj
6YmzzM4go1RARKub3y8b2r3IzLMh9jMJ9TzrRo2ouXka4se+fUybn0L61otXYelctrUP8mdjLOom
qjhrbYftoyItpYNL7Dn0aDNZ4S0/eHnx/QP4e2Vs44jYrLFidKh2G2ZjzcqbJCd4XFmd8pbyElKc
TfwDdUej08oc0UB8IEcqCIhIxzMO1bNgx7Hdu4rdg+lNDIYg4+XMaej0R3y+2VImE6GmSZMQGq/K
5k0X/irDL5e/Gecgsqg79VmE9iksbdEx5gJ6ymu49Mw77tyTwQRtiRBD4JMSwoi+QWfnAulGw+0P
9hkwkfGUbPf5bjabRhe9gdtV7aQcUjC0kRONcegfyO7bl8xW8bSgFpNbXtKGt4sM5OKDqnJu0l0c
n+XoKZ+/NcW3jNdCv38zb9bFoMa4mFVYhvSxdpoddBdjAjF1MD+vf0uhY1L7fWlzXHo33thYZODD
nOuwNhfoH8T19bBarfisT8HlE7ifSjzbYBtK6ixuumEFS39XIiOq3Qhib5njaqmi3chuND9qhidL
yAWpvBCAszqFCdyKfFTGPkT2gkzFbSrXVotZNrvuMp/E4kntRq8M8zuoFtzObe8IyuLkwkNP1LcR
TMCNUnEubt7Pkf99bBdZS4usw7HNWydOJ0ur73Uz+49GGECJo6GtJwNplLEcjpKSvRW9ao2lyrng
6MG4gFsK8yTE7KOkatQjRo+StfTB/61quXcJqKIiyxoqOiA7Y3AF/QuGCF01zM+poZWpTtkFGBe3
ienrvy4f0z0g3lpiMCVLemHoaxT9K0wca131YCotJz2y9/23JhgUAcmDWMgTYpyk8OPcBm1q/pkW
sa0JBkFEtMYofYXHs2i+JNFjBdo2VeH5FW8dDGiAWpPErYHcaj6oAYbMDkVlBLJeHC5/kV0ShM1i
2JJ1JFeZWJcSTbBo/gra1dQjqVVdZ7bkjxhauxVB25uhJcgiDxGvP2d/kZqmyZoCYjV2soSEyrL0
E1J2jXmjjU+tXFmDNnAQav94n40wXmRE6GkyPrT8Yry5yGOC9S0D3s61VXSc07fbc6eKZ2OML0XL
MmtVjOOnY9j0DozEj9ngkF+Dk9wpLp12iO/j69Ln9XTvO9bZLONYHdQuhDwH/CuqdgR/lROvrXP5
pPC+FeNY69QVZjPjQOI+c5W6t+Wq9HOMMP43M4xzyVOmhMUEiNBCdx09cwl0ide1vfdq3X4kxrfC
ToxiQts0yhPVMqv8MOhOPV6SfN5TzuFjZXuTWS7xFqIpG8D4EL1oyhBZpXEzyd/DljcJvVv22iyM
1e1to96EvAmQaZ7eWmT0V8X4FupfaiGDOm3jLO33RXzTpW+xrqxW3IKGVZd4mhb0A7GXliqh5ERT
1LhVmHig7cxYmSeMpoQC5rf6GzG00vJKnO6J6krGl8unZffcb4wxt33WqbGsSkCvnJJNGrEV5QIn
tFL3buHtgpjL3kiWuuunGOFbayCaSkvPLMVjM9/nw70EkxMm9hdztARVySyiP0C/a8aElWQ3Uonp
g7WA0MFXA3I0Wo+KOFRSo17yBUWyqzSxh5bcpuhIlDtoL2qi23XVa9p0tthfY3FHrVTcsWmsBPS/
RYhpv4ZQUvrwpUjK+1XObsI88hWzu2/UzsmkRbAzXT60agaKo/SYdP1tRH5mpmyRyDhMo3qdoEnb
KDtPS83npBR/5EuPOz9fD0ZX91bbQLVDTz/DCQ1tb1k3iI4DwRbwkNeb67JBEt/M7WwcLUxkSKDb
Dm9rg5fb23tEqIqoS4Qgp6KybIFpJpFRk9BYDblbqT5E62tdPCoT79bcRZCzGTbcLocmWcMajoaw
j9YHreRYB5TDZAm4DzF6hv9wqI0txqE0MNCuShWJCJqsxY3tVsDYhXaqG5u2c4iiNfCaM3ehfmOR
8apuanIZSrtIfpGfeeE1+F4mj7t3FyY+GIsJiEUMk7lO5s7sS4gHAxiL6zq9B9WHLIH6XbaXuHYN
blZlF4c35phrRSSgaJBCLMkczcnqTFGxzckMFlW46+bCBbuBXZY/VmV8q8kYVHp/14EUw2jCr33b
20M/e2GoW4P8qbKPCj1UBHSGiq1g7iKAcD7KFXJLlIQKj1KvsJc7BUq5VDpk5rTP7D7qN9bYij2q
ox16QAhNLrWn1SnAHqcdlGvRq7wEk4r8jsj9+PK8vo+H6yaNoLQ1WWcDfaydO7gmRvEP4rt0ykHI
ndnAouJV/ql/5H0Qq3+9fDnsHuONaeYYi9BMSKdmQXd79UVZfmCKSOZllnazCdsNZS4HaV0zXenx
tu8gd7QeEky46TYdb4OCgCsHoS0dFA748JbFxLPZOM+RuSLnLmgPpvy9Sk4m+Qw5jqoZuPagNCir
LGLXaB9ZRCTAQRez2g3ag2bJJu0hbB4vfyLe/c2sRW9jRRpH9MoM4EfPJXtaTE48uR8TgegUt4Eq
4R8GaKjQfFVPNEQwrfpQuInbvgyTRelcxRPG5Q+8Av3uFbQxyEBNLNehBGUCMGrIgx8qj4n5pv4/
0q5sR25cWX6RAO0SXyWVVEtX9W67/SJ4lUTt+/L1N+i5mFaxdYrnzAzmwYABZ5FKJpOZkRHQQuhq
//bebYY0VbMB5SNEs3j6rrmxzDps4QeZHT7TvHaKuL8vwDqVL6mLeUDn35njPhWws6miFGi/qAYE
vZTh0hvDo9bLX7RIfYuoULB8q61qrJbHjsEqcOg062miwAX1YLpjrArLUQoYvcE/AW2vDbHvuTI0
hN1olCqqwx29U+072j0ZIj2XzSO7Wgvng4U69mqp4u2kdSA5o5Y31U3mlBM+1u2PtHmrvmdaHx8A
JdFLho+sWzDiy7Njdy8qCN26+9kCF+r047a5zeO7MsdF2JRmUrgYeN3EUFd0AIIZHFkVzRFvb97f
2aPJhVirNKMmS5ApmJA8xCBKAcH1TjDEuB0lVivhvFsZemhAdyjbW8/jzsBcguQWJ+PRdoDK8ok3
B7c3bjNGrMxxzl2oA62hU47qDgqHapL48YgxFrXe4429/3emOPe2yi7RugnnKLLdRDt17V3WuEMi
eFOLPhLn4WOsWdlIUUOUxmcyP5Ghx6iuiLZ4Ewm4ekiYXGg1pEKparT9/jAIga/M65y/VNZEkDzR
9+GysnmK0FqMkC6a0p0kuZr2pe53TfjvPg1Pkm1XiZUWIV6WafYpsTCMkBOXtmCiSkXUS6Kd4wmy
q1wPy4Kxi0PNxhkqNlP1qailR1sd7pUs9apGdlO1OJiSLWg6b6dI775ucUGiBEFGKrFGEj1kD8pL
8Rx79HN80VzqJLEDMpAdqvSCOpzAHfnRV6k2Mlmq0Bo2x+EU1yCSnXNHGsbd7bMlXBsXNgazKtWu
QQGTJo4ZtC34G0q8znSn+NQh+GJ1GGx8Ej4JWcj78CRcbSkfPnSCR26HYRk2hMEme6dTAXo7B6VG
YA516opm8QX3isUFkRniasACYZ1dbDvacpq61rGnBt2Cb6jTDcKay9b6NMuwTY1gSNDk1hcXUpfk
FXpK6uyOGP7LEleeBXfXpovoiqyqGhJdU+OuFXNsl0ZjwgYVWLsa8BRGuiOVAtDK5r6hFMHEeVSm
DXSdW2CgDpNAGpLPGS/30M3Su5Z8otUnFGjS/rfAGTdv45Ux7qBV6KxEy2jAWJAd/mLbUA86qGj+
0gbvTyIC2W33X1nk9jDsG5IoFh6vbMgk39H75hQe7Bf9ObswXh+kHGPuiJ7Mm3nvyih35tAmHuRi
BrRq0u6I9BaVr2kc5NNvcat485itLHFuOOi6qU8Lvt4EEKixZzzN0i7ch8/slEmVkJllO0qvDHLH
bLEmww4X5NiV/nMwz1p7mNrfXfUpHy65dljA9SgL7m12kX2IJCuL3L1NTDXStRKZ6R/wYpD+l4OR
Qk/hbu4hk6wWioKAYJzrzFnuqmfypFcO/QTJMSAzMWl6lr9rAn6A7XLHanXcNa6QGUSrJi7Y8ciE
IY3vjLocJVsWJ+W9/hQ+iRKH7ajy94H/84VXjwk6JepcZYgqlrGTu7cq/DQoghx/24QFcBr0OxC8
uEWN0kRBzomtjFVX7h8zkDaK+nL/YeP+tsFnJklrl5FB4RYzOLq8rxqI0SXUHMELjSlr70gOkn87
eAkWxecnmG6XcBOwSDI+UxRUtadJNHwnMsGFx0QaKtmO8M6bH01oRs1eOXu3F7Edmd53jQuHo55k
OepRYHCQA938QgsXpWqnUAPzH9WA9HdLXAw05mqyJxuBwgQLb4/hquphrASr+Q/R6N0I29CVL1uV
pZiLBnBYeJ53rMStPjBuy/T+Hx0aA7M9skpk2eIZdLtBa2KJgS1trfuu2fRQafKhQqfj9ufZBFCB
9c36028mCk8waPd1BE5WeHUEMqav+lFDuTUJqOWQR4CBhdPgm5f/yhwXzbuomFLTgDqTnNf7dGxc
iK4cDLp8GrPwZEEc0JoSUeme/Zsf4vnKJhfPxwZpjExQj8xtN618Zbq3dCcyBDn95q2xssJF8wR8
KOPEeELn419sAQyYokLh8PYHE20gF+lIDiWIKYGXF8YuiX8muVdoudNGgQr1cLsWXIXbNYD3VfGx
WxqLJu4qG4W7+wmiDAVK8erb8tR65NhhkEc48r45yQNdK7CQqZhqQ2/s+oDFkibV6YA0lx6mu5bp
a4A9kESOBOyFFUC78c/ALv0KDXEn8m2wWIu67f9hze8/gQskkVJKJRg/2OMM+iuAK0huC7Vmxv6g
nqxD8v32F92MwasVcyHFhG7NMNVU8xK0PqNfeeYbYD+6bWMbg7Eywp07c+yreVhQXLFixwQJkeUr
TrQDR77shnf2c/epgKyv/iQci2J79fHsve8ld/ZyebBamgKEYcz2k95UbpEugoO3uX8myO5tEMkb
Ns9gvVTA2lcGXHQYvoDFz9HQTQ0XwQaKjKjXbqmOzdjlBDLBagExvu91vBtFb5Vt118thHP9Mjbb
RWdV+fE4YPzIKbzplDyBRHlXfW49TCTvq2D8QaB+0biFq1H4v8j3N0Pl6idwrq9DyxE5KX6CObt5
fAjp95y82cQXeCPbrQ9esTLDuTytlTBqKTthxFF1R+4Sp1Xf+voAKnfc3FbtpPZvA9R2IP//l6a5
g0BjvZLmDKbVc+eBjAsKJtpFC2YPE7u+CIIk8hrO+6PQnEO1nTTPNr2l+UzIRRIRdm7eB6ut5K4d
ue5TtRqRJIZl4yYjdZMe4heD7hfFAgGD5wSt49tbKFoUdwOhICz1UoLrdE7Gy1gb7mAMR1nUBduO
WO8L4wczpHZsDUvHy32AegEaOn54hHrwK4hWlN9/DTiqT+NeBP4XLI6nHxgi8AtlPbZzye+V1qv6
b0J2+a32L8h+baA+dFVTcNldxxIlBuJzalCIY/1R4oPkwA19Nk5tHhLAWgAnN/36PvFAl14LGQ82
jt6Vce7rmTKJ5XbIEGQeDVC0a95y6k7kG3hy/ezXPwgna2M80kuftChsQxgz5gerf1D7RzMHF+fL
/+yQV1a4glKZVnNhg9jUS5ez2vqpfZ9r3m0TG9cYIUDpgCmCmOxP15+sMBo11JUa6DjzSUO0olAI
uW1hK/pfmeBvmDLuJiIh8UHz7dwsxbkEltpCgJwT4+egxZ4kyReFNXua/IeaoOhChkPelvtoqs+N
NYLLUrofWwrM+c+YyB4kI54JaEdaiJrc/qksanHR++qXcvdUHBoEOG8EANX02vy5RdBpR3+Iz//s
y662nbuOkrAk0qIDJNU2fjND2Mc4VbqI52brTXe1HhYTVm86Sc+kUUlToPPko5kd9TSQi7u5eFvS
8xKds8qvetHB2AgzVya5W0iGmkzZMYiE0gdTXHozaOWaQZS8b3utAXVmDBzaYLy8XliZVVXSQdLK
kzGEUyfpIZvjkwKIamQme20yn3M58yal01x9IE6nK45lz98BCQrsVCSjsDWNgSX//WN4UHUHTRO0
9+DfFcEsVdBbTlv7beWOk2sPiH5asCQAWceCavO2s76b5U7uBEym2ms4Sq0cJBh5Vo456CrL2FFF
J3jjJr5aIHeApYyG/RLDWYt0cOPs1Q5/zdIjpIBcw3QaYVt7I1W7MsedwlrK7Ti10fdrl7OVurH9
IilB+A+YbK+scCdQyRZA4U2UB6YOyNXqKNXfQUqYKEEmhKNt3kwrB+GOYa+H/6/g1Xh2sBwA5TsU
YG5gTDzJcyk4G9sH8N0tuANYZH3dlQvyeXvylvHHYFzsQvAu+Q8eb5sq0VAVN3mUTabSpqk0NPkG
X/HZRTu/0W9snAr0E6+3Q/L2ct5NcSmFZleNWTYRqmzN99i4HwrqdCLoGIsWH8P+uw0umqTL0tDW
QtN88JtDD+WzalcfsqOowPFnmPODHWRGgMWy7hAPV50gmJXGbABCux9Q9AcnKvVsL3mU3Ohu9Oje
Qu/GdhAzvQ7Il0mkhr5VEYMUtGHLuOaBJOJRmGE6SXbTtKgl4yjjoUz9YvHGB+ms+9ovcblBZQf1
43rf7XHfbprDJTR1RKjOpOe5ln/noPNypHn61deGr0qdW9TZTwOSYQ2NcRNm7txIDlH0z6FZX4jS
7hWDUswsz09oHzqhXJ+qdDroQEzPoLNxo0zE9rnpCTpRkX3blgnOu+t7Re+LcUlbwNnz/Kdu4Ld0
M4aMkzNpLQf46nOrgldeE4lPbkbylVXuyA7aYkRUl2TPtD9DOM0YvX44SMth1na3D9NmZF0Z4l5t
KYoW5kjAXSupP63cj4aDNn+VRfJzm1YM1bQVxVSAteLit2IrckpRGcdQVgvp0RcoH7jdHITxyz9Y
jWEqiqVohgbBoOuPpXX5jNKxKXuNfGlCTw6PRuRPIqahzQBkEAPqzii3IEe+tmLGtl51domMdX4A
As+tpaCaRdX3zS1DOLWJbGsykpprI6Ay0uaCaLJnjMUhlLM7e+pO4BUDgNnyb+/aZuq0MsUdynQw
idHLMDXSZ1OKXSP5dNvA5oatDHAbNrUAv4EDATX2+tD3d/iTM1CBI2/bMHXVkAFcBc7zer/0MmlH
1Fhl1B72U/PcQbTOEl1ym7HAxGCLgt2w0Ki4tmHPKF8WMQDFTA/TPNbH4p6pjC/H6XFyFRdg/D2b
lYs85RC/3t7CbXd4N83lJqG2YE5OCmVvLh/i6tCo9239QiMRi+hWPZjAo/9eIreNmMezJHgjig6H
wWOKyMNn9QHqmE7k1s9ZkAtSk61G45U9tu7Ve0RvB2vG8KTsha/TQ+N1d8SPjtFrdqpmcAPWfhGI
sqHtO88yceUSy9Zw9V2blHGw+iHGEjOo+o5gI0Rn8xlUM+ARIQfR42c7MbJlxbSJoX6cfRmMKY0x
tYNIDol4p1Uqx1TCFxuTOjH5VStMm8Ry5dFweiX3hqoRABs3XXZlnjvbi5nHamjaWOyBMS2zIRW8
SgLRVP3m6VuZ4fY07ONmVGbsaSUNXlOmQa6Z7jCO3u1TIFgNT1+nlCXm3FmkojiAyp7RODNmG1Fa
JlgNz1lXzVOddQuccsS0FjWwohDPtUaehM/xzdCLaKXLNkGo/3McV+6vJmXfyjpSc/2cXnS3D5a9
5EqvE+jNQAoT/BfEZpsvj5VFLpCYzdDVVgJIxOBH+8qfTvrPcD/soL58tA6YTbz9wTYOGzq66Oli
8gv+r/Gz5U1hV3YC9DPwJeUl35WBarh678i+hh4M+VmKztvHOMns6SpEkU0iW/xEcU3IqLLMAFpf
yW6ogII3Jgh4WPHBkKiwwP4Ro35tjdvMPM5AHBxBzIXJcCl3yz46M03L5izixtgII8yShQF9S1eJ
whfl7BkcC6yB7oUQtTxkfhpMj8ajdcx2416Exdi4BK6Nca/7TlViDM8w/wf4g7FfJrv8jPlEMDsN
wXyKBTFKuDj+XkUlJukK+v8Mao/RLgWCEkrTT7JQafrj0b5eGvfF9KGE0HOKfSyavVz5RHlZpuC2
z2+aUJAaYmYAX4uvROXGrGsNS3aJtlNCJ08XpxM2OT9GQqzj3QhfYYrmrgptE9dKobuSycgaalfO
vTz81TZBT792mUh0fPsor0xyyTWp+rwuFZSezUf2xI+O8kE52hBVhoaXkH5GsImEc8E2t6hmFHiX
lPO9hCGx6TnJRW63eXrRmJBl1k9FQn+dCKihFEqLhAWx05vu23N1mhGXxKd3o96Nr6WCS1IFuwZB
4nFtKR7MLgalmAzFR8CEVaRVsWf8aYPk7vTEsFVLsLjLLnkITyNgFDla77edcjMuIvzaMhs11PkX
WJdnc58wIagJpd8Jgt30WFdOHP7v87dY6coOd75mqTaLmvWUZOnBMIO5fykxySyq1G1HjJUZ7tNR
aOdVUwwAdHYnu7qLzuYhdUefHJtzv7+9c+wXX5csrlfEZajRrFNlsVCiadRfRnrOZQFUfftcYfJT
MXVbUZFEXTuHmeWpoTIw9/JjgFeg+eeBPf1L78X71E9lwY28UYLBelbmuJMVjdm8kAkdOabCPCEN
GB+ZymqKEF99Tn6RXftlvItcCqV0aK2CdQzPmbfbW7p5uFc/gYv3vWpWJAbVHXQYnos5dbrokekM
3zay6fErI5wnhqquJ0UKFAhojwzqg7QiRJujer1tZdsTV2Y4T7QttZ+olTOarPYTI+UydtPv/07U
dNMTV6Y4T7SkwmxnJk2W0/yw0GU/Fi+3V7P9YQzdQLnLQK2Gi1NzjP46StNYjAkWqfKbIaHIAaLM
f2WFB5cWw0jCJESMmOYLKY8T0iZRwek/HKq/V8LjSedSbdouhyJiGxGHQCtZrsIdMC1PWWV5MzpR
cz6d5CS9W1Lp3iS5F2miaaWPNTx20N5/AnfQqJpHfaYDfTGmx6F4sdWLDG2jUfneiBgXN7p616a4
A0Xzrh1tjeGcl51Mf5qGI6Uv+vh5UO8rAMdSxaliETvstq/Y+E9Ht83gC1RlW2kGoQBtQs1SS925
uKMigMIGLoKt690G93qt40nOrHaCx1fWhRaWL0FGk9DpkEn2JYmy0zT2gaqru1aegKaUgzZrjpVa
gUm9CoyOBBRY4tvOux1W3n8Sd0SWttb6fsJ5N+RfmXGo+sTRMSNdFpLA0AZk/mrxOktfVm/DbMo1
q7RhaUZ6YvmZF31NjhT0ln5+MAFfT7+PnaM//avl8QCzvLIbeVGAYlCzozImTl+8NRjAKUSKpdux
7O9t1LnDoWSjbRQdziedtBONEM/gtP9uKdyhWOI6o6WGlIfawaz6LQXot/FGS8QvxZzwQ4Lw7qQ6
W+rqO825lIakVXHOtX5XqZiXt2yPVs09AfVLHvdgj+h2t5e2GVoMwzJljYGZ+UKkNLJEgmBpxEqd
ucXoXnpXanvIoIUixZUNxS64ocHq3CjDYeCFS08KY4hTPYdHsHwBYtMgjZhQeVEC+m3alQCSUbdC
yVO0q5vnjPGCqWiNaR8ULGpbrlE6Q6eoVF8yM5Dp9yk5L4PgwtsQKcHq3s3wmF99lrpWZTfe6MaD
wwZ/IRvg6wfypFxAvz44wIqeR5CfBdObGOC8HbhNkzHlEohb8DwLcagnA/AHbHNV5LH1OQrYQKv4
3bt53lDHR+ZnKQRYsmsnXciYp13O4BH6dCin9omgbXbbKTcvhJUJLj1p40K2+hmJ5dg9saE9I7qv
RVKLGw1TfC9LJbqMFAXtJO5Q69k4awlTI2PEO4sHyQO/OUWP8wO5GGfr0n9hkNHZyc4xKPofwlYQ
U1h0/3DWV+a5s95X05i3MioVcf1mRMPTEH1rivCBNDHonDBVAGDifQcAlcDs5tauzHJfb64omYoO
uWxhQTgminZ6Sr3StgRmtpNZy0RQUXHeoR1z7SVqlJYJYcyGpnXJ8jtSvizdgxrvbQbPS1+zsHEq
cmlGQWNlM4KuzHK7WqTQcI0oLgO7PM32g0bPrflkKCcT1ZNSYGv7C74vkdvKJClIbJtod9NDCO43
potVQ4Fc9GrcPtnAPeJNx1oNPAv20El0GFnYbKDtNdZIx2bQr2PEyQd1l9MCGESlxMnK52UoRUGN
faYPXrqyzaVNqaFrGJOH7TmAFPm+8NnY23Aq9j2Q1ereEqWCm3u6ssf+fnUDSq1uV1EJe6lm7lNC
sETbN6i6B5R8b6ulW8jToZ5swToFZj8wZSctFKY6ZL1sdpExhKQHNkkoqr0y77uxm3zp1VTaodci
xOiifqnKz7EpmFLcvOned+9P8Wi9e2BubAYDkLxk+hqDxoWCiE1Lfmr94+34vG3HBM28glfHB5rX
LhsaTFsjacgTeifFqOINX9ush7hrJSppbDogAZ4FJUqQ0/BVeEAyQ7sF0BCkouNu8TBJA6wvhksx
1vJb34e7SshvsLm4lUUuhKR9qkkTU8Vkxcn+0ga2F/rSjEoKSnrozKqdI/0c99H323u66Rsrs1w0
CatOV0Hzg4U2nTMtb2Xt3Taw0SDFhUc0wzDBkgYv4dIvBBdjthKmFA46eHKivu2R12bHqAVyv3At
r3u7bXHzVK0MqteHGT3MMrIo1Lb6sUT97ndnWPt8aJ7iES0Oc3CarvPjqBQcgj+6kR9O2cosd/X0
Ut7PZoLsIYzjwIqK0pF7ze8ntIvs7n4ICVRIwDpe1k5ZYvKaVvemPAS0J844v4SRegQh32Xoo2Ch
IBlLyLFAi7VWpwewLPpl0r1Es3notWcQ+YOBp3cg47SXZCnI7NKns7Gza+gV0qy7LAn6+SS5Kyfb
7eLUp3LidyV6PFZZ3Unp8r2qh6MlJC7cvHsBkAdlpqmwmUsO8LH0nVGYNYLo6Mpusoes0w68kj6T
iBNFtM0Gz9oWd0F0w1R2LQWEznCWLw0mo1GC3skPukeC0oNClqihuvmQXxvkboiZqG24LGjLZb3L
5CiHUz2in5Sduh0L2ZGnXwpXzL66lTetzPJzFWUtN9TUE1aNRlyVGkhhFSdbF1Hjbj/V/4Dl2VsC
rf7rM5OP4ZKSHmcmB4mLL7uS059jT6Eukd0O8iuaCwif7MyiOe2txAnspyjAwGsAfOF8Jik1YEJK
rC/Pn+fhvu68xPRy1Iwl4AyM6uvtyLC5mytrnNf0SWmxax5VJvnNtB7AoetIxdNtG9uuuTLCbaVE
uqgxC1Q9RleFcuIYhIfOGf3sojqQHfZEO7i9Jo21ygDqAXro+ssNXdXh06FIV0ePS3w/kd0s4gjc
7P7gH//bBvcwkmZzoYmMu2nGgvJd/7u8FEDIWjvqp+f5AWSwj7aPIPUZYIN948on0XkXLZJzk3Ac
ixhZBo47OVtQ+pRyhD9BAN88A+tVct6RRLlWtOwGLr7M7uKZLr0HvGBfgfV6xBWsvIrhpNvrwrsI
2AkM6/EMeFklZWpS4W5cFEeln+LOzxT/tj+KTHB5BaofTZdWONmQXndpBx1BjO21RIT2247+7GH7
/0vh/HCcojwzc0wMsOivAgdcnkOfyU0mvogQbPMNraxscf6ojnYBmV64g3I/A0zQBvGzrSE/mz43
ULibvdyTvH6fMf5R6oiLHqIt5bwxU/JeS2SWYABjRnqQrB5scDPe/m7bkfF9PzlvlJtErzKoeHqD
erf0udfrD3qyI7Vvjn6hiuC6oiVxQUun8yglGShp0NDKY7BAN/9FQ2szRXr/brbMFYSthI5W2aDi
Hg6FU1d6YBK6K8b81UpRoSJUOVNDAkQYQOoGECmJnNC7BAIW87RS3DhWAma7LnYn80e3qP5g1qcO
GxRWNQAD2pcuNz2L5AdN+q1m1k9Un0Heg2mOxAJFy9A6ijaccyh71KrkW/onWWsDSZJwoWedo5I3
CQpnSo7OcqhGriq1Z1kJd//mm35olLZyks8zY4VS5Ica2g59crL0577ddUCA64LLTnBKbJnLg7Vp
sQdqYcQlL0Z/UVLI2+oYw4/Gh3RKvy1L9krV9NdQRk7SN091FkMN87MGcgIjaoIhjj9bSbRT8/HQ
Lt8L0rpDRw3BhmxflgaeBQQFWkvjq2GSYkgaNEJkdHEV33TTY/JqXDoonup+7kNWWEiRsOnoK4N8
OIzRS2qZLi57ckMGy58lxwQFuj96bFI78ftT9Bkzcrc//GYNGlw3qoVnEP7nAXmm2tA6lDCOMbrj
rt79yY+DrHWlc4P33fBNRm5AA4z7ixLXrWfl2jDnBFOqjXj9gy+5ScGiaUHG7NGoqYPjc3uFm/v6
d0hGNnedhmSWPPUyE/0aII5JzcUpsn1fi9zldlC0Ze7r9UanLHjvsIKJ5s8T2MTZ2H3oh4fBHSBt
Kvu2P+5Rg+sc0aWzuZEIXugJAoOCKYDrBU61mSw603AeIz+07qb0mdCgHj79g21cWeE+l7HUioXA
BStyMEq/jfhsq/t/Z4L7UsRSi2nuUQ1K5h1tAzM8Ql/ptonN5jUKJ5hiADec/YHEPk1qWTU7JNqd
v/gIQEfqkYt8P+2K/0annX11/uUNQKGsazbDaPITLuZgJY2soTUwun9KJ3gMhpqTQsiRTSCZn8fT
9CZYoMgk85ZVycsuSgJRArj75JtHpq6bu1KL9+DislpNEyhvolbypv+tFsklHUUSlXbNPpsJhUrz
blAOOGSyiJJ58xivrHBZhzokRjL3uKGm6Fu9HKs8cbTo9+3NE9ngco3IHsNuGUFjlXaNNwLA1ago
DbWmf9vMZqwARsYitqFpH+gR9dnSi9hEkjhYQV9EjkZeagCtaDDmb6Up8niRNS4yISxNOkTEGIqG
cXQvJwkIUAr6ljdoEDGOAIg4vGF+1kk/izSpti+X1UrZhq+c0QoTKLRAOALp8ABBOFTLC6fEGN4D
2dWeDLG7xs1ek/sGHRfB9MP2p7QIirGABn5gh5TnoSESm6IFZQB0t2T5k2wIQI7bJ+3dBBcRtWEG
V5OZsDbEmYy4uWzBzPH2l3s3wMVDABSSojMBSqIV9brM8tRaewvJ7FIrec714qHGobvtmttpj/pu
k/OWxqqaTBnZOPBOuo/2YGqinvw2fzF9t3sVISK2n2Yra5x/FJ2W13GMYvboQnXZY0RoxoUV5prz
P0o3Vqa4uBgbdDKVBlO001CfwrTw6wQVdHv+PSfCI8du3A9hHykj5hpZ6YPHeo3hIA2DiRrgmJ9A
GL+Mz9AyswjqEJhqSkdHnnbL4oSdcCSAecQNwzz8y4ZuSpIMLNfxjS+gYLtnitn6S48hV9VJnqPO
EbiLYKU8Fgxa7kvbTmh8yPNZyVuvtQ6SHPly6FElMLPzkHh64/b/BCmkaCDpszB3Zn9gtTOlOdcT
Ruggh6OTjJ0vQ3ismzOUKkSUkJunHBhmDBIzHVN++M1S42wYZkyuF80I4ojejecXwSaya+XjV3s3
wbkmxojmNpZCFLGKNtvVRuPXknRoy+iQNulLW+YH3H0An3VOp2Wqm/ZTENI0UOspdmIZ2mfR9NSm
JEiU5ThXye++F7EIbtfZdFxXaIqAUo0f7BrHpYBQAm7f+M66t197dJ6ae3ARoPnU7QdMUkNuxGvv
FFTVWZqRePRVhFrZLnS//wYeT2JJfQnqafwG+dEgTvwzBqsbmx63X6Zj9EKO2tH2pUPy+fbX0TZv
Ekz4m5ap66gDc+mNZE3qAhVkfB1jeY6sCXPKeX8sstqjnbSvKPBPVlcfTaI+hPL8jHh2kfvidUme
U0uPnTQs/NaednTCXRePAa20g5T+1qvayYE4sIr6kWY5KG91Dx9211maP2QtDk5+gvAWJEiABprV
uyyb7qdQd1Urfry9QNH6uMQKMF4TzJp4d47TTlsuNWBPEFC/bQN8RFs+vtpFLrWarSIfjQrh19Yg
YzrRyIE88jPIQ5wqXfZJhZHvvFcCsCkArjZ5YNu4x/g0/PxXU+V7E1eho1Hy2DTl3hyNo1JbT2Zv
fm5lyc+kwU3N/EtaLD+KCLiw3vw60PmohdpxkQBDjYZ7NV5cmsm7UtP3VPtW9ZNv9ZXbGxgPiCXJ
yYjlDJoGWa/Iw0tudCNK7ygFH2dhXmh+ro0fmfJi010Z4kHcdIEezQ7iwt4AXSK6IMcEB7M108cx
M/ddYnwqm0lxQKjikDZy5Uj/mYTzrrFxSPRpdipa3Jn68qVtZMMxGvlHKEfnJY9+TVqfOlKu7NV4
DgDC3xtL4hADWmNEc9TYVJyRaC9FYgZZ378kdfqcqdau0cDrGauFo/YYDSTFL6Mq/HExR3eew2Bc
rDt5pIZjST/rkcTo8E2A0zRqULZ10BTja6WZO02NAXkMm8dBCvdzO71o0rCrh3oGZb5iepivc8J8
uRRz7TdLcpka8JFkOIAY40vTObCJ6eat/kWbJg+K3ne0tU8JxsMWhfzIu+VJqsdLNgG5lDZBSVsQ
E4TNOS5+WHp7LEDPthha4zZN8aQa0e/cppeFGl87rSFuNuS70ahddNXeJN04De1cOHmTPuVp7Gqk
OhmTcW90yeCqTZEBRPO5pxCDAzWcY49QbpFR9o8eJiU5huS17OBbyeRUqvLJ0v1y2NsH7dFscwxi
FRjdGJoYgqOY3pDVTyV56VobenE63jVyddb1bteDNgizr4eFaN9GEnmjEtpOncxurIFcMqvLz2UM
Rc9Ufq3DwonKOnfIopOdSiUT3496Ua+fgZ10a+1HL4Fkm4A/cZBf4kw5danuZO2nWUru+incxTaY
1wxtdkFk6RXxcgnD/Dya0kVVq2NaFl6opH5cf+56A8rEg0dKjHVJ+aWVCmca6F7PoT6nK7ta/6nP
8WOFq7gM9W/NaAdyutQOENtubijw7hyVxvlljok/WoB82Goc3D7+LER+uOBWNSYukSVZXXUlS2TJ
2O+npTlmZbezyvQ7CMCPy5AmgnDDLsyP9gwLUAzALvB98PerZ0dqh1ENOXTFi5Y9nS4EjPpq+BqH
07+zw/dAY6OV0p5R2IGmZ5b2bburu7Mu4snaXg2IOCzw+KooXVyvxoiThUkvs9pss9cIhsIy6jW4
M+b8y+3vtF2YZZNUGnIdTJZy+TjJjQa6GX9qkBpS/+mElueB3hd7przAClkGJtLAKkLu2l3kl/vb
5refAyvzXCIUpbrdNyjYeVrTFk7XhYFkSHv091xztvYD0c9dMbxURpT5ywBCyzYWINg270JAfxWi
g8EO3nO91fJS6moboZeOYwCyJwdzNBbEQwTL3PygKyvcG6stDbOMEpSWO092y0vsQuEQtA0WqjSs
VFgeil12ticnEaXrm+eQEXhhMA/zanwvXTENaaamKnvquKDqsAAzl3qmCorQNnWSRkSBIzDHD1LS
elYqc8IENmSCL0tl73rUd3HD7Wa9QzW2EuzrZqYOtUMUVAxABfh+M2mSpOkkIDknAytC9GtaW2Bi
u3y4ssF5aFPRpJYmfDrjuYeWEZuTN85/Zb+SsIG+XT5ZWeNO/gCYdjJOmESVj8MBQwpHxvFoudaT
Dm2eZZd7cueEbuP/75pawF2t7HIpIS6eFnc67CrNPqs+Wxm6boL6zOYZWJngQjSKlI1Z5djIRAn9
Mkanx1KejSqBtFEteF+xX/vhNnhPPXlmg7iPqBUnuA1CqjogiEiQ6EjZxcJYav5o/++ML9i7lTWW
CK/vnmWKbauI8QSXoCJrOQoVIQA3g9TKgnptQZ4JHhY11tN5iy+dIJ50qO6lXbHXD+HzsrP30f+R
dh3NceTM8hd1RHtzbTuW5NCKunTIrNp737/+JaS3YhPEDnb1XXRRBGuALhQKVVmZtzwCWnZk3iCo
qIvBWOJYUS2Um6Ib0kFPPte70ka+cVh2vHYGE967QRap1BnTSiVU9QFFwzX6gnL9BdpXttSbz+sk
2rIIIGrW+fVa2Iok8Egj2BHrdwihtWen3lwWJCtIVNbSGVJQZI2yU8cQC1Yap5ZE7/pNwPyS6EPg
6UzGMGiQhbyMQhrVAurN4uJnWn6YrK9ayKPvYW/oxgx134wqRsu1Cb2pMlRRZFsTByx8e0TJl7aY
7VBdHnrQ1IZ4y0OZlvO6ZNY2NrYpx0FDc9WQtZMQRjKKIlgD4yDveCQpzHCyMUP5zLgaixHi+U64
N1XhJrFae1J/rMKP6x+MjcTZ2KEicthM0jqYsKPdio7oYbI3QKPqbn3JHNAG7dvPWuryBCnYa9Mx
IwSyKgsQxvfnfZUg2FQRKvuh+7rmF7wlK+B9Ro4vMm9P680KFVWsqI87BdNCwGLelstO+u8SIYiL
m79PpValkclGIuHvt8VrUX+B7Fte88oM7PP0tgbK0dMx1HLZQn6jVje9cJzBuipz7i1mBoB+AmSw
ZRQfgYJ5/zXibpzMPMXXILiA5r70zb31ZXaEoA9AYcdrz7NWtLFGB6Qum5VCTLFreDSBnKzVb/CG
vO7TPBOUey2l2LWjgOggz16iHGThW1vfXzfBRFpvl0E5VxV3ltpmeAAavUNuLRQxj5Id+6Otzj6R
vWmfeCVL9rIwV4f3hIRknjqpkZipQtoA1xA13+ranZO92HPeK6zEQhbfTFBpUiGvYE/VkXDiET/3
j2Jx2+ruWDoxKg48tnTW8dzaotyuyhU5skArDrzRaYIyUeZxPhFBONFZkizqUD6SZQ08o2Q/N3nL
0MRVmylI1vUi8iGBvB/K5aBpA0BLq7caEN8TG1vpo3td7Z3rttmf6s00FbxTQKzWrsarMy9vUwFK
mt9S5eG6CdY1tF0d5Q0lSK2Vmqh/SWrsrLI3Dn8pKCkuyklfT3n21VSC6waZ049bi5RzNIvRGYOK
7qD1IPmkVG3ZKv6tnBkIUdDWgPSUcLiOmhM6y44XN5h3/tY85S/tPC66AXZAF/yQ+6LPzpM52YYi
OsOIoXzdgF7CeGi771mVcb4ms4W4MU03oaokD0Ujhqvm+wjMLwVGS93u2+wQotXa0W9ygbPXTP9B
nw1dS5AMmzQBy9jkZrpmmG+QQbIfWZaro18qWCHHDDv0b+xQ10sSKaoAcVk0fF3CJgJ2ymC29ZPo
A0r6wItfP6dPPhxIMMfiMQH4GcZ93h/IzuqlZV2xjaOv+GZAaERQfxbgQ5FnObMj+30guIoNnOIT
kZivvl73YHIkrtmnYnasIzFtOqKDBVZzQOxrR5byU6fJlyFPnuLZ4EUg9md8WzCVIaRTmZttjRMz
HBZn8QpP+tocgOMO5AfUYCKnD6ISyHv7+jKZTxvC0Pv3PlNfFVz5a5mZqPlMTvFFBY1aeVQOkifb
gst7RsnMG2Nji2zBJsjOsxK3tYAZVyIuKj8DyO2CrNDJ/SGonkAPA8hw5sV+4ix+cTd+zvw8gMyp
Oxz13i4DHkCfmc1ul04F3lgqoKVOoqI6IWFOxfKps/SdXi33fbqAoW/5hGqYDdGfXSGPjiFLR9ma
nKqbzzk0bTVLeOR8C/KJr/kc8cnN/uBla6bhhHRHDhZPcUcQEZpuZtmElaF9Uu54zb1/ONJvH5+K
0oWko08zkKwUR1pBnE7dIih3oo+arsfD8fMcnIrJNd6WRp8g0+qr+RCL36PSDDRJ5MRfthWS9Ugq
RsZp8EE66E0SQs0FXFS4bIA31FJUcpuREw05Zugov6RD1hY6zIyZj6aa3noK78nwD0fz91JodEGt
WmKhT2i9picJOSMm0l3jHpz//4Iu/B884c0WFe6GCogNmTC5Eynl2ge5P4aLhCAF/LUMeNcz60mH
ueW/vxFNMoHekCREA24SvfDy1lusH4b8qjUqJ7bxzFChbZHNQZB6NF217DTW7iq+DuktN3DzrFBB
TVpGUR9FZNpiODr1hDBaPgk9Op9csDLT55BaAIcBEkqL5sWROt0YJSIrZWqfRksAavgohD+ux6CP
NkwVMGicO0mDzoRBRYQclDfJIKEEpI4q3g73Vtz8yIT15bqVj5freytUKFAVDKSEyc/Kz2up2IIF
YY31Liwumfx03RIDuvHOFF3+NJoFTJojNi2FcHHpql53RhsyUF3dHk4xKB5GMKKaGIXEvKuf78Wv
K5f5mKQq78P6+59ApTLhYoljH4NrKN0rwNInl8wByoDQeS477rwyceprxqiDbKiAcI7AZYFd6zav
HxSegDbjMYvVAD+s6oQVFBT/7y+pbi2lWlSRbnYetDtRAaggC27r7uyk9xEy3Lxy9PvrH/EfbJom
AGUmqEpplL5SSksrR+g0DofimdAOZMFqOOnX0SHI5TJYFXt94Nj8eBmTdb7ZpDYyihJ0qA2sMz3l
jzXo1wroF6Y3ktM7sVc6vJjIwPe8t0d+z+byN9Q1LnLDRBoPSTVoeju3ICDZhXe623pWkHs/hFde
QvYxdL03SQVIfV7Wpckk5LjDUziYx2YdgyJdbqSk4tzKzAO/2UzKaVK8npsoRhNXkbLbSW5s9OAd
qWp3a1hg/iWPeZyizKUBU4apZw3NTLoHXkh9GDdTrbihfkyzi1A6y+qHvGSD0aLCDkLjHZP0sql+
aE5PY7zKnYEx2c5TD+Eh8fDMFO/0h/KY25ITOZVfPvXAxt5yWUCYgXpjmQrUFQaINODBfuXS0HHw
24fYBZOuZxwmP96pO0APeQVGRpbwfrlU3M6rITGhWEHOfvdFxwMwc7TMHjCjQ6i/zZbjNZw10jQc
USs1Sy1gd6f8YRRfM+0PMhEsCPecDuYineAl3h86OcvXJmoMzFxUxxEdYN20NflB4z3RGancezvU
SWumQVHMOIdgb74CoAOVUkW1jRjoFg2jcyLYaFLjAs08XwZfuyzzCAPZfopRLsuwCGsGzfWQC1FC
BjMhIPqgXqKdeJhdrBmj+fNlQbI/fFo9EtZ4AYZrlwqiTTRMYRtjbEZ6MB6ieyDNUALCI/5H+4KZ
wLO4J7S4y67lNX2YnrNZL/Vd49XMtUzDlVtADFmpqq8rbt7W4qQxDMZT8lnftpX6rJkUhWB8BnSV
DK1lXvogRXb8EAUzjkb7Ap4vT3LI+szVHn2IANzhSKZnXq2EnLoPV/7mV1DBtYXCeZ9K5B2LX9EF
PUZtCcErD0LO/Zgk5m5uqL7WBLOacfrHb8JJQV1P9tqHsbele+NsBD1uqfkmwWud91BnXh6b9ZH/
39hVlcwExbEGKSMNAIr5GXmABSaO5lmLOAGHUbx7/0GpqGp0jWSOKARjKxevuUDXzZZLh8w9dqBy
ykI+yIGcgGsfjwqpQ7IKUw5AKULq9IOwvApO65XPEB/AzKPJWR/nWND9lHpGwpMORDe8ie/NCOOV
Rn8u28i9njuxk+63L/YTDrv5Yo2e6xNelLgWW1sBMQGmzDz9VOyHm8wbd1KgfiKZIgYCd1Cn8NJj
wq01Me9/CFApigXo+geszwzZ21YN4SmCqntaJGK8tnrJhtUf+v8OFyE+89sUjfMBDrdrtAHHIq/s
MXxNugPGH+zrO8o6AjpSDOin4KLCu+z9EVCSsMFALgKN1QWD7mvmZTICSz9O4tfrhlgesjVEHYCp
N9ZiNVEHWFDVlU5V7eo8QB9vLZTHh5Ucj6qGcNUXSVDluzB1w1z21j63uSyM5OfSp2uzHFo6VdaH
3EoFLAcS7E7cnY3urhidwvBCjGJl7cv/tHl0q1ojREM1BHDcrL5ROsdcbjKu6DPnA+nUjTpXlaHl
ArwNPG/lXvaGp/ElfiGyHuuFaF/UAZBlXFAK6wkLLklF1FB8UD+Ay9JuEkOD6COLQRio3roLd8qB
cFHzmXUYlX8TGfubLeqaiXUlFqMKdULzybhdv6sHxW3+KgD8Sm+gbu2HjyhSOjVu1siZ/0qfKs5H
ZD42t/aps6ZGZhJqZDJ7OKgX1KlJsxZ1WCmwYgeCsFgy74Jj5tWkSatKCCVg6qDSlVUH20jeIw2d
LnqQ7ZKLeofD4BC2dFKYuO6l/7DAN2tU1gJi8dgQDGwwpMElFCTy2+ipCgyvSezQliFWNLwInFk+
9pl/M0mlKIDvKnkYw39i4XO32vmY2JpUATrugtWfEyvZJ+TNFuU/w5zXGKxHrr3o/T3kCfyqxRRA
ZHG2kWeGcpMcOzgVPQ5iVn4X02No3lq8VzMzHdn6BRWNS2FsR7Rs8WwG3pLkdu1Lsje8wQX6Eez5
Co9ph/jZx3D5tnVUaIb4gZS0JULzr2KZ9rVwdFd+IIIB4m46JjzJALbjS4pkoLCBGQo6Yja6WoHX
FYmCZi8/yWmI7hnp/4CGmqtUQfz6w+okHXUrw8KUAo1dmapQaQ0Fz0lTfm2ie23aXT9YrDwcyFui
cC2poDilTnEqiXI/JChyyOit14ptyg9q6gv9TSh/HyNnWjh3NfNQbexR5xio+EmwOnjHONhR8a2v
A3m9mWu/rJ6uL4yltY6g/7Yy6vimKVjl8IDFENhlhGzP6BbH1m33xjF20YvV7OaknWW/cqGpxtlT
5inbWKYOM3D6dZYR4WFJXd1Iln1BfdX6P6rjbBdIHea5K6owJFv5kwvxNtklhyRoPsUvpDpMWJMx
HLPPA94EMG911PnOrU7EOBe5VqXHpQLmf/WG6U9C72YHqTNtZUIlZT0KRaUVLJgBiTACZaLzFn1T
m5jzvmC0VHF3vxlTKSKhNDWgLEmIU1tX8i0wy2eVo6I0LDkaEn7LHQPLLV443smMWhujVH29FqEM
Ch008oSSfPHcOONOP3WuELSBtU98HiCRGUY25qgMLBeSVikhBubmlulBZPBJ0NMLZ0kf4Ujv95EK
JYWpNH0EAmA3iR1L8yohsavZLdNLXXlJBcsOJgs49yYnnNBs82tX9aJSW9jG1TPqi159WYsFM3H+
ACEVzvqIY38IxZs9pAKK2U1K1zbwk19k24BXOUWQfC6CNnUy6BPj/bGTJhucU/fcLjtvb6mQIsb5
1A4iDh1hRo8dadfuMjTYIeuwv75KzummeTelSl7WDryrbpI9pNEJA3f6f29Dv/cTKoB0Q18IaQnX
jyMvVey8/xE2vOPFzP0334oKINU0DcIY/WwNC5+6IDnPB9VvfMKZyKtPsFNT4O9E8MkD+ENPGxur
HKYFkdbpDoOngKMx8YAx+j6jz2Pu6iCCJMD1b0Q+9gdH3BikNrC3xHkW5EV2s+ixiRQbYxFtFNmY
Xrhuh+nwGzv0JgoVSgQDcg/w0eXCpci8QXO08ocpOGn0/botzprolqcgxoNqFbgzW9CE1X5XBpDd
s1Xr9boZdvL2tia6K1fMCdSDhZkAwiToPOWuuZf3v2hXLQjVcqwxw+7GGhV263iphzhCP246mEF0
JKW5zAl362ECsC5z84AnVsg8vhuDVAzGnVLMSg6DQnXpBiBbb1YeQoG7hVQKZ01Cmgsh4mC8xxZC
/kJDco/RLWj9/osWI9miK85OzzcaXaRMyYqApD3Ue8HunOIpQbWx2pvHfzG+xbyWdciFSHjTAlFA
7Z8JhzfGeQVLxaV3SdM2dHU33BEkZI6eLfcRzTxiBhhvgIwAguBn+XpTdNRWq1AaEc9aDOnca3aP
BNWCm8QuulQmiPHxiOlBQpz4vAc101GgQ4qHBbghMKeAbd8Y7moxj6B1r6C5eWqMo5X/ULiFaeaZ
3tigHEUKhW5qrJHkOGGQHREWUZR+Ve/an3WQ8OvwNX6KuKkOzyp1TWdLuA6lFuKaBvngcLd0ED49
9bxBSd7+kV+x2T/MyPfzPMiym9TPpYb+ENRg2tm5Hj8Yw734QkAQkIcfqlh0CywrhrLpCIOWfB5Q
1AHk8C/TXe8nHxJxx8Fv9q3dOtNX3auerZTLb8iMXhvrVPRqFrnTEwsNuLRzjeWsKJyxON7fp3ww
7Y0qN2cc7W74IhvPde5d3z52pNosgHLAeOnzFFOnGCM8Sz6h3/0W7a1AQ9Mwd3hpANMhNrYot1sS
EUBjCVmAojjZdJmlQJIfrq+HZ4Lyuayr575f8T2SuCad312hy3Y0j+51M8wDtFkJ9a4sotnISsJt
I2T+FCd2s9yN0xcDbAjX7TB7c1vvpvKYdpX0siNtJDN3w4B0XLIA47L3rWGTadnFjb4JbocqDg+b
QxKXD3fKZoVUYhMlc5qXK6IuaT4WhywgAMU/kcp4d3rpzlW19FAxIKOJlVJhbvt5sXacHeR8Krpn
FXftZEwQ2EGNIzyXj7HTOLErprbRgcgCstLDvnDTxgar8H/nUXi/Nio2gPVoLHCtAbKlf7WSWwnV
o8o4SMr/5ot0eQoDBCDmKRSUfbuDUhY3qHBjlNYWDC7LJAk2V3xCoWIFeuLyOPYItZ03g/cuQw6v
3SegfQTKIIifNM7CeLHpJ4fR5gKZx1UeraYHYvpTve/sxhFAVasEsl8fQMXEuUiYWI7NUVOo0NFW
lTjIZK5fDur9dNM4oZucmv1wy28MsKMUWBIVvL8MKLm/vxmLYoR8NXmSK+E5rV05/FYCqc5xfPbX
+m2E7l+OYrnk0WoBZXMY3X7/U1JF/27uB59UUGKTjwphvigJ+eOvZVnk/zffa+mnqQfVBJntKG6I
UhL00PYEf8LvJjGTwo0p6mzJ6yTnyAzBwp8+rPNfKMaW0+e28mTzovKqNsStP7r927LIRm+W1SyL
uk4ZznEbzUelmz3R5KmUMQabSKx4s0EdLeDd1nSSgGsDiZ7Va7Y53Fq9bxRgfXAM5RBqJ4s788n7
XNR1XNVSVqxIuN2xcYuhAGjgWAKx25uu1jyMVZCaXjc4hcV5MnOc36LOmaQtw1CJpAY23yrDIVtn
u5N4h5n3zagLWrMGY1XBE/Tz+iJKxb1hz5cKyWDmCq+pI17G1+vnjVlm23xB6qaGJiC0waNRcQWw
088HfQ0W5S4Wd3PCQ32xbzTTQN1eVaAWS62tKvWiHWSMnZbWWf9LMwV7bZxq4eKb2SnAmx1qRWlf
9GKmNIpb/ciRRO2qQ+yv9/OxcIbajvZoDKBXJRd25qu7EvN+1/dTIUf447F7M08FyXkSC7UAFNQ1
OmGwrbC5qJjgLjCig0ank0C3pNV1Oy/Bp77kxV4bQYMhC49zDUafZfTyogPXuOH14XyXrMlLi36D
3efzvpYLx2yyY64bq61DiDYVZtuMLK9s5cekArJFxvKkFdRRT0kUcy41tvf/XhWNXEinHoKfY4+3
unKvhVDf/NxmwfWd+4dg8maDisND28UNCHpJSSUMqkOIkJ/cYc6MK7nJGAclYevNEhWGJzlNhQrt
b0yZyWcoXrqoPtjR59qPffkuOWk3Dcr1yA0wEnb4o+f5xjYVlg29mEQhRxwp62mf50jhFP0Yc5Ua
2M3ajR0qNEPaqs6SCVmP3vjywQAuPnpqi/2IAhWpLutgOv7O+YAc16enltth7NWog5OAiXFv+NFh
BBj3FzBDcLlFe541KiDLQyT3YgxwXLxAjiALouGxnB5mC1hjYXKGAfWrqHKs5GbMI6dZBv/6atmh
+s2HqHCmtrmCOguu8siEMKw13SxKzaM3YPYGLFRxAJE1QHtKXXVFmVV6KyKTXA7RTtv1gHGvDnnP
8MCUzMVsDFF7qc3TVKUp6jnAJXTWIVVfrm8WMyZv/j61WcPSTp1VItlXg34PnHYwQfyVvwy2GUs0
DLBniYBRv095BqtNpQLzu7+GnWFGCVToQPJkhtg5t/Vmh4of5SK2QxKhxCagkq0rwl0zGXYrfglT
8E/C2zDtbRtL5ofC4IhN/e36ZrLbmhvzVAiRqzETcw3Vey1vv5ZafMHc5KGUG6eNqwcwRdlRX9kh
eBC0OMXInApkkjbu6rE9o44ROeq67K//IvL5Ptx5mx9ExRoMnSEQ1TPKSeODkvuKuNhL3bjzdB5S
nuAN6yYC6y0KuBjdNYGceP+Ns3EME6sG/LZuLuMEjSL9c8iT/+DYoJ/3SQZ18KYnA2HDKYyfet0B
q+n1LWMWAA0FJC6Y1oAeFy03Dc6lvgfF/a8eP2SyduTWM3aQnAazn3EA3tZtoGJKmgmQBORYZ30w
Q0MnWgdpCkoV1EEZzVgpK/JE7QpPV+/EDuyogZU4afInvrq1RB2VItIqQ5SAfO0wn0UA9yqanKk7
7sR9tUcocyCQ8Xh9a5nX+9YmdT6WftGqOMaTWD2Hlx43Ue6mrnYzX7R70vtP9qat+8sOo3XDkUd1
z4wNBpnzkQ2IiKv0qI/eqJiXbMjhtCdP9JDiPiUnyA0i6eT1jpluqoEJG/VjoHHpFoM59ZGhhnAh
kPDszEVyMlXdy/rr9e1kvVnBj4isHaQgEmQ63h+4uRBLqJcDDdgr35ewAYH6AFJcd62eBvVTJ3A8
kzl4tjVHXUVD1OZdOAG2RFoL0zlCcyG+le/y3E7uiDSesJfv0794B4JrlrqhrL4pKzUG1mw6rH5+
RzxGvSsmJDAgFASMVdsbp2nHey2wLqztYqm3yjTk6qLKKFcWI+HJsHXDq8YaakpOmu4axUtVwb3+
NZk+s/maVPgE4fGkLISNNcPNKIAE+UHmEVuSL0TfBptFfajgyEU6RwscRigf826v4K2VdLtO2V1f
CXvvED9FMKRYGt3naqRCl5IRxezRAhVvUgdNiSG+JX+yyuF5EiU/axs30/6o/gD28d92qcvOaiGR
NMgACUJ43Y6OZPozfxYC0iLl4VTZSzQMMHVhmA9IvvdHL5F6bdJLlDrIqC4Zg4eEIt4lxv76TpJf
/PGDvZmhYnTZl6iZW7i+s2G082mfWHfXDTCdDmEPBTYJbKB04VAJpybU+wX5gVGc9eR7E7dPUx1z
QgfbCih0MDKOWWA6WzbTNtMKCZEDHOb9ENkFnE56ur4SdpwAPPRvI1R4qsQlBl86ioX9NwLGLjG2
Bq5pFObX+/IHQbyrL2B/OSa8AMV0BdCi4GJBrAXz3HtXyExFyCwyQSJFYJeEwIk8J05vJTt5bm4K
5W5urccqrzlbyvSMjVXK15ew6tuugwMm1V2m3KQG5+8zQ4WpYogEI/74l3JwOVqnuVUQjeLuoJXn
qTGxlX4jVPb1z8bMdzZ2KA+PoqWO1hZxNhxdEUoJnfTaQp+g+CEsPAobphduTFEfSs70ekoJZYHQ
aYCr7WT5R1ZxDixv26jPkoWWWY8NnLAA6Xrq58oXffXj6fX6pjGtWJgBwBQANF1p0rayb5a+mVBI
E9OHVLVcVEy8bDXxrFY4n4dniboGyzHWEtFEzlSJj7L1MKqfIY5r97xXLtsM0B8qeNVUk65PzGE2
jdqCT7OqmDPLoAlqVftJBh6j4/S/mdUXIjL2tynyUzbFd6NPhTKMMdpG0t76FTNFe3G/OsZBgdBp
/FfOOUfMJyEUrJAHqphVkelumtmvXbkSsDdEIk84rp5i2JCztAkMmozF1JA65SFPWSEJcpGI6ApR
uqM5scBQaUU6uBnAJkrIl4lCIcEm8+ZJWV9ta4Y6u/rShbWeYWm96jWNrQ0xRmhvQErLcULmmKAp
ahjABmjGgsr1+28mV4oUqcJP4C6mLQ/FwTwAYu51QCbF7vIKRokb3cc1/6Q4pq8ey4ArVcQKt5tf
QNP46OWorV0PLK9+Vg+WD/kDwctQywK9NOjPX9ony+VK1LG318L7QZENTAlQiW9c9EO2tKhHLocO
E0b9fjgXwXzJzvK+I4MdbvLAl8Zl1npN8c0qdeLHzBh0Y1hxnWmQUJbMO3Ey/UieTn3e+XUjZPYy
9D/iSbWT2OLwyvNWTH1n1OfFJk0kwNzr1rFK9N9AtzXmtmhypFXJIui8CpcnYWOAoCc0Id871CLm
8pihG+w2QC6Xq58mQ2B1p1h7kcJDvn66Hq6ZaNWtOfpWGPM8ajqYIyhmwwf7wyvI6Tzlgkv1lB4G
uxQ4R4Z1120tkv/fRLlRiqM5wiSNO1XPafugTi+hytF1Y36szR6S/9+YMJIa1dx8BXPGUnla9poa
gh2KKHVpPG1j5uHbWKIOggbJoVCLkaQWeWJ3PZim4v31L8TcLoi7GjIErEAeQzle2Zl6lY/Is8dw
dWbhayiPlxRaItetMO8eE+AnlHXQpQds+f2WjVpRhnKNVLGAruXjL55LywFglCiP5Z61F3hbxz7O
CpI4sFZAx5OuJ01FWKkteT2LI3it/QJTdHPvRULvTN+bNJDKYwrBrD9ZJxn0MfECBCUjtU5lxuyI
aJKLwZ3d1ZXsMLULyCl2J4KdE1yVp+hGvs+H87wxSAUtcVrBktwCHisH5qFDefkXJoFHpsJ0+Y0Z
yk2MRu6yREeaYuYBuLq78mS2ez3kNBfYi9FNGZIsoqjQZR0pyyZTy+Elv2gasiDbS17q8WrlzMUg
CQCvOt5+Kv30G8NO6woFfGTpajltkzhi7mfDzdL9dwF7JKpvhuiqA6R/QjgK2kHNpH6v89Krjeqp
U0pepkWC9gcn2NihnixCGotiowNHnFYA9coOhDRvASV+VALFae/587HMoLGxR6U/hmYURjyQGJt1
toIeUyYLTijkfxJnN2aou2rQTbFUWhymUXHCKXQ64SBOfwnd7fVDywyyGzPUHVUJ7dALMTqv5tLf
Nzog+n2xu26C43EWdSn1OpjHS3Tg8VIuHKU896NgKyKm2awf1w0xv4xODo+F6ijInd7HWZSZZq1s
sZYkN0GycLBEoOWmy/9mhKx2c//JU1H2mUkeEgrgzkXrRVl+KMScs2nMaLBZCxVLi3EtWuibAPkP
9rQkvZmAxG8fKgw4drG9QExvWTkHiWeRCqZWKWggfSYO5/d7QhPz71qCvI9EBdN+MkpZQm3cjYRT
nDtKrjtxzcuD2GsBzN+CRL2o0cUZPMvG0RgA1tTb3DabG1BwLvkXy3QgmFSbaFHtrzsFs8kATSjT
IGxfUHOjgtDcdZOhLpMCAIPoRDvJBhksyIsQwC+8AM5c28YUFX8SRV8aTN6RGmQYDEERRHtCPsN7
mzOHerdLogIQevlRP5PxtOh5+EF0mAjgdTVsAtQ0DqJvS17t7OonrmHi2h8COr4dMhcFOTrdUOwl
Y4j6EAGdyIJ3nrInT+gOnSrzNQPH3tjahO9ueeEBQZjMEuabYbrLmJpp00FKDrHwHJ8miHh2UCRv
X/AeclLfdDs3ukNCtRs96HVAxFPn5YnESa4snIYYa8JYGl1JaB4cCJHckIRm+gSQJTqPvMliZtkU
5IXYYszWo0RBxcpIyltJT2FLPy9w2NIF4QmIqY41aJoIc3btNg8QeeGkiEzfBdQHebAmA3VG+RS6
n2VnNIgx6u+ELd4VPq9+zn55bexQt5rRdvmsQU8DmWj1LPmKm2V2+1W6TDXh1YSutijiheldDwK8
xVFbqluzgqoZgs7fCRzEhX0+poK7OOoGgrhnKEwR0tEWNNmq06F7238d7Rk6s2AUfOAP2TMvcKii
WZJuQXKRrsOAzbPM1BRpdiy0j/kQ+obwnIIxN1Q4yQjHEF1uEQet6sR6Vty1D4rsTjeeI+j3Dq/X
vxPPChWrk0Ru5GQCmGBdjiEUJMfy+5wdtXxxr9th1gCJmtz/75tBRWpTDFUDQtdQmt63++xG9qKD
dDM7QAXCAwmVSuLz+pdcm9QJS5uqz+MM8FEydDnuiXNkT/hi6HeDexV2a+dP5pi3y6QOm2k02loU
SFXkZR8nr0rslPP++laSP/EhMoKaUDZ0yFmj4fI+6VKUMDSKHqta1nOYPEtrcP3vMxEKIKn4bYBK
ftpOTMACNoFdFZQ+oodhxN7tO6c+9t7qOQdAPiY7PjQvpKnIZU9ipkQb4ySwvEspuzDOJKJkv092
mM/Zp37hxF8JtkzxoAMbmPe8cVmynisbShMxmJHSqMOE9dbGHmxhcTu7xrpP02+FYreYrL++vUxs
zWZ7aWzNqIdzpicz0KqohI378Lz6mp8cBKfeIZkIQjDZaoHu55f4TFjf/kfr1Dmc27icjRbWq8Xu
T5odPf/iJtH3UELcqbbkQEbgpIN07t+M1bKuBYg7GShgy5Iq00XHWIiKfhYA5UuJ4Ecw7pQg3vGv
BZYTbc1Qp1DtkrlBTUdxS9Wr20PWPKY8xnmW02xNUBecFUVKN+coKtWFAoTlfoq+h/NDKN+k/Snk
lUNYWeDWGHXLNTJU35YMV7guX+bUF8PvyQBZ3uEkNbymKnvrTB3DwbolQWru/fmbUSCsiozUd0q8
tcbXVTjpPae6wywCWuJvIz8rdptDbi56lo8CNm+5mMHqYvD41vDMW0JTJkJMg9eeZqbvW3vULZdK
2qRm2QC3izxCBEey97GwjRskevpdEnQuMQ1JGCCe+UUSVsDeWqeOXCjUUx9GeCUXdbrvi/KgLiEv
qLDSZUuSJRHoLhlD3dSlMEjLkloZCjHm2QzKU3yX3xENBMsTwTIA4WtUAzUIhKRe/hT+C7JM9hfd
2KfujNAcyjUbEUPDzyUCtwQ54PFA3kaYSkV3j/tFyZ7RMXu7XspNF3GGZAEpr6rBz8dJEHmFk9u6
3d78i+cfxxrNEhGJoSg0FrJZEI96AMcD7BKefim5TTserob5ft6sja5Xx9WigXQO/kLefIYv2dU5
P1pB6Ql3vPcz87S/fTaTcs0lDVOxqrGwOgUfdneU9SeLN03Os0FlYWMEiky0GzBuPVu7wmovaAB4
VdY51282ZkDeLIWK+eIC1XexhZlBruyqWQ5JiSZoHztTV7sp9D9HdE2um/yHLwWxUwXNBcOg+f0z
tVIS3ALwwvMI7OgQmK8qfLC4awNe3f0fTtibLeoOGJNYWUcZCXSMUod4Xnfmd6vEO3xymztCsj/J
nFSBHTUJCQDSMaBxf/6iTZQWLFTM0xT4mt4f0cSQPQxJFzYGecajcl580U29AsKu4LYJHeXx+tYy
Y+bGNvU12zpf6qWPcQbq56U/g/n7+t9nJiKbv0+cdrO2Ki/ieZQAHxn98VR4ZJxnOKlcMD7reQWQ
yu8tpD6aacRCp8oAwZbhU1idLKO2M+02UnkpO2sWY2uHCv/WMhUWJJEQoOrnpvLq/NxZ3mw8jqBO
F4tL1B1F4/X6Dv6D87+tjQr5Y7/2Sh1hbMJIKtvU0ZIMA1l1Vf3rjBlmyRsx6Nhkp5gn0Md8828X
S8V+PW2bVMuBrQzPwFCfSeEv8kCR/rQelAPKUUduFY55u6JGgx4RQU3TEbnJQm0GORyQYDh7ZAi3
RKouOTIGH2NOq4MZxjamqIgsDp2+yiT/Gi3VMYTMU9vGrhKv6idnBFPLwsEbMA8awBVA5ZigZ6c7
bYI+GfoUYWKhVb/VjWyX5f11P+EZoI5AW/Q9hEMRl6vxiyg9/NFz2NosgHJ9oTHTSi2AeC27sz48
6gpPHoO3AMrPI8nAkH6Kjz+Gt7GYY96RZ4EZJTZLoBx6CtNhDQ18A8CeV7BgzpajmW4l84BYzJv4
zQ7dhUylRW/aCMUJ0TotxtMkuMXM+drMmsvmc9Dz6lUW41mR4n2Z7g37nN+RXGmMwCiEm8JuHi6Y
buWUinmrok4MWv6hBblq5BfLTp6e8nl2KuNy3YmZ18Vm56gcRl/XDMMicGLx0ENpTt+vh2GPGgjn
yuU4gkXdeotayNEEdhW3X270+K9MCOTw0vJqs0xAxPYbUZefMEnSoNb4Rr3f7odgBnLbOBD5Ml56
yds26uzXsSoYpfR/pF3Xkt24rv0iVSlR4VXS1s6d3elF5dBWzllffxd76rjVbN7NczzlmnlxlbFB
ASAILCygVEWrwBSLTjEJ2H68v/x1+FfR6vMwMcAOymRGdoQSt1/sKeW2vDfBt/PfvCVFKjHRIF9G
Mikznq5RXDjL9Eudul2gF84YW9hG0km/imDe6KEoGeMHIYAUbI0gm2DnCcqx6ytiAXxH9J9ZerZs
UQbBN70PAYzpjYqeFIDOIMrpm/yq30Ze1qGMPnq9R86UjSTbjGAVFFkI13mxKxzzcjJGklgERmQq
Zmmo1BSTb7F2RYqNJjR3GgC+vBWxykXWVGy+0NlW+GDEdRPTDWrI9UCulmOtgvVAx9eyjfQicmG+
Qh/CGJOXsbqRqNjBjE3PXqFeDc0PUMo6AnvnakSJLdDZpwkYE47ACQJ0Vksn5DaAjG9AHftmYs+r
vc196UaEpOV7FxBmaFPRQS62n7sYzajIDaQZAGBSnmtsMsLoansvJnHhWuFKFBPL6yXLzZyuTNc7
3RsHlCqU33Z2kPPnvzrBD52YE5SGNrP6Ee+LZDJcLa8deZ72AGd4k9xtyrjdj3pXO2a4PM214lpB
Bv51EW0BDRVf7HKlLONy6IjYbaigZtIPiyMvDvZiOOlyV0qqk3euGYvSDG4MWcljwn4+AUdfmfCD
Jv5W6M+K7l0+VNHHY0zfkFDaLVpwaca63xcYZfhJlNt8iP7O+j++HRPt28leIpWS0mpLuo1j4Ors
GVi0ZVNPykayrENjgmZbfSs0/WhNtt8HseCe5rIoYWHqH5dgboFMTvoqpQVm9bbaR8+LE3gDoAAk
c+g1Knr7c2PKShq9k1aP1Shoe9XqECSt4qogZ1SYJxFAjbueaaUR227sO0PqwxCVIMouv3h4GFN0
OTpm6Pw7yEmB87a3GM/24An76RxtrNARcdnxExPsIFEUxTQMbHdgFG1C8Dpl+BG9gaXB9Xbot5q0
X+zbRX8mVuDqxlbpBQ8ubrvL/hDKIh2kougVFcOl7/0Yqm1xDcLI3C123a72MLWHq292+qf4Kb4W
jQ9wswlDMzB2C9pthPLPCpdNkSYmpVwCfuWg7WJQD+h+dhA9YLkGtBLDmGtZZGFEt5V4kvarTbYJ
rPavqnwmiIgBN8MdwaIZDGINeiVBk74ERqPyq6jzjOHxcoThl6RWUpiQmUlqC05TiVIRup1nXy8g
RylvMeOWwvsAKN6p9/ENbSL8F1xm3ENcyWbCZ7AUY9PWCG+NRkEifvejf1lAxtKD9L7ZBpsFVT/R
h+OGbCzyVAGVtmm797N91GHa6x0drEuXs6J8lxtB2sfVafXvM4YB9Ik1JSlKfHnt6vpTKZ0H9f7y
NxOJYHw67JsxLZMOGV6918eHDotBU8HFw6+NfqjBdnD1siRYeooaQJ45dB1ovAkkJ94qzfuSFqx3
w2TO/rJa/CoUZVgBws3UdLaVmUkjqesFAKn5sHiUGh0itavs97AhbrIxRyf/oQpCFf8oP0Qy1t+U
NTBMEi5wO/aneRcCVC4il+AGpJVWjJG3WOpmdDEMgnKhUNDVf0dSQu32S+qzEsOkClktN1NJKx7z
LQjmnWJ4tDDfM/3SChHKipuUrCQxHpQUJdjYalRgNXB/IIl1zdJ8jRrtVCTWT4FJcMuEK1mMN2m9
VGJLBQX3Rsclew5C31KOQ/Jchl6t7bN4V5mzm4pgLqJPxjgYlsWqWhnN9A75X+aw6Y+/8MnYHlhu
y8mgy/QVpapvpRy5Rv+z6M1XHUBPzapRoBRWtfnR74+9s2VXM0fVtVNwM6umi8f9ZPlNfT+nriJv
pekxLtFo7xyzeZ2N3tHnTd+/Xf6gXCu10fjQ37klWKSGMjVS01XUGbRnPBX65Gesto4Su4oqQoVw
VV2JYh4+adCQegIY2DPJTpNfCowBX9aFy3oLwNofZZgXz9haXWlQ5Lm8tbbZtvGbk76JNynWg4F4
61h7FKEr3oTJjVkrsUzMSqMYz4IeZ0iWu073R9CM5qJQzPW7lQwmaNUzFnRNKdKbZE/zN+UYb2mz
mzaeRbhYkTpM4JKNUBrrHG8PPakqZwqy2ybLzkoVC25N/vWy0omJW2auhzmmnmnLWfPnM/axgxNe
BiBpM2H9bFei62b/EpiIyAiZ+KUPsZ4NKbCNPdhNMTryjkqKTwvweY3bbAtXxEbLDc5Yi26i/k9k
9QvYJC+MSRlhHFpYuUPg681rFWzQaBUYv0AOizfBFGkdJDEFtcTuqN+EIC2cDkJuYr5t/NHmvY6y
eqZZZZgawPkiQWxntyTyJmksT4tF7MvceP9xaO9v05WYwCDYDp4h8aBXtIJHCkWLVcLUk//GXclh
AoYhB0St6B5NilOTHBAjXRteB7w53QsgwnuLzo4JE5FqVjIp8IWK+qHQOycAg+mgiHit+A9M25Jl
ECxaGMhivGrpsOzYztH27UdMoc94s9eBX7b9bpIXl4SS283P3bI4WH/mC5yLHteX+3MlmnGucMH+
7BGscECT9xi7L7xpBzpH1OwoAFYM9ON9PiLLWK6GTahgRGaxCWVohBifDhHvb/WD5Mjn8GB/X36X
6I/anqjqybHJT8KYsEgkuUtByYDXn7yVSzeQz3L3IoF+fCZbtcCuRFG9mmMvEIiVZphpMQiqx58f
RsSKQQeTIeTX0sbE0L2c+7r5cPmT8WbuIcTSFHR8ZQ081p+FjGOzJCW6JbhX5KvGq/aVD6ou08FK
z32RuB0wqRTUPjpY9hd7IdJ+JHq7yz+CE7o+/QY2MQCapZFbmhgMTtvLjjl6bf97rraXxXA/IKou
GAS3dPA00L9fBZUq0K2yVd7bduu8X/Se5X62DzGE4hhWYuwuswxjzlFKzjbTr0i7Bs3oZUX4dr8S
wXy0rFVTQnqLVvspVivzC9kpAIBDjDzXP3IRlJGDvCCyQhSAGYklgwjps0Zz0WmTrSBKNt3kN2a+
AaOdI0eaI9sYQNCLrZY/SjpeURK5FWjKua4/iWYiSlsEddVnoIQA9qLBBpfCp/vi8wKdANrbmH+I
kp//52w/lGWspGkxTJiGuHp68JARPwOZttO+0FxL3pEXUWOXHh0TMdf6vQOp18YSTroeyGgGZOO9
EbpqUOIJ4C7QzRQSu3NSyE+yGKuJBpC6DSbQVW08bpfuWw963XZp7zDWEWv9qWmvk+57oj3nUfoX
nDwQjSANOLSCgEZ9ZqVmBi5MoM8HFOc6N5zBDburhYBbvql8yGDi8zIvdpTjV3hJcTvr/bU2N6dR
ydw+vq916xfm6Jy5ua+C4Apsnc4gBz/0WTtW0yACqvIDwMcPYdwlqcIiUmKEM6l7Jqp2zkvFGTXr
Ly7bT2fKuMYM1hCtGvBYpWsODdSDJNc6DW7h0OWsgSv/7xCET+IYv8jiiGRhg0+YjUdJwbah4hy0
ghyW9yJYC2HRG2HelsFA5ziHnw1YdNJN/S0F5FV+phVPSqMTCe4EHpbjk0TGKRJ5Nm0zxPs72odX
xEc56FuFUU5K3aMB/JS9Bpv46XJQ49oH5RTGtCUmsdk+txorRtQ1KAxpxo+xIW5Zn0MU1i4L4R8l
+P9t/Z2cj6Wua0apiAsJOIsGC2CUk7IjiVsmDg7Tp8U7dBoSNxRoxj9NtGs1DBhSXgjGSOQpIHNG
AFmmNhm5ZBdupCvdIweaT9O5Rtvr3cuKUjP/EkE/RLImQ5Kg18cebj/W5LrqHkBz993sTbeSfrc9
NozagchkOFkuQZ9dM0B6ASYRlke/Ups6N0fwlDTgH6yv0kOOjWLL4R0r50t7EQ6cay4rcYyf62M4
2kMIxxtj1enihyW7l0RtTb4M8C7hvYAWDdtsT4takWywiyB2yk5ak7tuxPZITRbM+3FDNBr6/xFD
/351DSyZ1pn2YFM4pbXHToTbOm52l82Bq4muGgAqI3NG3fOziHpOlhD0HRhOi/ft5GIBRpQK8iGu
FjqQwaBkw8Q+29CajDBMqwo7N4JM2ZKgf5jrRCCC+skXo16JYL553kWWPOe4QuQtRS8NuxYLycS8
k7yOKGi6VRskJKB01tmp4JkUYwR6L2R2zxMuKTfYGi5GFzcP9Tl4id3ssT7N3mY5RDtsjMIooXhd
A9d9Cdg1QdSm4x3CPHIGHSTuObh0PILxpXkMPQyDO0NmgTxS3gY1hlsjVeDA3MNdiWSs0BojaSpL
vBrryRnTw2Q5qlm4bebn8WZ8Io0IQi9SkZrsyuobSRtKPcO7vwu+A47htPk5JVgG0zhzhOlMJHuX
XYDznEKvF9M4GJHBS4dtqMl0zLvEoVKwYBSkThH5lgbONlE7lJcqfxLEWGkohTYJCTIQtaz2dq3s
UZn1FikA73jjj7LtdPLst+Rbo4E+mKAmC1aiy6pyvP3TL2Dum2no2tCQ4O1zmzrD7NndXVYJjtP8
6otrGWzjTeqzCnNp4AGqG6cdByeQQFud+Fp7rQt3LvOPVAG5OgbmFVC+MOFLjrDko01n2ct6OCIF
lmoyVnK+v3We7L2oc8RxBXBXfIhjXt7dpCtJBaKsdw4QDXW23m+x3UAE+BaqxXh5bxhSUC2y7BWl
YxxaB8nqHYWTjF780gnnSLgOsNKKcfBCrwc1iBfZa/IXs78h9g1Z3EEEJxGdHePWodrkGLuhKxz3
//CnNBu660AEjOGa30oZquwqesx9kS7LgKPTm1PcY33f5OUF5lMiNH6JoPnKPzhbex9gBwcj/S0r
WbHapHltwJ2s+XoC8dV0CDJ8sOHXX3it8iGGiRtRmQ9yVaKwFYP/utyn0iHV95dF8E/tQwQTGDRL
adrGwMeprHSrLJmjaKNbjNoeXT3HaFRBHOJ1njDuiz8U5wK2QcbAtdZc4gZLbzEl1XnS87DPvHw7
fovu463hWE77EDwFx+oswtbwEu5PchlT74ZCbhMV3yrbgwIU05CR4oSb8Lxs6Ybs8oEiWmtRN5YH
J/oklTH9Si2Xemjqd3fuD+WTvaMMcDaY4qWN9ipdZcfCwopurE4A4cG8vfxpuX63OmrGITCOQxq1
U2VvKopjBsZlI4w9rII+dz0Wj81vqvLY1cS/LJT3nPqkMuMaiT0MUwDSawwsSgBgx5jsLl3jl31e
XNlLkfaLIKncqw11XzqkjFSYLePrYDHWl1yS0RgOXWWJz7E6bTRZ3l1WjOsoKzGML86kCdtlxu2m
p/ekO5rJbWnutOL7GHuXBVFLZFJaG97xRx/GI8PSjrIK1Ble0LdXVUOu9VQReKFABNu+z+bYyJAS
yF44fLPzfZcKggr3k4Bu7H0AGUulGbM3okQrwaMge535O6dsYGN40tJBEIT5Pr0Swxi4GdqdrEsQ
Qx/Ryx5zUXhfTrd0UTZycFDQlhtRzZprBSuRjHVb9SSb2YzwFagPc/IDW13SxJuz6zK9vWwF/Exg
JYmxt9HA24yuzfaik7HVfDqZkbRgeaILOirdEQ0ac01iJY61uqwrq6JCrm+EnasTaZ/Ns+B78a3C
sN5HSNGuYXKoMVKboarRUY6X/NQ1tasNxt3U9BvByfG/0Ycc5oqZSk1GqgazWLLEK9KHYja382Jg
y3gKmoT6yZq0fSGVp1J/GBT5F/Y/vwV1cNtKr3Hdb0dVdTR7ErxTRbrT418lDCXIBONYwQug7LFL
vY5P8ozRlOEv5p7x0v5QnXG8WSdzimCI57B6mCf0HorrVt+V8X6IDpntXj5okU6M+y2jYc1B1CN7
HMMfQMhvzah8AZGEIFjx+rSflGJ8bqQJpN6hiVP25bnGC3gOu10uG49Eja4Wu90Faeh2evmgBSL6
epEpMU6oTnaO5dBw9zjeN+GNnT/P9p3dvJXWw+Wz5M1VoG4ECh8F71AsWWeUBJU2OHhmPDC0bqta
p6pwF/vHiLGbWjnl6cuA7ZOB/phgKaNAMNfxV4IZFU1ENJJliow2jvkz3tXb5mjc9Hi5+fozjnrX
HycRMynXcADzoHM+2CnF1gWlzmrxHkf2XM2/x+q2yq4MUbuWqxUY6wwTdALmlzGfxpynwA7gb0r+
0kVOSH4Kjo2+L7/c0isBjPHXU5xb8fKe5gze+J0udl+29tZ8FFNX8YwQK0kUQ7WxROwLuBQDoXVg
hgALDLYTNLYLo1jmb1F+n9Sny1rxMsa1JHqqqyhlyJlkDxHeg60kPaaT6aRZsVPmZmupxQOq2Ptk
rvDRni9L5aaMa7FM1OqldKpIhIzHJpIby6Yv99Uh6ybM4WQ3tSJv7GJwrKB4SiLFLzvJVYp2lxPt
1Ur1WhBt6Hdjv6sJ3DqF+cngambuQTuX86WsUVBUG2UXx8goyuLO7lKfaKHgPuTZKMrieAaBCg1I
IcblzTYGITtBCUPDnvRUqXZzMAvqyNwPuhLBOPekyqFaDLDSJMwdwzoG6Y8ii5xedfvpOIRuPOl/
cSmslWLOT01wqH2PcKKUeGd0mz5J3CFt/Msmw3WJD73YBFbq+gCzgkiOStty9DE9S9LohWB+lQeQ
+QgXOPHAH4DX/flULPgDHaLK1nrUFmJzxISBelMmsDxZHXakG/dJaXqqEflz9TPDsFZVBk42Ld/b
bKsF8W0Zxj4OPXX6RvKTKHSkOb1d0rc4i741cehdPhke/P3TT2WyLLR5qjQcA3yA6+JEebWsveHJ
95RRPfdBgvK/dzs/iWOSrUjG/Kte4Uu0ra8rR70+m63AiHnXxfrwmaiUY8FiOSrwE5UEbokFw6NV
7iJp/peaMFEoWSq0+4MUCIrB2OZ5uktt1Uki0XJpgddbzMWhpe1UJFjs4MWheSqN+Vaxrf2/tAEm
smhGbxlBireqdj14Gnq1kafvwxNdsgIK072IM48bM1fewUSZoQ6aSgN9mJfpdyCqCLPcsU2vzAT3
hEgME1rmlAwmdonKXmV0m9SydlOAm12uXcsUbXsSxE22V7qARmAewEb/vjAmPdgbSjkvC6mE+ZaN
KE8RiPRq/3zf1ij2BnYJMXazx2q4yb4q5bvLtsA/tA8RzLcxyTzVS4wSIh4Bre1q5aFVHmfRp6H/
ypdbU/2QwnyaHAyGtdIgRbHVX7P2YGmbsq23y/yKhz82eApiHN+FbOwiBXaEbldljm0ol5ZELcoL
ubVL0/TBmoTjBjRMftXoQwYTdBLcnK0VoXL33qB/Trzc7cBhFjjKWdqLHt98O/gQxoSesh2SZqjR
mg/C53Y8WNEpFzXHuaVIE2xw/zk0Ju5Mc5P0QwyFstOAOU77utuPs0OBHP34jl4MwL4aXVnYx/sj
BonTZTPkX9gf0hlLr8rUHqYC0rG82SmTq6m9M9AoalVnFKEXRaIYi9enQUoHgOk9a3ydJ7RLAY/p
N2nwUJibf6cUY/Ug6ZZJHUIPTb4xJrcP7iS1crG90JkwEHtZFhEYPQuAC6bMiGM6O9EDUIEl2FfT
0nn1HPtD2HxX5KzHrqngMbciv1R7ZMiTkyu9Y5pgyJ9k3dGieBMb07ac9EOfmlemkjiJjV/bFodk
eqiN4kqpNd8gs+I0BAsj0m4zNurZtpujrk27PE2Ptll4hFS7Rktvm6ny9DH3VHRnlSTa1lPoLfHs
d7IF5AypDp1s7sOp85akQjW22LT9Ejtakb9ZnbLPi/iWZPZzXBEvS56KTMQ7zw9If+yNBfXkIORU
AaVFzmDZpzaSN+V0JOOLHhabKLAcpRP6F+9BuPKv9xRy9XbKzTidowUPh7HX/CV/KOrcl0n7DUCt
LZ7212Wrb8qicMs4d2O8bS6bh8Do3/ELK+np3KtFN1UIV8FNCaxp5leqm2unchHEXm6oArsKxVoT
+wsMepoSNZwlCFqsawxlB/V+KQWxQiSChuaVLjk2pUa0WuZF5m5Wrok6OJImmrESCWHukLYqtLql
BmI18c4uaxfc1xvDELEscftdoOr/c17MPWKSTJIWG0/q0R03Eha0LaCUTzxjH7v1HmAvL9hQuJeo
Ts0tmq3lUv1Xh9jlzSgvOuT2mnI0p9mVWzxWpPRGtSu/0S1HihIEhQ7DD71/2RaFspmrJivUsVc7
QAUTDXuQ7dusO5hY7jTfxda3wbiSNbcfBXtbufa/OmbmfhnkheQTILVeZNW/9HTwenP6Var2wUaM
I1N4d1lFbnhZiWPumJRuDbYDXGckPqXSLtTOCXZ0YwF71t7EqsghuL0AU0N9EIB89E3Z4mAV5bYi
lai0Sjtra/swoeOCJkcDyjnxbDs3Y1wJY3Rb9FnRlgjPrVTCsE9/rM1H0t2BDeXyEXLFgIjnHdyp
EDZCL6aU92Ub4ZomsmNbjdt13ZUEaPcUGYKylkgUE1DsekSBc4JGcnFlNaFnkPI3aROnnmrR+lZ+
LWulFhNXCjVDsUjLKEwWm7fcpsBiROUu3o9e4Azn+ZicVYEt8q1jJZIJMVM9EYyFjDTEDB4QFk58
qI6UrYlOgpG/cbSVMCauEEwipgt1NLtwVGXfVt+q7A3D2m36/Bf2AWwsheVa2FbDJFdLkZEwJtCq
CA7TfOzMQ9DWjt6I0P5cV/6Qwz71UrtoOove23PSX4Oc9n4YQeUYWfsxaa+nXHWWrNxcVo3/xVYy
GfBSK8Uz1neiRiPtjC3dSCq5BE9MDXBjcerNtf6VMMb6w8TuiAnWRc8ofmnZN9LhhR6+6iJWPH7h
aSWHsfzGUtOWhJDTbiYvPr6viNlN74DM6tBiWEkQQKhZf3mhreQxZh/lJlZayZg/6ZLRI2V06KxQ
UBLiwT6BL/tjhOyGrskIbKlrO6oTiNw20rO2Czzda+7T83Ibgg9h9oDdAFU4BvdSbzwuN7EvhK7Q
D3RJUfqB11f5nJNkoJvIRrc5qa7hlviz3Jnb2o82Iv/m7b/5pDJzk45ZNNXdCDhFvZld1Q2P0jUS
1+3ghKfk0QTxtP5D8gyBR/D2IHySylw6Wo6pl7bDQY+u9lz9Qpp0zA8o5WKiCDdd7NTgMmt3xfui
jtkREc9xs4fVZ2ZiTTKkBCz0A3rty5OifCv1X1a9jS1QY75c9vzLvoh1q58/JXAREvgn4CMkODTD
Wxj91O1boxU9FrnICBNwGDpeoFpfkPd9qhVG1Tf/+CIWVe3KA13srO51jOz2+8ZNXjWBavSMvlgp
mJMo2J/+x1wMva0nah1mwMdgEhmbE7fN5r/Z5iASwziDJpcz1nqGcAaQb2og3xzBIvlfsLxzo8tK
HdYN8i4zlArqaJ2rpo5mbmRlN0aHGO9dNb6zVaxL80ZjFw9v82s1CJ+TXKdfyWccQukMjPGWiG50
7wptyxp789x7yMrQkxVxbb2PLVz6ePTUVyEmQucvbSokmOVQ3aGFvx2D9ikbjMbR+sazltaXs8pR
8vaxBy1tGJKDHBl+M5eeVsybtLWeaiP2yyG9HpMG4GLzFJDCm0vpwZSCszQiWRjbdtcb4VttZ/eA
pR1wtR/KwnyaxvR3kbbPUTg8oKty18bA8qA4IXVFh0ZV60vhvaHGjgQ+t8ju/SLKT5EUwVWXm9Ds
78xgdBNI3uQTRWEaGzur9sCKb8c4BxtcmbhKXR4NG5j9UELokNTnrunvyYRKeG93LolT/OPJQ5Io
D1Y3oIqSYAh8eBkrcrDU7DWP5hc7XzaGHm1suffaBnB/u7jti8pVxt7pGuCbguw1Io/YC+eQKXge
0vGqjaO9JuVn0He6qVz9kNLqPrRu+ia+GzLDUyrZn9vbvBfN1PEiDMiPNGArDRlIAuZLJu2sNqBu
hN3I+3o4R+0p/dlIvy6HMerLrLmshLDtt7bVu3LJcEeYgCmjJuXYCx5AmXdZClcVvAx0oJywa5wt
8/a2GSmNChcMal8O/QTzDjIiM/ibLsvhYi+wHPqPICaTGPJem/MFOa0k3xT2IYsqR47dVruvyLHK
Gt82NnO4jUS08zz9zA8XZ7nm4iDJLU3HnTf0DmmfksCVFjfT7y9r9x542Y+1FsMkmxUp8wyYKIyu
AHpKt6LRKkQFSj/KXl5v1X14IFedM2w0t/TpYLTqG7t5J2pE8Gxm/TOYNDQKRqLEtL0mR1iIUM2e
LpdeYf0VWmgth0lDDaNL45huZ6zsszyc1HgbLK8IQK5sGk6cPmC6tZwED0zuZUFnFOkslYIq4Ofw
WQE20aYLnC6yc2epbuy/YQW3zQ8JX2xFl9RIouD2CKR9MfKh8tQMvTvEpsgZuBfsShJjLkZbN4VN
xwSx/83L7wC+uKeTVdX9DGoDPGPH/bRdNs2teixcUUrPzcNWshkbySrFnDACpHhTJeHhPMdbKwi2
uIo35TK9dWUuUlbw4dihKrQK+g78yqC8AxGwNz7qruJoP6RNFzplBCo/5S3aiJTkhpv1t2TCTWst
SlxUOOGeYMYj3+TbJnHJma6XDO9FrSV+Krg6UyYvyxRE6gjb1/8pQD6bvrbDKiA4vLZV3PoXFnu9
CV8sXF9fyWSSNGzsloNphIbIBU+6u+yxY+k6ddO97uvHwMkx4yo8VW40XclkEjbSB4MdNgqgLifz
ejzQ4AZExov+kjy1ngQy5Og1eRO1tUSKMlkaUfuyLCxUw61lp4yPWXdKyu+X4zeP5hKszgrFJNH/
s7MmOemXZIrpyCnWpBnb4WTiVV349lWKPpNLmfSVN3ufbCTgIv/KP1ayGf3SWpVhqCjCtJtqrx5U
cIRF1+qNfA+6Naf0EMhLT6Au90hXIplYakpjGmIx3D/22t6BvdHDKL0XeIB2Q9v8RX+qnwQyqRpf
rsgPmezkmjEE9RgZUNPEbCc2h5KnGqzngRd1Dn1elF50oIRo1WvoV/9SX5ZXrtJjPQpDvD31InML
qz7aduyl2XEKCjTgfqdxXzizrG+AS3OlFkl1/F0J8JwblF04/tsPrjMReMw1I8dgwD88T+ojXaaS
ulgb4xsOnXezb0QPHSI6e+a+XjCDSQo0+YFuDO/VGPHCCG8jXftmgzBaHrKtOspv0qI/NGN8npXC
aSPVTZRwr/TjoSl/Yz/ko0YihzYiKw3ZDdYDgQvaTXXphhIDudbyQyn7p6yU96kxPeaEONmIdCDs
jlKL8nb8rKaoltrHMEudsI5uErU/x2niDwT98bJypVTHqS9+PDyhH7ZtgukFkOBrW/2Otr0j5fJ+
Nl5MuQI/gXXMovF2TJVdr2HblNHhAdUUD1ksagnwCyYrk2UuEW0eq2qi5VG6A7pCS0Bx8itKbkEX
ZNJFzPZt4GBEHXNFzXkZBYGBG2xX0plLJbTUeC4UtOgmKd2PpHtrC+WxlIvMmfA5LnunICDozGWi
mo3S5T1ewtV0jPUbUK7U2u7fiWDujqVsq8iaULQnBfKquB8dezQ3mikJcnHRsTHhtFKtNtNmWrIE
oV7wovXfC9XP/4Kpcn1hsPRNZZp1YZVhCCAoW6cZfo+YaxvJfurtTUbcyyfHL2WjRk8H+kD2IDOW
0A55mPToMSK9kN3l1GIZeu7Ke+2Q7YqziP+KbwoWIKSUMwNMu5/zbGNeclM3YfTlYrpmtvh68MMw
Qv+yTtR1vt4GH1IY14pCUAoVC6rz5fxqAaMp6tWLtGCOrAy7MpLpgyyUToRs4vZaK7eXVeAX40Ew
95+TYpwGnPh61bYzMrABs0MA5FVJ7wSJebIt3ZtiILrN1CO56Rp26UjNJpH6oxo9XP4V/ND+8SMY
t4pbXeqrjF6r1uKW0R5DZyA1AiFu6mErWFcW3mV5vINdv+OZg52tNpmmIEXNDtuygpM8+LKodcOz
jbUI5lybMsha0gJQbYP81e5+tbnAoXghYi2AObN+nsDTVyMUBaAOa8nVAJpPO7iP1ERwWHxBcCJL
wR9svP/sSxHAlJOJ3TRe0FnHyQb5YGxeSfqDbIl4Afif5UMSk1PMAb77IlVYgQImn+WnueziVhBY
uW8qqPFHGzYymHkGTmLAHBes8kZdWMKu0/653QONvRURlfKFqVhMgB1wxMRgzuejU9vIDKMZ8ytx
jgBrvJqYMFFjT69fMQxaJ9dNDmTbsVcFOGj66dm4ZH2IZfnyLCOaNSUBr6KRbywQjBDgrG6G4igT
4buYHtclUYxxBK3eFLWFT9Zg8QOmnzZq4pBN76GiD7CKdBIx5/EixVo1xkR0VLtLO5BBZ9XukvnO
0u5R4S2VkxH0ThT8uhwmuHfWWhpjLFYRmKWi4SBrzI1S7bDf6AnzTn7u2/u/IK4DawwhRMbiCGKw
2A1bIYPaVYAjTuX1VGC2sp+d0Fy2ZBy2wyLyam58WkljMoxpqnWpyEqoZuf3fdfuDJC7XT6+d2TG
V+NAT94AEaZmsxx1oYnhGRSAKZ8afSwpDnazA/eHDcp0Z3h6Dvf1CUyjx8wtNxh7kMDB8HL5J3Aj
ivZer8WsHPgXPjtgniw2SM478GA2sxvWhTMthaMI54up1X1RdCWGHvaqKzJXqhSVyruiil948aF0
bde4pv0m0O8IjpX75TTsXKSlbhkTgJ+F5cPcanaEEGkAqF1+S8L95TPjutjq32dcbNS1OuxJizPr
3Mg6YOPKHhwtOTlbklsopX9ZGjcBscBghSkqBEhsavmsjj7OjS5hUgZGovi0gayg4outHHSk0NzP
W1n4dOXGrA+JLJDDNvpqmAFERyYKiW6Lp2u3o0UDygkThI7o5cq9QFfymA+mkaXNyxAaNhMWQRZg
v4xr/To2u+PUiDir+cepg0XNtm0LZWYmLZiayJBiHaY4Xfcb2cWKiaNxQ9AQ1Nzcm4+ihiBXt5U4
Jozo7aTNSYwnxEgGRzErT8EG2eEsXivMdbGVIMZMTKMLKpV+tA4NCfp8CA/6vnNKQCPlHyJQpEAr
g+m+W1gTNZoNtCpxqVmHrMkcNcXIWOwIjJ8vyFAMgtkoguj/2fjzZEoWOYVWjZd/H/b1FkyskpO+
LVvawbWO81N01h5sQQThRkUwrWE7DBjXUCn8LHWOTCsvCdTLl2u98vvyxRadoEgEExGDpUb7nTID
h+GtLX+bor08e5cPTySCObsyaOU6VKDFpN0Z4e9geMqXn5dFcGvi1uqk6PdbBXajs8bMBq0G2JwU
X/MQnNBavA9equMADu7an5+K0W3/LqtaiWWcGMs5xnaoKHwfb2XrdwXSqqoBbzTGBbF8MPREtUXq
PF/uL4J9iqaNZX3IPT6ruTSlFEQSFgbZNqjFxkNmYhqsJKfRwo7K2PgeS9IJvTJDYP7cL7gSy9w0
WU0mKU8n7CkapIMENJ1UGduoFM2Acp1sJYYx90wZpbiaIsQo+XY0agejiBut/Vk14fayuYj0YYxe
yy0wm42d6mFb7l30f6R9V3PdOtLtL2IVM8BXpp20lS3JfmHZks0M5vjrv0XNnSMK4mzc8Tz42HVU
pSaA7kajw1pJixkI5Zb06f6ymM0AYLUeTvGnoQ0itYCLN4rumE/poRkG57KIzRfESgSn9/EcDmye
sBJaAyMao1lT7WnqnWxgOkF4H4vOh9N2zH9oCpnQqSMfiY8e38hV0cKi3Y1ejQpQ86uz5btuL+ok
236cAbSQaBSxBwKQz0rfxrXRxl0NF4VX0k73Fro6pXeLQ4VuWFHVaTOo+hDGl2VVq8nmscI7aewA
lnVLEy8C9ruOESfNjXoRPuJ/WBv4RBF7w6Z5QM0AVOdalINvtnVl9OaB2+pY/5vxQTCcvq30H6K4
CEAbrHkCsfrSUH8zS441/UqZQMTmnAB4xv9ZDndUNB9rVWOQMcm7fN5l5q8i/C0lmJExd1L8PKHX
Nxa1FW+uC4x0ukHRR48o97N65KNpSek8IAZI2z2bq/tQjjxYhcBnbF8xKzmcqdGxM7pIZnjRvgCK
BTRk1U7/Xj/HDtmhw8STT8G9qOy6qYwrkZzBhUVFGiWEu4+m8UGO0So1tMdpAgS8VtoGyXadIrhI
Ny+YlUROSZjVIFKVOhxgW7qG6klx4eaRt/A8mF6h3k7q4bIDE50epzFFrZuKBQxeNx5RkDMB8lfk
e1OIj7XpJ81/JZMMtFFxV0tbDqj9KLha8vJJmh5a5afJQBY2PM7Wn8sL2nSSK0nc3dJEOu0tNoBC
qPmJgp+KDCnRH9O/wUijeFiiE1SRLSDZftZ6SVNzKykQVFmBn4Pae7zGGV1eyfYTZSWD0/hGymqr
GfCAXV588jlzzcRNnpFabmzVjjxJs5kQu3s5iC8RDp6ZCLWpTgBj/Hldg1l0w5hgXdpD5y1gB7mD
XqbQJmfZV13p0IqgazbPa0GM1UwkBgAe+1lg2wJyJNeQzUnQkhgCiqBjDu3tSYRfI5Dz7jpXEWpg
lknWythMXboqLAxPHoLa7Yf95TPbkmLJ/8pjahZ5P9KVlDSRu9lYHkQGgPnQSUAeO3NHRIBcW9Zk
yfAE4IwmaBvkwtCaylIrF8Cq1yzMp9StUxSRXdZAp0hlD5jd3/9mUUCE1ZByM3U+O5s1WiJbBd4o
6Nwtkrcm+gaC9KkQzY1sZhGhCf+Ww6djR7kCVE2J26sFGcyMFoXIL0/x4R1iwVUEYzebJ4WDAioN
ee8x+6x3+Ywu72AE36gxP9HgtS52gKKz6+ovHl8o6/4jhnPoSRMOec4QPNH0QVVOUfmaqz8vH8+m
n1jL4EzILNSsKUmPa+qq84LjMvySPI/OAg+p7wNP8i/L27oyVuL4uWkShHGLCx88Zppus/reAil6
4v2NDB0kUtg58HZw7nUK1JHKLbxCXsS2rj5LxVM6vF2WsWlFIB/6t4xFQ1a2OpFkZEoCj1BUr2V/
nQejD76cMXdLogqWsznEBkyif2Qt37KS1faWZqbZ0qu5G4Ceu+t2QMZ+pIcSDC+oARSYO1FEleTt
c/qQyamengfm1FmQaZh7pXFi9a1VHy5v4bYRfYjgNS+uq5YNsNiw9ml5BSpQu4rcshPV8LZdw8f+
8anIntasLxO4IIwN/dE9hH6PPWBeFy7i6C4QnJZg4yzOvdJ5DBkLltQgWlYwoTTuU/nx8sZtTjGv
FMLinvRtKpuMoU3n/W6PHA10Fca1dU+vjB8ZRlHfGR3cCk3EsSCqWE6dv+DXgrkLnqmdrksZeDJG
XLRZ5/XNwyi9dMODVj8NsaDAtlnZsBSK7mBd1VDb46QZtJbMfuEYReF6tscQPj1l3qw+YUjhV1Xr
jhQrdpo2J2T9blMDtJkjQA3QmHQ9SO1ZysESrqpO3+Sh3aWG05iJ4ujVY6AEop717X35+FIubowS
I2xiDP27bXnWml2Q3OoM04ue3O8GRaBg22bzIWtRwJU3IFHcxdnSHRNPN21Ze0HZvQDN9Tigf+Gy
nm2r8ockzsc1aU5aqhbIHNV+K31Pi0c6T4Ls1H8wzg8hnHNDJJACpx7LGV9nn/jNWfKyBNDxS38b
+S7i0fzqtqG+YNlQNHRuorDDbV5i1mlVSQlmjzGNEjXnQDqMEpJVlqOXgnP6unufRXG7p8sNzdDN
DOQv9ISV+4rsSxGjx4YjgAztvYwEkG7KN2OVQVd17YgWi4UHUgZqAjpCF5zR26U1fJlfNY6Go8t2
dRLd4xvn9lk0d245zeI6MrCT+q58zJHXUQ/ZSbvD3II37fXauayKG2HKZ3H8fcSIZkg9xC3lpBkM
S+k36sYoJ+nA0BLzrW4eno6clYZ+ma8MjX0+J/XYRjLGkAHBXzIvjxdAwFmg/ZtiDJD6YUqBfqX2
m+UwAMcAwSZO59wEWsifaBZcFgIRfFzMSCP1DZNmV4p+mNUfhuazRhOdzlKq+Xwv4HQ+1mFwl96c
IyK2dMClslaxewtM74VXJKfUugmbc9dSu9N/Kyj6XVYK0dK4a1BJ1bqNYuQFqhi0aUzdp4Z1LBoR
fPa2qq9Wx91DbW3JVZVidQtoSHzSTi0K6xaY9WoHtEmCK3Yjq/h5L7m7JJ5ApmFNUL33Fj7Q1y/4
EgRdz/JJmJ1ddujSuS07vLpLJiMHhLqC3rq5ilE0TZPntoqOlBmPE7pvk5G60xB4qdb4garuaKTe
qcG3y4f49er8vFzOTZqTUQ9aGMOFIdZsTjpE6bd9dky0E20EA+TCveWcVmfB1KUW0BPBecnXKsiC
l/vWM/3UJwfBuhadv7S3nMeSdB1zeXhtuzWO0wbk5EM3JU4+T3szH91CKn6BJdWVOuCXJXF9tCr2
PWwSy26C6RyPkpvLs2tGtVNo+X4YrAhZjWeDJk80MpCrL0xPloF1KTceiXI7Y/SadfEuSaq7Mtf8
KFPtPq0cK8hBd9zZUtc9FvObWZjPY176U9t5aPQGeH7vqJ3Z2SrApoIqN+1slq5arfiR9OG5iwon
SuJjGhteUd/nCnkIcpaj/z07mM2UO3qMGaA5kl5UPQCa0gyML8XO5Pj3kBoPZibbw4yOId2SbGqC
lJJYwFZNnzsSnwgLI0cPcr+INF8L2VNgag6tfrK4O2hotSss8nsouitaDamtsOgMbm8RuePXQGrR
PGJiLBP81jrf4jEmDebcRxMDf9ZxKkK7Sr1OvTKqt8uKsO2lPsRwXgqFkVxOihC8D2Xv9INpJ1O+
K5JZEC1vRjar1XBOKk21qGn6ADoTdv7Mkn1R3jGptqPJwOswFmi3KhLHeSmlN+hIWh0XZFk/9HFy
N4S/ezL7aRN+M6rWoREUhQIpO28e5nZ0u7a8Huupt9tG8dgs24naHOeGWk7M5ltzkF7As5k5ViOf
6k47EaX3wQd9NYyVNyb6XdtH+784FrRMgWsN7LBfqD21spQDQLfD73T1caKpg0ZgfwhFSrZ5+isx
nHuT0MfejRJu+Eo7VfIpQgn99+WFbDrQlQTOpyk1U1KC3KjbYv4bXtoYY7Q/7hIwS5X5c2n8rz6U
e7b3rdUlfQMfyq4mr7EroF/ohxyAnKjnCbRsc/M+Ll6+QySQokqfVVyFxugnoPA1To3xP4rgIhej
rElp9rh+miGzu96b6kcyHf/ihFbL4DxAb4xRqYcovaK1xlWVDkBcFERIDyD8s9up2oXjLAjIRBvH
OQPgYU0lJdi4RFacvjOdkvZHmYo4LAUelG+mTCNN69UZg+dGIF3NOXij2/gU55Knt6lgDzeAUD55
6/e5vFWoIplM6fUeocoShM0uey+5GvsISKA9spXl/XAjuaKmsu19/Md3v6N4roRiYIkljEE74vJ2
bPcooymhID7/D9HlPzL4jKgFFZz7AvabKChLVnpmG5ZxLcWSOySKYavmcKW1YH8CYcdOkpvMzqTg
BTQIT5eVdDHbL+HKyo1w4YoOrIZGbuDQ5WN/wDDbbqGOjo6i8FYkZvn5akfHVsUDHJ0CeDaGe22f
ArRn4f0ViVmunwur4VN+jTXOlpQtQyPBQ1hcRaIO6U3N/9gtPsuHTJKqRwZ+f6ZHdjCCy+nNbB4H
ETn0pv6txHCeY6JVFE45LqkWQ7x21XR7w4quSSPK9oqWw/kLWqEXifTIVUjyMzrozQZz1xmxFfr7
spJtRg2r9XBRgwl+x3aOoetFeV3OT9mIqY3+lbYPRJe9y6I2gBbgMFaylr1daVrKTGXGf3BENTtn
0+2cGXYuvdBCvsZ9eUyrEGWvLHYiJTnqsmK3YeESKbqbZu0B8YJHaYS5GDTJApI1ysyryCyWF9KO
WNNvOXsKpWo3mY3gOtp2c6uvXk5q9dUDIK5Ctpjh4Ixue1vtLGdpiQfMlV1cIaNjq6cYQ5eCYEh0
LlwM0Q31QAJwxrp9ltyy2Hqcpmgf4LJNtMmFX3i9fDbb7zBTN2QwyaDQyWd2gdKr5H0DvZbQMT6H
J2xrOT1NwV6tz20JyH6vypygERUJt9X8QyynfgpqKP8avm/IgxLjIVNctaS061y0PpEgTvfASIVq
dQX3YJ4XalrjZmGVzlwrtJVr3TY7p3XyG+bo95f3dfm1X73ex/o45SnbaUiw30Alkl+k4LZU4fvc
yyI2gKsXs/qQwalKo9ZBHaO+BgWd/fB+8tqHwmn3tdd74EJ5b58s/Nglh4XM/bLsreUZC301Erey
+mVGaq6lmeUhwg2pLW0N/YW0ow4xK/9/E8M53ShLxyxrLGC1qqPTGJUdSj9LS0T6ttFuhWGT1Wo4
n9smeG4b40IGUmeeVh3bcXTK/MWU7tLZDgufWgcFs9WX17Zpecby4sHAJsBR+K7kpK5VNpZkBnxB
vK8fIneZqTd9dhe6IpLWzTfiWhZnblODVjxl4a9RTOuPUaGr18wrjIInyiFVw2sr627TufAncAhY
punkeIR19c8Oz72pKe5R3/KULv4+9elpivA+n5jqNWVzVWn0qpcCpwmsXdST5zScvVGjNxp6DUXb
tRwCb1FLk46qU42aX3p2J9AEj5iAxwXsKi/oXsA8bfgNhD+OAVU/h0Jg9k0VJzqeaxQu4ku7ZBkD
qbdQ4IhJZOf6XVnuolz0gNsKwYCN828ZfJekKce6Fi0yGowuYDRDsSfPRKc/mCht0y5/6j4G1d39
YAvxDESSucdWPBL06WjL6vrrrN+NGvrvwLop7TvJHclT+HxZ2QWbqXGGXFUAMJNr1Axi4yRBtwBW
Ue0ui9BES+KsOK9bk8y0RZZPZ6deRycoSpUVeVZqyxva+T5p6H2TIahvpfgYqaAWSuJ2F3TJQZnC
B3mK90qpHCaWPCR6tMsmipHc+lQZxVVVTS9Vx34gE3s9VP0+HQt/VgF/0ZJDlcQHJMTeqNpltilL
gH/N3bCLHAklTpoyu+j+pDApSRNNNSzu/atBfCgPZ9OqFsh5tbwsG/lQJKkndd+SeC+FZ0xLeZf3
dttDrhR1Od9VLGQBKL/KY2DI5GVoRzXQ3XCcNtO0s8GIMxfIqoa1GwfVPkINVCBcpDzcXap1LCvh
s5ZUcX6te+O+K23zDRQngKtHGJa65Fa6QvrqsljR9i4/Xy251PImljNzduvmqGSPReMx003/VCJe
qOWYLh0j99qr5wYv23aE2hbfU8S7sqB0vGkWVNEAyo0BmC99vQMrrYkZ+P3hn8mq7Ny8VYtrGuwN
dadWdyDDEYUliy1/WRD4n8ESRtFpai4ftNq4hg5JpjJAbIbUyUrXKh/1+Mi0/Vzc0uBeHX1pPJfy
vqhFTfwbXQq4x1HHXbqXMWqgcVvJUrTTDbRCDSUqjoDH8NUkQEu9pjqZNDpMDvxGnR7Q0e8UTWET
HGWGof8MX2yj+2U/1OEN+pWegG3skfAFPY4PhFlOp+gCv/8Om/N1iz4+lNsilfSKWik9OuQSBl77
3kFiw0GLlBN09bVUD49BHZy7sjyqqnZby/QJDaR7MtCXYJIPSj8cmgzjMWXrNDMWafZObVlvrYxO
Tx3/Xx0POjXscWrtyJBtJCXPatvtVSVx07B+CwvYUFA8jkYE9McWmJLVbmTBdY6OpgadlKnc2ESG
eV22p61AfHU4PJSQFtbNXCloiaZg70Xf6q2kS3Zhjph8FxVBNx0Gxm8VcDxbaHbkTFdmcpgaZofM
hvyozJWtSiClDwKRom9a7koMp26hhuocDcG2o+8i3VlGOet9djLhlAyMVnY3077Y/80efiyM05sg
DJqCBDLwGJU/ifor6ZCLmvzGFNX4t87qfVqOosdb+dI9bFpVL/ULx4863rQzzKR+nYv7WjpcXs5m
wm0tZ9nhlavoMBcakqFHpmuxU4KmsKUeB70wSwuTdIqjjOhZpmHgaHl/lhiI10NDNJS4bBpvjOuP
4O62QVbbVk1wjLJyZ1iJXeqHeelCSfx4esU/+vj1f1w2d6HVVM9LGf1U/y+BuoSykRvsl8oyQBkE
m7xlDGjJphgHNwn50oKZ5U2fsX5A3KwjaxmmbgbfkU6ia2zrugTSjYYO8AX8gc8jqCVFr4+Eo2z6
b8PgobfU1uk5qZ1JyKS42NWXA1uJ4rQmj6u+nRaOCWY2Pku1G1NB6i9h/d7qYg9ZOjy3M1HSe+tW
W6+P05IyKgoJhJ8LMj3qp35xDD1M/t5VAH0EnI+AFHlzM3VYHt7Wloo/n+1CBZcACN0wi0PYo6V0
+6lGAkwddiVyaEYwCOqVmwbwIY3P0Iaj3Gt5jKUlB2BKHvu9hkmceidKBG/mK8yVHO7NMQV5HofL
DdC6g9ftAX288G1Vx/hHuLPO3YHs8l3pLUjqYGP0LtvcphUQXQE1HSh9Ye6fdzRsKmAuV3gcJMk9
Kdx0mVMUiNh80JsrGdwjZ5KSBt0CxuxOR9WB00Q9BJ1KC3LsLtr9zXLQ8I7sCwHbEKcgKWKvch4R
1MU66NdyDYhJo49ua4EebvZ6UQWJKoBaKIjnODljV3cpm6Ea0WFysjf0eHrpWbfnI/mDpj3PvP/v
l7USx2viVFZVB5lIShcnBVCYeCwWgnB4y7TWIjhFMGk7WWqOmilK3FL2KM3fg+H3XLumqDl0S+PW
gjhtaMxZ6YHfjFaaZElvnmmwG7TMvrxhotVwb956Al/XewV41F+TUr6J6yWdiuF6KbMBc/V0WdrG
7B6agHUkTJebBHUyzvOqeAyb2gzg6fF1QXtHzDPviTf5+kN+tYwpgKXjQQRtthkkrIUuG70KEqo6
USaKYR3MpGt+Donpft6rB+VI/YLaokL3O2oof7sAKJ+gUG/hzfT+85W4tAhGykYEj+lMHxLrcabx
XQimWlJVbxnBRHoxnFRzeu2iYK8njUPk9gjg2uusmfEoDn9biXYsh2FfjJXdDMohMoCaWyanCDlo
Atx4M+6dqh0jNAUNP0y4o4i29/I0XvUp/a3p0mGyyrc4DLyepCdzKB1LNQ45MBn/5ixX6+Si1xTY
8zSJEBdEhxlYP9Yp/RF/C/YNuOgc1QZm/S/pVjQVvBVXrveWcydGnbQSKeGFzT48lIy91MDuDKwG
b5VeYOeb5vexPP65gWBk6GRAJri5cVKyq1R9q/K7y1u4vRoQbaIvlShfOpjTthkr3NLQFPPETK+M
vpP4jiJcvixmK9yhxocYLloMS6IAvwVOcWwANE1v6/JJBrp1ARBSzHmm4ffL4kSrWlzOSv+J2nRJ
MGPjtNGwafQ7KW7b/DllovLF9gGh6mQiU4DhLc51DWUgpxXoiwEtm6P3LndJRUFKGLuXl7Oo1Fdz
/hDDuaxMMsJcz5YbrEXR0XSJRdGXda9KoBQt7WDwO3b43yRy/goR+CAzHdG9ZcbPyqC74D/0sy52
WJ67Q6i5AOKzoTiChW7f1YgF/r2hnJ7QcQ6NJF4icC/YgUrPVyW7/9WeiENvFo5eORC5kK1eY4yp
/yORU5VoLLuSlpjmKap7s7jto1/xdG3Ie8lw2PCtAO9l+Pvy3m4qzVJ1AhoUKG75KdN0qQHoyxq7
adpneXQYrXRPiIiAfmPOCxfdhxx+ynQOahq0GJ9+f6Glp+gF0T463BdEEoy9/I5dEa7Q5kW+EsiF
Jaxs9CRXIRBwq+5MGzAsdA46+F4LxbxJMhGkxqaRr8RxwUkVRElYZDBywMg7WaU4ZozW0yTRfgXR
IFCTxcK+WCABHhoib+RjdM4eICmQtRFhPwmO8vgid4IJ0O0AYSWAU3xmBjVyVgXqoMeFBDA8yof5
iMkrUABa7n+PcwnNWAnjdB4sAKShU4532JzedInyDF4X7y+UfCWCu5mHyNCsQcL7VqlljxjDy9CN
R01jTBA8ig6Gu43TupJUsgBsZ4U9G5jgaEXoXJvO92Ml/MRDGzJSlQE2i9XIPLe/1NS1FNxZ2ttY
OGHkztbT5a3bXpKJXAMK018JsFkVDcM8IMCgmL0BvbedEsGmbd7G5EPC8gWr6zFhlTVpzULzCgae
rg4xDGe4cfZsTsrVzDpHCjKBOmy+K+lKJGdAVqa0pKa4UPSd9Fr6wQHJe6AIywjSRF12m4Ue4CEg
cYoy61cW26Rum5oVAMODTXlq+0Ni6GwHFlihz2hV/6HG9WFSQeYTBP7lkxNK5lzSkOqhKZmQ/N6O
drI8HfUdFED3f9NhA45eE4C+Bqbu+TH4tB8zqdIgCKcVTHY+2mNzCjSnTQWOadOnfwjitb+KJIPM
KV5LCBR9PZ0gh9hSgd6lEKXWju4EO7js0BdHSzFQpyPJ8pUMlWRhpxuDNqNvMHvrkEwhDnqmYht8
qE7sp8+XxW1WW+hKHOemLIOp1rykO9RdsIuc+iHfBX4KOBeyD24XljMK3vT4JfVB+Y2SqAsOqMtf
sO34V1/AOTDUmIyJ5EANr5FQWrgQIle/HY8L0IB1EPUZbrqWD2F8c2gB2OhJHZfikjq77ZADlUcU
BGzeyisRXBAgqUmkM3Nxl5X+B8SNByRUmRPN3Rl1mb95VaxkceYGwKu5GoEgj76vY5gd9OhJH/Zx
8m0egXolSJ5uXgMrWVyoD/iTSW4brKuQrszYSYtbFp50XAl19lyDQkA0Zi46Ks5Hz3IksRyJCrdn
N6b8RC1XoHjLQVywNB7GsCaKNKsVYFazqxFjYYpdAF1lad6RT8Ks6bI5X2QhdiJL6hJQLpz3p0Ua
9YjVUE4dk+Oo/UgGAoo37eeQmJjly+yAyvYokwn964AEll8YkhXAvxBFjNv+efUdXJQVBGidz0cY
24iWr7zRbS0kHkardhaGd8tw+hYX6g47E9paJQJK2b4CV8K5qCvss14v6eLaduwwH+bTvEsfVdA4
iBvNN41wJYpza5WRDmRCs74rS7eKcj8TAMAcGlHuYDm1S6fKuS5kOudMmWES+nQIovM4/ghSgYVv
i0CGGGNVwN7gKzJMqtROWvJmRn8cI7/IboJG5IFFMjhLS7UyaDOQYuGdJDuyl7njySB29Eu9MW8W
dNlhP94QJgoVtswPuDkaBq5l+SuJJ2UFpuxHxGBLISE9LdUzGdWDwk2OQtbXLV+ylsWpg0yjLIwU
HFTrVk/xO0V97ki/s+sKrZXNXqx/W1HDWiCnGWBjGXMSY0unzCUdfPN1vGD0WpiOEoXnW7HsShQ/
1DNOaTrUPQAyLK33ugBYaNKLEat2Xd8P3XFOvb9wmxYgJCwAzMmyzKP0WVqRZYaG61PeFdelj3hh
XwCIvnZC4bjI5i6ibQ+9p5gdx/QY7G8VpkuFQjKwcsxuVGMMGhU742hWd53yQEXgApt5F2slijuw
ridNLTGIWiDhFxuozksvZ3ql+mgdzf8CXtlSVvLIkpVZLU1jUWi1yaKRdeWqdXivxKkbEs0Opmx/
+cS2fOFaFBeQlGMH2rn6ncXLK6qDqqNj1FFFo/eiHSRcLFJFJbNGDQ/4HgCfhvHDVIarqJXeull+
rHVQHsfEYQAQ6uhwG0fDjTqp53n8fnmtm8bwcYx8PrKZIzTMjMtHdMVLx2JH7vJvVf2sjrVXoC1g
bLLDZYmi3eWcp54WfcV0cB6T4m5snS7F2NtwsqJE5KVFghYvvtIYJSFyIhnL0lBBmSwwXRZOv59u
CCBHtbsZwA3yvnsOhGHSVuiyVp/lu1ZyLZXmZqbC3q19fK356VFywJl1MzsLNrfYc25dRmj3UReg
CENDwPRZXKkCJTYIAdpmsgYVtxC2P/ipZQqiP7J5JazkcFbRmnUd9QFBErLHOLfCdmrQ3qbd9EjZ
M4voCwG7QFgM12EfH2g3+Hnb+XVS34EBas/CfpdV6DI3R9M2prdO7e/MoT0M1eROHXnTeuwOSX5E
A/mNN7ppM7k9xGaFmegwvtXmprItE/glGYntMZp/zbnhVk2Lcg3oDJI5vDOn5MwyVOcUraE208v7
qNN2c12d6kK/nwPqaBndV4yCn0PehVbmk2lwI7PZ1aF0JPnwqsnVcaqMI5rn7Kl9G/rZC40RAEPo
QTB73wzJqU5iX5Lr72VQnwNLc7VMdwegypUxvW4t9TE1Wkceij1AYP2CSC+X7WbznAnQUUExgtP+
EthYfcIMC2pl5N9nakvajyAUVI82j3glgjPNDInteozh0+f6HFWtbWFe5H9bBGeTdQHQ67qFTWLb
hvzYqdf538SY4Lv6Z58480vDoJ+LFosItcJu03Nn3FNhwmjTt6yMgfPdbSeXGV2oIPSd5jO/P7WP
kYNUpeQRJ3xEG5yENGzmtAJvvTmdtTZ27k1ZErnAiP2CQoOkLxoa8QxbuBCD/eBiXNIJHdyJN6Kx
l813yFoqpxc0LYcG40SL1AHQtUBju6OH9CBfZXeiNNWmlmPSAfN2oLf8wm4ZlGmQUg2AQsugKcBc
y+TI0Hx9WQs3UygWABcwxqMAD51HYVIBHDARpqOG+QSsRjAeS0/Aj0UDY+lk30Tbt7mklTBOITHv
QlWlRMFU/V0VS7+KM5ujJ1iRSAj3VAQemx6ikIGC35XsTB6t7ASNOKAmfwL2zQFvxn14I7KCzWhz
tTAu2sy7oUrLBjdCWt0mldcBqAjwXFV9YLEwiN50Tbph6AawrqEenOKzwVQRimB9y/S17IFk5i7H
aKJuN1fMw5PkWVS0397QD4Gczrd6bSh6hdKUXFb7fNAx9Vwc9FYSPFc3HQmoxhU8VgFgxJf2gpDJ
Q6yPSCcOIWg+vWowMXcIyAlBOWrzrEwQhoBRxgSjzLLcVVAST3NWNhZM2Ey6R6pSjLDRpyz9Hk6W
r/XJk0AdN49rJY7TeTpSqo45nLB6VyY2RixdUJS6CIQsu/NlXwNWw980h1krkZwFYNg2YVGFq4X1
lk3mBbBB2uFDRJa2uHY+h7GWw2k9YKAn0L5BjvWQ3KpLYw60UC7s2k485ohsbLP5aC2Oe2fpCjYy
nbCT/Sux/QXTmLrzfXjVgY663g32LLpiBJrCZ3xZEg6qqi8CQYaxFNR1EJaAavUGLYr3AJzCo1V5
yBxZMB2waW8fx8eD4YT9lAJkG2KTrLdN8tQF50aISb2ZQlkJ4a7tzKosWBzOTj4ujL6SFx6so2qX
DujTBIa9fWmuZHEeqwzBStX3WJC+U3zJboCZmjoL2EB+I8qWCqxN5XyVWuhGOxioa+fhXZYc81kQ
Fy46dkHl+cSvYkSROnV4EBeR1KBjHb0OddkB4T31mzm5idgD7cMjszRBKWkz+7pSfpVzI0GsAgAj
huAAY8zLDFR4VRzMk/gRtR0RmMANhz1ZX+kPE6rWVrI82qY7diC+8jzfm6jEhY6JZJdQN7Zt7EMa
p4eREtY5M1GGgKeHnYE2DX6Euq2HpjnMdlYAs0n9bCcapBCJ5VRyGND3V6R4es/BjxzUyXoNvsBj
rzee2QnMeTtSXW0op5N5FGpNuxSNkFIDrCYw5H7h+W2Hh3BHdio6/luw6goTYJuAlJjV/eccuXsu
S7o8aUaYwvgqvUp2fcPcGSBr01v7R3FAUR771UPoSo+X77vNLIppgd6Jgl0H6ZTPt2tZlvkkqcqM
qZ7RjqfH3pTw18nIf7YUySNB5/qmNIK4FcBhBCPB3E1HqJno4Gtd2qDNQ9b2XjldDzVaJoPRturY
q2b9cHl9m1HKSiJ350VlM8RMgeLE8nSKiebIRuUGrNwT67+HSKDgI0Adl+q6jrEKzuQTy0isYNKQ
vw9AEtsVh7HUruRgPlvhy+VFfb1xFkmYZNKX6As9yZ8PTR4MSTYS0HZKyhPTb+QRuQLBJbApAmMo
1vKYwVFxepFVQa+xEK1iXenUY2DnvaOPwkTXV/eMhXxI4TNAmJIDSRwF3PjiTXSn2yW+eTsDR71I
7PY4eguMjnrdnOJf/x987V+uhs+yuU2cw1LSkzJW3TybPVrLPgiGnQh1sr84q9USOYc5doHKkCBS
XZYEls1y9Qer2QMIqwRyNvzH5/VwLhLADhX4egD5HB0W1ooYTcygjl2giPQ9+t+86ajZ8U1wLcQq
WNJ0n+9YCCYYVQWXtYUKD+e4xhB4ICpD3Sq56vGIM3dTZr9PU3yzUOiJz+hnfCh/Gk7qVzfsLLqR
vrqUz9I5q5vReUiGXFFdZVZ3hZI4SfMn0mvfGF7zDIVPJnr3bFrGarm8D1MMHClJNRcJOztH7Xay
fuqiS0gkhHNbFEWKttTBNEHZddQfzaRxaVYJbHzT+lYr4Wxcqo2hVQawuPV+fWh2/X7wpZ14jujr
3f3phN5DpdUDLsznASYO/ZDoOYh75Czzq67R9qRr9jOowgSGYHyNKT/L4wwbUXKSM1kCZpyO0X44
fx9J+0PB9KtKR2W1n7xYjt/min7LWRzaUgW8VpX9kE1gQ2X0MeuAtRlMql0NbJlrBFZnnRg2MrJA
2w/vGUlsSSq/ybrkgOTsZ4omXkz0zKMT68wJMfqoj4BLmgCDVGnMIdZoq+EvWY3Pqazc6lQ6dcB4
7Eh3W/f0RiLzKwWoDTGV/aw/gOD6lKKzLxu055yFdggIFXTz/jLAzGINyGs2RrKPR1Nwn4h2jPNR
2qRIzFDAsV40tjFMdtyImPQ2gqrPh8J5p77A1IQEKiK8Xww/9fLd8v7MncanN7o7O6YPvLRzJ2r+
23aKHyr+3je80r2gYaSPLTj51jePymu4V/aBq9zHV+ph8PHq8IdT4sArCixrox/583I5nyjJkNlU
aL741wxMsdMP/T7YLyyntVOeM0d5u3zNbDw4Pkvk/OD/MfddS5bcxra/wuB76ZQ3J470UHa79mbM
S0VPz7A8ytuvvwtNkbsaXdyQhi9XoQiJMZzOBiqRSGSuXKs2k1RsIsr4H6CJ6ixHpDhv2Spv1vFj
RvXeEBP/0jpUE0KwtBzVCkiELOQ6NPdTeM9Z0HYIVJDmKJKC8Q/GY8Rh0UKjh8Rf6ym+7OF8gLo8
9qOg+Q29EHu4UgRuq3bbJpV9xvwtZg+Z0IHGW2dCThu0YWPhISG9VuffJnDvXl7a9nE7W2GOW9+G
0BqjiWKG8wZFAjtteJfyX5y3sw1m9xpJa8wsfxPuAHEmdpBA1Se6ik7t6Q8YjnjkjX7xto8ufHXa
EmuMTDORoYwMOhUQuGhHDT3Sy5u3UVaC/wEGCuZhMDp8qDt24WyFtC6N6wTRHYV2QZpOeqPsetk4
gG/ot1ICQhT3sllVD1O5fJ47ckTG/7rgOhWMYnf599lc8/nXYW+3durrYShw2xjSiSynubrSuFOd
1O0+ZFgAsauYP4RWOYvIHxMJhIyThhstqPYFignivt5jKBxweV7Vbns5Z1NMGAlrHfh4IVXcaZ7s
qCqP0QKSIzBXXN617QC5WhITRZYsI1LT4qSJd3qAG+EuC6Sg24V+76q+vFPBgMwxubkySzQME4US
FWwj752zLZYyqcZFdpf2oHS7xfoEf7m8qs2DvTLB+P/cgeveii1MoYTN3tSt667nsSZtlHvg/isb
dJmrMxbloOKba+hn9Yfk+t90o3ejG9oUM8zzhs1YT9tNoAjQP9LGpb2IsQYToyCj6qO8LzalLcpe
Ojxc3rfNRHRlhgmIqF/VYTQjWFFkMsUZtX6974L+Z47qygzjASk4+8tJoCjQAt0DkATFdjPsLy+F
t2OsCxidUESgOHWb5J7I98YMbfrDT0wyUic4fxfGCaDlA2mKGBtWF6bflk9JRJwxjq7Sdnb/3nqY
eADuCT0MCSwlRaArj4hwnf64RDxg4uYbwTJ0SCYAAfahDNXmmRlpDRwtwnjY4kql4IxAvVg3SSpx
VsQxxaL8h1ar5opAtQ38WIEWT34nA9BmRjemme6HhqfSY2zHnT+X9kHgoxSJPhHcPWL7mg3GKZVf
GnFo7TxrIPwkOKTV/SSH+OfcXBsNeO5FY6eEHWj7VehON04YNY4WvaTT5DZjixetqJ+sGqUSITyR
6FOkTpltmCnmlEtPAWK07wuvbNPXpHt7+DjmDICSUbSWs/T6VVIuipvrgy1Gmp2P5jHrk3urhFiC
NSQ7dakP0kyetBYFyH4a7W56skLUHjXIG6iyLyrPIJIC+dK9AhVWwLxsMi+OrMdOBSqxqY7tLCUQ
z9LFz3IzHuqpfTDlezJ3r6GWO1UqfW1MyQZbhjPmzU6tH5W46+08tL5OgayciMr51lunUZIR62mV
DJSNzGms6qRMWgnV6tF46EdQKymA9+UPTck7JhuQOMryc7bEnEiocJi1aSD0SxGxp+7zMt8W4bUM
Llzxt0LxSHrXW8Fo5vaIafKRR4lD18EmCGvrzCkVmhywqdKQ3ErJTnjN7ZbiZ6qbaxPMhQ3/Fuas
wVYOwpUefzfJI2TjgGEf/MsBZ+u4rO0wlQ9UyrIkLTA8lcrPi+lnwteOhxHmmWDqHuosiLpYingU
puADTsqgrMijalk8AYPNuxqFDZqzoYz6odxdpXrc6Tmi2oSGJE5lkKQgIx5dAp2n8tPy/fLObeZU
a3PM1mViOjekw2OXCj3RClz9VDgEgjsQRLXLG8uVvly2uHm8VutjNjIs8IYaQbCCUfDa1RfDGUke
THXkT2LKOcmb79vV4tjmbgse017tQlpA6PbtG2KX1jb5LUn6S384S+dFse1cCeSSgj4DPqEG3V6C
YFF8TcvQvLfS1jW0Xg+T8xRmopllOcluKGiA/Z1CyH/1lpN2mS0uvMmrzfiwWhOT+Zh1JUQVQEXg
0XlMoy+yyPs6Wy+U9WroL7DKSntlqHVrQI1vPFR72hIku+g2+o+Q4rxTxfZ0dUSHUJLwAGy9aq/D
zaGWMzj03dAElrtwmxS8L8UEV7EojVksobs6+LNnPAwurSJlwXQQvAwz5uVecXIve+DCNbbq6qhB
aHj0oVuGbs/7PVXIQExBxpVi6cVVP7e7aow9RSR+nuWj3ZfCi5I+CMXkmVIRXD7Ym+WDtW1mzUaa
GkJugeyBgpYAAXASD7TBRgrGcbt7m/MEYLQF27jP65xvx5Tzqpl7RkMHbSIC3tNFCrKAu8TYjS1Y
TDkvtc0rYLW3TKgcRbHvMc4ju9bwCfEqDBNbHDkYgDdx9Y+R5LwUJjx2bZkClYqrjG6iCvBhD/wX
8YsfugsSQCh8D7vqqF11HkbqfCo5SJx2l2oOnc2J7xqPsheAgWL3309GIlc5L55lbZpEC0BTUOC4
TVoexqq+EsFLeNmBOPvLijw0hp6NMerKLsmRxivhc6HO9mCJHGwYzwwTRHthMWelpmYwzR1X4vcp
epxbnrj4X0ScPz8ky/ydZ9UQCinM0IkRXKy+uSeo5dKAY+wb//LWbaeSomFpkKCX9A9waQCNQ9MS
8HnUq+Q5DBQU7pIAPJU3kwfEdsCDC24W1KCUDfQI/gM+QMZN0zLu0sisaTzNrhW3DjJH84qr9BN4
w5xxD7zb06Jw/EOmN86Hs3E2yvpgbhhCVKZIjRpX8uvZ0Q+GT+fCtPvIS64sR7cnT3MWT7Y1nIPG
7pyEK0W+6T0oBulAP2A2TWNCjTThzSBKuBWVNgkaVd1Naf2bCqp8zmI37cgYocIDBFPs7IVVFqIY
01aba8m20r6EzbGtOAF728T5+cFc8OogCA3EkmS3Vu/6NLfj+hbMm5x1bN8Kfz5yZJHeWKtbXlZi
XU0KvAFAv3YnOsMjVaFpdtFedcWbDt36JlBTh8e+e3ltH9AOqpCF6NHhRqjL6zF6EEIvijkwMfql
P3jjamFMHGmNYtCMHkcgaV6B/7H74mXoeiefXWEWvMvnm2eL+VSSYGpKb9IhvtQvRvSrFdHR9Zsl
wzVLJs4n20xmVwtj8rJ0nCvQD+UoPtCsOdD3CnLm/MDDvm9QRdLnL1rt0H1VP5L9F2GN6lqKDaSS
tpU/7Uqw9d1Xx/nVCmQ7P4y7/HPrtTt0gD0eVeT2Gs+2mY8ndVYGsLwA+OwJlPBgmgMgHvRJ/z1K
9/0Sme+Gji2BIh62ssl9ocXIxG253F92DZp1fHTD80qYrzWNZSvEEnZREm9z5UlQvRjiYFCjm4Tv
Ga9HuZlorT4ZPXarwxzFcdHJFVKgtgYj8WnRj2p21QmcwLTBOvF+25hMMgNZUWWqbx44nap9fQzv
S8+6EezYAdhHc3qKOTiqdvMcH5uAcK+3zWUqiFUUfY/5UqalF5KskqJFRfZOMJio5LtQz/Z6rKFG
H3FeQZsne2WKccSsV/U+rigArP1cJIodVw95+zpkXtKFP3OuFeC/NDAtAqVFf5XVx6u7PGrzGqrp
1gxognoziV+sH4blYSysXl5Bq86xt52UrAwyCbPaYMQ+GzXgwRpbdDA7ezN9C93Bmbz0WF3LP6FC
BrdZ2WOSEiQH5RIV2MtO91rjSc8+Xz5q2zmdQvGyIL3/SLOvF0KfZApNgn3tpttnnpraCQjDyDVe
Njseyf62F56tMadgqhYxGVv6FDCglmmPaIuKza6beSWnzbtytSrGL4pkNIqS5t1lHbp6VXuNJh2S
Wrz6m7vHuIPZLBUG+pDSUMwXJAX9Yac+TmBR7wIwae441jZXBT+X8AzGHPrbQ2vl7dJSjmqn4gVe
1Nox1iMPDT5bqsBdMwGGNS/eMHf7wayeykwLZHHxarn2G7GyS/MlN4WfOwyr34eJ0zIxZHHWsHph
F98muzrQb3XQdNvAJWMy13KTb5c3gLd+JlTroZxnyJZltzSQE0uZK7WhK0wDJ1bzzDBOKkNwzJQi
1A9bk+zGvH0yOsUuu+z75dVshsnV7jE+moXhKBsm8jltup7afacFefIpTa7kYn/ZEG89jJMOvSIs
4OVG4himjll1vjT1jjwt3mUz9Md8uLVX62FCVZ+ndY4pL4RGZbDBvmwvdevOdf1laFIoFpM7oj9c
trgZTc4WWa5UE2AAQ+4B3OuV5bqYZQC15wMGHO7KUncum9reQ82gJNzgZWChxh3J9CgZaLFt2avS
kYS36nx/2cR23RrPrz9syO8vM1ErmrQvYQNJ6gntZV9wKi+6mg4jJoXEnfSFF1C29+9skEnlGjVZ
DCLS9imSfOtb18z7uArkhNdq5G0eEycWvS/6mOBVplRXZnZsrSfUzP7m5tHfYRUb2yFBYlqjUkdZ
RBXoHeIeQ5FOtX/HmpEfyhfewNP23bn6YEygCNVcD7vwrbAlOjIKWxSyrdoUbzZz8+7t43X+WEy4
SBK5b+oZhf958tBXhFS7HUqOqgSj6oQq52LjeQYTMtRK0EswVqAkkPll8zR0I5D8n2OQd1z+bJsx
UANrHxTSJPpsf//V4rHPsz4zUf1XB7uXUArEfV3FV8Kw5/fwtw/YyhqzqjQGyYCqYwulGz2QncqH
cPLVq27H9xGIHSKAwy+vjvr1h4iIYU3kVXjMYlTh/er01DTEfETOH5rX8vA4LcHln795rlY/n/G/
Xiukjiya7KbLdWue8vLYxZwC8cYQHBLQlQ3mC4EzdFCFAgWqHHB6qAuDgkMGml5BQOIpfmyiVNe2
2O+jyBX66NgvzaYjwsquOil+/5WOnRpfu+fOU5xhsvOA17/jGmaurgGw3NqQ4RgE9W+PuGWgXJfO
GEyfBEhD0wocSN/aB3LFi8CcL8ii5kx9yZWePj476FAWeRLEhmVnS8Z7tmz2pc5f8e0rr6LjaLSC
OueIVMrgJPVDme1m+dh1QYbWaLrYYfsYKU+Kwjnd281KzYIOA2qLH/V4xLLTydjhgkHSdmgNkNMY
lnpSi5d5QJO0BKp7Bpq/J+ZuMgB3uXw6NgPmyjg9nas156gvTNGCbLnW7Fj5VmuOmjhWX9htb5cL
T3Zt80tS2SYIvCgQe2Te1129QOBIxTtqVh9MjIpK+7DjwRveFMo/BJSVESZDMLVWjkhm0gwh2aWP
oge+mNoO90ugHKzKGV0QOoC7bEjtyJc4WeTmlbCyzSQL0pgUxkh5z/WnfrjR5BtT3S3D3eVvxl0h
89GIkudipQOdCJWVyZcdQDn2/XXuF2Dg0R9q4O5cI8AMDaXh4UTT7etch1iOhZANBSkmCrTWkgxT
iIQ8jb+ZBCKIabAgH6r0fBfF065W9c+Qn3TaWXlKitQxtNi7vPrtLbbQ70DPQ7cMJtYqrQx1R0qY
q8+7IruOxNGuQdBRfbpsZvseNBQ4KWVHAGvB+5MRt0g0cxnAj1zRbb1ePGjM+IORU02InTXPyCqg
XiUNfrZYj5gcDMpBg3DGcw0O+su/yuapWf0mzA0WQuwgkdSCZqB+WuxBOiQkP7OpKxPMpiZ6bkzh
oMtuFAqPKMKBrEp8FRRtHyucpIn65ofTubLEXF9WJRUloengXHhCB5lH88vl3dpuUa0sMB5aFHFp
Kj2KeGDKva1QbAAnlhtf416U7dm+63c81vDtetfZIosSHJN+UCOCNYH2xKMtOPKtTe3W/Z2pxrqN
efyuf2GRKrVosqmAFfi9c6qNOMtLgzVSksTlhJb7AVfxLSXfqm/mY8z5aNseeDbHBBxVCuVZoloA
9dx7k45JmLiwE42HtZLFbe84G2IOnTCFkNzoUVWolhTTVmLxbHTW07x0d0kf+oOlH7IR0IIa3AkR
kIxpaYNcxzdiwbRntTiZCrnTs/4aN6k/z5DbnRO3zperPml2aaTOvjw/Y17pHsrag6ODXiomkhNX
SejMybw3ZfmEg46fqzaP/dCdwi67NtKqtycynxpJ2Ke56IwjVByNJ03IrsUeSr4auctb3Ymn+jET
gaxtAEcVNF2zFW2yU7G6WmLzJh2HfVlMOwVzKEP/2FqdXQq9U87DE6Rljo15F2uRbSXSU5xMTl2V
ziTmzkhFLMXuGGa3wtjdg371JZ8j8HNjZaY0OwLpnnsDfEyaHh0teTwskXqqzMzu5/RTWDeHpswO
oiUEWUkA0ZSCqStseXoeIPHaT5IPiZxnQ8SgqYLGqtx5bYvp2Ul0jH62jU4HqhQraKTHsRVrOw7r
ALRspz6VbXkUg0mfbuRh2YMmBAxGT/1Init1OCnF9y7NI7sSQVtWq6eh06iErj0hcRTnMZAKNbPH
NDyZBdhtJsuNK8kxJtkJ9d43oMedLZjUiLrA1OdbAzE+SjTwa7+MHcTLDIiODrMd59VdPxf3kjJD
m1aTQLxt6U81yb2iUo9927qkUu9qmXhqMtqVXNyEZes3i/ldq1+N0rypOvmZLKM/zv2zGon+ArBp
0gGak0jIfJZPRpbtQqm7LwvrIKQD1m7YZjGUdlGjUdqFY+MKBIjXJY1tS05quwzBQmlC+iOxFhcQ
m/uikxZnMYsXM6ycPpbsRsD/onsCTScny6Ordja/GurwUNXKN3SkvIpMe7FIbVnPoSUyfZULeT+Z
1U4SRrfLDewnSIKH4ii207FPgJMAllYAyVsh/bAETBtCkMhS4wdOLKW50sdofT6PzNVj9Oh0Rx0B
FuxZ8is/usucCkor+8jBUm90XvN7O7uAwusfcY25h8YQLa2iqTCXfFr8YZ8c5NvWj6+hnxuETskB
hHCtMXdRK3TGXFe49TBn6cW3Oh5u4ff5dfFyYC550InNvIVCBPDGpaM5TO4bWwOU1nV0HvWmw6n6
REjjkNpPu4pX5dmM1itLTALc1uaojASdd3R7wAkJhB2lhriVP4c2tJ9c4gjcxW1v5comcyGBjMIU
lwUfrj1AqHZHcJTt5JTtF68LIt/gtOC330wYiqGsBnTon/ETwBPlToPOrttbqWukll00PyagxMVF
fdKX5zStbXUQv0FI74lzIrY392yZ8ZlETw1zFnEi6LAm8WNfvlW/yNhTRF0XTQQfXcnxMHG4MOh6
PpzD1XqZnGaUm9qYB7RqJn10wqWyx9Yrp+dRvZ8sj7PCzTN/tsWCZ62oS5qhx6lo3OZEx0NTUO+p
j+W+dMWjziFQ2TwVoCnG1JCMPIbFLU5aU7WLoMhY2OJ3JD5IZW8r1Y9xeuUsa/Olu7LEhLIqRd29
GvDhptfRkx0CCgmKzbKuoqfwRAmLEGI8xNdPvEmi7a62pdBWvWVoH9RTm9YC3AZXnDsuTWLnGNtI
W+UwGX3QJMaxHdXjrIb3S10FTW3isoeGSjZft3Prj8rkN2XjEtJ7bUhzmSmYClxIfS1+U3PTvrxH
21t0/kWZNE8nTSlPAl6vkmn9JsaJP6j9NyEhGDeBDxDL1i0eE8XmcbIMWhJAFgs51PeJbFjjmpVq
xA1jSneaGvnZgG4cdxB0ywyyTUnXFMkCgSwTL0odbLxmaFGIoY8bemm+qSnnVU6PIHtE1yaYwJCG
86BZA6IulTghfrdrPOpTP/UAp5SOIODBPamw+MKsi4FO0/AApzQoACF5oSsDqfM7oJmH/tw6njia
EHCTIVAAYoH3nweFRhV0HSg9ZxkkIGklqrdnABprjudtPtrWhhg/mJOmxFrxgeKTiXH/7L51Iq+A
hvh+ad6GIMZdDZZMjtlNt1gtj7m1jNHIBTSyIIiD5mWXjbZW1ruh53FBbz7X1qtjDpac5QSUTYSi
wis82cwD8UNXvLWuaKrxHxRpttDga3t03auq3qyjdNIPMaKqGcyQ2jGvF2VXhC/tFGiFY0hXZHi8
HDq2Lqi1RSa6mkYVx0kEr+ws1dEhLNhek+6bIu073tDk5jlbfTPmKIOAo/q9g6piFFjZWd7o00b6
T56zs+sz57kpRNIjQacDMkDxQ+XmkF3lxzDyRDC/jzuuxN/2UQNmgZLoq5LMXPF1KI+l0qIBTZLB
76bWXnDVk6m7n9KKkz5xTCkMNLOPpslMclxIaAj61mB6GAm1U5S4Jly+l/1i60Evy1AtgqofgBYs
9iiMUnUSM7BP4Rb0p6zc5arCyXc3D/HKBPOh4kLruqqwUKiLiR3F+p6AIdwaeMPUvJUw30dJO8my
VHh4iDeplYH9hTc1tx0E/1yJxkJmhy6x5kSNsJITnclSdjqapcZ94ui25IiPiTty+V83M+nzB8JI
7ftQkeahplkaQiCo8J0c9Golin9ZhQf7XDzKkuA0ier2nWb3jfXlsm9c/nB4Fb03rVglyiM6Tlgo
3mWWN8u/QVvysolNT1/tKBPg9VQq5yIEMqwZjqr0ueqfCIifTE7we0uJP9z9KzPUd1bxdlEXtdYF
fDizV/ym6O1Rf5UsJLNK5OuzegRM3zfIndV2TzLFeRSdFzaWrxrtkVQzCjrf8yy0x956gFyCo1vJ
7vI2bF9Aq1+QuRDAR58WSYdf0IA0MQicLB96Wr7uTrFjQVoFAsguxyJv5+mfr7aktgYoZMcVZWSB
7rwXHoab5BB+R3Orsc2byAmPIKF2ZO5sLT3tlz4Fcz20TdctjYmrjw7GGJ9lD4CrL+lN4UjXvWUP
nu7PyCMgJhO53FcpddhLtplI1OYmBf4i2HU+nd7JPIDPHiuPSoXwyRh5p4eJR6j+qiH48iSofHrp
GNuJfp/xaukcG2znVQOsshoR2l0UpDTxlZSfcn3k3BA8G0wACiN9mRoIJOOOvWow7Iya58xjSONF
ubfyxcobR5XMSUYv17rC/H58mMvbXN2Xg9PJXmj+ZjaPQ/7MOQGbKdH5zLE1+nkItTFq4ImzU52i
Xe6WV8SHVDxklFo/vx6C2S3dXsRw/d/cUSYaaVojxz2BZ2jwOuMgx095/o2zuO3jDcUyCVR+mFlm
AopBzMUo0DuDq1coEtSHHPxn31VbhyDh5FQ2nj4OCULxp+L52SwTVeYZLXrImuLKmMCefBxlyR5l
J+LOyP/FVXw2xISRqQQSYJQpa+auByESnceG/uD32qVcI2h7emgG/M21MdEDLQM9iVskGEo9+bUK
xoXus7j0d0Zmcdo5vI/Hho4wauOox8dT0Q+oitqJJIBVTFfKmz3HT7ZD4p/7yJJ2QnC4FuYFDR0x
R5O6QEQsHGUB4kz05dN/MJ9GfftjCD7bY6KJ0aCnIU4UCv65fKY04tMRqdrzEoB5wk89vuzBX1yt
Z4t0B1ahBUL3Wl5ZJX3bib8tbrEjD6i2plhieGP6lcZvwdPPc2mNTFIjFalAiAJEZ+eb0ObEph4J
ggokOZ7kvW7X+/6GaucJJ+ELD6y1WecFL/of5/5NPme1WqMeS4ISN7LgKzrdmBy64ysdrQcFCZde
6i/SqrMxJsiEmRC2+YDTXjZ2vp9cwS7uBK86FpZtgd3N8FoXA9Wo1QN5J+z45ObbEfxsn4k2Hekj
SOMagJLPu9r4HFfo+19N1e3M44La/KLoC5gWqIChuc4cyEkyBEsBqtXNpgKaj54u/hCrwtaLkzY9
5aHgyjLnYG6GgLNF9lySIYNmbQokTmlgHN6aT5U82nGWQV5Je7gcAzaPpCqB0kJUJNlgAX5qpYoo
XieKCxgS2pnTrSDFvE4OdfkPR2Jlg/lSoi53FR6ydMRA+hztFBA3ojX7kGHcvnDjAze75a2JuR76
We0tGbyfkGkb9/qgBkZTQzAa2UtheDNUh/WlCsaenJQq/hQS8bgk7WGQH5Wfq2yuVs7cGuWE53XS
YXczKZBCMLEhiXq8/AE3j8HKBOOdUQGZhGlChma1bl8udml80/WgNO5KXg11E0iJrOEPX2ETzqrI
wqkIkafRVwPBaKAwu9kJdwXFCpf+5XVtZp4rY8xdsUwhCs8WjIVFkBafLc3X0p9ob6zXw1wOoVTX
E7Ca8BNFuJrk1AeFaxG1N5aWcBazOW+7NsXcCmUI/HBXIYaotXYzo6HegBvWDNtrXdX8NP7aR+QL
yErAYGD4hmb4ehEem5Z8S4tPsVC6LTAMl7d3E0Ela1Tb1kKpGuTj729GoVqUQkoEVCHBp6pigk/1
SgdsTm8wFelp3sn3ly1uflAKk9ZNQwXZBbMFyWj14HQ0UBSXpn2P2mfeA6NVjv3zZTvbt+DKc2h4
WN2C9WJGBZBSkrtIQM/Xt4KJcSb8XxmNMn1PYTnlHZHsUPgc8xRuOJHnLXFdmaa4uMYUULub5FOp
XsttwFkbJ5S++dnKAAjrh7qMcNrpA3pxWwdEqtBYqnHVmjsS8KhteOthIqmctlGPnB7P2LZ3UMY7
RpHKOxq8JTExslEqGd0f4LP6Q3xLFZ2Lq8FWH4ygA0YyvObxFWynhCv3YBxfr4s5Mga4x++EKJWf
3wgenReUHPNYBbwe6qbbn82xDdu2bwppqBDHFuFlysln8GzZEqk4LehtKxpamCKoJjC9/N7n86XL
43oBikcwggFiWMlpmTk4en3zFj+bYI6VCmRwrxKYUMXHWvRS01/abzkvh+VZoQtdOXjVR1Ul0GlR
QX41pUDOJkdqfUPi5ST0+viYk5xXQ3+PlZ0F0SgpgFSAFwxIXWMnOsh7Kgol7HkTo9s39NkUc4ik
oSFZ19MlLSGlWe6tF7MJ6ih2ycQ7TJsvOgBi//AD5jApAED0eYTCXuNSGQYALL9RaSgrIKBasHmZ
Fs/rmKM0g0+0BwwNjP1Qah1C08+LOOjzu8tBb9uKadLhaHASsLh0TaimuR4xIZ0noq0RHRSP32KN
kwv8RVg4W2GSAVlFkq/EeHZTGhNagS0dMDrufp+EJU757fKitu9f9WyPObExGoCtTOeTWq87FSiE
hu5S2Lk9ASUq2+lX/Z5HR7N9tM4WmQMcjVOiRyle+1Kzi+udglZ+vtMiTpigHvbxYJ2tMAcYwJ8e
+j7AjIjmQ1+8JuOLpEKXfFmAijkCP2df3kfqYpfMMee4Mow2b0uEVzkwD5QWgzYc+Y397YvwvCrm
DLeVWRGpNTH/Z8T7KZ6u46Lw/t5KmKMLpdA4FinBx9g9xdY+SQ5j/1iP+1gKrOKTOjxfNsd1eObw
9nKVS1kI1BLFSulOGWQQBTfdHFRBdDSq4ZWSOVvI4rArVclqLewpd44XL1dV/+XygjjuzbKzqkOa
IM+FmodeOVJCPAuAhIGgc9a5lw1tx/M/fUFjIkVXG3nf9zBkwsOzvZldx2MBycmHwtxdtsRbEhMj
pEKIQPyOS0owDxpGfxTtc62jSZO/XLazSfoCQV9ZNy0NE9vs3Ei5tAoJFwm5+Ww3J/A3Bdq9cswf
siAKZl/3MzcPxCOKx8F/IES2eRWfjbPPyt4cimamVat4n10Xu+U4K7b1lT4rq6AoOR9v8zJZGaO/
zOrej6WFREuLLCaNPH0EtfcOYsmc3eTZYBxEVFKjDOmoGs0wjVOY2ZRpkErHyd8H9Bte8GA+8sBA
PKOMr7TC1CVairS2MAt/GX/Lw+RU5bxp1+0awGr/6Clf7Z+qt33U9DCT7pNdcYjdV/3mrZ3ABwDz
/IKueGVKl1q5waDP7xgP4Fac8gpTBp7iJTc/lcisVsXcImOsmUBxvm2em5JrY/BC3nQdd+eYKwQk
JY059yjqmV9nDGii2nAt7iluM77jERxtxo3VcpirBBRxY1oP2LlYuMqboGmvo/AOYuGX/Xzz6l1Z
YS4Qoa07qStgpU7BSF2DTcZwFzwR2/1SJ06XHUeNB0Gn3vXhtj+bZB9TYdfVc5kgIFaCH4/P1ri/
vCTez2eiQ7TM0MddEIoazGyISvwtIbyJ5+1vc667MG7QYMgyS0Az7GZW75Zm7IqxrZMKAztfL69l
OyCcDTFOYEbQNwI7Ak5qp3qiYPk6VF7q8N8Y0f95nf43+lHe/r777b/+D//8WlZzk0Rxx/zjv26q
H+Sha3786K5eqv+jf/XPf/Vf7/8Rf/PfP9l96V7e/YMHQuNuvut/NPP9j7bPuzeb+B3ov/mf/uEv
P95+yuNc/fjnr69lT8D4cP8jSkry67//aP/9n7/KGqLj/6x//r//8PqlwN97fumS1xfyi4Pf58Nf
+/HSdv/8VZL/QQmbQLMoQiOQgj1//WX88cefgFBBtlBc0w1or/76CymbLv7nr6r0D6g9qCamIpGI
QAkHX6Qt+z//SIRSDaQZJDCv4Y/++O3efYHzF/mF9MVtmZCuxQ9mEIayhGK9bGiQ29FB9iEaTDjr
KkFGtq9ItgXnavq7RL0Lu5cwrDE45LZkN4uBMT2Iup1auxu/qO6t5EZWIi9EP1xTMlsoKl+JdAzu
1Da676R+VqpnbX6KxydxuQYjYd/V6JxZNYBpU6BjQMu808tX07iOppMR3mvSw9v+/1dO9lgW+O97
d3rvlv+6Sl6bsi1/69h/651L/n/igxRA9tc+iOmlF5K8vHM/+jd+dz/Z+gcEgSQF/SjAEUUV7vy7
98niP2QdSDfkcRalazDx6f9wPxN/hGlZMDZAfFvVzZX7Kf+gIsFvpFbocClQPvgv3A+sF6wDqjL4
zOB3IBAEAAVKEO+v7ridRjkcRNnBy70Nv2a9briqkNayHWUNALd2E1f1vQzacczYqKX63Otxe+xJ
LDa2tqRV5KhW2o5XHWqDXmYu4YMgTuEpboyEdjhq4bbHVFjqxbLan9KoNMqDiVOFcebSGmZw2mNk
n9wNqZDsUz2HGIEKrZUSrIymUQbh0Dazq/SJUHtzT8LZ1Yc5715JrU8YjRPUrvEsUPD7Uy5EsxOD
0sbatyAgEh0tDdM76Ob2XtiW0iMoJQu/bUo9+6Iok9XedrMMM1pWiS2AD3mX7rp8rjwThHZXhS5k
mIwEPcpkt3VrWLs+roenojenz5GRhbtcjizY1zTJScssf5G6riF+VM9FbhvhSE6pLsZAryXKeN2N
8niXSdpQ273SLl/bJWufIiORMDpIUACcFLA92aOi1MQVk1puKleX5DTcRV0fW1/nTutjB3WpBtnB
kBAFU4KpIS9ePIbWD2kQxsM4LmXmVo2ZHuulnpcDptpDsg/FUq12nWJEd5QVGVI1qVLdNnETHjEL
pD8AZq88jI219LZZEyOxFaJGQVLRgoNiQCxOIbPbRWblopY4fM7lbpkh7ZjJaKgmRrvT5AlXFniy
DMeQpcwhBlavL0BdYGd6UD90YCoFKiK3uxjaRjUmToMQfYwAAPVP5dC+whlqm4pFaM7Q/T/qvmxJ
Ulzb8lf6ByhjENMrg08xeIwZkfmCRWZEaACEEBIgvr6Xn6q+52TePpV2Xq51m5XVQ4V5uQNC2nvt
NfT06PERss5Ox44VkRjxsHnX1jGyOO5S3jFbLkCDS22ysJiHbDk60SI/FxHNvSudoz00gbbbabk2
SL3Q2YNWpqtJqoLk4C/uW97YoUjlJj+XmDR4Wi1i2KdJH7xkzF5Crd86mOO6knqs3YUm6+qIWHbo
knV5z1wyV84Eviihs8kPocfvhr7RFKwjj55WOzhZzAtRzxFN2YQ6a1rJEU7U0qtjmXb12pKor2XW
2KQU40gQoEXH02zX9JOM2rSVG6CDdKunbhtlAAZ2MKLU/oo8qAnyf7g1hXAfT6BpDRAMm5kYU3qK
nMJVkSpAOqKaYTSRzHhdg/y2b60qkMH4kG8NWJGxKdo0e5samZcpvLmKIENaqMfCe4hjgyLN0/do
BiPAd7zkAXShfTIiT3dVVRQ0P8QQnJVALCxRaGeDwk/IVbC5vEDu2BVJQUO0BGfXSsb1quvEcE1t
KKpggSRIBc1u6liJfZFWWusfUkm+XyfUUKnX7tt1uo6wjbSRgqKOsy8ia66EDJ60gSwr5E22h+iW
wdpruxdd0l4Frbidtvi8QrObtTErmDcHpUEYnoyW714cHHufHkEVux84Ufhw+hS2EQgkCJiZhiYq
t23c5cRG1RQnVSAn/L/BFC649aNdAzvrysv7B2nFOaEpwp3iAYGubedd9i2sJo5NQ1513JVNlA1X
QEDtziArrWj18C2iqiBzDhvWLPN2eu14AcbqmeRAAXyeXCu5uMqXDnrPlJ9i1cA/f3aPgc6vXAB3
gDWVZQzvm0OnZNnH7ZWxCPzpWhgkB3oXrlNpVvM+eMhqMmIyxTinyHBhexrTS7qJ2V6ljgC6CgCi
MRJpep+3VWrZuePsJfMmr55HL8PCXIb9TFlfgVA+vqhE7qc0OWDffqZdPpUICtoto90um4W3h2RF
1zTw+XVM1Smahm++T/cqxhqBNBMbWqA+3ATPv9FkwKNMtx9V9gUC4Q9kc/qFmehQrdcrKptY3mkb
H7N1uBslKznLbpPFdLAp3+7ZgmtPss0vRrZcgyhyxbX3kPjkMTaTux5Vl1ezWmXRG9rsWMpXeAV7
D84kb3kKAXiAMAdl6JHHkhV2csgI9d3noKO5RvylKqwwe50kbZE0/fOo7H0+h2MBEMqU4UJbkELC
WlE/fwjzuSuTFiYxS3NjxrXMpvYZPlL20ZLelo4yByMZnhUqsPdBx5/TqM2ugz6BGq3hvIyZHIps
oXDT5u1jM7PncY6AE7fBax5wXvTNDNa057eFEKjXRq+FAb3OiryXX0yvb1BCnuXaV3yAeodqUBqt
O8qIpWXjhye3xjW3nN6nOa/iDVKKqWnBx11y8M0h1Ny8hhZbk+z9pUG6RQYCqM0XUUgenMjmFVvW
fl3YEOPdm8Ni9cl9EmE2mRpVBDE2mnBMvvX5V1zg3sx5Vob6nQomSovZd+x/4AiqCMifZSJaKNTH
KyJh7NOvb9zfPsyqb5Xme08ktQz8r/GocWjx4ZNPaWkzOP3Lyay1tN7XUYAsbdhShJl5jsbWoIY1
36Z4eaSGmmq+HMtqW05TiH1v7Iejzt1YeqY7ZkzhYKAZzgGw0vo7Zv35EOuWF2waq4itZG9VsFbO
8rH27AaTzAyubJuUyTnDmNdrQQY0wYNZuSngZ/WjH+ZD5szXMU13jcIyDnxYPs188UruX3IXJr8p
I099Lh6xJXPgbMyrfzvmF8X98I4cK3iL8wX5QhESX9ogqwnTT37W1xpm8jDL3L4BxbolOWsh7Y/2
MkoeVtJ3pYiVd6958w0OG4c2jvvad+xtMLB+0lbuLSyiCk3btjDQ27s2H8s2ybvSWALpvNdFhyVX
GZazmotUkSfR6bV2sX6Lk0TXLcQisDlq5kLILq62kdr9Mq7Xgw5PZgIYapJ8r1J7bjY6F83qT7cT
n95Ebl8mHcPAwMMFqQkHRHCC0NIvwd8i+4Th9BxRBEojn1HsFojH/cxi98bX5gX2yfAGRZ4WIfIg
Kf0AXaeUcIHH7SZ8F/fNswWJNp/ZSxvRc2/Dq4kN19OKqJwImwmHwUHrY9VyjvkKTovCNwECdBay
99LOFFTjNTIp7koeIxYxxa7lgmw4zx1CFCio/nzByCJw2aMA6QU2RZjPwFRzvoINVT0sOO1s7EqZ
rxDCxVa+psH2GiwBwjnt/MRifWhH+EFkCd9v+joJ6JlO/sfC1XSXC9zH0PWvIhL3ahZ91Y2kVlr4
N9Ihq1g5bksB/3nkNboyDslXp1BEpemr9PV7iEPcEwO8EHSHSPdseguX7q3pA/8qFF25aZMepxnz
o01UlAXX7RLcaTMMR0qChzjzPiUx3yKevro2uYpFWrMxQiUMdW4REmVLEiDBMVbRbl7mHWUxrWFH
f2AdIk57VKxXOD7Ie67krZusLJZ+foAxfx1AtbRnwDNQWcIAAyyrxZsffA+ZssGU1I1j95MnghLh
xKUH3GifScR4rWvH9oNsyQmWFrIrwoG5oqE+vXKhZHh/eFAiCg0WCnNuymlIILOZsNWNoS0nJrx9
NGiUcL53Hw3p0+B3/b5pgxfiyEk3btk1Acw8aJ+VavXHWpjBL7u+fRYLKp8c8ctV7+sPGgjQ7DQM
KKD8QpRaH+yA1PFjHq/dTqlGnaYmQd04kYKiyUDwV/fa2miohtxtBY8MBMsMlfkGc1dMq43Amkz1
GdFXZsfwFhVbB4Y5WbGljFLVzJArMvfjLfLkbrI1WB63MYByEw/uAP9RGJpseGezcIYOcTH3+dBl
5RBjwqo1u/iIe/CRyuh3C48VgtVVK0VftzV2OzGo5KVNwRVsIXfe+UmbV9rPdSHCBGcMjnO8mHFS
KjN3taWLrRq+ynqGVz1tg6iaibmHQehYtEPzOXcOrb2Sb5mc56Lzo/0mgcbnIYqxfMWOBu/X/kb7
SIyDDdpcJYTA82RDid5BlLDzxZLvDJ23Qi3ZXC8aIojN8OVM4/Up7NLvHDxqngakwi+CococqJsW
KrsS7cyb0XFbaIWaf8xgYNJ6gdhHXqZ2ctHRo9+Zmk/d09JDrJ3StRpUf1iT5oI+dmOFfuw6ZH7t
j549Df4QfQazbeul9R+4Hm9InOR+kU6pX0D1KVDI2qMeItwLvGKYUK11EyqESExzf6JQ3o1Iqjpu
Kl2OjeSXI8e04YPgNt1tgeh3M4SIxZgbeSc89LJbJ08ZcljaEeYum/AQvyE4bIu5xEJDBTLu2pCT
vAAzMNiLLL5T1vzoV4u6tZXZNRdcnGN4qoRz/zVzbVc6nOcHxrbuhaeews4HBuMUoUaP13m3LqSr
+bIOp0aoM/f7Z/xGeUw0rjO0ZjmmJmjrTKJsndNBvJnG+k9aBRqtZNLychRqe+Cizb9OfTrLAuG0
Goyp3k3F6DQiKRlaUeroC07egvJxuLFbrm9jugaHTHqiHLZ03q+IPRBENEeaYZGsqa5AjA/9U7DO
R9tn7DYWEhIO0nTVCsM+2OyRenGBLpp+Y1dJSmTdm6iSJLAnkgVdobTHHozbwt3mAvnDb7HVTtg4
X4Ope/N0hsDx3OLkHSd6N/YUqcuSzQfq5QQtyYyMoTH398EQI/lwzeztJtu27lhyqzrvDckeiNQe
fTVXrVhdDYzgQ1E53uNfHMsiPxGtsJspVA2BBHNsde55WdLz1NLkwD2zVUDekI7hCxi09gPOfxwu
A3/DRvm0wmq5KxyHcHMM0+ArzKxlNQ/urpHkY21Uv7dkNkiRF8de8bSGt588+DhpUHukFaPdXWIm
r8hpcJVOK5IkeIJKJcu3Ip7oicJVrvDmOT82ODb6TePocGklM+TX+NQvKN3ufaLfhp4Pu2HCfxD0
fh2zJwRzh8UozcvmmalqKE5+2smr0LZXLXF38RSuVaIyUjFiAMF17pjkDlZqS4KjMfCe4HzzifLu
MC+deIJZ0k3Atpe4ZQ8OvhAlyC048C+mGygcDzzMQZaYPF5FjegLECoQcCXpHcknBDZSeEcM0KdT
nF/n3mnzscXSx7HamLEvtOD0xFycIYJunhUvbbiIE5KzGuyocD14sBmC8bA7tSK5gyMvLd0sbq1i
BjveNOt3f+3nq4lyAEN0hH7IrnoskebiCmf7L+1lA0z6XmG94AaaPkefz5Lhi05aTMD1MjVw6Wn7
BxILWwa6x/mJmNlpF+VcklPs6/UY50uEa0mwiJxI6cOkF4oyffP3uaP6JZyHAMe/7b7ENp9Ogsnl
1WfTHjnMSWUF2nQvx3oNaUcIrOq89SbJpjMQj7ZGXWuOq8nTCiGa3StrzVQGZn5a0qYB0hCuNxMc
tvadT8f3RXsZYnXsVqtJy4+pX/PwME05gc1RChKb6ldaen16O69EVJGx3o1U6sc8x689nLPxUDfy
qMgQ7Xg/eB+WcXc3pRanOV9p/GlpDMSDGWSkGauqddXiK6CDtcShhVZkyLqbrG8P28LDuVCCmZPc
coQL0XbChEF7AEQo3CkldQ8tIkdn7GB9pPvXxkoHRVDIeEGRFb9rUT63FGMQDhuxdCHBjYVNU5Gi
JZkvUjbUS2InRZDs0BblrJB9A3urzeq2FCKZkZ2qPrIlu25ga9VEOT6gMsgKk7gHHDCK/UrFdvIR
2QpDYxNNO+KgPU6QuLoUHHLOojXZjeMxuGxN2JaRJrd9TNmdXt0h9t1X0wh+BNIzHjov+2ptrB/V
1CN4NW8rJP5Fu9i5o6clvWE9CY9DZtaCXR6vRIFQwAQOKEifLCe+mCWFQanExfA8KMPZfjqn9vHK
dJXOTViEiLqmBbNBV8aTbA4ijBCgQWHCJ32Z4kancMPKx7TOouEUe11YLip8cSg3ANG06dXczBiV
Y9nc6MA9O9b0+EOgpqxOh3nYy1X3NzTgsKrCFttamLcJr38AbuFaFEeBuB5oUFO/T8sVXMVXn8/o
AzhQlSVyOI8Mii1/FI/g1W59Gcv4LjDeN8Wi7gjxGUyT1t4Dcziz9KrLFqQ+M/2DZ2RBPrdKj4lz
iL3q9XsX5edcrhIN1MR2uKfrPvfhVWZhCHeFgLWuXFsdlwlFV8aaZDIlUMw6H1deT0ps92sePS8C
LUpjnKmayI0gbNMjUtbdafRGeWp4ewDoEtcAylD52fZkvSS6A6AxXLWcvutVBMWM9hvyac9UQih1
346aX3ex5Y9ZNDdb7TcDPS0twVZriBDHzNtIncQaaPWS6y8JU3YuMtlvuzzbPBjDRStczsYlfEeS
wgUC6jqs+Abhx0i+C8pJ9yj7Om4TvFooiUpmTfjpdwOWX0wz9jSOC3J0KAgxIE15SHyN96uy7H4e
+wVCedeqQ2LjqL91dPWqwcPOtMyGldkQ56e8aWfku7OtN0WwodyhKm1vzTi15yxgUxEDKUDXqTbz
OXmhrXXK6GuD9I8DUOmXoSW2R2hlF9SwxQxmIGrcC6B/7oMz6Q2vN0z6j14wUlfkuPnANZVa6kQR
fgBE8n0ysns2XYQtioXRTmV0/Nqn4Z3vjxs7xkaPZ+Fl2T5H349JAOzK2nLqYrNzQ6i+K9jrPaHg
CF6bPmYIB/MmFDOJHrUugnAIDj6Q1LXk7bgX43KXTB66MmQrsmu8hEC4+5Hbe8O3CNBcD9dBECzP
QZjA5Cmy5t35NkHJsg6qQpSXfGF5tJ1HnfTPydhwhTN6RThIfNnOPLk1h4UlYBWsK9x7hKPTfYyg
gQh2gWOHBW8kgm0mdKfKl3QqXbMNrrR9D3RkluTOqm6492MbMFQpntNl74DWl0ueob5AYCeQHV9t
BYxhPjKH2kc0+bqVXTtBTNhThE6YALDLarq83cHlh/yAfb8s84vDRDB3dG+bBEZPg+wfkY4k8cR6
P7zGK95Gpz6/mP8sMVJpGjTVha/yz1kIUbEucu9ybG1+Gqdo+D4rNz6wVqFaZ9hGK2bC6GDiZEyu
46XnEpgIbAfpmsNixU8BxOM9WSyr8MoMSzElEXwBmWA4qhV8aOwuGzEvLIIAqVeUEKJqofI6SJoB
zUXgf3Yi9j69HA0LfIodw5J0UNALuaq6MX7odqoFvwzCKjx4pB2vEs9icqaO4xhdTTsk4zcfpstt
Edncr+AEN5WYSkftXrgQBJoB9po36apQOtM+rtRI5RFYT513MeDrzOCFKMw2ofEaY/mGtDzKqzTv
7HSYch89u/FpfwdKuylUov1n5+ukjHUCj4Uml+qAfJK5Qk+MAMcGuBO80kwSq10ORxo83F4kxWym
FU+0SVtUUs7tydgFd4il7j6jFaX/DnZD86chzdzUcrLoGpKhO+VZDhypS9LulCYzP+ebu3RLQoty
3ixD5c2ayEerlMzJad5gxAp0IsVmryHm1RWXvu+ekefNkvt1Cjakb2+Thbnouqp7D1nfusbhDtxo
xC3+wXVsEO+9EvuMyBXbFF2XjvRKW0SRFgbI7bybGX5eYs2w3nDf7+5gAAmk0cDSantalnAMSrfa
IK4yNgRA7cPIe4UeHI7Nucyf7WjW8DT0KA/HmfZvPU7dpVjBYMR+MzSnKM1lvYRd/6x1kOyTuTf3
W5tkQ820g+Iq4T0iMXt/8U6CwOjzaCB6jdD9oeXfjRsw4gn7PCaduzWJKbaHBv6MlYzaRYF/2UhM
Dpr4mpkOPpIjG71683M8GKzZgeAWzJ6I5yJa5sy/m3yqNYZakSfvFEq1A4Z+qB6LbvOAAxWp35j1
jY0xH89LGyJbaqAdp98WLFFUI6vXd6za1sDf9jpDxnodTKs9yjS7IM8EFoXP/7Oz7p/YF/uP4cJp
mP4/GIhfdGUYSf/7kfjthUbxv27efny8D7+Mxv/67F/D8egPP8rgVxaRKISy6cJ2/K/pODLySOaD
m4GzIL/QQP7PdDz8Ax5nOTy7YN//JwPjv8gZ/h+w0g7weqYEltr/4XQcqsqfSUwhOhV4nWEIH11C
zNJfNTw2ENEcohsugY+rx3Tg/WEchr4a2gyLi89L5VEt0wpn7tTtG5emEC93SKJPolZ/7WmiTy5R
gII9L2Km7LEUb0iH7npGx1XZDv67UdjRymXzBkQ0YM9Nq+weYT0JqvrG3Nsgs4dZCk9Vol1XGOnn
6EWXbv7mM18d4SGenogL0Hqu8LePxxBVvfPID+urN53SETTuFMMC3DN0dD7IRdiISgKNyxNUsuQQ
dMR99m6LdtHsIdK5nV5GgivZchF86NCDgx7afFYYC9ehmTaYcfUZbY5EJfRmMY3b2VBqWkqBqygw
QPtO0IfAcDdN4b4nEcOBWmNRh1F47HY1cO4sQwjmn0jmWFdqfxbXBjegq1wQzj/gkJZiIuCn93FC
1Csbu+UgBXpH1VJ7HIYBVrBzM7hjD4ukmkyYQTJM3s8z95NaB57okcMyN99c1sibLgT066cRBErU
ijuBmqsgHWZiKx+G/eZ74a1wAX614TNNAN5AMaw2PZ/0nMcwhF+mcgxpcOaji09REsgvkZ/x54RF
bS3EkD+uUce/+z0Zq6bbcHdGHd9DMh+jwM3AHgBam9UKa/XOLAtFl4R09jke5g+kkmYlgWV/gLFP
0S9bqCq2EX7VRPD0L5o8bm+2YUsOI0/7E4azU+1HCGYr1Mr5lSEjYAmxivS7knN/h868xxyUixkj
H43IpRG5FtXS8umwpIO5AYW29udWP3QidC/eOjQwXEpbYELikp2F7KEqIpP5Ek9puOvtMu7Cxp8Q
/Toi3LRoZuAEaGARUtiwAM0Z6CxB7RFxxsE7FUObNyeqp3jCXD1azW5roSrhYAU2hWCwVeyAKL7J
CQiTxDv2RCT1Tl3Y4oSE3+i9mMb1bgFieGgQibFHWeDfTzH7DDq1nkDSIDfRFpmb2XnzxccaGc1B
SguHozwqKMh/tfIaA7wpcO9KB+0316XNi6+VuFOuQYZzHEclggjH7yv1xjeNMUvZdct0pizFiht4
+iGx+9xPUi/vIvcWkH+7dTwEDWDxNDZ259BTFRGCd27yiwpyJZHYu35onqWnG0y0Il54QwCJy6Iy
iHrD8RhQL37pG0ow3Cb5lWoX+8jGthEw0hIgoOv4M6aYRseq1yc79hzWtX72PkDg+sSEjVmVm6g7
j0Ln18zJlhZRb588S15SlYY/ttEqhK8MC1Snib1jcHDDfDcQV4HQ8t7FHBhPJFOK2I0V02M0luRb
NMz5edFde14zpt+5wKIjooUmLKWRvbENzlyEJQILVJptDMh94E75SpJHbShcmmOBDQAPQ57XgUVL
sWAy9kVgJV3yAtL+furH1TvJOUWvzbcAbl5oFTGJ5+NYRn36DDxkT7A1wjkb3tVgakwDf5hHHj+O
ABQxyB6y4QZO3UvROethCoObDhRdNrQcRMTbIhc+hqUCzob3w7hENYtXsI7yVbTviaRoNTyMY0pM
OeUe/oAc2BV6X1aErSPI8UT4U9PLqKkGzDFr0F2zK2yV4Y2xGA4WUaQiFHPhWuhRtf5euibHwDEm
XxP4aHsYeK5xtmOZam4HmHbSw7gh24+ZzSdl3Ang+40a26RALwlnLxJ+hZm7K0WGQdGFpJFeAYJ2
X0N/yHs8Mp/uDIZRrvyfLUP+X6TcXfjC/76+eJzfuu9v+v0nzt3lI3+WFVH0B8h2F4PSf5QHwSX8
+S/Kpw8yaI5/Ih+1RX7xL/2rqshQOiCYFbpf2HJcaod/cu5S8kcE4z246oLFB1aHn/wnnLuficuX
uI8Q7g1xAgkHmKXJrzlybEEVvy3U4ZTP9oj72Lvtx7/ci79Ipv9KKv2Zt/zfv+EXarSzamC50G6f
slqkX5szeSHe699/xy+8wf/+Jb8oJ9poInGklNvrRaOIr9EDAjGpkV13wjQZcO8HjZdKL7/jlV9I
1//klf/1vXmIx4QHiNrwFyr7muYegtMZvjduivQVYHsuh7J97X6nHfpFdfXnN0WgbgY+8UM4X/xy
hWilHBkj4UC40VuRzssz4jDPsdghFefZuQbuRdRdz4MoXNveLBF7GxcHskf193ca6+7XCw5RJBM/
y/BjsETx93/RVvghdtlwxgUv6R36MwArwcEweZ03QF86WfW5+A21PviHY+AvN/mn7/yFlUxXlssN
CRL7BSMMlXm3tAuQcJd+pEoT1BmgZzVgSB87NXn3uZnGYiEN2SkgHIxgQsHt0eIhYUwp0wesg8LX
oDhHlD2zjH5sBG127xiw2VTdqyYXhZ2BwFnBymT247uett6dDhGst/lwCfW6R8KScuKdOg5NWBuS
qSfQEXwEGAiIwWOMfCHR9G4iMlewfn5YF9DC8kWiuGCAW1b3ppYJ82zt5H5JOJJ2mq2QtmNnt3kC
vGnrnSCOvWWw5X3icFfGaF7My+fM8spfkyOdsh92GZBDgBGn14ZoAkhUeDw8JYgP2C0gZ55Eq0zB
HB3qKKagLijzMYGCcIZvA6KugELQ2gv17ZzwHXD0+zxMLYhv25dok6biycYP0xojgUJMYdFvKJim
9BH0u2dix6EK+JrdoH6fd6BhXMXKZhUf5zs5LH7tWg8fMco8bc26nJIes32OmY4Y0gJkp2jfjclB
rG3tx+33v1+a/3Ap+uc6ScklRi/1sdUC54I5xa/28dDLi8j4ntoDZwgP6dJBORXkBRHB9qUBrJMW
XGCynkgiY5RKLr2DMwGtrUu3uBhyoipg8mOBwb3d9Vxs9QKVcl/MY5jcrRvmOdM0+sXiUgIAD1Nm
jIMGTL9jb4RshebgsCQWQ9uSQ+4OgvvUrnnZTmH6ZZtA5wfGRthb3MzDhfv2AygRGogM5LW7KFm3
IzCVDCFP3vwWU+xeRYgrARU4nMhxmXRYzhioldqu5LDAtqUrItYtDBglVkya+tshWFYEMqfoQvIc
3M2k1/ELDRa/nCcSmKIBU6D2gYlq2mU78I84AyljTvwd1oE8obI+2VX9iEEfbWHEAQDRwWLH0x1w
fnYF8PqIv3Qg17YB4lCCjqGnoNlWLSEKc97/TpP58zZzeZRwFMqyHC4mcDXGyfTzNuNJIOFywHBi
m/AWxzGLP7xoheRpaja4xKXNszHTFYrm8M/qBdjG/10Ckf18IOKbQ+TXh2ihQoRqw7rpF5kNxjs5
5icNRkcZVEgp2UrtlvEJKKqsO7U9x/3g77N5JhdWwrGdlm/oI74MKaLEdQNOBWYeukgyh9RDYLku
pUcLqlbJRN/t1zBrp2KJMZs0PYr5wSw78K19DKPlbhRzeB47+gUdsI+Ty16PAKmLJHRR6SGp/DMc
x+bbkic38YbjJYrnrzPi87ZDY8TymgSYpJh4tGh18AMmNU3nNIyf1JwAb0UQlAXpo00uZthJw0AW
AzrJAux8mUMZW/ZBno4gpM4KW0rEvvVBKr8yKoMrDoXb24J5ydvgRfoemAEK8GZS+ikb/ekEqkvy
oeMOjFMy3Q6U8UqAaF72zHhNRdv5OgWXo+5agaRJj4u7KO3Sigu7nRHHwu87lqqSIYAIQHyA0UrT
7PrIm7+IJFLXmC2cm5XcAG6rCVCN31nzXk7nnzaMELmbAI+AzMDREcDKz6ssTjZPe1Oz7rrjxVTO
HC6BAf5hOvxmY/rN1/xSARkOmTmnG6JPRuPvkLyyj5hfYvTOd6scvo5e9xtPgt9d1y+1wmhIpGcE
d+y66MH7kbE7/0PwJ/cYTeftT9Dx374vv4JSeF9+voe/vKkBg4skapNtx462jnfdrt37j2uJwcc+
r36nVf3tt13e3n8pP0IOghK26203wb4RyS77vgzfL8rzZKf2Ni3+/sFdipm/Wx+/FDtTHG4g59pg
JxHH84JMHvUfSu1QeqO4h6gGuw25hEj8fDkBusgQk+5wh4IBFEFwuSh5Va77jckL+bkGv2xqGK4Q
bGcwogsj4Ew/f4+FRlXMkMvseg8BjcrmVyPDYDSwYBhnRM+HtUWlA0zHmattaTGgsgEA920UTzyw
j14e0gpkOHnqxxHeu3TcEdYrIBQTeKCC5jiCOKtpnMiapS1SGNiDH/Irb0nN/ybtvHYdR5J1/UQE
SCbtrQwlLe/XqrohytJ7z6ffH3vjnJEoQUTPbqAxDdSgQsnMjMyM+A0w+Ry4vpFx4+I8XZW2b61k
qRErExbddhgxwIhoWX9JKVcEsEHdGm8vc2eABF4HZcorWSk+y0IkDqc16kuBtqXW5q7wFRB33mDa
74Izf+Gae0a6nS3rubWEHiX5qHOSOvXGXKGXtApu8r2J92vgLKWH88k52UH6dBYerekwD22BD1oP
/uO9su9C1eTt/hFQovg/rWZ99lYJU9N0fSH1+AzS8PODdZzDZymWFNWxqlvYNrP7uln4nmwB1HLk
pO0cMxj0R3jShXRjd1rx1+yqWjy2qifA3vUUJEXYPdeZjSEbHT4L/kOseODdff0FgY5xW3rgXke/
+rCR3d310AOoTL6okfG9AHC6BkawFkIkh9AK9wNNtF3k6o3jl0G8j+KiCdY8ErJP00iajZSgKOkr
w6E0u9eiU3ba6ArBKrb2uSxx1XO94WC2QVasURw1HlRX/6uNdvFGrSqXn6nqgXHMvHp4V3AeASsS
1V+clhg2J/AchA9KlVofejmNFu50pas/MlGoTpfTTB7AjDRQAvC/q2zqjsZUzesUT/wyiqF+wePu
1Tdk4LHeq6IlvO5Ef2eUAOqGvte/VLli4HFjNN8CE+GuRPscCxhNtkxfv7K8hzDLmhsDPASdt58e
TbgVvfH6Qa+tbWwYPxNsAEJvhODUGh9qXzwOVbvj4/ws+IO6A+ROwxCaPCVbu4jsVeVFskPRtfsY
pC5x6Ia+R0FuxU7j00cNFEYFZkb5McgsIzANrgk1PYrow5v1R5iiPAdr7SaRMaP3bIEcuSJBxBf5
PlXjrRWjMjWa9yaoU7MM3TXqLug6CohDgADH1VAN3/KkaQ6hjdm8SpVxk1Krl0H7QK8333jhyesg
G5hDs8ieNSP6DmjKfRpEPDqITXNbBgoZP4y+XH0D2CTdlwK+RdQlBkj72lAPbRtzgarbL8Xr/lhF
p9+WOgjina7nCoqEBqI6aq5JYMqyIXciXxRiYxq0EuRE8b6Tabn+NqbaJKB/oRUBIgtqeWWXma85
nZu0B9ngci7aTLrV7QhoAULw+9yPe274eb9vRdRu29rOudnq2qebS/IuKAHdunre/7SShFSc9u2D
L6W0Yss4xuBrGLJfo1GO710shdJWqgAKR24TxzxAG/R3eZ/GkQ33pPMCq1iVGbAa6ubUL+FxF3AG
EgW0PivriR3A21BRyl3tBgC7bbl4hWN1sOoouLXHqtzYsQUiKTR9J2+9PlwbmQGWSBuAvSWKAULF
9+NtZcEq2qq1JgEvCYwOJoeqJPov39Ktd5BL4RtS8S61fdeQNo2INQgzeXebxJ0+WR8V5YsW5rKy
42kU6aAQNN7E42jFjaOSfLeU9r0Xox1jMIK5Fn42ehlgRZ0mby5i8CBIC3B7Lu2KNy+QhbS3Wlvb
dNnAedHa96YNpqqWgHnjp7TJA4AGeQvyKuzGiKIAHAQlKoGxjkZGNblNEfNSjfZVbmJroH4Ey+W+
dGXkqEPaTBO1xaumLcK7N4w6k79CzbiEjMnEI+iFQevN87O3orbxPqUZaG7lkHSCKNmzD4XxPgn7
+E9Q1c1aJxHCnqbEO5S0Trpi6LZpAG9IEq3/uwWdezO4PaA/Pcj7Jz3xw0e5BeE0ml2wNaOsXLea
sBxIroyW8xt3rTx7yrXaddym/NmGcnIwdVBstN/GbO0xDzex0lX7GBbXWyaARnSSqX3wnMEF3qz9
v3GlQG+zS/iylRTd5oU67rpUh4yR4uJQbqke2vcVq/rDzfV4U/lyCg0VuUlfslNn1OtoWmc4W3jj
R0498TCk5v2YDj4q6HpLJbyn2y152yiOaaPE6Tp0x4jmSZVt+PrJQ8Qq2fzT5MjKg5/ir6j74aps
29vatQ6BGj7Jibd3/XAjZ8jHpRbWr67UfeO5+lX0+vhStl6+Kwa6VaIct5FI8ztNMbVfaUmrU5Nl
sVL68GfLE2c9jJkJwsP36IpI0L20sPnwteSmHvMe32o3caBWPYUG2U7RYTBatbylaP8dfu83iCTN
TWNJuBfateG0ofe9Ukeyby+Jx160/D8DLXjlUQECSlWmvirdpHQfpzLvn2Goy90Q5rfNgKOnFFM9
WjVjsg0is1PWqWRH+r6h7yhvimoE/QJpzphA6nQifg1qnUlgjDWloGtS+5sgqD+TEitRTR8Pldx9
1nFAsabDOLoNU6dqx51XRummC6EeR6ma39Wyq0LHC7wuf3eNQH01xlGu1xZKTlQq4DaC+01qaAqy
3z8GQPswQ6mazxC4164ZSwu0Q9Q1W6msDW8dA7q/URSlOWDhGqw4Qv66ruicJGqHrTdYygqUrrQy
x5JWhF9hhGaxmlguH3Hk4YWphL8axWRbNlW6G4MM2pLddSsxltLKy/SnSvPDh15UhZN5IIkhZuJV
QiEbPH/31CQ0/izf/VHrTe0kpZVGWzCqpjnV8OC2wPXBQlvqgaCtmq4cnCoswHxhgaIWSYi+Zngz
pHH9XMhQczJurTEkYLrdaGsboU5LOj20mOYcQlri4QC7Fa218CPO/Z1PE3UPprj/nncR53iO7txd
YuTVrV5VP00xgAftM+i+Yd+o3rqDaI7LXlpAxonCv7Vah46BqeEGviM6bYLSTOeKH1pjSt+1YHzs
ci8D2WKkOIh0psyZqbGQOk21njy+85omqjdsLBH2G6UI5M+masRjJJcvtZyWO47DfZCm0mFM6GIm
peHIxgikPKf33MQoCCvDW2IHjhLF+r6DN71Jh4xO3BDSuq5e6RQ6g95/S0EN740c8iPrv+Din5Xf
XcQBolUgSTYQSzjWpI+fUp1/ypJZ0ZJKjG01AsXPfQh/oSToNSUeKGrIKwKiUhIl/KeNyyrlV2Nt
2uGuwuxpFZSyBHaviJ9Auw2PPcwQyFNlp7zqsVwsXeenB87pSw5NAQXghgWdmxfr7I6tjm7h0S9V
HQTF73Sn2vmO/DS9G9maN4GzJPp//nA8DTe7agsofHkYqorjomgeAond1tXCbf781UCI6R9DB4dG
P+j01VA0kZeolVCcrAlvDLdw9K66mRhOKJQu1MQuhULw1xLCMLArmJsJKRNB1SSaE8nfyjcpurfs
x3rBvOC87Aa8+ijGrGQhw7qMDDdSnQpxY1gulrHzszpYWAfn83Ly1DJmH63TC7nwYh70DbJkY3SA
KON03YIP11KQ2VpDXV4ZrZAg5nAHXWgfYuPXjAtqibOO1/SkPx3KbIm5KRnEE3SZG1MHlttrT6kS
KFvR5xThc8TmQ+WzAISdY6da6p7tXH9Mnim/zeLPpebLDhFmGwziLsrNt0qRt4nvvRdo1MBMhZ9J
GTyyhQvJbfil8s6HVZOukN3BJknOYSQ0xU2dc5JXwnS6UP0a5a5YVXFoLvxOsTAb5qz45ru83Pxg
9Ha1kTzFabI3xq+h4EpnvwaFfVdmv1x/vNMq/3dTQmuXqIlz0q49YX/vPMfrS3gF3AOLqDy0KHxC
auzNHBdw5bk1vhr04FP5JgByUtS33tDd6MnGohphgNV3Rvo7kidvAsvHDVCCoHR9DtTpt59mtZM1
YM42DWgvudRcO9sZZUpdIpTvSo+kX0CXxbj8R6e0EoB4MLlawpVU5AZpfdTA5kJGloek2wf0pp4y
vEHXdTZOvImEHolrV3uP0x7IjvD2baylC7vwtGn6v0vX0Cmzk7lMTYjZLjSsIAeHQMEDgORKeVM9
niPVCyeq3P26/oXOM5euHEeabUVs6rSxIa9AGBT6g6z1n8Bimh9CK7aa3Ma769EulV2Po822pG5w
ccxo3zr6r6KHh/jL+qMIACCa02BpIS/M/qUqy1G0eedeLuy2j1s73Snqn/LRMsZDB+cXbpW+w/Fh
oaJ8sR4GApI+7D8wxLmWbicBrB1Tikcw9rUfNpfd4qu/czW0iZ9L6Sl7RSzg+te8uEqOIs4W99jH
de2i++HYv9RmYxZOjlcp5Ql5IUP8c/bPd9Hx0GbFUasH39gpg+vYcTTylB9XIJHKu4Q66J1JHwN7
+BDyXqsMO1zhTSfvXdNpTeHetwqPLRkBiRgIIDh97o+p7g7vqInaa9lPnq5/kcVJmA7Ro0phRMsy
EbKNWkwVpTtbkvEO1qp12IrqVuuGFobnWEyljHKVZ/T8xjbaAxdQFr7Y0sxMKffoZ8RlE/iGqcrc
B54R6kGZ0kwARMLlW1jiS4Gm7X0UyCvc3Aa4LzsMZN2CwYbzH9xJN1K6cMO5eJodr4HplxxFKqqw
yuqiTncGbLBg3Cr1Ln+jolQ3mz6FTOtCpVWQsgA68Fi6W/c2qv+6yROIPxqitLzCpdx+MZccrf5Z
5kpyzwVRDkKg+KjeAyO+yVwciL/Sfid7ETIEiwLgl84Sw6KqAqAIOLM2S15xL7WKEGy3/6drHtzI
/+iap7sllcmLY/tPKH3WdksKOAuxhehRqPQegggaHjVNuUVKSz0UWgRlf3xDV9YpXD749S10cUUd
hZ7dBuQIAUVNZ0VJv4rwSVN/UyYo4BP/N53Fo6+pz5MXggFGL3EBoAOXYiHhfnTGXda+pggz1e8A
dK4P6/wsoI9EZlZtgzcOp+rp8rWUwS8jWe+cNHICCnGIfb27PNqbNz1YOAmWQs0WZlWE8Tjk1eCM
E79lkJAfWMkUbqObUIKQ+XV9YBeuuacjmy1LoAhDEnWp6tSWfC861bzNzeQzV7VknfTuphRWAgsS
llRLR8lrxnRB7//8+njaoZsdDpXacHmTKW5Y0Ip76IGQVyT/X19TToPM8rpqtkYEcG1wtHij/rHL
O+0zX/JMnf6O01PutAU4iwHi2yZLEUNHP2E0o63bLMzVpZVx3GScHQuNxE00mJ5wvmk4ZqWvBlBW
ZYzKTWhld0jfacVwWFge0+c/G5UpZBkQpQEgchYTlbkBUSi1m+RGnpHReB+nFoaiTC/9AHY6FEEd
CRGKyoVRwiweSgdxrg+eHatODAs3losf4OjHzI4r+iy+mud8Yqvb4LtjqA+Je6N9ltqTuvSsudAI
ZzqPYk2/5ejA6umXtWXJvhjr9h15FFTDzHUuOmS/tH5tSpkNQytqDioaGZnV3HW+vh9V3j3XJ+DS
9tAUGbYuQD/dNGeJp/KDzBxiSgM0QSTzwYR52O2uhzhP2ae1lNkOHESmKijRTdwNFwuMhKeLgvBQ
2yLG0eYbCYmqhfvN5UH9p1g02yquqyVV4uuKU9ModTVpX5QDBNRxf31gFy4dpyObLV6kGxOh1RZ6
kVWTOVYa/FFA51P6rcVGNgexsWXakdDtoX/na5GOHgQC+1vYSO8o7f1sq+CuVpVJ24MrqIAScVdb
UrbPjaFeuHkuzcF8ZZcl4k34fTth9TZ08j5HsmrUX7EhGeOXha8yHY3zLX1cqpstqXgEHFQPbOC+
Q5ywvdEH706mzG2UN0GqbpvorakPqYomDj6eWVsuLLfzy8lpIWq23EYfMcPIYEVru/IQ3fyvEf2y
L8T0xeajPK53zdaYVbiG1aQx+7fcSj/r5CB+6PnC5rw0a3CTQNJN4I+zdzaVY79UVY8vWd0K96YL
qu0g8yRVIHx024Vpu5SJj4PNEpIpqhY76kB1xCAeuwpdvrh014URF3tziPSN3povkVSI2wYBh4by
ti5cbz/K5ehoBaqFCz/n/DrLNFo6dyJKoypisqf5Ma/HBAY1jK84rL/G8DEY+s+yzH/X4672fsMY
hlK6Sc2C96u1vh77UvrQgZ9CI5SBoVqzO6bFG9EHeKk441sD4KpahcZChfHCQUP2h/dBPRvg2hwd
CWo3jKQhGhxv+F7wVUlQ+/6BPZn9+4IpmtNHkWbLdIiQ5uDCpziI1dg4ios1DJbrn+vCKiUNCsrK
AqYkmM/Tmeph6yNeM3ZIVcYrGV5aqb0kQfsgeJFXo/vzerQL2/s4mj17e7SiTEvgA51TlcE2tp8p
auCjQ19TAJDsPOlO7kSB6ou7tD+mv3i24U8Cz1ZF3cqthfLM4JgJAoJRI//VlQxH2dHYVJ78S05V
a9Pk9Ch7y11niblwU7qwKAmP9rMpTBWtsVlW9ZIw8rMWYTObp7QqH+zM+pBqdWFhXshqJ1FmScDN
Qk1tQqVzhvzDlepDPG5bdHxcZAauT+PFHaDLmgkVhqbERKk5vv6YdufGRsxwPIOW9A+M2SA9TS3S
DcrC8VLB4+LHO4o2O/5yFDjQs3GFI1fWq4SAokO7+S2QvX9rYgZOj7T1n2HNZgmskRQWttEjc+Ck
r4Ca9A//z/Uvd3GKjkLMpsgQFXhhYCFOEaTIJGjNLxSgUVcYxlt3Yov936LNNjfQjpCuOmVD/Sv7
E0gINt1nQbGwGC5mkP8MScz2tKyWrhoHlEQi2guokeXiELfSKmw2hfl2fTyX7t3HMyRm2zgUVV17
CmUSN8vS1Ygqy8o0ek43t93rLYyKsf7WjJKF/Je5j2Ws0i1t3MiWm/9XX1bYcMNUjhlbnO6AYTAV
P5yWiiG/2V91AKLupnq9Ptopu89zFhYFMonDVGTgO6cxMtREWzshRuOCE5LCXQtv5HqIS8vxOIR6
GsIyYj2B1NA7SLn3Owjj7bto9tdjXJy04yCzb1VHoI0UYyRIghBWWqGYNq7U9tlHaakwG5r4z1q9
z61oX2iPcvbtevilIc7OUHilQx0ODNH+SgxkLJEkXVnaQj/wUorCO0KXZVPT8JaYbTQkddTekpLe
mXiu1XBom7veXfqQF0cCqkEYsA/Ns56zyGU9UH2FIHm5zgE4gSICyVOvR9gk1z/axaUnwPyhtqBy
y5nGe/S+bcagseraQCsLkhkEyvq9lEdvYTdfOkXgPnLp0AV9bTFbFyB1rE6mCOmMktO+eWa41QfK
c7Z86+FNfn1AlypZlkzuELyXVe3sBLZtYIaZyyJ04z8lVMhxg+5ja605s1fcf8PvqBYtxLwwvpOQ
s1yfVKEwYoWQFZBIY1hlFYdl+pi9poi7L0GmL2Thk2CzFeiFIPK6VO6dQTXedWkN32oTJ9VrY7Tb
UDxf/5oXlvtxsDlzo/UKyWuZVadIm/a2DDpkdkfJ31plsvn3kWAjMXGmZYHcm62RBtE2vw17Gl/l
C60hvfgpf16PcKGtA2nmKMQsQeSZ1HehVgsnTWXjby4NT1FfY3g4Il2+wU0h/F5knT3JI/RbOHQ3
kGxafEdR5tpd/yWXpvD4h8w2HbJ2yA0aNfv7R6Ot/LbY1t/Vch1Rlrwe6FJGthQN9wpbn+Ar87pd
lqY2nh3V1G3ottq6Wvd77sEbe5c5niM516NdSFuWAsMH+QSVIqE+n0JdCmycYQWqb8YtevmjPYLu
/EQDaWG/Xfx+R4FmE1kgqtY0PvutiDfNd7BXKwih6qfdf10f0LSVZufyyYBm8wSKIct0NO3xhUDY
M0ZJy+k+8sJYuV8Y0idLj8Cl7zf9+VEuzpEdtWpYh/Rr7lxrndxb/vtSt3dpSNOnPYrRSG3u0fKa
SgON/DFg1vBqDIBJor6Bo1ZF68CW86/KVYM9RJSlRuOlEcLAgcdtmybc5tlFhxuxwLaE3JVGwU7x
zN3A/4bYG4VL2IcLm53EpWHXRLVU8HCZDVSKbCD4ld/DL7xXeE7f97io66vqOUNRBBy+igC/tlC+
Ox/eaczZOVB3mW36aT04aicZjusON4lr7aXKq24rnKWvL85/Siunq/M02uwgMCU7p1YYCydJQf2B
jt3KaoqlQpfHdKNB6EugIjaj7z+KFJ6kFHu3rdF+08YC3ynoPWvdDeqvxvT9dWE12ZYG8CGWgm3R
4vWC3eRzX+vfFLs6mIP2bqHTWPip8a3ogu8o+yVOorg7tW/5miOlaZwn2oyGgKau1D6H4SeH2e9C
Y17jdrBsuMzp3teDbNWlHTrhTeE/jkjYZhkwoAAbh43ljcqzOZTS9vpnmhH6JxSMhZmSsJDo1BUK
VLNJ6W2UfyK4KY7sZc06jeVsXZj9Qe6RUisK5cG35Ie+T8xH0Y/x10ARHxJ59GmJn1nSlAsJ+cIK
Ofkxszmr485W4pYGYg/HSayr5xQy8hIB6dLaP44yP7U7U+cM60x6UMqfYR9DaAbWbDelIzfPWv/Q
vNkdAj4LHbwLF6+TD23MNnfThFGoh9bg1N1n9mKZj9V9Hny63tb/njaHcalfcZ7JTsOpp5msDj30
WLpcdSYowfCBBqZyN5pv2FME6aP27zPXabTZ2ZaaY6WNYIydXP0rFM+xxgpKwGYwq4UW84Uje1qq
OMOhEqXQaZslrgCToVYNOEWzMtspeQ4wem8ixpj5v3M1rlZlUG+a7sE20rUIfmNusfDCOT9cLa5J
01sU1U+YjPNpHDBA4J8e5S/kuhGD/ezT30l/69YLp7hiTFvvJIMJ+JLQv+kuq7yl5kICSeJloeG5
wR4UORCbUO3+xHlmr/IK2XeAsHiw9/XW7OxXkWN3o6CSKGpP3LRqWx+kCkXLxNMsd58NanJn1CWe
Fag5ouaaygfYjGilY+dZhVCeVZuap9Z1O9R4Sjg3vlDVGwHH/q+rjy4g5ZzO11qWJH0tWZQH164S
yeYteke2haKZrG98SGV/G9NuzG0PhcXJEil6zIB836kQW2CjDAVa2zF+Bk92Va58CxZP3yJuhm7B
qK99AdmgUiV72Hlypf01Exd6FOSIQxmX1c4e82LthoWfgeR0b2oNRodWNcYGSU8/XccqxN+ojrND
L0kOGf7RtAC6JSWaSaKwDkqvvTWK1G6VyP/oqvAwuC1iSOGI4GvXYf1BtS7J4/bdg26qesPE+CyS
CqnovMR6LUC4CwPSLoaZYNaJM1RajuXFAIhvX5UtqvIRmryRUen3iC5ibmBnP/KiebJTbfJVHvRv
Hdbvb8LspRdmDImWpnHzcFOQ+gGfg8qNN6Vf9fHeM4p6QBdT7ZuNgaUBgYNI1ZAfw1FjlXpKLeiu
xvYPM427bNV4eeuibWcqCEeAdb9vaZGuXGXMf6qq8isJ0XD3zBbUfBS8Y+r2oqi59KpAJVSQoR44
9Fy1yVejZ/frSI7K294HjO+nyEeuwjr5R+FSRWsKaCZSe5jV4TE06Im6ci2UqRSOxVUdthAEx0LE
W7WCzlZ7pnXwqC/bUfdVlsYbuFd4qxWoU5TxakcqS9D6OtIOTS59JogEb/S0fZD1Ub8rczVd1/Gk
4YsAAUXB2t8jDbwPzQZRqlBsuYBhPxvUuHnk0gol9ifsFN/znO6cP0TfYj12P3ACC7/c1kIfpPxN
NR2iQ+rWwTqUBu+20l2wdddP0LOEYNL/EIaFj7WJKKM2S7SpVCM8E4p+Z3rSNsIPRtHrx8b7kagx
wJR6fz3aWU6YotGmsNCmsNBynKU/EN1lbGhZv5t0XSX1N5m9frRrc108Nf/6xJrFml0N4qbTYXuA
9Wrpl3XSlj7h1siQYrARwLDwyvoeDhmKh9r6+hjP7ySzwLNrgBXZNTQuBjlR1QL02GHWQNZ+0XGC
TVWQkH6/rwTi8T9Df4//Nkuo+bezysUIA0rehYYJUV2d/QTosyhyG8GwE4jVA7fDfuBuNLznzNCc
2tYM/1YpS3N3feCTueppxj+NOi8hQ+NTROQa2q4IqmgvMG69QarcxRzQJ//1ufu9QbL1WxijP7IN
JA8FmEQaikOcpiB9taEKHyQ5QzEIaRy538h5Lv0KRBjXu1oZqf8O2d6orf6xlkGRCkPCFiuC2Rgh
uvdqREPbYC2hbdoGTlapAtG+PrzzK5CmIRoq02Djoink+dmNdF/q5qpJ6K8SABqWVq+l/JZ/V5p9
86iLhSmcnrknx+cs2mz5tjnd0bI1hl0tIy3cqfuMuuf1EZ3dV2chZqsEq2FJqbRpQK8h/D582pBK
XkLVnV95TqPM76u6K9djUVnDrtyMDvpP22Q9fIPN4cj7eB19Xh/SWYKZgukyJqt0tCxlfk0dAzXv
+sobd0kSrBqyuv8LVyl4CuvYh6+t5Yfr8c5KaFM8A49V+KKoQhizIoLoevTO82zYVbljKMOrFEaO
knkLO0tZCjPN5NHDXg1ys9VLFkMTxW+gbB1JzjFeaav+pvYD88UsEmkXhfJn7tZvrZRu3QhivOVD
w5PQt7JQdH6I6KYvjP58w5+Ofvrzo5+VyMKF5qcPUCeMTa7vrL5fu8NXXra3Zv9vb67Tl7bBA0xF
m+ndfxoLXTZ7wDJs2I0lHDdcbNdjFDyZkt6sJe+XFUDZ+C+mlqo2kyvL+hk+AMERuMYpU1sYqCXA
ikSGind1Iav+wme8uGiPIs0qXq2a2nqM+/duVDx5DbPzeUSTHcsk7z3qQ23DxWBVyu4Sn+/SotKA
tfAQ0KZ/Z9s/9+1As+Jk2Fl4Yg71oyiMDSzO61/x0hI5CjKHKaduBEhH74edBP1Rw0DEg1OTaOU3
aHLvDSKD/0U4BclHGxcYLo6zjdKbndBgpw+8re7xAOO6lKtvw6dol2BBFz+eaoASRjdePatAoedE
lskJZPevoxreBRYPnWzhubgUZHYGmFFJfygkSJ+o2yh5yBRzF2j765/sYnLRjoYyWwdmxVPVmNQI
iyg52LL7bJQwMhJNOuRVUa7VBjkNbGFy+8V1VRzmbPu+jvqthgn6bWRiTOHRbn/x5K7fXf9lC8Of
nxwFGTcBbstkRtJjA+LKy9JbK19YMpdOwaPhz48Mq+1z3Zw+soi/NT+QnYjSR1xkrw/l4jYQvPtx
1gGdM280Fx0VWD+ohp3e3sr9utPx0DnkL1hvXo9zXh0iTcIG+/+BZrlEsjnTMcRiv4mKMujWVxEl
54GVVjtTde+N5gGdh/UoLOwng//mS2rc62j0wNCaA+iFy5Zs3HHYJZpTfhva2/FHvsQ9uDhbOpKt
5C3FVucFDDVBcjBpMX0wudmb0Ztm9ts2GWmgLulWXZyyo0jq6YFDXTfPkYonkj22KzmQn+DBDR96
GIhVrVXQ+ONiIVkqYvpLT259pkaxBFMUKAgqB96sEtXZbtvUodbu/AowsCdq6YWLYHcb0w+8rSxR
3gNV7teK3zf1xsq7GLx+LrA776UaYzGlyywDiwQzaABEqemuz3TzWRu6/G/eFOoPcGg1miOhvzIq
TIylRkofQWLQJZu8dIu2xeQP023uSdqzVoX5euDgeI0mKB6vcMm41fLGwHDTB2q2xqXGPNCOTWWe
8mV5cKUiXEmjb24QzVCzTWOiE4/w36jecmaiP5eI34mSGo5l2ljVSVK0aUP/mTcpPhxAPuo1jtDK
pqjtapP7/X0ip9k2aIcP07VQx8GvoywOnchQ/8M+cbB3Md9nhSE3j1YJL/DAKNYGBLsnyXOVx6wM
1cfSD6I/QsgociCiqa4qv8Y8hsaPZ95gKd/7N5oEB+0OPxo3R9HfUu55neY3Vof2s5Z4iNKgCrtX
i8AtVmouBG5DSDxskbDnrATkIDUhNRDUfynt+C72H71nJ5Rmu9TYw99H4CXslDskjRGxVKXir0oF
EO8L9D1DSvGGZO8RnLhtfVVGRGqobuuiwT9J2maZHTxZASUavDukrVcNr3Uchtyuhu+Jlj94faRb
8EVMjN8CA0k8bG/G6KmxI6lcT6jGVYkBWZhVW821hi2CCsHnKGMivvWahmYXLugKgkPw3TZC1PVd
OljxXjGG7K1PursIZ6CVimWBu+F5gEys5CMJfkDGRpFWrDqM6UQaTDQ/U1pIlGc5f3o866gAA5gx
jDPNyjHN/SiVQ8ypGu9b3QQPXWAdqH0tpMnpTJvtM5sQNDame9eZymlIDR3ng7jfFXFRb7BV/NPK
iDEOPMsl5XVS99cSwdPSR6RfTyscH8tsXZrKs557B6vqLWx0cUhX8PIu3Qx53CLO1p0oF9L5pa9h
ICqt8VUAPMizo9nGEmo0cEva5SmtrmZj04XxvYWH7YVvgXSjZqBFTBDKMqeJTioUP6571KuTCAs+
NFCGsHPG/m/buC+m98oFygwXTvbzR6GJUh9GFcjB8y8vqNOYid+pmTsRadSd4qjb0JHWdbLCnXul
bGWsyxdW1TnJexZvlszlqskHxFfQLPBbE6uOeMQqKdTZ3pQSILSM70Kvujuu4f2NHGI/XRXSs2X4
bwGGG2gxjY9hYFp7mqnjqkotbYU5+g/hFjsZA6BVn4UH1Wr/dRVn9qNnE9M1njkgewxzk2vzc6qb
aw2DLAkTqXBhCZxfG2ahZteGpI41qU+BKLv3/Qbrw9v2NlhPSn3R69Lcn712ZqGmNX/0aMyMmEuS
i/1c9QO3Zl17NAYUPH/Lnzoew9e3+dllYUomSDXyxDF1LrGz7aNGHlLeFqpEyoDDoB3hdJpubXET
oIV0PdKFQVFGpaKly5au2+ZsUADwc69ruXZ1Zb4Zq7+liQIW0AWd2q8yPubdv30NTyM7ijd75yBe
OyZm76K3BFkg8sTOLu5p6eCPNSKHtrA6Ln7GoxrxbLNWweDVhsZnpPq/GnT7IbQwHRw2SBgtTNh5
jY1xHSW8f/78aHGMlRIkQ0D6R/h624hvHNhoxMHOHtxf+JCgdrsaMJ3vwiWuw+VMCxUAKLR2Xl6I
cgwE9dHH1wI/XbV4AkC0VbPD9VVyHkSfMGsIv6OLLKtzGJSphdQw0C3ftVKOplTlp3RLYmQN0sVz
9HzOCEWbbzrbKIfNTw41KU07Q4d8J3op3WAGXG8MP0NeOS2kjeEq2+sjO6/9mrrGKcVe09nfZ6jG
AlPY2Le9ftehn6I2L9lwE9XRyoCqm2eT+F19oCfzko32Xa20+5QsUyQfacw5W1GsSzwM6rqV1mIR
yf1OolCgafdtRZ802npmguSRco/GxQaVpIU1d751T3/59OdHS64te7Q2DX65OjyWT36NsZ79lARb
/7lYrCldmpXjrzRLSAE+7ANSih1GEWLvS/eehh+Jxn32f0i7jh3JcWX7RQIoypFbmVS68r42QldX
tbyXKEpf/476AXeylIkS7p3NoBfTzRRNMBhxDFk5sueP+nk9ZkAcgzUPfDMWd4fs9CKA1eHgN7yp
7AGZe98fSpgvoYTQJaprGXAopv0tq++i+kk3IDcMRlo0XLPp/uetcWnTn/6SxdUCLxogJiEP4aeN
5tWTPEzKAyQaVz74PInB98K7GsZFOsSplm/PHNpUylSxwQeO3c01eCgMd0My7VDbc8varU34k9Yr
O+fshTjP8cmYi50TpiYpUzg1+rw1tjy9oagyWeyYkMIla3W0eZa+J6zfx1rsHA6bgjqk5uD3kXGg
CTlE7z8v08Wt+Z+PARn4+zHo8BYxAx0DiMny0VHZsLBygLoHFP/ngS7PGhCEDOnmOV6Yi1Y3Q9xT
AMIpDoHd/YyWecq06/S/Bjv8XZ9/RlrsvNESbU+jGnYT+mv/y7BsK7/OYod+/PxBl2fun2HmA3AS
QIqiYLERI02LlA15bpVd8wtyCP9ujPk3nIwhYKgBJ2qoAY/jduq2ih56zPAAk1k5RhfjhkFUi6NL
ix23rK/A0orIuDH5xlLUa0YhswhpyerKbMIGwLc69ivShFsZQ7Ik10bgykg83kDhW/ky0vIjy7US
1LMqvi/xrFiZg0uB5PSn0e9zMAaNiHnQqRuIFIc2vCofSUahzhkEcuVgX1rR05EWwRPstlxXM6wo
dHqmWajTLW/zNdDRhZwbfcSTqV5sT+ASYFeVIueeZdjFQ/QQHrNrwxH+sDUef94+f10Nl+HjdKzF
Hu2FYclGRagK1Ds5HmkeXMHM6yqMn6Xy2JqvXXqXB/VtCMFdxt6ATxoN42A2Ek/jdGVy15ZxsZWl
VTRlruOngLG40RTd5WD6d/Hzz1+8NsochU4OjInsuCId7r+2gMY9MnETpoMs8n4eRZ3X6HxeGUoV
aBChWrG4AngWjWYS6gPs0Op3LqOHMW6vCKzUsw+LuGr/NZaZCoFaj2TwPAzoWxhs0Fha+RmXUhjU
zHDVw7dlLox+/1hIPeddp0FuRymF7k8kuc7T+Atq1h9Mag5SdeB9ePNfP0EMoMj+GXRxHGGG3lZD
bnR+KQu4NinkSWXX+rH9+HmKL83w6TCLswjvOwWSC1bnQ0+5RvMBJUHSlSt78i9UfrmOp6MszqJE
m2HoEtr5idFdjdBX7YL6OQMbrm3QfMkhNAxdFmh/3OvV73R85cIX2uCA2YuGIMD9tAv3k3zutHth
/QZCdk9yODHSP2GU2op4KIkF40H4sMcED/iWf8icRO7Ylfd9fy/hOz+SXS7uzPS6T9imT2MTZkXk
0OSvYgghQGNARD1CeTbeJkqxt3K2hWT/BnyfXTt4LH2oBDqEmTZtLL6bzAo6X69F7YaD+dZqf+q2
8KxJOkCr+QUDyC5/z+Npw9p4YwjlnqPGR4or2hhbmoqNAdzUseLdh4yvKsj0DmzXJ5ZfqVfT0B8S
OGoyvXc09oCOL1eoTfl1WCqvQqxFrHldf1qR+YCfHGD4esQ9NE17H5rVxO6IQdzUhHxMFECNXqt1
lP0NCB/RiaQbjU/AfOQde2Wa7K8Crn4VBYomP+/EtVO2CFzQ2UPtrcDS95PlAQHvKJqTPGhdfYzq
37Gx+3k0eukSOt2SiwiW1hymVcjI0ekIHYgrpgeFxq4eOsYsmq1F9hw7u3AAU3N2Jc8carzKx6T/
6uvEG4Qe2boBV6tXQ7vOzQZVNVo04Jp9QFDBHSd9ZXL+wjmX68VAnEPXAtY/0Ib+vl56G5iRkqad
DyiCoE6nmsrWYiM0P5i0oJTO6XYoq8yrFZr55lQ0zzxTx680YRyoV3Y7Kg2cB/LndDSFT6P2j0xB
Zf95Ti9euac/chGuoxD9VJiY9X7JcrIhnfZWawGHPajID6hHfpVC7rNKOXC4pdtaO2Q3k1WtXfyX
9tGsODB7a8Ax8O/Cn+xsQKCmCZYJsBDJyiOINg180Y8tbeO9YSHVMEAD7KuidH/+9vMHEt7laFXD
SdmCcPcS6AerXZyRJILUaLNRXnWIv9PfoICwzB9egC76d4MtgnYrqQIkJat9ML+cUblVo+gFct22
Hm8K2CUJ9Q4GeCsH5vxdMX8gyCcqGoPYf4sNGGRhmsdKNW7iP+KRJH6ceONDY62Q8y9soe/DLLaQ
EkS1GqB8s+k2+h7eaNtiW+6oTezCCVZupdWx5jU92SlmH5hjPkF/o4nSQ5GwHbp+DrqsbqTqv5Bv
f/Zd7ZLgsYvKg9Gt+eqc79NvX8oWL8ISgtVioHhz1OO2C/amaYf4c1nZcIcO1ig9K6u3TGEgESZH
JaK1b1n7lMGRhFC7AMhAEXaWrOX3F4IVJKxVqPSB3Qjb0GWbVe8kTOsN7JVx3E1wk4KtQrBNUFSE
H64D2mWqHmQLSaBNCHdsOHChKJTV+D14EKw8u/XzD//+UxaZh0GNRkSkxFuj/sjVu07RfatF3/Ba
tPvktceDq70P2DOsxuvkwORtNX20FvZadKXXMdDqyqaFXWUGlzu57yHog8A1QYmDP7f1bHk8ePEr
wwNJDbex9lk+RJOTdk7ZeRBbHKCUbmytPwkcGgBwfgf8Q7T3yXu3Rnk+T8a/f+PiLofBAxFx35NN
kyZu2t83qGEYfA1jcaGp9H2YxQWtVIUSImWAmjc64eLBejGIU0K+PYWNOWChx1Q8aF9pu6Lld35P
fx91EXdS2KeQ2JC1b/RRucmK7gpqObGdDaR34Ze2Io928SNRRAZLHRABFFsXw5U8g2eDGk2bSp1l
VeGJ8mdSeHA026pATbkxfgOI/kQIXj7A02ZaQrzY6GpoE6Mx/3OUvxCfQGA/+S2LWNhSCEHKOsMB
8tkeVe2tfsNszWmcwuFrcXeONt/zi+9jLWLhmCjJlOst2cA+EbReChOiHOpwTv0pke5E3riCxTiP
ft/GW0a/IG+JGLmEbVmLKA//7lo+6lrmqPEuived2v7LyVxGQK2Qpil7M/TbZtM/qWkKMsFVk7wi
BBn9tnyQrHZWRZDOdXstZqESB8wsICcqGu/frxgjSMzBGhEJ8UR1tE3r1DOL2AFK14+d3i2u0QK8
gUX6dk3d/0Kr5/vIi9NaRomoWYXN0yNX9wc5uIzCZbEKm/yecgjT9STI7Z5TwE3YVTdAyOx/2L6n
3744SqIgQRyFcBPkDDq//LlhH3HBb0pAQbJmQts3dxWd3KrMZU2w/XnwOawvt/Pp2Iuj07VwB9Ja
FH9EgPp8gBab22vV758HuXS3nA6yODO8gMEX+tbYUvcGvVHu6EtrbeJVUQZ69i189vmce1ro5QP4
9X0PBVbcsrhOxo1607mzB2TgJi+AEHj6NtysNSMvBMBvoy1bhG1hjg1HHx5ls8Bv72Iv9offpm1u
sjvuDnc/z+B5FPg+2KKyYqpCr2CYAhVD6o25z5ObQJhORLxM9K4+rsSAv/7T33fF9+HmmT5J+Gp9
yFBQNUK/Zw8owG6FYj3FuUe73Im1zpuUeot2ymEMFBcuQFtLih2scNwKF3xfZg4qgB74EbFi/VZK
tqmNxofrVL0zCrnaYLo4M6h6ATeiQcdkKWtjmZo5jlGMwFGXbzm8nGtV1HZZCe4m4ExZcXNT600K
2ygG3k1Gh606Ef1Gz4pjE2uGg3sabLMsjJzR7I6SalAtTryfV+8C7APzefIjF/PZw22R5z32CjjI
KggBPQ4ZR83CVis/qJ2hfBLRo/USt/x5Un14DONVBntpUDE3inAZh/WIW7Wr1KTzfOj7z1o8jyCg
M5VDiV1lwmSW+GnsdPCuylz4j4vbOHGDP7z4XU4bnFfIKzRr1JK/rISzbXYyLXNwOtlmEZo9RhaS
EAi6AszLeFNq5RPYoDkPfBPUQuhBwjTIZmryUHQEBUTrJoY7mA7sU2VlmzCAUY14oS1km7Stqh1T
hdwDz/NmWIcepEExAYMmdDeImn0ojT8SPUh4salOVidXaQWdVSUfdnLQUbJoHSDsyyi6TTKfor4R
h7404a70Shq42QY3MNK8C8nWaLLmRmFwZqOmVF0BqLokwaYpJntSbsPilQcp/Hf1zqlmi3NYLnSs
uDbSLdX4LY2SLcyGdjAxS0r5+PMeuxiPgLklaLQDY4L35/fJZGlHR86zERROKEY3hQ6qyeiUAqW/
Kh5hhxgNgFYynM6IWLYeNXAgBKFPrBZKz6+UGTL6nx+yDIwoDCet4Im64foI9/YoezRJIFyzGN9y
wJaEOak2qfkNTLj9SA7bnJaR3VXGzsxC1NYgNin061aF8fGg9ceAoDtH8J9hHFxdyBcTAJC6APci
j6yD0Fu4VkNZvEzkPg4RC9P2Q5DyozYjR0YNHBczuLqljUSmzxgqPEHpwfaL2cBTuoJLj7HwSSrt
W6U1t5NR7qMaDbqVpZnP0XKfn87IInqjtNTGZYGcsdBnJPTTZPwuAF6UYFymcFI1m1fcw3DxxJM2
uK46GJlAk+zn33D+Ovi+KIsIpOhFB3QHjnrF92Ab62DjafdGuFKLvxSMTz90GVCSkYwWQAwolm6a
0PQs9qvnBRwFvtLZrJrQ/+GrLA5N0L9Se9YSvid4qRmjHo2bIfdgJQfLDONPtvZRl6Lk6SCLqVO1
1qyBEJ02/bVW7GFYRsjK/XCeH3F6OsJi2sq04/CmmBcnPo4ldKR2IzRdOwHzLbyfft4IF+PE6WCL
oFt2wBpGuRb6yhaF+k3tCxsaRTvVSzfcXVPrOdsQDMrLwDERUwMmB/Kt34PSEKP3FVQgMteMZy7i
pgXOPFpuKMK5nRi2mjmkIKX2Rbx25s6iENgNoGkRC8UVIKmWQAwlVdCfUKFzQ1jyPPD2FjzuP6CK
NLbWe1psHKR1VCi5rcePDDrNxein/Z2VrLzezl8Xi58xT9DJFTfWQVoYA/QqEh265ZqF90QzJpk3
1MNHb1oOzWjsIGq7otOOEBB9W1nt82n4vgCL140aZlAGmD22a32jtF54hy5PfQ+LkTj/1T4i788T
OAUBUuyiD7My9hzWvoW9xeIv3jUyaKcCfvTY1lL3eiio83gUdm4phxCNE68DUdHB60PxYugmg7r3
GmuhuVKnODu8i9+wmP/c1MHFDGjow1KPfqWwPv36+SvPB4CaIkWhF2oWpmkt9agqkY4kMiCKCS+i
yB5aesxo/TpapvvzOGcBHOXy03EWx1ZLxyGYhgJg+cyvpT30OwslpbXX8Nooi/MK1OPEo3J2gwlG
zwL3XkziK+jNV6muxKE5Hfm+Ob5/z3Jjmgq49xlMNUjVXo/XBoTzlLb06vmZDVNPRz79PH/nRSJM
ICQVUSaCRfs55x9eeGpnNTABhxMqsUc6v0WN1rZwLeszFrGvPaUOPY4GdQDp+xTaHSu/YL4olp98
+gsWe7EhAH3rHIgjetXjzdj73dY8tu7olq7irhXFLu3L08EW6aBaUlyMGrAjyivtd/JaKisLeGmr
nAywLEyxcWB5ojeFD1Gc/r0unPgTDI2fp+zCGDMq38AjjnCTLFFAWosX31DMtlFw/crtaPwwaqdd
FRU6D1R/wf//GWZxw09dFLAE7C2gzmF965U+2RXXwEmgfrh2wC5tw2+ftLjroUdf5BCCKXx4YCR+
pf3iEF/ZaDL+nYYGvGsTY6vDZwwezGClV/VezbL/ls3J8LUGmm8wmkTbb/lQ6JoyGkaTQWE3crpb
pfKnfiVWnUtPfB9i+QQwaIEWWQYDb60UTgezerivmnukCLYh1A9w4rvtmMIAHkKut01hyjuew653
1E20N/iahPuFSHP6vX9X5OQKNsIxUqoGdlDjrxZ2zckdAwVYfapLdyClrWkrH39pz4I6B91W9Ewt
eGx+v/ENuL/kBbBgGyiYXCVx+55XUKCJIn5HevgI/nxALm6n09HmX3PycWHXDr2cTduhcTqHlGij
3os9pCU38WYtpJwnc5Z5OtbiPg/xUu8HAhur/rmS15BjC+8sCYwpAwHrz8p3nT2ZoE8FgdWZyIAu
6llnrE/zKBLzMwhvo7+1vMg1XfogZ49XL9ysuVhdWLRvwy1u1xqGFETIdNrEpl3qtSt/ofqbt2sO
K/zCXvw2zmJzhKpSgtGTF1DTmJymgrMChGjYbYrCxFAkDWhPkVuPANRYw6c+RIot5EdDu0M0NmjT
cxQ6CuWXyRvYK47DUwxGQq6yXQo0BgPeHWolBxVw2REG45AHgqhUmN822j1wDaVb6NUBqriOrPUd
iyhgkwOMBs0nXuZwrh5ztisKSDTUzaFWwDOjgQDbS3yw1HqSEDiCCT15ok3mxmht2VqjM2eAvBBR
S93N0yQ8VtX0XMStA9mlYhOlZnajwE9mB4dWA2Agguog7Q9pw+Ey3r8bxWjztnKStj2MY7EZp8oT
CSTMJYo5NYpN8D99KBkMxTJoOMF6mhL0cky0BAbuslxR7iSjHxWAnwDj7LRK/8hpVXsQ2/HCIXUi
KH0NfISddfLOOIEqS3E1Ij0roS9mtW8mqTwjQ72tr/hjwZKO2VWvo1BSBFmg2TwVoAwMI9KRn3f1
pV0GoDdoyQxqyGdkiJxb8KcGIhB3ciqumtwjkO9PVsL7yiBnsbcIK2vCS2JT3zegc7Sfsno38+2/
+pJlTOU519Gixj6unyFtn3niqehW4uiFp5NlUcAZIWkCq8ozrnqC+jp0IDFbeuY3jZsXNh2dXnfL
1BtMGOPgxKykG3MAWyRo30ZcRIFGKQZWRPPUwSZQ3OSJzzCkVniTttKsPX+FI76dftwiEEBdBFJp
Nc/9jKVATXk4yRU67h+dbjkRikHtZ5xtxpdhXIMYzv/w2TcayIS5CanKM+L6xLjSB/OsmgkE0m1U
6601perLK3cyxiKfgqwnM5N5nydsejIC9SEdvFarPamqvtEGEKvbohRL8O7//HlbXlzAk4EXyZUG
ODgUwLGASuO195Pymn+CD5us1fMvr97JOIuNYkE9Tm8ExtF96WpusrHup/txY24qX7ul9//uoxZb
hUrownEy5X5owk270eLUbkWpekqmgLGjVB+6maQrh+9c93XenydfOEeZk7xCqnSIIG44e2hqH71O
PYESQdKC8hbXN1GpOOE0/p5Y5UZ0pkklqjPM0ThTqT1yDbiuX9lAIVkXA8diGp/5zD/M+vwzJHHw
LoXa9K7GYKWYAENqMcgA9jMRLX5VuLxvG3lswMSquO4Nyju0E4Nt1ydgg8Qgvk+DfgNmgFPlrMId
woOD1Qryq+sjuFCXLbm1KFrVWoUTnK6xwpcZEJjaGorrkPyF47EFzPz3WamhiaBKamCd2UdSbEe0
++h0l9DHsNJ3CV9LJZdndTnc4sFoRY2agaVubqIYCDkIj5RD7awryy+HwSNqVuaHZY8BUTyiL8rT
aRzmZRzCGWKYdtNLEXhiLSIs5205wiIg1ODVdQa27ybtIS6AKkZvo0cClR/cgUkUvqZ1g47KxB9+
PjmXrsLTD1uEg0KD8EBmJoVfvaX0JX9TPtt2RY35UkKngXEIp14gGNSl/XWbxFKEElUFsQm3PaAn
mh9t8027ct9emsDTYRY7oSB5jY7KDJeWNgEKfHyFo7Ijpi1ypm61rD6Hr+UdcTraonYwWmjPaK2S
+ymI3lOeHwfJ/Z+X5lKkBt1+JvrrkC5awoesFEJZ01yNqYmvvJrtTQnXhqew2P08zMVIfTrOYuIg
MpjIusbEdRtYu29rn7mTP26Ii9agu/a4X/uoxbwVkEjp2aTlvmXuxumqvuuosOHltaauc+HAIiWC
4DiEC8ATXvqDqAPwWGBcorad2pJ4wEE2a6JclybudIylt1ZusWyqK0xc6Qn3/wE5iiPv0MPyCv+/
bxOAjPzPB/FFBOqEERhm3GX+GKW/xgb6JZVU+YZCnsTPrewtn58bPIzUlfL8pYmEXRlQbACLw8hj
MW5YSTOoEwOvTHkNCiAIt8kKrvJSLoT+wz9DLEJfWEorSyaslcFtiBu4aIlWXWsbeem01G6e4C4w
5PbKrr8QLr4Nugh8wCYH3KrwnNWGQ5jcjcWnkR8BKJDaLhne4xIuENzur0g7euJXBNnPzrzl4U38
Foq1TOJSheLbb1nkSqlUhaWJAKic1mvDLcM8E/CgIvKmwR8iuetVoEfh4zA4P0/C2hzMa3+SwQyg
AGpl3WY+tHYyhwDYAaXil44FqoOmQLQxe+7mI9FWttTasIvEyWiSWpHdmPojR04flpDAiU04HgcF
cxVj+somMJXytT7PhcgzNzqgMPEXjHnWCB2FRvMCG7lX9+WdZr6BOqQl0I3Z/DypF27Ub+MsdrPS
lUapcLSz8iaDWpMC/CdNgjt95BtBp5Wzc+Fu/TbYYhdHeI+lmgYRL4gQHVtYU5f7qpi2ctSe5wd6
0ApvMta+8FJIQKMALyNjfnouL/ROEXWudriYeuXYwR8VQ67k1pfW6nSExZXU1CSZyoCPm0oDgWyy
UEApdfUN7RL2Fg/Ju9Wm9QpqFSnoPFmLO31ugPznuxZ3U5eqed+ZHbA2ECB+iXWIWLq9KOBchHxd
J84YZBZo0EX7J5IRkhlrUvaNKT0j0IMDPAqGHa5rc5dx6HL1Cd6qamJSGPeG5u0w6NODCYXvvS4o
exbamA8ATLbDs9nqBnxTtGRMIDkMx8SbrDTAu8nlxD8iVgbUVuOyC7YtHfTErsO6gvJOZcBhmo0N
6jF6X+8NtVB3UxA2fhDNNlV9rE1OMqQDYC69HpaoPpb1Jw+4BgiTjCZAXVhdqjbt1Eo+1lEM+at6
UhrpVVXbEE8hU0BdK2y6ZzK01uzEwJPMVSsVVSMie3YdDha9RWfW2o1pbSSQ7oZo0fVEglA4PVwt
Ei/MVBHbTWuQ2BnklKCrlGfpr1SV3ZNhlmgw6SEdiAcNeCV0ckuPPmb5yX1lKQF02yUzbwYWRhnU
boXAK66n42sSTMHLUMk0sWPLFMMBkuTI+WVmao+lNQPsFZAeRqGG0IkHdKfRoRReajXqZWZkw+fW
U3rLL8tZ3l2x6BE6e91rnxfAj3UvRWnxrZnwHMzBFE6LVmTssyTFD6iTHWDcqRtliXUVtSiuBHiu
Q3R0lv6H5C8kMIYo7eyUQZ8ty8Gmyqr4rgoGegsaDOArXLkyqr7ZIddKv0JSgxyWqS4k8+1Q6AC3
qRAh1ygwDYrxDsYRApMBufha6TeKrjAU4sACwFNtpys1nFyLSrglze70lNFjYEWuomnvYH3nJWqf
5gvqtA+dwZ8TnvJ3Wg2o/Y1XZZoBKDx2lYtqymurt3dTlE5bNr70SVB7UaGnHsQxmVeKod+bJO39
poMgtQrRzDyo0htUDRz8fNxKInREB8wiY9Zt31WHaLDKTSB0cGu6bMcqfduyoXeigl3VmBanjVjt
6TFMIgClaobrhtSIUwoZ3SjP+q00ROxrupShLeAbgMRdLTt7DOFXO0IY79aUnfLFkWlbZqVdKW3r
18FwY4WovY5gRVGpHWWVaxClQmG6yFWoxEes+mRmanhWmtCrAKrTmjP1Okf9SEA3XVgUtc4g07Yt
dOS8CrDIrYCA+9EKYuiCdWPA9qzKh6/AiMPOR8UE6iLJVFlYrVrYnKRh5hRqWv2GhB1HD8oogiea
a/y+Kom4MqKqfuQNrQC0xBL+qeBuaqtQ4LuKO5GiLz1FQBRAtFofcc0m7W+9a7r0oKYy132ixTX3
QlZSJEFFavlZZcK7XZlu4ng03BDZSqGL9DohofqI7ZZrcDMggUOiK7iG70eYsZU2KGOJG+cGmE4m
K449/q9DZlXKTWpIPuHRD9BXD7shsLzEVH+lpLqvhNrfaOj03kJiE/r1Vgb5HhmrxxbbrXQkJO/u
O6UJj42pv2mk6PeTMUqQl5XHrolx3gJVIqwUo5LfQPe/h5E4LIY+jUqxnvM46ndZW8OpIxr6LZGj
CkTi1B7KZmztvI0A3iRVfFXyTt12FvwySRsypwPy0U+a5DHPJmsbwsTgtgk0E6FC+9V0sFqdGtG8
6wVr7RLqHnYcUnql84E5CQ/b18bCioCJm8EsPNV6HJC43ECY0IU4tPHAMkBgdVDEUDFN9lOUwFcy
P1IeXDd5tim6hO9Ek24b2lT7uKUSFe809QJN20U5jb0qmeKvoqM7jB68mL36e9I1P44KepVIOkB1
FVZAapEcddo+CMQ2G2o1u0LLH1Qzb7xJFY9wX6u9PiC5PUkk3k6rAvMyQcdyj5gMuA0ks/OPLhPW
AzoezTaKsyBzE6hLVzaDheSnEnYa4g5RYa+r10m0K7nGsfbQccvsCGHRZ5NV304jRBejAP+gRH5w
pY8hPzLwlj2uZ8ymdV/cW5lWbQNZBLbRdYoTB4Pm1iIIbtVgaJ5FW0mX9ylzYh12DR0uCAgCBShr
KYF4UiDrfhtjhVCbSAQ0IFXi9BKqlbTE+WuUSPWg5pY/Q+XmQxsTw8mA8p2RLgqIUEq3h/N8tk8r
XXdCIYB/M81o06rFI/wmUn+I4O6YB/GA1c/6m7qZej8J5ct8Tl3YTDQuLL+vmCWO/dQ9ixz06U4l
z5bVKb4FCUyLoxlDhyzw6rS9yQfYEOpZmsNBwxoPUZg1DfJssaNBHjg4ONpVBlFwLzCa/j1i4jmN
4bBrFfw4orbeApcDexRylwV5esgE/m7fh+Yzxd+A/UhmY//suiaND6HSFXZq9K0jIAtsj5GmX7Ut
WM+yL/g2yhHLJ0OWL3kqx01Q5PKKCXQix3Y3WugcqtiaexmSX7KFJ10FiaUooQRVjFZ7SmlbohSu
1ei8a91WlPB1zjJgpizqG3WHt27UAV0bhm2xyysQ3LsqM/4AOemUoeEWcIyzQ1w29xMyKQ8Y0Oee
CwWKnvGxshrztlSzfWzyAvgrAfJpbOwhKmDhZm0CL+tEcZMEPTlgjwzVRg3i5whIdn+05OAws85v
q5J6BGm9hAKjXaOPdVsgXcDsvpMBD3A9BmyEG4emGaZ3Q6GTcHKzmnb10A5XktbolM2SfuhsaZEw
7L4Rnpj4titye0DDCrh2y/KGnsBgCH07TTLDrk36hX6U2OXtFNqGNK9AmynuIL/yBPPdK0KmfWny
PwwEO7tB/uSNqV7hNQk1ej8zzNfByNAvCdRHUmZsM3EtuC2Aiits0PNmFEzH91bGx5uAoB0vSTXt
zVpN7TI1KejbaK5MMyxW0UfPgBVQXXa4Go3S2kedriM1QzF0OHSGCvG8iIyG1w4wi5nUAtCZOkic
HvMKvK7SPvVjhGMt1K7ZFDL56HL0OZtqFqabeHkv1KCovGYcm8MU0uiZISuHG09+HYD08FLxooeY
6VARLw167YZPZXlNptFyQenu7YAS6sNIBo0aPQTIuhb6S67mYFLnVfOu4pDCuAtXO62x9pmG1qkI
4w3iUA01AysxHZ5m6SYA+nyv9pBcDq1xl8tE2alzzRkCo8lRUBle64MFdusk2bWRhGJLedlAWmkc
D7qRkGdWIUoFxCyRgGmeEiTpDjbM5TFNW7IlumzcDG+V3103RbsWPr97JYSjT9oWRQZJ/AFCPbhI
vhAraj9keoCGUxyBjB5pwsH9xLCrUx0tV6MHpa1T0luaK/Qpakb9GUQqVjlKSRNYC3QAzFdN5CaC
jB9lJbXn0kwT2KAVFe6z6EY2VoGuaKBdl5NEgzsMxFsxTd0hQ8SxAyVCMzUfwYiAgNWGxl25tYqK
bvmohMhEdCFsfYiBFsxE4VsqpkHB6rjWUHMfmtvGoyAVfSV1pcBDyezvJR8PNYPbJBWIxdM05sdc
B/k+z8FkjyoR3ps6byMnUUMwI1Ha1xxa5AYwdBHwel5eqgE+l41uGtDEgSUzwc5VleJDRRllnwgD
fecCQG4t7Ku7npjJlzQhyxeo9U2qS2KrY2wAWTiEnwqzvooUGlJU6aNPGsliF0lR74rIYE5YmQGs
j9IU/kB9oumOiNu5yJ7Iu1yH5q5CUYO3C4LoAQFW0wk4Q2sCm+WKTnDYtLkUuS+bAM6aDDQAoF20
A9iSfG4jq5YDfc7GaQfWAFhWlb2NNiebnKCfkr2KROAYcg4hNPTUoU831eJOw5w6iIvS7XMzvwnr
eNRxqlJ62zZafTBLPrmVJq0bHsKZPdCJnPbFAGHUMLWoXelMc0ulUe7j3pqu2yj90yNz3IzwVzqM
vAH8HhL/VXFEH6CtIUMMlo+dAK/v6k0H+m7FGPrfjVqHrRPVZQAzT6oEW60RNbhoPdKfigIUobTT
cJ13qGSEHZgFTcBNjwaGfsBYipPjUrVlx6eDxgK8K9B5eFU7Ul+PgraOpijcBtEleLTUID2q0Hi+
oyGs44AD+6Pqf3MVNXhTgi7CPRsOyVtY4N9DM/MBnoHcgwpHvGkZeanSvNyGGYv2jejo/5F2Xlty
Ktm6fiLGIAjsLZC2qrKcyt4wVDJ4F3iefn/Z52JLKQ3V6XP6qnu1lkggiJhz/i4wnOnGmMpRoSEG
4c/n4t1camevYODeWXo1ppuBSuhhEjL5WjX2XbVa1k42jnHKWqc+to6d7MbUcG4mzZ1GGA6tcT+h
tdjVbW18L1xb23TWOL5nUdG2aLK77EGO0r2Js3bISXRK+1PXqW+zjsu51Sqs7XCX29ZOOkWBW07z
IaZypBkeavuEGaK1T1Otuq/J5HpNS7P+Ql5rcZ0bovNzUVXHNq+bd0bA3clzekVIWF9DZ4jH9Kja
sdoUrc5VySXvdrN+jvCyErFrsXvZIcpKrqYa9+sZpFBTzlOWFtlECxE9NIJwBT9pbW8zqDW9kvmM
tXSuVx+Gl75HirTYwSqdrSrnfghhS/AnPHtno3GZDkY3Y1TrupDiOrP60iWafU2iJ9bXqROd3HwQ
H3xH9a1pjgB7M+GLpXf2TSmd7/3k4d/UG9b9Yjf41Arrib6z85GYkTc9a09ZNHrHbDKTY6roXaF/
wNZA0PI1Tkw7cGr0IzzO7divBIrHdIOhLerh6Kk2CSLWul8700veExBgposWWDjH7DK9aLZ9Med7
9nt2aGdcyp/STZJnZ8LybSrozEkTrzdrBdF17dyXaSAGTRpxOGnlA6MI6Zc0txh+L0FiJ7dKioES
dLiXKEJLv+5KAWZZkPmYDz5r2z4Znot8pcy/VTAX/bq1+kPSGf2xLko8KOO4vDl3VsxGeos1oZMd
Ii1rg5GSOEFQm4/4vCNZy7v4a2Wr9F5ZDdCowhUXD5Vp/h7lo9qmsNpvWrG4B31q7G9OmcO9hLSQ
XPd9P9wPCqXF2CTph+rM4iqbYDGMNUhq3xjutx5z7zR0NO28HkBmyAhTLPMJ5+kgKkZ3PyUNLKSz
94lwekBb18VZJ6vTp3l206CqUv5wYh/5d79r82ht9VSeBk6lQOpLs9GEmz5UVhO9tiXexj6Zdvu4
miqiUQjA851IGBsJ95+qrK52RZdHV6LMYPc0Rn879da754ykdKayPkUp6bRoZtRezLJ/Q8ekBbXS
7H2bx9NxtGKKBnfRrxZjvrFlboTU+Spwhaqv7dp6W7TibUqZKbmZc5UZKNqMyI7uSoNFEznMuef3
CPWZr69ZcVN02Uc0D8ZjnRvTdWzOxj7vTePb2kyiDDO7zx66xe2eke8MB32V/U+R5eam8KJnr54n
XxY91f3S4VY+KXnv4HjvV1qbIjWYRZCm9ReNni5IXZSFeVMIvt7W3bjT7L4WjfxpZEP0nEsC61Pc
zbkNLL4b7GimsbIPOhmnuP6vr+vEMYqStkfX5dnQuNLsBgGE8svJWjZ5MiThZI9aOGp6v+3SMgnV
0APokrHwnCbUk8LOrJdMd5N9ZCYjBjjRbRTn7qaw64HKZwWmcquVcnrOzxmGo35XJsZ4301meUo0
3fru6tZb6cn8UDtkQHlFawcqIzSNCOYTLgN66OX617J0lEMUaCfo5xIdmE0t/Z5/6G7W1Y2CkYbv
eW4o6bPGDuXg8MPiBeyhNvV9NTXetZwYZaUx0R6eQSnXm3b7Y2lz+15WKgtWl6i2bjbtbVka4lXX
xoJcWo/smKBPk3kjsxmhej6SxYtJ/Que2rc9tfVV2llHp4usq3R1nttqLGC+phHhPa13YkAvd1Wj
msfJUOY5CXFKv0l+VDNkXyq9zW6H3qp3y+r1eGDnGvlto852Nra3em880PD0L+vatVvlzgOyLsc7
VbEGZRmeAj4BTk3UrTdCNu/scsBDFusJHLisYLDl9JOGQdyTH2tP4ViPNAq2IgdxSFW36WWWXFfl
uh6NtvF2nTG690KtwtxTvDpv5IUWp9xI8yZI0l62RyYrybWgQYJNSOVwTcojAGvEODdXVYxfwJyE
YtK7h3l1lRaWttudXH1wMaS0sxBupy22RS7bMmytcjm2cc6wMk9k/VYlw7d+1DWsgZJ+I4vc2+d1
2uzGxSj2o50ML70hi+0oWzxBiKokl7Gae2YO5aJO3iSyb7BHmSq3C076IvfY2x2HuX5s88kPyUu3
Es8VKqelfNDX6jj0KIJSNzK3VWH3/tScYwLqouh2TEmTUxKJythlblmfnCmaT8XULF+Mxqvvqqkw
H5U1n3eb1e72ellm+yimkIdxVD7hpsjBEslzSEXTMhZN7fk5zhYGXYNMhy11SsH+XBcdXgv9/TJV
71aS1qclsfPHttYaItBEd+NOTn9fJVq2ESWVp79G6XciKu4wwoRabGJPTfbiDdoJ87U7Ww972nOV
uOKx00nlFEReXJla8VUb5bqBOkEJ1nj3xqi00zratW+5/G3t8OgtprkvcnZKfYaAqVU/9HjdjLhg
EwxBNgFJpMvYb2BTR3d9P+XX1jjshdnIj6rvmJdWLIzOc9RVNWWl8M2mL647DdP2jgWmM7/389Up
Apu/W68ctjOyNGxMkr2GIrDsjZgCcdhi6jeHZ0216hjJMHMeTyuT0fu0nfIvWV2ld93U8Qw8ojKT
mQ90mLwjyX+zONeXva+AU9ZDQ1rlC5HBTPIyaYTkmnZfTVcjACK7TSYr2w+ruxkpjTLdvslXt0bc
rmkszOELuAHXb/Zlp23rRS3hoBmByAgzrFXZBYZZHaRQJxtpvDFQrMbNFaV16DjJaamxoNGb7GqW
8X2Tdk9y+ogkneLkYjCrKqb+vFwRWYh7i/zRbYyD7cbbXp8eJptQnLh0NyKLPuzFe7RivNuVM+3I
z2S6ZmEI3o+Ikz1yepX7JRn7WyM37mO1XE+MLqmUcPNfZj6zGvljSWkSGdYauG333lTzF6/BCVtU
R5OU8v3gJbRUHvuf/DrT/y9FjUY4VsSYsCFoCxNJnQHRU17My0Fk6W2FdgX3O4PFMsW7uLRRAkGq
0p9czbYfLc3KfjQpXCxSSvZN1/d3k15ppEAy2z9mkZ3m2PUB2ZGE0g5O+TFYqo8oIroUPjFZHiAl
glYtbo7KiD+SIul3jNi3Qs+qgw0JhkhOOzvEy5y8UR9WWy3nGIg7+U6V0p/rHsnsp+p9fCK3cytT
YiedQM2q2c59ckVbLIMhzSKYnctdW0TYbjhj/wwHqeSOIZTFsryym0j3i7V5dZMl1Oq2DfG11GgJ
sGMbmbDZRlveROlYbOBEu19nw3uYjbSY/XidkEYB9pvBEONnFjjLkr0YavYyH5UPtSK7yStIphV0
zvyFIjV5mDyDgMwuro3QwBtxwOSWYZYpnqpqiQ7DyDfUGRs3RrFhJYh1Fi/EofAm1iQ7lNV1/uqU
uz6vt13Cf++Z4BVZ1V1jGf+AFDssBm84MA++HYF79lprj9fljO+ha+4JV1x9iDDrNRsAImc9vV+h
usJ+12/G3NVJwYqaPUXAndEP/VcNijXE+8jLq6DyPHJUnPyHmeAI5aV7reQpjRN2Bqb5XU6m7+J2
dMVEv3sVHgY8RWm9N/3i+V2qwy4lA+fkOC0jgmqpUUT1924uvqae/VHn+Y74iashmU9Mv+6cKr8R
jf3ekAK3RFV21dYrBoAICpGsNZtmajXkzAwe97OjGbuyIy7YKHpSHB2xi9YsmFyCZnQJz6e3Qaya
eUBk5bDLaL3zwJDowKLq3hYCbH1hDO9MFw5z2ea3Wpx/lxFDwKJjtj5wvOntHJAAHm+qLnmpzzmm
hqpv9Zhty2KSOa723cwIJhSx82Tp5ZbgigpVuGGHloSfNVAJZ7xTDq1K7UxEDGpNfjYyDurMZGbu
7gbWQLWO8Bjx1UA8XvitgWfAkupPVc7O7sUNAWjpfUsYaGAPcdCmrRnoi50ckDWeslxeExyTB41X
nHq9v6oo8U5Vgx7fE+NWZPFW9u9p422nWBtOTCkOlLtmSPrXY+zJwJlWRIpL1R8cr6oOzuidNNIF
wUmXI9u4X0R6e5NW9Y7AD8KZZXkzd9pPWrxtw3HyyvYTfcsQCDbSAKZwayaOyzxcAdClvkjyzRwb
Koyr/lSo7FC2wL+j1e45SB6a1TQCe/V2Qg7fx+E9Nyw+ptRiAJMfVBYtoYo1xAUKW8VYc2LYiIQ2
962/jkBrZVqEOT3NZnLw+Iwi0gsahpl8CT0Td0E/vNZucfQaPsAmq79bS3HdO+NRZ4oS+7HeOxvp
DIdkHeyN1+S8Bp3vosQwA3JB50f2eE4iTH4azbDcVOCJ+5FZEwoHBk/Asn2n4u2gdwEjrJqvsTjC
Kv8qCY8b8BKOeg++7ILvbpHE3iYzQAATxpCaru7Pt2OlPfKKNZiLKvTi+FBWQE99NOynqT/V5FzS
Gsu9R/VyHTXFUWcsvUQyBzRwv+vuApTSwMWLaiE3iRvtmBPdJus6gofn77PLKwZ7yANW93WvNx8Z
WxgVXbfnpRRHO8mva8+4qujBfDeuyfBhmUCzDR0zeiACyH5KxMIgoxmAVtaTcNqtoTRiogD1hCqI
DuZ/6ImjhZaTm/u6Y3pPaj1DlmSjD0v9mK90nT7lbnYnsVat+shiS+safKtEqw7e6ASj7dHAZBD+
xK5x2QCjfjx0xL5s45Ro8zJ3gln9GEo5hLr5rWkgv9rL+jxMjB+pzx12Yzqd0SaIa0pe81rD5Hyu
CKrxKP/SeLv0othAbmAe78QtTrL6ppZTccO8qeLjdiAHneHOxQxXBi1hPnd4PnmJ9JM6e2au/tJV
3TufIEQ38xajH7+fPSOMqH1ZTGKDepDRWizuGycOCDgnWa5U+D84w8a01k0JZVIaCOurNBwLwtVd
kQSsgW5j9Q7Fs5Hd2xYOfHEZYgZ9x22CsHOi5fhu22DRmEL58SJ+dHEUNDGqF3ZoLKPd10ypICOP
x1ystxX+SxWVwZhkz7EUpGU2t17nvikOuI1lWkFUrvsUyrYVNRK/igS36Rys1JbV/aLSgKwzxnvR
tRowKFkUI3HoAlmCXZw2blfR3kfU7ADUAGutRmx5I1zDx73u0St/5jJZNszUZr6Y9nllWtKXBNM3
Da6FUX8ntfp2XbT2iLxGDwQznJ/aYFzH9nSo9HE/VE5zq6ppN9OGgEuvDHwqIsza57leCFh3F28/
uhU07wIMDly6Rm2mpVGoNOY7qbNWdlDxkzNaURsbD0tshUGahIGDwVVqCvoxKN5tOtzOTdMb/mBO
0RZTfBjfmgoleSqDoX2vNarBMT+ybp6scqhIX0oP9hiFpFwVvkzpUCx2RGaZqT2Emea4lHeL8Ht8
/LeWBLXuNUNtm7Z88ESPv7A9mG9CYzTWzOWDUCx6LT8nj9BWX3XIr4wqhzrOdxaR1e5PeWSSmlPt
0pTjl1Y3JMGh2dRL/C0alP4ai/4VjHBAFZ34KZDJK0dJv7eitsP9NkmyIJlKcWzm7tSn49GwbfZb
J92Zq7W354nUVn2y/TUjKZ7UCKbDqer9BPxNH5wb9OU9Z2Qprhv2XK+27CdoQUFKc1Wrbnm3GR3s
ZbWIcF763WSUDwlDIugBVnTrwUnIsnZDY5j+FCCifuoJxgjucGs2eEY2yyw38/pTw+Y1mOKy5/TV
csxP9P7YmvWunvXdkHki0PThPtLwSDHi54TJq2+n9RXQSdCsvQw4av1VGedTvHB3fanf51qGR1we
LC0f+nkO6Gr1BuT7sZUMpGRzbUwjTiPpKMm/0/WbQXdbFCFAJap/NVJBhB2SKzPVj2U1eEFVmvmH
LIliXYXb7mNmafhfZFAmhxx7qaRZ7yucpB67VtXfvdk5jnn/Brhyq5Ewfsu+cM+2SqmhOgWokHeE
2Mfxa8FaGTW7unGwsqUeSfSvmhF9UTkatYVSwsmK+AYpHOlFS3VLmOqyn5S7M/LSDEVdi9vUWowP
ULR89LVaefA4dFK4NEnUcmuvH7o7zPekTQKOaJj22qtW7weRUWqbFFx5DG3DaGT6bYqwnNDJcvSV
yWnejeYaFJkZ7fAQa6/ZpK6UnVih244BL0cL7MklAoWjjHJcBTpDiFAfC5OvHrP6rrB2VD7zTxgD
94S8xzgHN0zfrO5nno4HgARO6MIbnsEJC78e8+LEbX5JZ9BP2YjbUnlPPL2JHVJYlMqjY4UDTMi2
at48I3kHJLpxC51tEvdGZpi6YtzplJHpI50fgtgcut1i0KNVHOlho2FQ17Z6fSDwcQyyJn0Bm66g
c+kO2EcF4YVxTcd4ZrDf7La6Tsc+3WGiFAdVC00ky9nXpsrZysX+pvecA0uDB/HksU/bwBleArCL
YzjVfA0lnSCtbe+WD/OoVtaHPGmy/cpiCZxYf6qbPORg+morDkHHcLaMih+I/r43XHnUy+yL3dUx
Lk7VQ+I0V5EkxN1E/Vd72m5hR8whi+8ZjnkchBy5kLXQtjds+pJ+YJ3cXYrt2Waiscpa3LAnUbmY
JPcL3rAxjkRDo4ptbQiit+rBuzKb0rhalPm4VFYdWhUN9RgnI5/tjCommZ7ZRqr7oqOoKJhzylkc
h4FHU8TrUWiW2lJufeh2b95A+yRKPGuNDQGJ3y3qbObW/TYh3ajJx3mjLNIccTM4rSVrp02tZ3yd
MsDsEZC7exhsnQ0OyHz2c/3Mscgq6wsuWmLYjANPj/LX+jE74zPW88zuiwHoRdP0s09Wf22rxvJp
bTBnNWhELF1S4iV3TE+b1cc3DSdllZ36ajppecpEu1g/EgdvrILFfytXKT96d6JSVjN/PAF9zEzx
yqh0RN+TAmNZxXHOgI41JX9Uuu4dzdTNH3LDGa4SoZdBM7ZvTbI+aPOsbfroG3Na80XN87zvl77/
miooaUqVctPnVvFQaF7xXil6aHF+ytOcQ6podRCZ+s4jXPJYG9WxbDg3jHm4tozM3i3TamxiIX7A
QBe+0+P/5DbiTK1o/MbhrDZWziutBaofqxztcRZpJFEqZ2NU0AwlDLFrRL/WztBWXEagqXd3uTSj
/ItBHwOFadaSNAQsjTkERJK9pcPafauVIK+xMQRtuVnL9RZP9+TLDDXu0at6dHJ1xUBCl2YSDGu7
XNXtwE9ZlEFynFDdXmQrtu9Djp9VRZGeAanDgHF6xwaertYm7ERPeKhh1+6Vt8bOwIB8kg9V4eqb
5fxokil+kxlzsG7Urh1H9d+XoTB+8sYgJHoKB3VHb4npNXQHlqptRs/LqBd3ertMAYLfjMPL+YhM
ow/sbECW0qf54GzNOtaSjUgoeI82GVOnOOb7ccbsybWX4brALE0zB9iX1AwqWl6EPpuUvSofn2sN
ty/b4jeLihZlxV1VTky6KeeyoC3VSaKaDOcRNnct+i7kbwYa9fpHrSEVVetF0KFJtUEvqD4FucOh
O+GwsRbtoS3BVRZ9flf68iOyDTfzB7cfA3vMQngQQFi1FT0UBEE+WXOzkiiwAHrE3pWelLSTK+Ot
FHuXoOfpYKbbRt8qvQDLV5hBla77Zc2yKOwXlbw2zewGMrLO2coV3J/cnIIk5tjZFEu6aoSQ2d1T
1BrRwWB4tanGZd7oDMFMUITSBK9I08K1wjWv0sMQj4PmQ/rS3WCt2nK91fPWpqxzO6hljZpATQGq
CzsQsqjSly6z42NWMXSjSkMydFU37dUkXBZiKhHLCTxkHqWdNAdTRLAzl5XewLMxP0nn6nU1YbQS
VLRsXKwtn5O1L6dwUjMwcWTto6GrXzOhxTLsGBiCxpkuSGsJydzjGGPaJeKjNaTaVrYd7CxsEPZp
OS/BlFTLNjGKh6QBJCTBcgvD1QgtAkr8arSfLR2GQwlvaAtcY53GflkfIYI5VzPOACxEawKl7caT
VKxmy1r2RUbiw1rq+3SEssrzj8Zn6uwumGW6b6IqDdyYXITRxSyw1zrQFUsGkA5wFSwbv52z/cj0
ogg8NcK0bRdTe8vhXjFjkPi8Mossnnh4EYpVNy+a0B35q/xUivWbu/ZiOksVV/ycAe3CObWbW2sG
6kibVMMZt2p6jqpqCkXDcRp5Y/IsF28AIUxvY2alJH6q5iVW4KThbHVZx0wAIhuXijK5KeKhtXzl
WmgaTXMAaDUd4jBmh7YzozTZNDH/BoESjZ8aZW36UQSHcmrb6djFlv7mumv9ypG/EyuzeD0trLBI
E52Uv6g+ugQiv0iN2lwrF1w9lcfKZDTr3Odu9l40I71FI2Zfi9Zu40R2GXJF2+/qRF63sAx8D9TI
d0SbvoAwX8sYdVDYwDIgmmsx4Wz1Qzs+K5F0RPlaZ16iYRqpvm2axBsPeowznE/UbU0bYcGKG9M+
eXQjxqoCbWNSWG4owTDgp7bwA9qlcnfZ4mo/bA0kz5+VWFYSlmSLizRA1Ug8ct3126GY7PW6i1Ld
AwGOBZOZAraHj2E8HQCYXVJtYwlHW6D7YAG42TVf5PJUUx+Mfl2Z3CudjA47fWq08ZDoDR1uuUjw
QpVb8s22yw480chOiSWtl8Sxu2XbwwDt/JFa+WbUAbV8pfVdH5jz0n3rbF37ATVC0307muy79D+c
kr7pnSuWfEOzHjk0QA7FgiGyTSGt22KuDaiUNDAQjJavZk9mxraatBYD1cqkD0REJqfI8ilc06vy
zOrOHeioEpZmNptVaOVLEqgK03WtGW+8zmBonxkz8kDvVl+1r8nQmKfR0c0QAiMQvjF+2OkEJVmR
rbzLhaBZr+0U0EdzYZpmkN1D02u8UG8NPGKmvhBX1hl/PSsmAhobzswxtz5Glur3qs4fGLfX96Ob
JtCQJGDpNNYKbq/D/SljPUR2PK1+avI3Wi6ttAvdJdCdJnFObkvUBpwmTuB/C1X+I8X9Q+9g2rbu
nhWtsLx+l//g/5iUXiXmLdtE+31Ne7j9ldzZgMT6iOWSEXv3bjvtc9BpAaPXrKsvQxyja8Y9fYbP
piFQb/P0Kbem13//tr8KQH75aRciGou8UqRsCED05wIOAEHA+keTYgD5md/E37RIzi8XuhDQeHx5
nhfThM6t/laJ5dSv8c+1N+unylpALOYYD1XL+kRz+adGCL8/HTWSgTjR4T+/P/nBiJmjlwa+DVL3
JUh4+0EuRCs+0XeJPxUtv1/nQkfTEwll9s35MS6BOiAkDusAUAb2uj9dF5viU5Xin9Kg3y94IaHR
Wg/iuqvkVs9kx7C3yfYZtqtUQzTL/14if5Ffook18bEWtoMu+z9BUb+o14qR+NG44SF2yC/R0Qcw
4oL0+v9OfvnnG/v9Yuf//5eLAYwSWaLQeibOgdlaZAUpco7PROB/kUL+fpmLhdEwha1KzZXbs3TH
e3XBDKrEvI7UslHPgxZ2dX5s288skv78CM5XJYIRspSw5aVBdEHQLcCBhPE6UXcQGdws9h2RJkuQ
54wnpPq6pv+1Bcvvl7z4wBe4495qxOt27sDKzvEIVdTfdL2Kd2LR3v6flsr/3uDFV754SRlHkwPk
1pdHs2aA+0ioPDiKdpL6OSgLW1wjf2iezHV4kIv8RAH/l+frsr96krXqWOIy3DpOsYlYBCt1WlLP
b0Z9fDXyyt0YiEpezvPOjldq259F+/y5iSIu+t/LOhepMIYJt4jp8cJrlTDKSTz1To4MJQ2aWD5x
7vvL9/HbtS7OkmywJ9jPg9zGEyiKySevzsOHZTbFQR+0r/9+oX+5s9+cSy+2mQlKSgyPWm7d8sVk
Ll+2ZRYU2rNbRXtTKz9zSr3c1TghhXv21rPIzPKwLPv945+1di3dnMvJFTnTOg5tUFmuONTlMP38
951dPsfLS13s2Ci9kpKab+LOMj4JCAqvTn0yP1Hgykv7gvNlPJMV4GHKAKh48QA9DifMdInMWNOZ
CpZ2RAOl9FFHLHAVSysgqIQ8HRQWkIm0s4QLWmYv770abl4nip2s5HISyhLfzSaBUFrW3zQo3AF6
VDLLIDX7JT0Y2Jjp3KH4+BLHqBzdUXvD5P57nzZHog5Re88uLKoG4ym3vEL1eMvoLQtXZG7/bSLc
f24YQynP9Exdh138+ys0IqIBa4SB28rpb2ZHhdBon7o8YxqC/2M7f5u08ZOH/LdV4/1yyYtX2YzD
pAw8uLZrnN25TTNAduqG4xTFy+u/F41xucFc3t3F63RikEA9kdCFgIY/0BZEzK+olgtlraGWmfp1
JDWz3uh4ze5BvW3GA7m+MWJ4+ODHSSD4WMOqBUq0G2gYXe480okUDB7dBPjBanYjlI7TbBTzBlu/
AQpX6kJILgr3Nadc8vFC4+RYe0hNOWO/f9/f5ef+n9vz2KwMTEQcojN/f3km9HV+iDMB6vnqkfl0
QuMYausnL+z8lH6thy8vc3EmeabS5TJzGXv202RlWuYZwZTpTuA2yXVq3bQWI7b08O+bE+df/6/L
XhxOCXB4Fk+j3Dq094ELd5sa1N1kruiCSOvgmk79s0zSN7D6fENaw84V1icn1B+Fx/+5d8e00Ie5
BAVdfB+6cJdSOpO7xWfCl/0pmtKrvBoYm6pDBcvGVZiYAsAY4pMr/+UrMfjbdc4iqC64Bv3+bgXk
NG2Ii3nLlEfd1aBBH//98zUwuMZCxeM8dI2LK/TZlI3QpudtAYXW19085iDs4xeloCMOJvNfMjk9
316JaCa4VD9M9XzTVeio/v1D/vKR/uaMdLG81oTXPFgtadrT+Fz1ZLSNpn6nnCa7dlTinehTk0DO
Xr7993X/6PN4t79d+GKBVRU4ohXhNTYXFkFXsTrrFyE21+V4zISCCFGvb72dPYjcNPCbSpdH0SF8
HRfb9Uca95gk1FE8x4MWBX0Pv7iy1n7z71/5l28cBztp25xL1PKX9gxRwXDUgx23LZfgHHr4FunP
aKRGmr5/X+gvr+G3C128BsvsitHuuJB8xTkO+onfqT0uA41oYYp98s7/dlfYXrsmSYcWgQ8XO1fZ
DEk8wbndxuvN+KUg9MWUeNaGLuyXf9/W37YR49dLXdyXl2uNO3gxRSZ8gyOg0C7dlTCkQ6hqu2z3
76t9dl8XS8rMGj1OXC6GwHFQ1+ou6QIre9Rf/n2ZP3o8lu5vN3XhjJI46FD1hOdn+dPm3ONFB7Wf
g/ZQYLEjPtmJ/7L//3axi41iEVpfmDo3tRZvMrpV2Rnh33VFunOyDxcP0ar8xOfir/dn0sNSVOpS
Osb5J/3SViJwNTxNRRw5XydowbCIS3wcrmb10AGbuDfp8kDGij5++/dzPd/JxZFj/HJZedEZuLKF
O+dSZWpaiNEm+S/DZ8vxvNz+dYmLlZ8KQo5Vw8NMroeNte12ZWAc5G7dGP7ntrt/vx/HOpvhCuLR
Lt5cXdaQQEEBtiXMk1iZV/FQbTS5fnJW/W2BWIZEXopbMmzci3vylIiGimHXFtSyDtylflCTju7U
dhJKBFCNpILng13SnTF+5vP92bUvPm/LxQoe3RGCX9WEGgSL5m0lEsEJkRvDP9mNT/9eIn/7wn+9
14svHOVu04LrG9u2z3+2mmaEGsvfVsO6G6LbYfj/fLQXH3pF7WW5gztt2yyaQ2hg9xxYt7gbC3j+
mECpqUEJUeiBi9b5k971r1vnr/d6sXzK3I7cyeTZthvMejbFdsL4YrcGYqPgfXzyZXz2Is8d4C+f
fC2ysvd0c9rWX5f5C54EdfY+vs/Jnelig7D591v822H3652d3/IvF1MCZy2bwmtrgqXCrp4PazmO
P70hKXa1Xajrooe2wIT+M/+1v/SxhiUlk1VcVL0/LL6NKW+nWJcTRjjJAAXRXPaJBnqNcKcYAN/+
fZvnF3Sx2cizWbvhUeYZrnmxjRJzRPhtmhpby3NM5Lj9o66t6VsvgLr+fSVID3+5lmFZ+vmowDnx
P7agvzzSCStIyOGkTMxeN/pxoj04apJIJWB0m1PphAn5bz/bRhSnarDsnRN1bbHD7pxwQqOxnAfD
gUd59IBYvyJRo90VXhOmk6NNAMRqvHbgQ32Y8f+Qdl47jiPZFv0iAmQw6F5lKJe+0lTmC1GW3nt+
/V3sh5lMSZDQczHz0EB1V4gSyThxzt5rqziWe5FPj5MTmQcYaTiQef513Q1AtTHiTCyJeSPvvEMe
1E697Gso1Yzl7EXZkB1bNQbTePA790mv24vaYLZFwx8hddCuRSmbQ6g5uDRNx4OCwHQqE1G67TX0
O5lEbwqlWVtMohm3Rdfd14g6Nx0KV0h3lpEu+Yd4U2LdxBOT9s9RZ4u9GMLmI7HzIXCNxHhLMPYS
I5sg4qwkljkrH4rV0JQvENTSO79N42CBZnkOFU9namnu53eRUrudGYeYXv3kT0joAGIqrVxHnUTW
5pjFWjOUd5m106NPNhZ68BwvBtKIYNR/6H4dL51GVbsVUaf20rSqbNni9cdujzXbHKxu1dGevlFk
gcCawS22qDRzltpgzDiKKWHApkegLCL0vrXscRnE9kOA1zatkaLFkT7dYBQVjBXzob7BCULvPh+8
akXi8w+lQkjfRN3PafCAXPaY+5Ouf26bYSIurka7OQ+Z4lLZGMx4tlperNsk72/MDMGLj8FSW5dq
F7xVDZqzReGRwOclCmqkZpoNrWT1IWHo8xaZ7+TryC4RmC+WtpM9Twg3QyfdWULdeY5gfBSk5aos
8IoWMa5ShaSOrY7fhkn+7FSKYdPHjK2/R+OobsYxT54l8ZqtK+zuoSwi4crR/ouIy2U+gslIywin
Kpx1BxcIJIHWzL8ek84RcxF/0PzxtEqHkFeLBJVTuDeLjEjmvvwD3UTfpEb/q3VgkxVWHNw5FUqE
Mh6YbWuhVa51OW4qcAu7diJKuUh+m/htWl10fw1DIHQCfRAX9whK4AHhTvbuAl9Fag4bRbT+Nh4j
5BOpvxpMMRzaPsk/2iEvniLHEbj0GrifopqQw/smxCyzK4gzDND3ZTrjtqRp3uogbMk5DkBXRT7d
K9m/YtHjkTAL80fH33wvJlW9UXzlIzDTfa/Kd6eo8FkC2nIJ4yk2JNJrT44R9Te5aJRVqeeRWze+
78YWzt0iw9baF8OPsu0KLtRk9s4/rrQxee5RLbw3qZDvdjVEb6bu/2hSBwd8Y9bp0nBkeTfp6POR
imsfIzjs3xbDaBXWRJkuJA8XM2SS86T41cEkMOtGbPMWM7YR36h2briz7G1h2XW6Cgb+anw2tu9L
Fzs9k+zB09toIacIV9gUIOOWmLBM4FULWev+7LP7yDMIAGZoJX8nshmRxbePUuffCpKRLMDOoZpL
zY1M1VtcOs9ebOePdBPtbcZUF1ia+kKmhAJwHmF5rCtE41ZgPJDoKd22LAzPwfQfDwCfuvYdxR/2
VLOgReWrQBhrzEyRFGwdltYpV/o82rnt4jOj+KjY0Ai6jNoJJ1/oaxiAkCugYa6UnRFxQ8L/iIu1
1Zi3uWYh6gAGlSsNBjptSm9TJuDFgJoQD8cupWS4tpGdKZvBD/13dzmqDkzTxpjiSOTBNp2fqsOb
YDCaAT8V35tGi9yzHdX7PhkegmiEwuB05apPmmg7dIVbSCyASjYb+1q0ds3UEZVgaDb+75nIo3WL
KvEPVU9P3gmGg414+04PqrshJGfT4j5RMZsi5wtANaD4BflfoRaNVXoiKWv7c9R7A2ZlNF6UzmEk
jsdmTwwqMi8jHElCxQWRxh3NzoY6HN4OBoHBWWgWOZmd/CuxPuLI0u6tRjrAkIYNFDB9nfKmcLtK
Xom1OlPAfvkmj0ofvUELxYlYuFaAwrSegWrID5aGX7mT4y21SlwB1p8peb4sONdinwoDJcFx0ZW6
5pLFyBuhDVE5W91PH7kiurZrAbTXVjsqeYC+DKOOwsblOpNvngrRoRg7wENm9AuH+vvlsoeWxbmy
x9QYYqnoF/mLv15daGJ+orlsuaVmoIOIY2yoeYjO26GTFVoKSeKRI3dsLc6rqk35bWG13T6hA+LS
nRvu6shR3gJm+SMHmbcore+VWCO8IzZu8iYY77Wi7X00WZV+6IdsXKM05KnEPNAEbNOFRDaSu+hX
HbATunXTtM6wMKJ8FlfrySJNivg5c8LogMJ/fGnGlu9FvZ31pKOlPOgz/WUk/4UX1ZQvHMusdmXV
PyBTNdhhgNTF1a/RKDBZGObemiq5aWpjlZactbogxSLa57syC4ZFjnZ1kQ7FM0Ix5S5I2NXZnxd2
Zshg1UCt2oPmisfynf8Wyw5h7rW1LgTa5BgxXZ/U2CYcjvYJklR8qxOCilZHqWZ36ao2clSzgF5H
rEDY9/WVZTSuj2ovayx3KPyZ5rIJZPbokMJVhhUPeucV9jLR9exgZFa3iCn3Nw2Mk286qtWDhnPT
p3KB1QYkeHp2VKbWfe6B0SLPeyGr72YlcOILg3qvwHoSFbnyopMNmuGKs6fUufKMnHsoP795j05a
WcVbpJ0IOxyEf69mf1Hp7CrQmJ1+m8t0d/mmvbbY0buUgYcZexlseOSN9Q//MVV23Wv35/IiZ5/D
T8/F0bm8KqLe4VA8uX7Q2Js+LF6tornTE2V6GRIUVZdXO9cw0sWn5Y6O5XmLMLJsCPBOFQPSeYqd
hYoBUFRRhjurbJ9hTWIJIiN2ZxiGc5tavP5lVYNvFtaVs9DZS+eFYM/9TdU8bqwnedVD30iEW0+N
2PgDuZ8FXgokb9VKs/6H5ouO29NmRgESnUnQ1xdQQoxTnSncOnE36pgkEg+ttKGvClQZCzVx7vou
vY3b5sOh5rz8rZ+9kWzSA1SDnEwwrV+XtkWAMS7DQxMZ9pogoUAd7qX1DPjCMLMrX+rZ2uTTWkf3
U9AmmA0VcjPoRiJ+hgmRIzN1NRl/v3xR1xY6+j6dMjPzRPB9Wml068e7xjY3LZS6/98qR6VWOSKq
9DueQcSGcb+fcLNc+3WuXcj855/2Xcgs6tgFLFHXxaoKFohSVwAbLl/H2Qfv05vrOBKureF3qbpq
YoIhRQxq0TJeah/oLtfENm2u5Yide7Q+rfbPuO7TNZlpohJNWJtu1r3VP4JvdfemPl++orlAOO6Z
fF7i6KYOlDTn2eb3b3XzNh1Rh+DfCXMOt82Yr5gZf2sV561rOCtcXvhsB+XzykelizEquqEq/GCq
sMtF1yvfc6zBLtaQg6IYxZ05vrBZBXdDWpk7vw9szAbYVksmKSu98cWTUXX1Llb+IANWn+BZNXeR
lmGaCvKlZpqgYwKwy5gyU9r3cNywbRqYGQhnVxtsHHNxjLhfxYr5zQR1kWbFNx/eRlTlv8CRpK95
nGPWKr5ZAwY9oXzU/ZTsFEV7sALFWeI4UtHGW2JpAR0CKRe9K92kHjJO/X8EIlx37DwM0c26FXjY
ho8oRMNorLEyrdTgxRl9CHm2iy8Uu05fRn/MMtjD+Vkko+ghTfxJ2jq5Tdn5wWXmt2GbTH8rJPG3
9WT/RY1/CyEQJTwoMm1Q3vVE2zi8ntY5wv540SHuB3uBvSCzXkVQbErNPKhmcaVbq82P7fHNw2zG
EaZULUilRz9hS6s2YpjXu5OXLWTT0pYtVxpmGZg4G917acjuTiZlE4+/hZBbOZgU/mJX68Pj5ZtJ
U+f31IWPYhzNMvwqjyxQ3ZObih6fXELbJe8KwKEMKaHKgOi9zyFTEVm31nExDjsvLLK/6iiCHeJw
9bEaTELWNJB/pleQY988cMLKxmWYkumqgaXc6dNgvFEP9q/RmL7S1XTpQ7zROfToQwz2rczKno5C
nGIUifvhoybXUV8MQQgRZMAa+n1KrdfO0ssn3c6bh6Zq7wxtCJ+DWJU7x26VB0UDyqrQTBvjQWXo
1KjrIcSDqSQFFGFFCSR6Gguwn9k56WNCculSc8JlW1ie24ay3pMNASpINmBznYTCGRvbtoTbrYMO
feNw4D84pbklMVNZBWwx0Aakeufljr0eCBeookS8qu1sYlIAP1XdT5WhFIisWY/e3Xc1L+/JoUWn
pPUeON3ObOxobzdIoRN4r1GDN7vP+/gpSOtV0WnfOU0DpY71bT/aJtY0CyQJCJn2hfChn8owrrSG
YsEiWDPQom5rBiDfZleiemcHcbLOZd4v+miyV6Ea/5Yh+pK+1Z2V0+A4xkJQXXkjnVM/EJ/6n9vZ
OHoXZuOU5qLgdpaAQkOac0Zj/BxM9O/wQTuvdWN5HznwZKMrD5I496L/vPLRds9LIOjxCTKJK2a6
xijvhZXc0z76FTvKenSc31Y2PQaDSv8lDXdmru5IraAtEnjDz9zAY24q735p+39CFZISc5JbqHO7
QNrPuJBeUwUJS66n4bI000c/h73UpOjLLz+E57aSzxdxVEpM0svivKUgRTAWL+nzeKvRZ3qqFgGe
bfNb4P2davNJrWFVXV753Kn088pH5YWapLRyzdQkzQzQKS0HeaiaygGsQE9zNMd+V2QlWGc1W19e
WJx9A2pzIAsdC0sc51yhlWpQbWSmKzVF8pbJFp2EF6xOwGTHPFg4nRdy7gofPQ3QQxFkEOf172bW
HWy9rXe99V7bciknoAukrk8jIHxHPkBpWtCxXflOcxMNA3DTIbuivD037SLu57+ffP5OP9UW1Li+
OiWmdOm73Fnfc6jC4T5BWKyb8jFst8qDiK2dkN6Vhc/e6p/WPdozakjmjiyYngaEvjoaUMYYl2q5
8NPhSpbDuXr90xWKoy0hJocz9UruilQVtyUdyTHoP2poza6lD7t0HJ0rd8OVSzsWqNkwnrO4JukD
6DkklbfCjNeIexZV+OvybXf2yoghm+OgHOIJj15UwChVK5h8FQ0R6lqI3jfOAMl0iNutXSYdNMBr
Xa1z1TUxbiYLqho5VEfVtR/OFmtrHDhs2g+GRhailT/oDIkuX9jZuxJ1lkEzSNMc/P1f70pj6BSw
h/SX+tEDQws9rfANucsn660NHevWQLlGVzp5VD2j/zmKaWNnuu9e/hTnXiefP8TRo8FTLE2aZ3g0
o1K4KOWXLQFTm7YFKRBGQNqHymRz5SR65Y49f/lMTB1hMTBFC/L18mUVBB68ccvt2nF4UhoAy4Sm
fZRRfjNqmo17jYmXDbyH3CxaUBNv2Sa8chefvfpPn+HoZTqYPT4ntaCl6MmbihAiXat3Q9dBw0zr
QwjZknEZGeOXv3Nx7p5GlfefSz+6w7Ah4Qmc9Y9KBSRHTFQNaafvpN/5uwGZcc2RMVGeStDXDxme
OMwXMEx93IBFbTq3PpqEl76GyKfxiGOjk2vMbgvNjh4VhZTe0VtURvfdiM1ncqaabUYJXSnSWVdo
jxiz5fry8gWdux4E1M4s+kLxdazpKQU38ITk3nVCO7vTZA5PwTesHZUWczzMaLal59vLa/4jQT+u
gj8teqzo8UZKUlz5NvIQM9kkTghVrinjJ91S4pIcIPGsT61/aMks2JRTRQk10j4Gkph4b6Sn4IgA
h7/Ki6n/qNpWee47B3+a8DDli4JYrKbrpmWRj9YyzzMLyMxUOXvFk/03rSKcPNZScctGPf1K/C7h
TGUo0T0JWx2xUrjP9xVM2aXeacNW0frkPvaIvwmrdjz0ozMn9jX1lXv53F0lZ2Obo1qwQszjB0qH
Y2E1PoJvOyIz3pr2ca29ztXWGn4YdtMk8T9Q+j9YTWes89i6G9T2yYbYknXKsFFj3MpDGQN9aFW3
HAQQ7cTZk0rzowQhvwrrMH6sOQI8TBpJGVkchPOt9I7X6lspmC1e/nnnR+Do153zByzV5LwFleno
tT9YdmhOFmf1MEsBDAZYQXGs3vkRLqHLK52bjUmBqQqfMa9U+3iHyTQJ3EMHSpdMKAlyYwrpeAjb
ZfC475Q+cvWYCa+SVdOGMzoYkHZMfgVpDLl+kjgco2nTGUK5raWId//LZ6NKl47gNWn9Y3f7VLlE
tp6Udt8PrqA9jZu/pB0vf2aRWd/UeV64dtHOJy4LCxGkskR2fzHtgiRqDiShio8MipPVZcrq8sc6
87xLXDb/+VRHr83aJqQ4zzwmb2QfBLq5GPKdEmbLOLB3evt+ebFzfSjJXc2xaZZMO8elxkQEkYnE
njHuAE3fLJ1lnibBnaIQqASghwok/QXMt77VaIW8wabeSDu8G7pGXPk1zhTAXz6I+LpjDYz9bHyu
kxsnhnwhCMZ671rn6fLlivlvOb7z9dngR/VhC/NYl97jCg7YAHlHRHnj0MlWf9d+5kK53vSeXqz6
Rt8UGS5sw0q++0XtlthG9z3kIDf1beWDQ5+Oo510mZrRkZkk6q2EK6N2SoWPRboaeeZ3UZM4V4pd
e64xjz64TcHMk6I5NvXT0SOLmSVPBkisruEDS1LNmmkS3VXNM3/GtGoWAyC8jNF/CsW0AxOcdf0L
diK3V61963v7shYbvanbTebQvMpiZuR6szacAS1+3e8IswnIfsK4I3Q880ULj8WxCZiKemsVEjNc
6rUTYb/H1uP2pKdAuBimdWLUwWOQtG+VOWXfRo8BUQB79Fdai+lmahyH4CPw2jQwtqMl3diIQaYJ
Ue61PFBXKFW85QD3DRJpNHDgKf5M+lTyDrBNUobAsE0mCU6VFJEbOxxl+jD/m1rATPWQAAMtLBHl
hOVPb9KqZV4I+9YUXXFH1Fcdr0g20IqtORrVXtMN7UFXe+MQFUP3lI6EUzG/gLCjqmM9zHT21y4B
wEzrEADMJuYwAE/fpzZIwO9hev1fylNb56nDacpmcvIGNpNyMoB4kXvekAVjNfYq9bs1GOsfyCLA
LkykXxRF2D6NY7BTS3mTtHl7ZZM/O4T98imOnjmlmMPWbPy8zRSpq6wBEVl337W+NZcGmSCid3ad
V96lRo2TQtl0tk5bUkluK196btnqxjYKRbfT50Ao1aHyMaL4xqKrw7sLV/eCFuymV7Vyg93tsSHA
bAsA+i3Kiy2hrepKawV1sENPLzWfTSv7ZWvynnIBTIUGF6Yeph+ary8dhQBJAEpLpQ5bzuRpRqy5
7rznkpPt6HTVPWcISP1FcciM5Hskw4OAZnCPRTO4zUofRptfgD00RfNa+W2zzHsuLGkHfavYNZb0
sHTVQKZrv8nsZQRcYzHpJQqZeFq0qsaTQDnk6sS8IehHARQwNLuNDfugiJY0rJy0gVGpg4XWebvC
AfwQJs1hANy67QgiuhMW/VscIRuhQfqtQv0RTEHJyR4YGgqz33Ern1Ly4FZ+3je7oYGz6ATRryIN
OZaQe6A5KZjpoVwFNNFfqrz62SGWu4/wHAA88FYl/wXhpv0dEOP9QLzZKqChve19/c9g5MNSSyDo
atrA+1xJh/syTq5sWOaZQt+WluR1SteLnI2jsxa5VP0gAlzaRoWqK7NLy17moQV2dm7yCd/4kUcK
SFojc5KfJjD6VVbRKvQ9dUFtOCJLgcMfFwaARVOCqoF8uez1qoGoZXnrvoqhB8tqxWHpqYqwjek2
8L7OR7XEL4zZFRFJmAV7MYo/SkGXw/G0/ajzChMiyX5NNJEWYxNgDTa3/jCBp7Pa32R9OLddEjZr
f5Rru/tr1tlzWJsAKrXm3ixEcVuncQg91/PcvIdSxJy8r6ASFnAsjNhfT5C+ZVcuczGiS+l5HSmH
gIH0MjLHbU70UOUn5NhBhWjGoVsZXX1TdV7KUTtCo+ipYiPba9GvJ7UDI0UMwej/GYhgvJ5/qU8V
jWjAhtlBywdT5L5v+lUq0lvLBNqpkHyVdVeq4pPlVHr1n374o+USwCExuyUu9gwKWfd3DnTjlnWF
2S4Hq76iwDl3qGVgqwGm1RkR8+78enVRN/a1l1C29vhgFqrRHfzOe/JqOeyEjsYxNDRy4zLiVFST
qbFzw6anbi5XEGdK5y+f4ag608kznFDSja4xlQDC5+SAqXi1ZXGldfDPse54w4e3Yxn4A7TTwllV
daeHK8qxr+iZy0ywb7QXM6gPbZwyoGL0tIKGV++8Agxf6P0OUP1WkIVHL+Vw4f12au8pZPogzERs
iuq3agKGBb641Jt0Ke2fYHDIiBCL3CteyvTdtDmmmKrfQAa6Zq8+9374fClH28zoePCng2J0oe1u
qzkgqdEx+37r0+bDrno2hGv9j3M35ucVj+4U4rqDCo4iCcil9ouYg3uJ6D8GqOUL8jrV4e/lm+Jc
w59HDm26RbMJCsb8eT49d/nkNVFRqQhcs+gx4/S6LlENxKHf7oQqbvI25YBcGd6qj8CMkx5z7YLF
fEVHtwuyeJMjlsDidHI+VYkeDUKYPy6SeMSbRptNpMACDw2NCaQedNtoA8zmPk4NfWPVlQdqVT5q
PYNKUuKgELVtZsQLo6g72Nmcn8mKVb5JtHpzjUkOlAMZsYmbHz4H+ah2fhZm+vvyt3jmR/tyCUeP
lrAyw88Z6c0sGLh5EDwd9IkVucoalDs7iIIV0077X7dXHM00hCE1zXBsTFNffzqzkGocgspzG/NF
91ZaMmwUY4fU7k61Hy9f4NyR/vobOZplzgc7XSC6OT5v+kHlaxXQPc5ayF4TdWLOibNoFc4oyT6K
/kF39YvEJgpBTZq3y6uffL3sDdycliZR3EF/mN9sn+7RXhk03GHsDah71e9EQBAnapKHS3LqIWHQ
4WGEuPLdnt6VR/vR0ZeLuD1F84xtQ3g+1gQMhcYz4n0GmxAim5VdhDe937yTA7IZLJJrDUtvdoR3
Mpzuh72nGreag3NYJ23m0Qh5Q02x2qJEN/P7fFDSnWINL5FtvhZpkqGKtMrF5e/s5BebJTo0L/Aw
03qTxyoNo9V1IwItRzMim17DEc14QnKRUsugXvGQPdYGKY3IvQNrjP61s4fhhg5egIRNNEInR3Ne
/1KNKAxd0yAJbwS73B+GrH3piHzwAtJWfHPb9O2Vau5kg2NV5vAcNel32Y49fyWfbhPF8xXZgTN0
Q6Nfp/GqCrV1qFy5MU7vRRbhLoRYhDfcOJ73e4RDD+Qkz4YAwme+yXwJzm9RPxAM929/wHmh2cmn
Wbo8UXkpqde0okq4Gr/8O7T6hyhuWr17qNp8PeqrOf7Q867UKWe+Qd7CJJkLXHQ6nduv36CtV+GA
+QThRvFkAmuLyGBw8is/08mICJ4z0eKWCXLjDIAiZ0SjOJInq0y2vYqIP7T38fQEnePp8jcoz6xk
0KfHBcnLg9nk0TNce9JxUq0dkYMnQB/rbROON9h1V4ai7brgXY2ttZf9xWnwAAAPBVMao+bX7k1/
W3blLz1ALKg3uE9R2anlMykoq8mkRmvaV8yqgqxF7UYL98iHnih4bpI02CMDNyUAz65+kin02uEN
Nz7qVWfl5ds6rTcqoVb53eTzBrWKP6h51hOk+cgJ/hhW1y0To7oyWD8pYVDuYncRDGbnL+N4gx/Q
8cYgaTtXFzhpFd/aAMgghCabEz56kgyUdVmXxZXXz2nFq0H0wsNOyanrKgEaX28lJnNp4aVJ72ai
sxZ+g5jD5AhO8WuqjxVdD6/UP5QgXUNPjiBCXilCT7uDrG+BdLG5cP7heH3OXwSR0WxxpQ+XuLAP
nQ/q6zVFOh1r29oMVrW015p4ttNbJ3i9fOedVlVHqx/VjY4g/dXAUeJiO1vFhHZwwiW9tl9MQ7+h
ZbvUc2IKwOcycb7y3vhnpvtlr9Z0zWESNrPccOY6+tdvvlYH1OgBgbgA+r6BqX8zs/7DAimybTTN
HSXJAFYDNJQkuFIbTHDz2Sor4NAn8m/uaI+dLw5RRLPbIp21hbHem081DMzLX9Hpq4ZPyW+De1hY
jIaOns2kIlGxLsIej8DjbH7q632V69vLi5xuggwJOA7wKtMlraqjRSRdu7GRqrdmRFOQaVouAp92
1ROKcCLXFz2tuMsLnj5sXxec//zTFuTJdKqlTuhX1QDqS0h1zmLXKEy4z8OB3uMKCegVz+7pF0lV
9E8zDkXu6V4bGbVjo2Hw1p2SkHphcErPtiQfXmnjnnmg2M9hPmE1s4TJ8e7rpcm6tkTZ8l32y24l
l8GSLPStXEV3OgCC/JoxaX5Avt7EX1c7+iKRyIG5J0lyLTfjunADuvkricSUiLFV9kJqzeXfbf7w
l5Y72viUphNJ1GreGghxnDvwXpUngW4nnap1l8T/z+/yWJaBq6Ql04vlpvtmpbvtxluhkGxdZYNh
f+U8X744CBuXL+94VCKZQw1TwXppgjynMLQ1xOTwMYEDugo6USzbetw2BZIvPW2dxURoj+EwMk6b
bgM4F7scbaODF5QV6FD1l8Gk2R3CHC46m+kgmR4gMLVXtkhipHj1LSotKuZmYytaQhewgpQ1zB1t
mG+ZVY9rmXp48tIfXWp0pFToePglKPwxSZdJWGM5FMM7NfEhnpK3ILI2JOG9BYlV7UBIE18IyX5d
tWScCz3f+LLQ8GzkcnrwvNKtTe9jqolRVmONxz0jiNpInWani5g83sRf+Zr4a+BNRaS6rr1sQ+7g
k6HXYiUV5dDFjiQWZ7qhmHzrPQ/FYUap2mAZJzkCT1FjvAcS9KxZWwTLRb+GhCBEvR9Xtj7+6M38
tZu0YW2Q/2TJfm8O2CkjBmG9BSbGlMmwzWiHdFOzh4DDppvF/Udrd5uosfetE8sfIjC9XdOLGysm
0SiZmiURsrh3ajdzbHhibXPwfdG9M2XW57nOWijWIxoiopfLsG8W0pv9bvgCQLOSU7wYjGILZX1a
coPfhaDjb9rKhCuT6DdqSmvYSoj6jZHrMHJaTF385oNbu1Pq7qDVGH2m6qksFbe14mExEixza1l0
Yy07StcaSe77JoNoW2rTdGhtcc+w/Ztsgj8KAHGtHShxIoG5xscEN+d83ZWGcUisfD3Lq7JI/ZtJ
KAZKPkdJC38/yOImDwVJysEqzAm1La37aVKxkRuBwN4duLZMN73vIEwkAn5tT9oyULTlJMIDswhi
DJPqtfQmEJgZ+eRTHuQA2vuPSNV+dvBTFrnaPRN7oO7bICeg1jZ3Rqlv8qYmoS1jWlI0xMk5mXLg
6f+Y9au7y8/hSTnK5MGgv0FtQFDfSXWdVkY7EAvBzO73QOzWE7nJ1hX1zMmGh3gEXxr/m4u9E8JT
SP+jtJwhcaNduNW2zhqN2fY69OZkz6FZA6LF1gWwTNo2RyWGyQMRmH5Blpu6Ul81TIsvl7+qE17r
3A5CrDAX77SnTr4raP992A1T5mb+ZrJ+1I++/lY/jPqSxE3TuJleuKWa2zK60uc4/YmgplCY6JAg
/qlcv25yA35zvzH5/oruG7OPjDkalSKItcuXd/ozUfZwIzgYXM+AuMLED0kfqSKXBAmnWhntQw33
U+9W9tbWQzDom8vrnWxvsybMBirFuYoZ8vGhdcRqFhnIYZgWk+fGeYMcQEynInWvElRPC3/cVKrG
MEVw7peI5b5+hbR47WkoYVEXovwFS37jK8O2MoHSkpFY+H/oGAPR6lc+O1Gr/ltXnYEKlcpAIwBR
R7JxtHgV2uOgBj0bXZPMkPByVcko2EQDNkoT+6IVDddmSKcXTHflU2H0z+D+U81ne12lKhqlCnmb
aORbZTfe0o80D539piO+hxetVFcO6merMXoDKkd1kxr6uCVm4mPWso5F1c3kYkXdKEviRnf+slr6
q3/fisDb8Gmx+an5dIURgYNWiMtzPUiucInQHYW2bu4DElUHuBLXwGSnxyeD31DS8NMoNG3zuJMj
iFipCrVL3Gy8M9S/Qb0e/+Sgt9XnofpZPntPlx+P02+T9fi/qUHFtHBxHJV/rVozm2EE6Darfq2t
yqW98zf1Stmkru+m12rb+e34pdgEceVQRtNB4mVN5/vr16nYDSKUrslcrdZ+Kq1cG4S++2IfpeFG
ndbhSAakQl6WsjdxVjnq7JZtr5waTt8IbEMGHRiDFqEJ6ODrZ4i8WDRRVPMZknd7XBB2W/+pH666
+M+8x+ldcfyaWVEMWY8bx2NkU4tNQ+x63h2JydEaY3bur/tnNXDBGzjqpiHzbSOu6cROX+Rf15Vf
r28A2jqaPusWvF4PqrEcXnkFXb5tTg577Of0OWcXJhuuaR8d8o00L0OtaTM3xJ5ym0XfiieN5J9u
66hX9oszvxYr8RzMTC9BM/zr1SgNLFkm4DFNx0V/pwWujF1YSeHm8gWdW8bQkfHbCENmofPXZSjr
mykgcQPW/BgdgnHR36NDjYx//b1ZDBFo47PLOqgSj6oHgsoDZxwLDlv4stwu7n8R2yOWZfM6GVq1
0Wwm3n5tX6m+Ti/u66pHd0RJITNqsuac7CV/hsAgy7UgU6p4AhFDKHNsXmkFnNZIrMe7y6T3yFZ4
LBcH3mKCuzecdSzr92AIbhLMU09wZoYr75PThg/9PcNx2AVguag8zV9/NnJWNBHK3lmPmXgpNbTZ
qSDzZwpWna74BwfZRK1i75eBTy5u1wEi4egxpNFDpaUH1Ruq25COEDIe8S3KnN+aiL8XjfKK6GJ9
+QY7951YCCG4tbCLUIt8/aRVJFOnLVRnrThEvE4as6MGjbk12Vf2x9NHk7wuAPwoNylEmEF8XUjm
iRoPonXYsQbC1jgW5v2mLdGelTQ/DQF3K7DqP5ev7rSq+7ro0ftg6pFGjmntrMNKpATiddt4SvdW
Y/r0Zpy1Y8bfJ4JZfF4Wlxc+fdmxsKPN0wI4XLS6v15t6xOQPfU4sosxeU/V+tAZpHk7ItvCb0qv
PL1nNkvuWwYss0+MvtPxjc1ESwnRmnG2EKO9FQphc3W0M+v2m9U8O3bwEk6FuAtaqhGJIT1gHLsg
/OyqEG1+YL9uoxg/HJWBpAVR9GT82ZdozlolIb4nWJDs+U+oA6mQz9pGdfNVsP7XTmRmIjzGNvUz
5d7JdTf+JHk6WK/zV+ofH2LHa/Zy+Yc8U/hwHJjH8EIIVF3HAxhR1JmIy8FZU0A8VxG+SoGzraBH
syRwa9MGFF4QmxLXapV4Iay6uXKA1E9vYlproBA4LCCLOim9qoIsYG4nxFC9Gt8kSrRIMjNGLgQi
2C+J2YNnFy4LgnXWUgu2udGFy4l2QUO+qjvyFpVj4bzr/Xct0HOi7ipCmyrjqc+Ju5w1X1mcOuu6
6crnsVAe+8S+I8W3VBcNiTNVZ1UPJhbQhZ8zLS/sP0Wc7ys7ZGI5xf/H2XntNm61a/iKCLCXU1JU
seReZ04Iz4zNutj71e+Hs0/GkmAhf4AgQYJkiat+5S2YAuv5Tdn/dJThNujSZwHZ777sYEJ+vwpn
poBH0Fp09NCPA2H89Thpc+l0qnBMP7Ic5CzRk8HFC9X3wspeUYMKPXSw8nUNxaCLYYp+P/jpWaZf
Qj2cSFQhCT2u3sfY0DhdAne7qx+a905VXI6Pk19Y5jNxma0xgGPjisgROr6J9VTL1agRlt/i/kRZ
F7+kEIcnG7WtRdzarK/6UYn3sz1Zm6aK8lVXg7dA5gsVmdm58M0nz4JJcrGwuDRaRYgkHsUdXW5m
uYIMlW/2K/UlHAAlXxjh5D0wEczgcSSo4fk5IRWVMzz7iJPtgxreKkbegJlWurXOxz7p+rBJEjU6
9H22+34xT2KOv8MSTtlU4E5f5gY0YxVPqun3VvrYFajzjIavZ92bhCCZ30py5n8/4MnWNW36t+iQ
LAmppetHT5CRd3UfO8HkD9YIx3q8b6LqTUq6HwU0cHT9bsyQbG2uk379/cB/M+svtzFXhUxbnD9h
mpz0+9pYmlNO6uynU3mgEIqZYLUxDs5UXlv6R/GzKpy1/abPoF2l9CraDjaGnNrgtT/H5lK+ejrt
HB5eJ1Ohkgir/uj1t6dB6fTYUf0kzXaoR6Y+fq67FMFWo1YPbVE8fP/xp/sX1WKExdlaPA40Hb9e
GDEIqkSYrcbSbpy3Ktgq798PcPrmLrrIQP9Jh4kplWOpTV3ogJfBnvnaY7sKt81G8vOtOEwrsYKT
diHbOK1oQDEwqSDqlBeQejl+hUryADNa5J+jHXqpPkXrbUFpATLu6j8jRRY2Ax06dgwN/pOlSqTS
cLAtB/a5WT6r3cI8X8Oov3AuTnYEw4DaoCC1ZN0M9XWFTHj9er8Mk497p19zBd3rDn+5glv39P1a
nWyGv0NpsFIQRWUPLv/+n2LJhNNTgqgHeq86lo1S/yHhbwU6TcwXlunkTsOuBOgBXiyKzkNhHAXT
slHUyaA3Mlq58Z/anjehKv4IY7wx1HuQYbyh/xn7svTRZWrY7HTC6uNHo8idsQtlfVpn6gpfb6wc
aUh4Hb7RziU3sjOzCHCI6i9eBZAMjofCZUWpHALMtZpl1NCSLuC2QCpU6ZvN9+ulnNyZfBWN6L+s
S1tDVOnrgtVViq2sbgG0qce69Ks5uTILUpO5UE0IFWbn49MJlyMqwhcxypUrWzmlRFXGntQI1Z92
2wJJLAfkRppsxb/SnqQpwCrApKyE9gY8kO9/8ZmFx5+KosPfB5PV+PqDC16alGbvtJbSYdqqFdqG
qm5YLrJtEzTd8DD0xlaTs0uSWycBNxOloyRjUvVfpK6OrtUYYYbYlAHDYqvirNPGGvZGGf35/uPO
rQbaUkRe7GqZMvnRxzmRpooWNKiFhurPLu7KO7KZX1C91Z1kl8I1WoR5qmGW3MoY/rPt2NJx+Hf4
JTz75/QmjTzkWlMAv02yYCdYRjClZvMzttR14LRa44Ndp3iuDH7Jg3dl1ZK5/X4Gzm19gjIQX7wn
y7X/9SdUXQhJZZLg9qEy60Z2mXzYZqfsZTxLL0WbZ+5F/d+xlq32z+fCQ1GLBhuedWw70AIC7E4x
Ha/EHuj8NXaAF3bu2U/jCrYpBi5Z1NEOakUZykkHKAd6B2jRJaRUlOCh07WX7+fwlLzJOoI+JA7A
0ZE+1dFIPCpdDXsFq5PQ6Fe0dRpccfF6d9BlXSm1dQtFynYdHN9vZB2rN6vWvcq2pw/FiPbgJomH
ESHvFfPCbXNmBnAaI8i1lQX7clxpxny4z+wMpHDHTeslkM/8pIOhF4FQ+n4Kzoy0GHWRzHGMSNaP
bglDRAaedf2Iqro9XeWSrt0ng/rcN/kl3OWZI0sxR+Hm5PbUT2jeRtprTdk3I03Hdqfsw82w1vx0
3Vw4F6c5i0VKbC7vDrBnOkxHm7VvyJ0pXY1raYv29jr1C0940x2smU27kVYXMSgnxEXGo6yweFMu
BPbjNwi5qUQdEGheT4unqTkXXkDR3M3rVvlsy1+KNiPKNaNwHVRDvkIC91IR+7QcwC+gLonbE7f8
0pD8ejzHBtFpgb7Num0XdwXoO1M5wuxJg41VZGsYWU8awkdi1gVdeNiR32+hMwtLYYk6LXWlBad1
tIUcSZEiNH/GNbXMx8XSHGXcxCvnsKndrK/CVZfMYMBRqEayOrpQwjv38RROyaCWSsSiOPj14+uy
F62RQgTVZ0l7HqLUb7Kp3uEU76MFbV8PdgR80YEFrqU/Mqe8JJt7Zr8p+DBhdAe8CmvN465p3Sil
XE9oISmPA6ahoHTu4J+4xj2OsP+L0h09SzY3LLS/feHj79XaAW90ms/rZFqcdo3wXsMl6SAQsZai
9EKUelJm4FYgZlThj6o0Zo67tMCknSxq0DUfkiEEA45Ml1om0QEB9Q3vwHRhJ51ZTCCoxN9QtS2y
/L9z/c9Dk2sod/dxif0Pin77OoOur+gIgss52u+NNiAhjVLhYKubpJx/Ufmq/vN1uGBg2c0qpIml
vf91N3XY09d9YkPRiHHkbpIo3IgmuQnEHF4oH51evCoADNC2AAnoDR3XRwUmGhKZDlNbJ7safjW8
peYQDN3v70/nuTmFs7MAFlhEqHNHB6QUuklOyL2LuPms7YzidcC/6Vnpdo62SitPMy9Ujc58mbGk
hNhLUB7kVvo6h0GSYlAWQJpLS2TQWuhQihrpLsH5JVel5WL7Uk1Ybh3I4gqZBn9z/EwORVIBm8Ia
JEdhMAl/KNYzfQ3Rh49Tdht2zuv3U3luOJ4U0LK0Q3X6wF8/rCMCykJqXeu4HQ6zLdxJMl7QZYRT
czXLGMEHl3QDTwMviqu8/ws0HSbiMVBB7eVKixcagSFurbexuJKDn/lP+9IlemYY3i82PqDNhY53
lCOawwCpssmHtSOjTS3dhNCfwJLVZlh4QKIuZKRnCgeUEgEeLdwTOkrH81glEkbY7TSs4yZ3FfaH
TIWxBwdihNVzFuevkqF+9nVruig2Cq+TJXvz/Uqe+wlLyYIXC+u0Rbzj61LmaauKoRp6YLCfWtXu
sHgznfyGaP5QQb0MTB7wOHGtUHPt4FLWejrdtIOX0rGu0eHSjm/VaFTGYi6ZbgM390rUOzmbELP2
C/t+aHbff+n5sSCHgPVCjeg4UYJ3OQ+N1fRrSMtepBReN+9i1QayPbgqQMvvRzs9+hS46KexZ2lm
kpN/nVZNjdWw6ut+Lc3mnakzFAc/yLffj3JaRWTWkPKghAanDRrPUcQBITkNUjrCa2lQPF38ngpU
H2XQjPmgY84uGVtS31u0K8NbQ7TPuVpuhyL0ZGQTQQcq91Yk0PXL9VUjp/897daIoqm+gWdA5uT4
yKatE2hqzoRTUm3epfStbt/b5zrYFo/fz8KZuSbxW5h2FJDA5R9tYdXJRGKM2TLXv2DW++roeNp8
KfU7De4wXKcLSz9WZkGPrwa1gYpspXzOFL3SgUE4uvGL/DmunsgcyIxWQ33hu05vWUD4qEZAN136
S8d7qBxGYdhT3q9nOItWX8ZXhSVu0IrwhobYFdHXq0g4zYWdyy3O3vz6mGg6yiMsG0Es1LCj210o
ihgjHWVJuXbSl8IadBxwwKYiIhZVfUKqVzW37VCHWwsRhL1q1H5py9u61t/0wLEpp+SS62hwckcH
v3pArUXyrjRSgXmhuS5VIZFWVvs+aZ3VJLf1owSH/RBaY/tqzJx+5HvqvV2Eb4mQCs+c4YzpOG/X
rb6xouFBzXFH6Qfn19BZu2kyQtQqknSFJvHnOA2Pba+79ZB/DIHqKp04zGYUvCmG4dHtFw/1Yv8q
RdFWD+0V86vvNHpWUz0qJaJlgMpnO8WiePoMnLFY2xHo27rpXke9aZ/6fvBUp9+qsfIsFSnuGaD2
xibsrxF22i7/YVYqpMWp/IGuX3/A+ShABngMEfnH/ELVXvD+kNa5hDWaFo9+NWUEBFJPy8z+HY96
7ZNZtK40LPitTL1OIchjEoQZU4UUjZxZ8QN9kHFltZOnCSfbGlmEVCaCWGNlOFgNaukO9cyrurOw
XFNWNu+/F/XdR0HeUbmd2viiK20Q4qHXz03j9WViY0gUoHWbzX7PI3UNHje5mXJTfqNa0HqzGay1
tlI8LSiqQx/V8VPqJDVSsfka02aMibPAAh1d3gb1vBPVvEVvCp8pwCqdrk+/7dyCPoyHAc5WHm2k
57GJ/dowdk6mIjULMKcxfoigjNwwKGtXmerySpohsrsVUiPeXCkZcl9tn/nzCKssCrTxRusQYprK
esLlWhilZwYmeU1adV5o5fEdhn7A4wsEYXPltaiX7VF/XrhwTk8IEYgGHodgcoFMqF9v95x/2KVN
O6z7mK3ammxWUFrZ3g6Ddxv3ZGPKpnutq5tNLjIvjmNtl1uI6ws5XDVNgHNJHK/0DvuJ1JzvqRPe
DyL+oHw5s90VlOmd8iZcPHiMLFaRsk2uYODYsT+NY7g27fzdzMvVpCkxgHisls3SOKhB5dyphdat
tBZvbZsOuGkzvxhk+WMwT68UqH84TbSZhuoV0eJtJxqxiYPgEUuybNfXwbUOzMPD0wJdZjXO3mMD
ld7QMlM3DZuVkqbpelTm9C7tWx2QziUFxTPh+RIK0QIgGqKYc0y8a1AzlcCB92tnDu6iLLxGlOMw
wshVsqz0mgXyJGr5RZDBKh22D9+v6Znw4Mvoy2X8T8IVVHXcTBmPSKu84EjjVNeYU6/6jwmNmu9H
Oi0Lk06hkabTbuRiP47Vy1zvbTOd+vWIQojIOa7dhdztb3J2dINThFnko7AsJ7BcPvafjylCWeGC
oRRgvUWPOgx7J7vOkGWprcSNK1yy6nYTzNfD9RBNV2X7CLLofqDNmMDmER2s+HxVo4Go+3KjrL//
+jOPGqEmOpULzxBQzFFglFTgD+SUeLPE6kkWq3rUeSDqFd6Xfmh4g2NfQG6e9gI5qZQlFvQoIPyT
clsbFancZsy3g7NbgMeZWceuCF6lxTXGkq+5Zb0IZkUUao+j+ETPyPv+k8/tbDrMVEUM+Pgs/FGA
ImIJlfwh5RfgI5dh+SlXP5NovjaTNfridn6r93f1fMnB8Uw9Zuk6QOkEVGfBGTx6x7HW6UqlIrrO
q+hgVjUqXHHh9kq1KnXlbpKyDynTvS40npp0elcDLMStdott1yXd/jPX5d/qMkkV8RN/fN2ObYOF
oEoAtdbyPIVZo8lriPDh3ZRPuZcJR76Qd5/Z/1/u5+Narh2aA1zxCTKrlharSbKvS/PFdiTEla3W
o+biCc3eUQ6uEeUXVwr8GLcSireYv5rCk5cpGJynzHySY/ERW79E80gd+Pn7fXF6EXz5ldaR2HBT
4nmShwF9Keo8iQHSTb80Ectp+noRfB3iaAtYTp430dAzRN+j6zljTy+9cNFWXqiGq1bDiUsylAOP
t419mYZQ7PQYDxC/c3WXEBfwlnpiqiwYR5mPMFvhdoqS0LfHqdGRioMalqon65cKuaeX8deffXRJ
VJQ5Siol07qWoFBp5j4bi8ALjN/BoKzn8KLP+TIN303TslL/3JdSNBs491H7z3VPstyBj9O8Gj5X
m3ixsyseqdChWOV/v/6nXggWn0kvVYVmDg/juIKpgO9EXF/p13UzZtuqlUsP49E9h2SHcEy6MedO
cbPMegrR3B7izvGwAnQNc7oRhYQUIVqjF96msxMPkotrasHfHOds02xbXRsYpBwp9q4sgtt1hBxx
Y3+EYbcQ+6ZLl+O5UwCkns+nLke+fPTwIg871R3ig2t0NXCyJw0NtRwTUm1cjaX9ogcz0n+VddXD
vawU5S3CdUqUGipUUv0y9IgLfr8qp3ne0t2G32DowPp4ML7uBbTYUSdtpX7d1A/zblL2WnJvRzfp
k9548vA/TPhfdQdgqLzYJy2DQa8MbS4YTY1ekx82ZmPZw5jRUrywsMsTc7TDyVvhdBOzksIe53SW
hgUqPXsKBfJnNs3UeOBPJZe0c8/MHaRqCzMbRE1t47hqnThWbgLV69dBnFouXrL3Y1TJfo+kJOiH
9HUW6eCJ2AYjmcQX1u3MKwv6gUoS6TmYrpNPtCfQdm0bYuU96GhfZaO+EmDyMbhAqK2I36xE/23U
whvVfJX0nfmfAxtaH38h+uC5aIEcPXJNj74VGMBhPUrRcxUUh7yvN3WwlM3vQ73cNOb8+/udeuZZ
/TLi0cmZq7SKaAX3KH8jylFlrjFD5sT5FkKsfKG7pJ+5GWwQ6MQT8NVo+R8dCwU2mlKpiywGIQXU
1wxfzg5DFA/txtqv2ip/c9JiRO65ewtV9VqVOrc0rXFXTIiQQyZGQ0OY6hb5T1/kQ3llakW8F139
GJndAx6trmlX+VqkzuQ20iK2V1bXUxd+TnKx6u0cm2SxMywF/UPNuQvm4EdsWqs00tdWrlIPSDp0
lpLwKsit68EZfUvMppvmNWcJ4nKR4HYZIg/f1lj22TrbApW0tawMl4Q8TuaJRjWoNotWnIxI4jFy
KmpH0WDA2q2rEu/N3kNcN8HaPby7SKc5DWwRySROQlWUZsbSn/p6U029og+KiPp1djeJvfOm1Ogm
lNfmq1pu8szt7owfyXAhmj75PDACKmNCjVTAdx8/EAH2p6SzpEloKK817U9oqL7RJVf5gBNYdelt
ONnhf3NBckIaYGAgjh/IyFBCY8ANcl1bs1tM2PE6Y7jtOpylJlN3u9w5dHrwUOj1uxgDNwwDzc1S
SmJwYa9DyS68RmRXuT7//P7kndxz/C7ieQ4CrxZclaOZB4SniD7gzdJUJMsjwBK2Eu+AsaEeb2ad
PyxwDSjiykoNsuTCRfeXvfTlLmd0R+MwgnmHjXb8QmUSIqpz6LDFRCE/1blNSylpr5HbN7h8Rv3J
CYdO8oXIk+sGf9Yhp+K2eOIoKKO5msaWrOYZqlzYPmWRNFO6wuZUnY37WC1+lV1926hj9jLKgOer
etHJt1ZDh/Km2RgcKefa0HtfbdEklmmmNRj5uMM0eNLAYZOm2vSUXt8ovRH5egDGXer9wJGn3WR0
5d4gq/bLLKh8YB2ePakcd8su0RpAtmnXZgqW70sLewi3cdePuzHlrH6/eKf8n2X+IADRPqbbeNIH
7BdIdSnVRBwZaqQBQrNz4evMCtK4aAHvLbzmglD2G8Vrm8xVU54MBS/r8bEZ/sSVtBpsE1POt7Td
F0F4YXXPbfmF7YNU8HLGjtFMrUIeViIIsBANRYhRoeMWf8ZLePaTcGCZAhiViy8i5/iYUqZjeNeY
SoVotGVvYuRlA+ThBlndfj/VJ8k+ubPMY0h8x0AU6b/eUKS6eWuWdrcWD1rpF8WzhAvALbweyJzf
j3T6+v8daqlaY65x2m1Q+hFlh0b0aypyzk4yuofUwD2nEl446tFG7YfryUreJMd8zlLlwq14iolc
Rkc3h8iZGu2JgFtQZyjn6JTqASF+jgHlb0f36i4Tblknd7Gk/iHIG13JCffGaL9gUXvQjaRzU4xL
1oaDwFERLmKq42quxt+dg6EygO8Lc3Rm0cETULel4Qdc8DhCafsoKfKMrVWHD9W8EXK3MbGL/H4h
zg2ykC6XSIGu1PHlZHROKbeySWW4r2nr1ZteI9zrLnFJz834QhdcsFo0Y6y/eoT/pGwoMRVSolBT
MZ0eRuyARGoYrmznrZRsbaPkeeZBzrS81sn1XYSstmrF+a9x7FaYb2+GLL0t8vETbOQe2bsrOY7v
m6bpLvmDnXkoqDz9bfIq9DiPTzPZt6gHOezXVQwg90Gynuxmo3zq441+sC6eAf04yCcgoKTGIYA9
cSpt5JRp2FcIVq1VScJOLcfAzareoi4p/baKdjXZpDzg4VU2zeASSt/E+lIVQB52gm+yQomyePt+
N5yLUQyOhmEtIcMCg/h6A6D812T086GOWDfSG4rvsb4qn5LHJvxtvBSv83N0yejozAYkjVx6V9yh
iDgcvc3EnHGZAVNfp8q0QkEsxAKgay/oJpy52BacFbU1Opvqib5nIwNYjm0GUT9bXj87dJ37bHSp
KMrmj++n8MwWAlWHHteCEiCBO5pB3ZalnKnFlrpa9X+Gbjf+EsNVc2ifh+nX90OdeXv+HerYEFFN
VaW2G4Yaax9GPdbRdP7FxaOrnmxTsN78bqBNvLSg/r/uiaAddfwDtG5NOKG+xNZB3OvSxsn88qG0
/PDNiv2L+nans6jKoFuRX6HwRz102TX/XBd6OkvW0Pd8WriSLJKCzp2bT13+iN/mbntpIk9Lr5RP
ePGoosC1RJnhqICVSVpgKEm7uMWs+jswOfkb5ffmIybf0N+KWxmOWosM/3/eK7Ag9UUjATkWjtvR
V1YlXdcEF8e1oqQ7O3d+2cGdNFLzxxohJUnSaCmVw+77XXOSEvCtaNosjH7QQCeZIaIImKYr9AIj
FReF5t5OJVfXE9dU7jilF4K3MxcKUS9AB42KGcyU44WcRNzFYmzrv9ITupf6oZ966u3/S08oFz7t
zK7hKgXAxRtDuH2czAkERU0p5GXOdrBtrtutcrWwbS5h7c4ELwuhAgg7LEbOxvF2aQ0jm4vSLtdp
p66KyVeTt2lcBfPgGp8NJD/nvnr8ftH+2jp9TSIYkirFEvwBEj4OBiy9VgoofZDgsyDdtCaNw9gY
uisttAxXTlVt1Y5J85G2uCGspFiUq1mxmnWUCWXdxL3mKo0mXMxQtE2WmRtDCZ7TylZRP4Rj0Xfl
7yGId3nfRs9ygr1cKHUPjllj3iCPCKlDb77PoBi6yKAhTxVVRuxa6tQ8f/+Vp7B2yLlE+Dw+dMOo
ey0L/O+x7x21qrIw8B1aomAJnEfDCbeGQGPwKq6MH/lM1aTiDcwRAbvpitotetTsmPgLP+TMnbdw
oZlo7h8KcUc/RKbXXUWJXUERW/RnkjUIhwOGR77il5tZuzAcsginzyD9Lh08JfEe/gDHA8ZWr4kw
TQNfa9Oud50A9RtXyqMWm0ipnr3UzBNfFYVGHTAySMXSrvJUa9qEeZm781S/aHrCs2bV/QOe0sFz
gkvLKrDS+3Kuq11npBkWrg7N4hAnrq3lhA22D02qUXmRo4MYitrvwizfldkQpqsoN+obXVjFSpHM
91Bgv5COUll5cTJZv7FkqR8Wb7vKrbrJuc3wmHCB6j8HlV5+Jk6c35ipUbmw7MGilkZPZQh4xtiO
rS/l/exWvSoedSPCUcusskWpFnOIKY5sfHWRFg+KYRuqZb+SEw05BxMb26DI59dINaot7nmRV1Kg
dWO5bF9sy9iDtYpvoljvPitLqcn30vjKsPTgPUqCuvWLLHzBrsT4nOb+TW9xkKn0xSEqi9/bupM2
YcwLrXeS9G6P0eyNSc1Or42y8hFyag6ONEb72HR2aRs3bhNZB+qayUrPmmbtGEw6sXWDWHcR7xrO
76oP5OG9LUKHUqKVeRSebMkNxkh6yQ2zelGxDrsVVi7e5EWmrhC4FOmSimCsMr1HYkpetbC6KRCU
W4VUm5+DrJk44Z3xRx0a+a0bavltoOweWXne+eg9WA/4MWvZRinRhAr66kpSkx5L0r7uQH7YQeKq
TT6vUrW54ezs1RZclBcb5sYxpcRLrAHmeSIbkxs7sbGvS2oDU1xsTSMrdE8x4xj9nLTPHrrIfgEC
+K4BUtjpBr6+cduqftwV7coAcLPSqqxYh3myxl4oXrdyrh9iKHz7qUCZG9uRQ6xHeOqIqrpzJN0o
XNuYnAMBzC3di9jtqgjZjiZMTKpwxTUgoWwNPQ29PylRYefje3fTk0FETv2ZRrKyr1MBH3ccStsv
pPqeALB3ZbV4dmar3yDJkNk4C3R5SmkFKKQA+pFpWbZS7TC8K/Mkx2A7rl+sruw+jLyOV2OuWy74
wg2g+PIKA65k2xL163L40XM+UFsc3RLI46c16K6u9OZDnI4rPVSDcqsIW6bIFQPeN7BzKHDR8wFL
YsAR2zdNWaXXhsai9UUhu1qroUIbKwCCUjBF0J5SNx6H4MaKg+ZV7tXxw+oBdLltRstO626pmCL/
Vw6PtjT9HoryZc77P9hLZG6i6p0bIiDYuuZkiE3bNhRi5sabEilclYp0b5Tz7A/4wHpqXtl3djel
fjI3s4cO06OVOlDjLRlLdcms3Bb1OdHnuYcK4vUUtSA4GgfNylLaijl+DLX2t2THI1e/eRvl+DPF
UbCqeffdvo4elGmh/LQITZelVjyBb0JIQhh+k5ujF/aDsagplLeOHb7II2499twivFso11OVzLcl
D9Q2nCqM1QBV2UOxb9sWg0zZeYkbrF/ckGMAHy+m9jH6PUHAnmzYvAqHOnghn0+2lQBMSeOEoMkS
S9M+vsOSyFplojeviNfD0ZuDwfqth9Zbp4A/wmNreMa6S95Wiia2U1EEvsTr2nSzNFPXssMVVtXl
SkFgc51Nzu/ADmZ8mDNPhPUfWCqrlgzdU4uscdyxzPa0hsybHtOdg1LGWX4lyWN7EKiE5F7XZS9J
g+7EFBvBwUiR5HaidDN2+Uaf2oep1DZTizkLjflsPQAHAX00PSoIX8oSTcTKGveiiAc/LAuoBXHy
pKIBORjyjtTZ8bsUUHdAH2WlWVHnt2kYAcdJrFVtBfhr5Mpke2FZdvci1+/msMZ6Q8YsTpfG6rl1
xhdJwQWcLHO8iueK/wmAgytzUvKVNrbxRk+m0E3SwFqpKBpbntna6iGu8DIry+nerOT8XqPQu/jD
W6iq6pwOqcZDqbfDP0mS04uNAUwrbjKkiT+mMcU4OwAc1BYIRzdGd6Wos/asiXH8MWlt87MdMWAX
40+ROb1Htm566Fz+TvQu9Kpapu1vgeeMy8jcWlrcrpxYeYksVoyL5RCqXDhz0ab3EzHSoQ8ndVfX
Wfoj1stkGw69tdLkqXclzQKgbc3GjtynuB6ylovcDtS7TEZTKJqxBXEo5a4rnA7Mrtlbo3lv47Jx
SOUsfgoGkZauiAA6yV0/b9OhVW6lVBQ+VueHeZQ74epNtA8yKXN7no5waAe8olT1oM/TNqG5aHlG
DBaviByTpn6rXIeV+TNuij1aWOpaTCkyIVoShy+FLpQbKdUPYPrMwcXdbmnWOKY3zcgHA5bwurYQ
B0kflteJZ9MjNtbXcokCboVlwOxCfepumO3s0Ou1203Zfq4KwEW6spPpDU3OVHOB2ts4rNV12Om2
h2/oPnYKwQGnuGr3xi9yicoHQfg2tzb2FDnBGQ3eUQw7w+4/nEx7m53wWY0EtcL2d6RWiHnV8nMd
W6E/tU3/FKrNS2L176oumztTSYx9INndqjWwh9Jb0ko6kEqtCaxJsdv2pqEvoOOr1vvcYhlMr6gz
E68rHIiMQ559hDkm8108O37YO84mMeP83bJrXLRoPtdoMkT9bqyNTZ60+raL2wxEp1ZLWzB7oycr
BWaJbbIKibJu67FkaHu2/wjwsZAjVOmzD+1mR/+rJ8IRw8Cnz4p6n8kRlb82wZZdtHm/StN+ZzaJ
zIQU74ls3dpzE9AVXtIpwvRsM8fcu7XQ9aeZcOk2QCq4WQepidysNOfyrmwTcT/bfbWPpapUwHzW
xVOphsUTTO7qzgiwZnWsWYBymC1UYpraeLOd/CObs2HfVFwnXZLd2VXlqxP/pVTaFtd8mq+coDqY
vXOPxcxWy7VoZ4bcLi51H+mQt0H2s6WDo7sDRz5ESre+sdWG3KwCGqwJ24910ewiwybCCTrkypS+
9oWl3zlBEG8ildJoguUTeFst5/nK9w6IrX2eYVVX9KX+pw7FsI966bGuCrpqk7pu5jp4NJtR7BS4
KFh2ShCcG7OR/6ABKf2ok8l+0Jo0C90xjzAVm8TA3aOWLY9PXd/akugfizaX123ZVcF6mG18vXLZ
4rERXTLeRHb2p5fSD+RefkyInbyMtAxaF2O3yLVNyZ8mXuZJTnZl1E3XvLAIu5blq+RIRFqmm43S
tYzakDsmyrSrhbOftDB6cCTMbYdE2duBVO0rvXI2wRhuqrp7z6LMV5uRNCgv8t2USbKvzH27maXo
qmsRwQWe6Bam6hOAuU0A9DO2ZGkvz0aNo0bKGwx4tADr7FoJUbqb2FG2So3JcPE1WXEfgJo0wtkL
LFzapQXRK89icd4xr4yJQCKI58e2YAlxBxK7AGO73BvGUsGIB++BUOs1b7AAJqs9XnnV3O/S0uo2
dtCs+1nfwwdNbobIzLfS7LyYVmp4YkRv2DEGPPYkkMjOpqxz6zUQdT/swDODpwlGHLHp0n3oKamh
O2k4CgP9lblSRJn/imuAKq5I6uJGUQEtilCB14A8zGqoxo0DlYMEpB1Cz7bbV7W17GcDuRjXMutt
rY3kNZOY6o0cS919rjrrwVDru3ZUsoOZIJsTSfu4QqbaABenl+XvEQjQlWSF1j3/p3bF2/+qO9OT
VhbmWu/weouV1P7s1FjaVmnAo6cupNJa2LvUaW/rWYefkwq8ffsKjqfW1s7aqQwwViJ4UuY28dts
XNe2U+4SBf28wlCwnrUsMqw++w2pezs0RY/BQ5EKN41L1gY993SCrFkmb9Redvg33ZLLlp7Rp//H
0XktR4pkYfiJiMCbW0z5Usm7G6KlniYxCSQenn6/2ruN2ZluqQoyz/ntwW553InoSLnk7fZsFuxs
RNqd/Mz+fzD3cJfrm79usJb/llqrswhF/4Ia2dDCXK4o5oVP2jcdaz+ph/ScEXLRZj7sFhKQ/zIZ
xsLcbUXwzIGjotnXq8gel3uAcVO4LGmiA1633SQzmzxenUp/yd17db3K8tBsuvZl05nR53Q138Qq
ae6xKLRpq8RZmv1YTzdpep+ms9RXUiteyCcPfvgYh4RkK+vqNSlruWYvxKB3rp3IuYZ/azTEeYUQ
ZyULI5qMu7KbiIuCom6/8y/1ls0nU07muSn0vVu5f3TPSF8mP6ge6qWVn770l5hL/klM8rr2rXet
SHa8pQuhCBlL+03f1nt7lvuBC42uZ16gK3bjPl4b67IQRhj6xiyiVOrewSkWNaG9BjloLTeLp345
VVw4X0YuusTypoYUSIe/rlcWVoXsj26OkwxNgSGvmZW5JUaTU3La6WfXLV5G30p58aljpbA0GrWm
P9eDAVK5gS4mEv/El2mQ6S07vz43/vi0Gcb6qhQPU1VypsaCuL4kL8TVgtc9jBNN4W1xAZauEhKz
TiWX+N4qzEOacWqprkZENrbz5+Qq/uAxu5bZ8j6U8qebremdGQPDBXUj75NT6/tZLkERTn7bvq6S
dNDF40qTy/pfbea/Qo1G4k7z9OQuqfNJ3dTrPOTPRK51sJdMyZn1rjR3fOGw0KNyIM4Is6kMGyvo
P0wLwcIyuHXcpu2f0eG0Z7PdODwX5z9mkOLbcOeaV7twKFkbzaQSSzpHlpeRRElnLQw2cRKhkWXW
CWmrE6nZy26B24BVeUP1ZVa9ems70vYJPLD3WzXq7S6o1RsC5OzkaUxEsfINktXIVn4cHcozK79s
OY5NZ0dC0RLPpcjYXZCA5wYkUWoJsqYn/ay60ulCXTkk1aviu8/W/DQuxXAhfiN/2Lg72X1rETmp
7URbS8dabec3BPvLfUt6Hkb+/tp186jsu1937mqAlTWPyb7KeMSNgz76+YUIjw06EOiA03hv4fp9
SwNzNy2efx3UZv8p5lTEes0aQrnOhGo7yD7HQev/qXQ1rvpgcx+Tmh0Wufaj8sn7LzfG/3TS4LCk
B0SRaMTnOtbX6Mr5Nk8ZmXXjlrRiGY5UG1tXm1BxRBf69mo5izz5G39eoM2R2/KbmR1iA6PtzzLo
nJ/Z3vyBBafiJlZVLTF9557/WLuquDnzar4vc3lkXmz2hLHQAT7k29FxPcE3UbOnLyrf4zNI90VN
l1I+Ue+7YqJZmxxDmz3srLaqbpbQ0ljorFnNZHKFpClwQcHR1z0Kw6GfJOPoKbBIt63vRnAMMiJZ
e4u1dDS/NgL4ktrK+we5SYMtbGme9dECUkKQru1AQ7Qyciq/OCFT+6lap6ZBUTmjh1pZC3Ycr64O
cq6Cv443pm9bJ71TWblGZGrr0wi22cnC//+czFXr9G8O/QpazM4WSOIWc5SsNM72LZl4dR9pd3/T
6jGEzvoioqzxWLEXL7GMer8SFxairaGQS8ibbYrntNSXGEUUuF3eyF1jtT6n1AZc1c28Tll5d7tZ
Wv+HWczgaKYF0H7Sh3Y4Be702m+gY1UTZImXyX+GrJ8wstthmxXVKe/IUq7a0rkM9kpDweRm7mOZ
G83OGAHvRZDqX40HTDhhDry1+YoitNde5UIbjAEMBMQvNytGJXqtPJrsPG36Edx++IGmfpfrnbmn
xvlvg1Zmjw2Ret96kHHF9vBaBKaI8e1/ARhencokmSIAnszEeJBTG2uEnWUCfFlqIuYQTtxNHDbT
3nXI9lhdgCnUB4VJr749OKG7ePOxH3QjIWDY2m3teF1sijDa7tlU07mf1mQBvQs1k1LEKritmYzh
Z+5V2tn8x+6ljI3CqxLCMY+bKdaDH6TvVdNhKNrgi9k44mm0j35p/hHO+oLdb79YWBdmd5Y7moHX
F8tsLgM3Dd4u4GzFRjoKih7srP6bN+o7RWh79NLuoioviHy9Zm/O1QeXMD981R9X1/zVMjwXdZmG
+j0hh97iPrG7nNcettRtrvaSXzd9+9MuhUD5in5GUYqS4F94bITkheOqsHaTad68VNeQspS28xnY
0hnDvOoZEVO3YrMxr2mgFR+2rTUHcLvQKovq4uRVF1rVvFwDo70u+agyRulg+dd5ygMWMnovbrV+
vYnWePYCcixyypEckQVRufhMzINtXVofOZ9VG89tUZ/o3XTDrmt6I9wM2K8GQi4ec7FbtuZnVBP1
oE7wtORAaflKc3g9TCGKnMcCwJH17NM1kVAIPgdX65KO2JDcb8+pZzy4UiLwMM9QEQcNPNoeVTwi
ugxdusBSw/tb1P1pcIYfNdVLVBolUdM5n73GcEsny6krM/1JVgAhUz5dLD6BRZXeYR7Ss0PDbMd8
SaltOjSfg+7Rvm4x1RWz3hy79ctWppnw09HYUmh26JUC+8asHQwbH8ck3exSeUA2ee0gguzU3hDr
cPAmThp/7X90Zzqhj+yjBeBi6dT6BRm3UZMyTTLx22AL17H9qI2SmmME9TcxCvPu8sOe03X7XtdO
+opMy5vxLxYVQPLK7bed7ksiakntZHvp89YEJ61gQJWkjHkMJ/5dduloCA9SSvc8s6eJ27ETcBQ9
yWd+PXI6D3VgFkmX1Q/axBYpnZfc1g9aV53k6L3YffakFzY98lXJBxoQrlk3DsWNBvwwX7Ih2y+I
CEATmgKipnZA1nmaxKI+XN8j8CCzd0oNMShUBsTZUrxcEtIaNNW+MwzMbRwY3rM/tBc56CX/LSzC
TNXwS6mKNlYmnyrR19ptMPkde14srgHFIzHuc5RNibvA8RN+ys/domAaA7K9pFXFqmybr6Yxiz+E
Z883UVR9ic6s+zto7mNOzQyNRcILp9zvX6d1efAGvz6SMSr+jVXHIej0eujo7Y+QAN9sE+auqYY3
z1bPfaUokWF6/lKqrZOJ/eQB/c4c2i7+9bKp3phPfghTpMdlafsQheAQa81c8HP5+IRrz8NUr5zI
WJdqPxmGiLzeWa9mUWh7t5bJjEwpqfOJyX5kjhC+B5DOaElO8b0Gj7eNpFVt9VIO1+zoe/4Ekjna
z2Sxpahd5oLd2HWJwG/eWyNIw6XSroLswjz2K9F9+/Y8obL1tQvBI9vNoTEgrQuF1bK3D9Jy6ldX
Luahy2eCYjIP2yiqABiJVDzX3sB3qINMpMEI/p7X/+qJhQThfuKreXipVJ4hXddDNuvgpPdzwJ21
4mj1zUdf6EcvkJ1MhoVWCeambsXc4I7vM8yBMPJnLpiXIM/bb9Ar7zFvxL5VAQ3isqMZcI/1s9iX
vpcxYciZxc0WwbE3vLEEPrTWc+OMCSxSaFotMyGwvky2YGGZp8y2VHq7xIBf4aLrn301nv21y6KM
9DqhYQZT/dq/zO5afkhn3djv/U905qy/8/ZYju5TOlGbs8y5R7n2uiEu0h70FTIAX//7CCEdCp2a
jHwtT22OP2UoHwYKz1vdMc/ZoN1UY9dnL/DiYtjK7y51436qhzpcNH6gxvlPmf3TbLfLZQ3m0LI3
7yUQ2sI94TyvXbBS4pS+zzzyHzbL5H9A2v963zkuW3GA70+kTxO0wEu4dSUGbRHID5XTXm47vHHk
7fGUD1ZEry6qVOqKsjx7nYspa1ABjeo4p8MaV0MD/6qqmc5ynll7H0xb91SMAWWdPRnCswsY4flJ
Kq1jueU7NU7uvgnEo5+vt1S1F9KG38xBPIyGnqxst6scE51c/HnVk83SIurDIWwyK3Fr700nG3gN
2lNTCnSlAKgHIfsuLphuDpUr7W+1pMGTt65aF7pOCk9kEwk4tfNrOZTeUaeYuFt+A1gmjmEnCtBl
+l1J/fIInWPo02Um6+n+7OxMWTmsB+qNtuvYh8XauW0ZSjgzX3IuGuY/OfpRpVcflVQvejdxHYl2
z+p1K438Wk+FFml38jQfu4e+4b1U+I0p/PSuZmk/p0UFfu7TetWRxUPw1Z+pZh4aW4cDiKPwWrbG
9kG0jSFhXnv/NFfFa1lRD5UZ18o2STnXv7ce04/tDNx95WPqdUs4VZBVZYUFzfDEV0kpsteB7Xj+
1sXt6j/1zfrg6piwkdr2iLbqd1XkeMDvPWA+YDuYX1x61U9HUs9q/7b+EnIxobrXCFJvUcOHS8np
5Cxa6PhK7CsuQH5uLcrWbT3lFcZxAztSkfG7oCEg+0fH7p7LUFTpw0DxFrFE8QCkES9bX+59izdQ
8Pdr6yk16dTLtjoJ0NLtCp8k1GK8VQTWmmLxowbsV7CrQHUa9Lykz6CsvCfW/MhTAJ4661wjbRkP
ZY8rUxqnMR3Agsav1jTjbBN7GzPy4lgj+QFQ9Ezxv8aGqb1lg28nSFj8UFRjr4e07j9H0UZybr+2
OxOczSGhzGHBnjB78jp5lX/hU022sTo6K6hbapFGRmTFbnPLkXoNxz/5K4gv9G09e++94f641HhF
okQ86JvXWqp4UUYbN5XdnKvAyKO683/d1KMvCNA/1XErWVY49Io3uaRCrJJ2HCzmu+Fm9R5N17VS
xXWB72P3f+cDHw5Ks/edXsQNv7WXlufAIMkgRypEn3MiU3DZrD2YHbXvrCozvWKTPcqkKXsujXlG
wbCgqvrnSDcg6rwf/DeD+oaPYdAsQpTzwPjn5bpVhuAL+YX/qQHUqrF+Me+nekFkg49WIjQ77Tb2
LHhZs0Jau/4xz2Da77ZZZkZ2nsRVKYvrZk6HyaSbSOPBltpwmW2oy4mzt3GqsG7zuOeitEdzP/Jw
DtjRB57kKSjBl8Z13/aIjg277G4bA6TeW6csWCJnnj4Xo/yk1O5cCvdva1RuSAnduQ4+Zh8tdmP3
0B82ekWeJPCxcJDO2bx/75nPZiq4HnW9IJfiOxAtbeJp3kSB5GswvcfFXY5eWVAZx7TcEJ/uSP4V
v9NzYMw8KXRrb6V24lZ3okml0Zate7qsj1MAk7F1YU9mDMQ+rQFYSAix6BC7uw2eUaQjMJt5q4Hf
A0IPHkP8/WHDtNYG6p6w0OGFMvaL9ovPOETQRybAyII5BP/Ni4KMo0PQhtZt3JSgH/EX1f8cqcl6
G2UWtV4GlFN+pZhgyFrSgnDy+oh57avQtwdedoKJcCum0tNi1Tn9vuob+OK2MhLe3uSuLWYEXndl
Zy4csgPadkGiRkbDb2vqccZD6kxrqHRkOTUxGbKsI+wLko9WhuCoD6M1PNnqs8jyiAU52mjIW9Ml
CQqmBkf6TzBCf3JzfpmC9eTp/fMScO64w5OX98fWq05DjxahgZUBCV6tPK5VE/mNfZlqxMFu1z5M
2+bvOP5iAPfvfjBL9uJKSzZzjNLVerMXx8D9Qbjku0SduCcDYzgXY3ckiTYEK3wgg/SD7mGLFlbE
YCKr39NxHvC8u3EGgPeDKlY/ku67k1L9M1wy9Q0SLGG60OJZdvqohu4293CBS0PTtlxjbfGi3lSn
pi0e2nGYjlrvXl0SdhP4loZ8LbEnMBMVQ23+9Xn9dhpAQWEUxb4rTQQqUwvtgJyC9lTjeaANXe9z
Hg5TRYNTfLTEl1hCJUMG0O3zGAn5byDuQxV+2MAWNB4AVguceCszi+lMORigpH8nz5ChcBq9TALk
dQNm4s+Y3HAqqnjRSj/kn4cY3L8WjQ7lym+uI/klJ2UNsTtA9OWjn/Sq2JV5l9TNr940A/kj6HGz
tE4atp+TVZlnBmaCW+bltVy2A+IEaMKaX2l8GNMKKpvjC0ltf2RvS0N/tPfubP/Lg/ZNdv1N3KsS
5XAQo+QoD9KosVhXHeHC3xbvfkpKSzGcBRjwuhVnqS9hWd31X7qHCQGmoh0RH9w7CnOvRRngMTXm
J0552Zp/VCvizYLmhHvuCPjglQekcYjhL1109lMuXrcp+9YN/30dR1IVmgnKdNkXpfsPl4mDO8hL
muE+b1ZvJb05a1fE3iwOGr3zEfBm2EgGMqEN9DYscdOZSe+oj6rKCA5YXLwqhL2M2hCBZ5z7AIMP
gVVEazg7HX0GbDaiKRix3LRZT/gJOyKB1rl/QTsXN64OiWvt/Ey7+CkqFJBbm697tNUH6zkNCZNN
0wotsbq6gZmGNXk7c0qQCYjNSPXbXzDJJhoaHqna4NByeElctz2u1pIYdGJ3+XYpjW1fw6m7efc0
140ZNTRRuovxGVSTdtjy9KpnFkXKRkLkzfjEzWlxo/wsdqpFy+i7JP1ZfPHgT4W/GTfb2vpHpQdh
sCDGWvS5S+DeV2J4qigN1MXohnJfr9bDWvS7TedjEOYjnwuH9GCGrYLZxnuPm3CncTyNTfk7Vs5H
CSBO+FDPUqh/VDpwZ6Wt7IPy1VnTeMwkXDFNpO+ewV0L0RL5W7qXnSHjNO8PHixh1JmUNQ6rdlGp
ibVA9dPPRFDQS2l5MQZImmq29GcmUjoyqmIPox/cPDc9keC4HwLzwe23YzvOid6Jg3TySHoutyX6
FWGN/1zx3PS5ES+BzqHrLGHTLd/4t1EY6EPClBkBVbB7wKX7FGNuc4AhsZqr2yLc/Mz0+ltqxk+6
aUcucxK/4WVTpx3ODvcQwscLVpTPOyrPH/vH0rPHtJ3f2ZNRmXjv0Bp14rS5l5C685z5zuNg0R/B
z/M03BmcudRopLb9PaxXHaEQYOpxvV2lOE+qwtu5mRcC/jkH+lBCEkgfaDU9LUMfbqhYD1aBj5K7
dQ19mYod8SCPSz8AMzC4UDOUZI1evbIVHQgkmI+Z0vKYX7mIhQEWJvMdJUfckT4guyQroHDlh+yH
DTWnPLVkCYWjwxVZcJDg7E38km1HBmzrTu0HqGSqmnvDf0TC9baNq3cm5y54E4zX+BNac93nTbsj
B/io1k2+VoTgtY5zwo5wwovNHysly+iq8l2xkZnjqKV4GEeRPlTUNCCTaL5EMaR2mBX1g29p62Gb
ORbBltGT6L/ljBqK+zdyNo/mNN1kG/L0y6KphzRoWogmb/sy7IBkq5oatHB0gwN5ywYqxLSnX3eK
VoMWtm4sLiNdDYVMmRXMXQ6iSMkQp5dZJop7kv/jyVHar27Ri+Hxyy895AjPxF4PSIuyGH9yR7mv
o48lkbtAlOOlzLP6rfBclAPWGNxJB2ZV3nK52Bto5ngbBujSNRg/a7m9z4Mfr4XLdbRQw6veCqnC
Uoinfh3LF6fI00deO/g3e/xYiGOeltkLEaPVzL7uzujT2+inqDK9HiFiaUMNZfetrJ1jj5krzZiX
7fFnadfuyV5Rq+f9O1u4HldB9ZlPwQv9UX3YVmakdeRGGOZtqJx9VrY3gPqQSe1vvqY/kHGMBasT
p9V6DTbtT6k4MytB2hbhCoFSV1SfXGU2BsSNBuHZHI+d316m9S58NLQ/9WAVx80QJ2tS6uTmdnmw
PDTsIAyk2omXtRkzsAWourJg2Rqt/RYoQU+Xw09M9leAxMLXdRWCiU90d5S02qaeGzvtCHe6lVak
IyHa117tHZDDRHZvW2G2ciGj9xyXkLlRP06Tmcaz6aRDVCr61mrSWfxxBsLOax3DK+fH4Dob723/
kAnyMpxuimzf4O1oLp60rh3FVSXbZ5MRA9wj5raX5sY0GQUBBshg3IpLuijzNI3lQzq7iZEKYNIh
G5NMytfVUQ9BsByU3x2ylvz2CbZYcX2uvnFk2JxYEmc0YKgek1WZKtwCLyRJ8qDnJTmNC25ZUjuS
bhrfTQd+E2v6XtPTu45teSgrDv7C+qu1FEH1VnFbq+IR3lNnnt/S01y2zs4rutvEsBL68EeMydzI
adbtS9qJfQc4oehrL7aD4S9SjzjrHOBo1Ayf/pDGfv47r12FBcD4Wlz3hGz43A36a7tiWE2z+dyl
3Wed48tbEeQ0E5H/Ht8fZSg1VIh9sOxyPdZryoi6BgnNbC3D2Jz1Z9+goDh37BfSZMYrUVEXS4G7
CeFYF58XPERufKiJE9IyCxGZFrmywAAUkPyG/DRGgQ4YsNX7DaiQBBMMqzCHt9xZ+iaEYrSSeQLG
oGeZeht7KT7GSfl77i8QSb1ixaow4PjIQF67NEWLKWUfmgA1H6AM/TdfXwFYz0lCKGKowPifAqPq
DnatX8p5Q9k0IC/K/sHChKyaRzMt/+mD9q+vV/eXqy/79H24DdGgUQgKa++mC7dTcEBbBtsj4t4V
h7Eb2zjwcK6M4EkoaNTkVyH6jBmkG1tXVsyUm9io9AenDnaopAA7NEvsGKuevGBhG5dAOkvF7qGC
nuZMV61I+IfsO/MrSL3OT5cIUROs4lwRpT/5WuRwzZQdvaxbhfDESLkTbUj+hW29d85y7slLgbMy
uMiLgznlu8niOWPu33mt+zpZgHwtFa8qo8IZtmhAjgZkV8zMUQjl4p66y8gutgmyjtEB6Z8baauz
xoBA304peFqCITHR3/qo93YdHVoRSS1UZXlr2RCX1tG0hXqh0I6lt54Xumzep6Z47H1Pfqt7yo/n
/afQLz63VQ0wmdFyU7Wt+aLnWZLOpXlXNaFI7bIeMZN5qn1Uo/l91xGVr/8nfWc92ttYyBBN+rAv
gu/OTm20SFiqe+T1zl1A6Z5te/G8aDYBIIX0ihlxC3FLm0qrqDWbVlxnir0fA8O9qYynuE2rkOmG
WArRnHkCX0BmIUJNZ52Rg9afYqvHEK1dOBrtA5nFKi51ZJetdBFbqMZ7NicAwMoidn82NzJb27fF
mQLOJOtRKGkeRGD/rcr64NynhHyhSqiWZD+10s8+wN+QBZBOd15t+1rPPUopLoCkMnobTpW3ei/8
1TkyE1XPG+fCfr6nzK2lXMNOS1EduupF+Qh+rZTY2rLxmM4qs1569Di13LWe658MgwPRI/Avdcct
tuutfm8GVfxXVLn7sGD4jmpk7TsqnfYW3exRh4DoNZ+z4ZWYxjAFP8xsPa4p8mGqQrY0BTnVYU5v
lLjYEX3P4n5U9nZ34GXYrsjfX+W8+Kds8f56ttT+6hgUHstuOSCx8y495XeooYm7shU67X70UQqt
uENwrdv1W221JoRC6cScUC/9RAXCdKeNJgZ6MVvqz+rwxDHRLzvHEy9O45zrPrf5QKsevR10Dj3b
qvzPHozplzk8PWkde6RVOwnDLJlSraYlAFOXZVqd1yUXWtSlDtDWZJzJ1fOuBdYTlNLaeuld23zN
FqN753AJ6HIfxMUjXhLSihDELsVvzyZQ+R/K1ZCUMJFbCRZ7OF3ibWUi2vnaQadwP6v0RYiJ7Her
P/aV9xiU1jFnKj1WqXYM+vZCZpi1R4dpxqvUnlQFbJXp5YvQzfXVTQHCmyFHGW7SSWjl04fvzc2D
X3VQwb2s47ljB2kzc6DDZWASgHmWL/22BVFbChV1FREUjdnJc7q0djwThv3uDtXVGuRzO1vPRcXt
N8zBTq0MV+MW/DdVJk9w6+xdT/5Ojo2lt/OXve3NJX0P+dk3NfeM40I/a40QIYSxlQRy+9dpFADD
ASN381L1piyNYXNLSeIMRl1VsT30ItkkHBeZSru6791Iin6K0OQPLxNHyy1HbXjFacE+yHgA1F5c
sib378PNSOKIGpuCeGZosKOfuswUeltpAGVN/ZChNjlpaDoOENGcKUJ/kM5khh0BizmwLsHYxUFn
X4ZGMV4KoYE6DSZYUgnKggDDuLSbCYZdBcGLRvzgvuW2HlDBHyujOTQBY8wQEI4gqumnbvFYWVaO
3qPlrUf1I5CseprlsxuDk81mPnE1oGwXS8E2ORm7AWaXmyLv0IyC5C7LhAlALvfTTRKeH/mjucYM
PEhPGi76AdrkPNOtgasaC0JKSkQkehKaeJPBIqXtoM7QKMATetlaUT7bxhYrsh/ErVgLFAVtMfrH
pqXhSKWGmZS98PvYcSv0xqoD8FrK2mOQpx9mxK7/Jxs2yR45oZMcga7jyvF/11XWj3SEj/tMt6q/
mgjOhrQftcnaDk2tbyz6dgqUVi+nZTYeLTHhnKH2Jsorr/4ivJ/o+LEy85jHPm3DVGuykysAUbOF
loB004mXV8Gbbolh5w1ADVT+MQpwDOw6i6UZDeHFLQfz2ZDk2uJvwoVi8x5WzhwPdkmuECfqOtjn
DGBtUcX8kN7pidRwQD4h8vnZM+A3o0RECX9kHbYl9QpwjmBPyCz6oTHlk+P5LYppeSpc9aMYyM5Z
aZAnXDpu9weVZX0c2iI4TX1qPqs10B9xpl/qbvUuZUoFcDrx8NgNEBeaDkegZ1VjaX2ZkC2DCvnI
Qqs2jmuuH4UvH7QOeac3V2mo6m3h/iiYZe4IJk/K2CkzZsU+GUNxFbN5C1ozqVt3l/noeMvV/9MN
HpatlHT8ZvwcpF+HOPZ2wZLf9PuvI7UWwGE81fWsbtKdnT9NupKZ0ZGxHdRh0IruRRbNo+bwPXQj
PSSzOz7Wqvvd7A4jTmpCU+t+RylmVvKUeu9OWiN8M1d1ob0oj5E4ByeS51gZFqi6JscsN026/isd
0ZPjbY63Ar3gZ4mGMtEH0T8HiDFDjuiMY978Kggr4OlCCyJtkwa42TEOK4c4JHxNSVE0usqKCeu2
rsFKSMmgjTo7FowNvyJeNm+1YmmgH6cZ1j678J3JzEoc9ciyNByUr0C0cVY5pwqIO65rRtp2xUuf
lXefSlYfe535P2WctPT8vGRe+iHr3Mhic0NXtJqj1R84YnPQynWKgrVqQzJLxg+dQ+tqlXRrOVNF
eUkmHhvDOxmTkYZlPyamv8a+V/pnTayRcqYBGEGh96q97FDZG1TuwpE81sRtwfOdpIc3RNfs9WvJ
54FoF8+5zqnb4rFRA/zyasp9KfWL5tnoKKwWSVHAd5JTlrLYFj4Xq6M+CnGW0XUH1x5fjMHeADkd
6ICcZ8LRlrgT5ounF+cFs4DDOB+n/oTWAmMBYez6pyjZtRZrQ0E8J/YCtDC6X8toI7/F4HFwNpE4
QYDSBT0lEN/w1LpESPmy3A6MBYd0A3ouqyLH+UK2sbOpnR50UBj+sNfdtYhAhV99p3+o69S45ZhP
cZtdxnR5DoQwoYAnqljT9Azw8Peu45zdO32AOVH9W/TUP6Hn5g8MxJObdvZRstSFrWMrUoTt57Ie
cZI03lObVfJ5qzTy9+auQe269vt5E5dsC4JwcMsnz7eMj7ktSDl2N7QIPjzBcex5SLMiA7Z3NORU
iNHTXVN73yP3dOAW8ti3Wn3rKYu4CiuoE0sTt7SsrZes19CtCTFekO0AP641uttl7bknGh16bxPG
EBdcFUeU4YelKoHPaIw2TyoXdMdj50G6bzf+07Q1+clw+dCrvvjJvcJgoMu5hl1P5+HjH/Bcr9b2
PQUZ0orcNuCJpn5Ei7GSq+WsL4wAw7sVZPWjuKvo53H7zIICYJ5sAowvqR6NFhotlvsff2mfHQ2W
1yIiCFfEGvm9P4bTVmigKCBEk/ftaONuXczL/zg6r+ZWkS2M/iKqSE14lVC0ZMs5vFA+9jmkBpoM
/etnMW+3pmZ8bYVm9xfWLoOeRpuUjyE9Ng75K+8a+e4yPUrC1QeAxUXkk6DdIFLNr3FeB5HP26nM
igS7a5YISHlB7kTuxWxTDUXFLPJPyzDevUE+2cwf/LtUMPzhIQU53YksCisdb3pD/BpDti8DPN/C
e2clEC56dpZ8nc0Sg6vRyx05zc+wXRRzrfch3X4XBNXBF8o4DDH7A01w5uSm4q0X8EpVA+VHuazA
iSrZU8BnhBQnjoeb72uLhzpD5driYs907WwlxQcWelfuRwFonTvyRP5n7ZAu03m02osq+ms9dWkM
qZtLMQ2j+mDPwYM3iweRmpB6jfmQhti9iwV+KuX5DnYpfuXKpLeSpP+wMRfbWo5Oo2eeiOMEEwut
j72Oz3XLc46Q+1Pv0aTqB/88y/qeWESEK3hnLO69wSNoF9s1oLwpRbVLr7Fv0ggcXY8zi9XRaXgP
yUltidSlO88OD40ZP86JIFAxhxead/uhJIeziVv8DeEmh9aTz0Cbt2HX78ldytexmUj6aO4e8Shu
RIH2DpW/YGZgJUr0iCqu70s1tduO/NPqp52KkZKRJpHi9/RQu0miuld2ckDhKcEWd+5LzyUTwHae
0p1vlh0ED4RKwmskbXYgxpgAzZKG2NIfkrTZG8vaaXfnkz0aw1ZRNuGzLKOA3ux97aPZxsuKg5rx
eaz8vhsmTsZQfs6lv9EGt29bkqEpxAmIPDtXYns4OBrR3XD5vNjTzqk7FoAWzbJl1dI2XxRs7T44
FmZtnmeXaEoa6gpvPx3/NBpKmaTceWe12vmcmuVgVzHBj3oeiPRPe5JkMXpWc2x6MTAahu+9U4y0
hLx7Be/vbCL0mQIogoV+uuEV/V7cZWexpugBLCEJ5K4ikQzHdWtwsdR2g9/V/OVBezXIS3Dv+Eka
gEUySfZLU97XXcJrMVPQMpEfKFVELkltekD4Hlzuy9Kk0EW7KPa5qNeEuU6EPvSfBXisWZQfdixe
Ux2erDFpjyaVkiwXyyFt0B5alln7bn+HUHdHEmXPZOHhOwseDbIeeKrSqbNwoO08cCNdV/lp8jK2
ZhoYU0sL8r0M4ycizM1+mEt2EKQl3jF94iVrrChl5fWQu38KmLQWM8LGaeiOzBnz+aan3UGgcCYM
ZMgvaoZXnzUGJ0Sh4iSYT11Z/THm7GxCubhIa1xARil9nevF3y5IhwwB4urYFNT9IO5NKHNMAs08
mWeRi8jKsvdAETSwV8LGkpbPgUfWNKmvWeBdYkUTpiCqyIWoDuuDERQ9AxdJrnr5Fgy/vTTvalNc
h3oBO5v1e+o9d4PAP7W4IiDzlDuvZ0PwXFM9Nxu9KirhfrBLDETDWsiYoVb68XBqtE1mO9f23Tiy
ICK2Xuwsr3YcXVvXil9Gu/+yKkvtfTtBMbV1NAZDsqvT5TWZWUdvla9ebdeP7lTPkeeTL0VKDA5j
459GrYoXLnZEgM0lpdRfpYdGLDybrOFWyJ7GVYDRNxzYS7Al13phKiZjY8+h9yKyvN5OnZPcWeuB
52fgOZMuDCMTTSxorOfM4QVtpr+sQlY7twgY8/qUfIQ/Esng+Z/TboQnMTtnFooIgsMd3+xZZOHO
ZPoxmRr3VeI6uy5V83HE1bR9/TdpDecEfoY3xEtmc+t78uQi3yEqzN4+9sMpmkdnJ3OU35QAE0YK
reIlP6bZeE419QxTsYzCIcUSCRbJY2CI/eKjcA4hnkSxpOqOZvGJ9Hq3ZYKzdlTWv0aZODfTJBkb
61cqF3LTGTjthUwVrwZkQlgLA+XDOCoMgUTvA9Q1Rw4jjbxNNOVuMazjlIk3Ylh/Y6t9x39OP/qe
tATm9z+ps/kQeKqJzNi8BFasuPcImKaZ8TgqU97Fa16eu/MrKHt+vJeGv3mBwjaXByrgUWvxOXI4
2E4GtaCoX+orqZlt12TIV0NjcZfi2rvkuPKBtD2My/wgTOtvye7cyJekxLq0xjFi1sEEk5eKFL6D
Sn4jaai3doZsVFfFxiohNrAKttxyDvTGTlUVPd42kOENB30fGEW4sWX15nER2IrVWO+qnpR1mMZf
TodhZ1M/+gYcd9XNXH0Yth/ubMhOFApZOxKl4GYiNa6RLU6wHP7CgEnmxuwuaroJqrmNIuoolNMy
fS0Sv7+MYewfuRipU295YdSW078hnD/iFHnPtJz4i0oXTlBKB3NSIjIKahyDancQVvdUy3+Wied5
SULwy7PYfhIZGrspyAd+C+L6XFT9KHUX982amE0Jv8pb5cvqYitywPQhCJI0HZE0lv+NZhYp0wi+
ZTxEekGySZx045Y1dQUFMlRWwbnySXlQ4sv5uCzTaoQyYg9QCHblqPdkwxEvapNLq5deCgeLCJfq
31wU+m8rQv3Pzb4MX7yboqt+e18dGRBv0qsOY+3JgyA10hOwKB+9Wb8wGuuNlfK5tCu84TIlpupO
BN9H8+w6/ofSNedM+z453byVmjPfJE4nBtd6wGLmNCgcWT4EQ0X2bA7+zUiwaLmU7jAbh6HAJA8o
ETP0hff5nIKvwuSBm9Bsl2GibxZOSXaMhzy7q7H3MIozJvJ+3IWjU30gUxHSG8x93fHT2AeSH9ka
8u4bRrstiN8DWbLes8S+amGRpTGdo6T4yj9GsC8N7xXTa809XLAvLmZO3qKxv2VDL4KtTdlx7Og2
om0RyJzyYEGSXTL2sKeP1iBimllZEFXluAaHWLzqtvomi4nXOJyxJyvkPl2CkYl/MYoYNJQ8GhSZ
7p3aGZ+SUjd3zLbfMpfEhuOCVK5n3NI2Xq+CeU9kKtNeJIuMD5IpTX8X9Fq8pQV/iZ1IsmiCpaCB
XajIWZGudVNehKTSko8gMriBsmQ5414W1v+spOS5iD56N8cjhDuKDW2FxQIet9pmPeOFlSMBytyQ
4ikOE9bM130baWWkO5xHj6yelT3UtcHbN5nVPpltTMplaeCZtm/kHw/EqPZ24lYEGJdwo9OYIYp8
Me9iOl6rMNdkyGpaMq7zCnwxGLba6qaLS7OLaCQlsZBF92sJMhiOXus/1e5oROnUMzgtObd/81+x
InjcGhKYSWVWzR90RJbIsrr3NhguszeyMIeQ11sxOQ86NgGRNid3SXeOyjjKfFNQk62ra5+Fv2kw
OewqSd/6SU9fo4l9FWJQXIwYBWvRXfmVdPpgjKyaxna7GbN3c9Pus2uNvzPZKvZVbHXZHHRvr4Wf
F0hG0M/6t0YiChrov9xIHpXZfLiDNROILwldAx48t7n5b+ZugaBDKNGdzfGe5h1DoDYfprU91Mfq
0VzWyNHk7WszWTZhPZ8IQjrBXtULBJXu17UoXUxcvgUF2ZdJTlSfEGu3Tt5jini3tSyWe5pndMh3
2B0f1QqnsArBdi2GZNS9YmuK9M2jOFGa7M+hX0jSOlmOHKxYk1V3cHv5PRCraEJEq6lAP5eGQZva
IjnopNW+a7MP2NrHjpU7rgvXtob1e/ExLA68BAz1PKqgmtCDC5v4PHd/2XD6EttEP2GLyGMIJyFs
4XunFi0qP/we5uScWRQeSnuM8JGvFECbzWjmj3ABXidKjxi2/qM5Ne9jK855217Bmm3Zn3GcVJZv
0Zrck10h0SnK0xsoUs2tycKPMnU+qYb/qcO1yFaxsi71X1tdLWQvICoVVMDKZIk8Lr8bcouXPCDD
PzSsPMAo86HEJKnNjWmukJwbqW9V2p1hOdx4IK0HR2rsAJUg6fmS0n1B6S0Oi+ZOkrOdu44roJ1v
GSieYrBLh2SizCid9HnOGUkCnNFubKHYpbtQM3hgXm0IcdQ7HoUVpnUrT9xRohpVOgY7R0vhEHv9
3bJU1AHXe3LK6QCeKQoLa5dSR1lYPpgYyPp1/qdHqPHj/sVCnJoX8rht5m5xWLH3TetSNsT7wEBw
Yf0W1fxiNvHBoI50bMKsQ46tlm1HqA56d3MF37MtFl8fDW9xX6XBfEuWkZ9oLdmzjTX/lZJb7zZJ
45jPU2cGh8EKXhTBhr3bwJ1wcRQIBGyG3qw5itsd/VXx0ipQwW6OWKRywEV2S0k+fMknDhdInfWO
ks1Dn5QHjAn2N9VfyqOGM7CNN0eGUOIYkq9uFeT/gf8Rh9U2aNopGmceimHnMFWnCylY8yKN7LZo
rr+4+ndGl1fHxTH2EwW5HMWJWDvDpu6e4y4+tFJvOjfjj6Mug1B9ydtS/MYBgTS+SPjiThiVsMrq
he63QXNiMbaQnH4pOGBjLb9JW/wmcw7kIbs3Yctv+LNgC42nyin2nj9jM+qzzthrFxbHwlNvfAGY
+LL+JOXwMAvzObHy6wKUfhvYMBMq49S53TPtuguanb1x8JU2tl1cutD2HinGfdHs63EHqBDptXjD
+9Qm92yMsriyWt+Wk95rXx46Mxc337adH0+XwbGi503o3i0ssZEMFzlWOIGBVHTth5Pruo0qnzlF
on3e5sSW9s5n2xaP++8EwS7yRZURiliIr7bhn46EaG5Pe9oRsCqC2Tiww6/Y+WOwK9vwx/VQfCds
0q2viprgPKwhIcf4PE5a/DH78c1o8n/gJcRW0defKO6HxL47P1ffcZ9FsE/YKkbRoaO8OjhLFA7x
yTYbHvou2haf99R1osQTB0F8qZ9QjEVxcrS3L+L204/5JAzrrNz1CCiihJMTt2CqFak44ctHXTcq
Yhvg85DNkRGoNyvud7OrfpH5d47nXHXBuQMpkmKU4ZO9xTIdD6NL00ZwEHzCKyXc6YI1Meqyvq8D
wsAFxdM4GY+eck6mqBsYksnWistVssnJV5V+hrVFwrnyLQggSN4r+X48CxZCb3lCk7c3UFbnBUCA
Q0/evVE8mza6DY4JVhLGIAzmVr8XQ3IifnrOXHjq4/pp00zfNs/T1pqs57IiL9kBNo8rke3cNDB3
pcvFuRXEBYg+tKrf4XCqSEIQzGyTq4lGNvdTFykumQgdx2vEpvZPMhwcxDb/cWpTF43CzS/Kn5pf
JdG6QGXt5nVIHjOpTw1pNRDe63Tc5X7ZE7Sn3tXMKeY5oRqjsLlRUwc6jek0vfOCE0gajN8wab80
7VpNCjkM0oibDOH7ZeuaTqSDSl0bO5tOuJhspjs4FgOpnT/H0noee8peS6NPJqPIy8A08YbUdVcE
CUipepwJEjrg+rCVnCE72poZf2yOOrWXbZnjmbc8QSY2lWCTbDMQAaTF1YecOKZUSqoeU0AbMRuA
mu8VAjdBk34QsfowVhQFNkiGTmZUPM8Jb9pdDCKhJ2dqGPeTIs1XDaeUCnfnoMJ2tOCNedlbffhU
kffcibgefhbiHHdaoOLRhyAQz+/F0GQec1/tkwIV2yJs0LKzmruljR9jv1jefAOLh1Glv8rF35TZ
fMqT8UArL34xJyqO5DwhNWCc+VnLQOIQiolJUKV++7fvORhA5DU4b217MYWgpDMU6q/KHXtjZtO/
ouSbCHWH1t1eVCrZKTVZ9zx8sB3i5piVU7tvWGzbN8Wwwp0CXHEBQNhyXpus+/bb4qUlJ3zIKAMf
RbYqo8Eahpi1/VJTEku2lKCCyNRkVjJZPy+JgQtDsCi2nZDig9gYfEkPAd455YYm7084otnW8+MQ
RJietvDunmqTxXMVa6D3yDAK42hcD1XSjYVR7cyBRc2ysw0kGFwL3XjVi9REwGtGvZcU95jtf4mZ
/RqT3duRLpLwmmZ4/oKRds/y+ddAO2jRrHiaA4/NFUFRnyqgFG+5Mmxmhpk+Ba9XE7NPcMhRhr1u
T9ihv4dRweC3ZE9EF0uyuSEvDJ/R+iEkRLsRbdw9V3ETefH4U1vzPtUkz0qTllmtA2cXdP7Byrmt
1mXKE36ZLiHlnaYS1R2YGa53UEgSDKiO96ykWkDf8Zn98QRIFt94VcTYX8OKlk/di+Kud7NhBf9w
pc9yNvNR3MOYTonrs0BGoHtb+TGeEvcwzrG7r4Vq74bOC44k4FTGRZXZLJEEVymF7vzVt2PP9sVI
4EU5Yd2/VX5ggYJH9Ec/TiKiv1h4pfOROAWILvuXSo/cz6ORXpwlu3OXukBx5uBvYH6ckr4FoJGH
Jzqax3DJ+h07X+gIS3qSK9osHG5OG5dnkfSbXE1c55pzrpI9hKiOIrVMoyTl4S1cab+W5LmhkYXt
fc3k7G0pzEIUrELvMJet92CwgGiOyDo5R4id6iTcFrFBFcgxJE+2tiYN2LJb786ZrXBnGfRrfQwC
xI6EilPwr4GTsyT+cUDEulgeEYe46OtiI818uAVdfZzc3MHUp1ZGouht3YM3xkm494lURFiKJMHd
hXWc2F7sLRbs6yQ2VMaE6+cWuDYIgvRWOqvUW1mdSR+le1gXpvOqshGhbBBTG/yWYzujCHhNIv/O
S/PJtT/+4D6UkYhierJdCBJyeULudXd+5x1FPP6TM5u8tkVlFMd+6T7RDe4JIxNELv1flvcd3dLE
NXL4iI+dFdE+9MhhEQGJKtWH37Pf3WKmLL2AH/a03JG1whPxYsm5ZoIhsOMjzNJuC070NvtgPWTy
MdbzQz5Yx4xOeGi7jyOn8h1X2mMbYoJw0BMm/SmG/NEqG5BjtQX0DBT4tukZBtKJaRJb55YIsshN
cdfkVJSL4m0MrAMX0TPn2b0wxF1L5h593kivXPX2lFgSsoXlKWVdxY5nHY8bFhXNIi/2IkOC5j4M
5ozBBHnLufLhPpWm+ZtN5RsfIfbXNSbgS4cA1qef++KhiNXdUBFP2U5l+FkvBklXgnJTPeljWyCq
zAH2cz53Fxks5zyfEFxcZ0+u6SFALegBbGysiudMVVwGzpRNYvq8clyFAGNDfYRux+EcINk4DkYm
bw/MunFwHkK7p6Vm9lz6WiXrL+1ZH1RLP12nPIf2zP2ZGAN+YG/b4WVs+7vSDY1fMcUnOK3Yn8Re
Gdeas+gw/60Ggnm+1K8aROSm6jHZ4VDRqnFiM1gpNOY+pWo6Kja6roc7M9ce2ZJQ69q/FyXhTDHJ
7Wz5Wx10D0PVMdgZKYTMviaIX01feTO+DMtMqCdbPpek9duoZIXRdLBHd4yhu1WaSspQNQdzXCVa
jYO+MTVUBWZVoGsBSLBHV5HqWtyywFXp2OvIzJgOJDAqGuWlM8AzItfcxzu+rxNTApaYUvclOn/o
phw8y9DvicjHHPPNX9JbvL3d4p9bTw8bhrl1ZR37ZSmSwDnboU2x7oVHcOuADhm1tymFbxobXQn1
O5RuvTMomlebIMxddrlZzUsTe+FHMZrJv95LgkvR2Kg4lS/afZKV3auVIjbxpDvkBlt+i44dc6x1
Af6gOQvy3PFeujFgkpuD/o2bqzVuQBENx8owm0c3qUnGdRN/M/2V3gmA+HXzcTJXlOZEksVzM3mk
Yr6WzPxtgIfq4+6TV6m2czjwTWwg7pQqSX/HMjmFhgC6lobp2XK18yhsh0v1UgrZnOPO0v/yuOAJ
VzvZjyv5j+D89fmTM/Evadm6FNCKkvX1g//eilnRQ1DldfY9rQ/AD374fa9V3FsPflj0yLNkVKA+
gZtFs1+iGEExsczi0iDM7t145CKzVuiqxLi3IfMs/7dReVKSu3Lv+b3s3VL5j4vdjhwHQQjBQzaH
hHlGbqzWElHXervBgRNA6/maLMPnUAX83zI3e8+1Zk1xL6jCq0BnYFGaNbDa1itvkzig/iGnPB4H
HpjGxuuNLI3mVOjI93zDO0wx3WwJZOmdnip9+Y7+DlZBFVH3XXaEQYgQA+aLZ7SbxOiPhT9PF9gM
xrVT5fKYz1giCEHeRlkZfWwTlcb3FNGggihZ3e/z2jkFLb32HjyziYFkDth2uUb4ZDhmIdEYti0M
m5OvUkVnRZKHSkjzn5qmqOmf10751Az0DRBqTe5SqHb2wHlmgweGZoeSCK4g9wJMt3ZSxDkIs5Ba
r86Wz3UtjyeWD9YiggpUPLaeLw6OPZQfhYenSosnu3mq69mGnVSXJLB4eNqDjGo3IzVZhE+qqsdz
bs3pbZpQ7YIwGUEgIFc1k0dPZ5Y/ti2nvfDIRjMTWYdpYrTp+YKeXY/gelfkHg6kjCU2w1qpnDgv
47H9UUU+fQDT4IpaSZqVCdpe0jA0zqZ6lzFARYvnwMmpew1qg0WS8L1Z100AXsnHslqKT1vlNQMi
/7Et5mQ3BvWbY/rhzcNxgytqYrtgMDvJTjqe1e3CJPX/CDwTOLo+0eMCLBS1xcHbTdzrr3VQ6SdC
VsQQBpnkr7ow/jZ+Gg9k8U3vLXQm48dK2/DT0PxE1g7BB/A4YoapehmM7tRrTScVvhekg25ft+XN
dChGeCy42gy+Xx77NPni2qF2ZR0QHqBR2Err0V8VDMOob15epWfe+k1Ktmxe5V3fD7mIkxlqeP9b
CnrL/JtT/oZdDaficW55ybOYnd9Km9vAEOIVdfsIFghiA3lfD/Tui4Vrviu7uj6ZrfPPjMsP38/u
IaqKU5VgOW3G2f9yhsFbbZ3upOcp62Af+PMuRzFBSM3xxVbvjBT/TkIsQaBrngt7YFbqko8YLtYG
HMEOaE8chYH+9j02aPfc7Lk8eDM8HuaGVn77rvusYpzjskMdrZyPjqZt1FfloVH608zRdEHYFI+S
T9lltLnoJj0IApY5nZK2/UPBOzsZfU0aLTUvlj+SUp+enbJpN3LhjKSmamzM2thBZyNKNy7RoDgp
jJEDP2vXHlkQ3gKU4QEW207xWmzQ6wjM+OFeUqxlhSk5KwcJwKpC/5RU7Vm1IYy7NYLauY9ZRv6/
b/l0N5Z9X06kAQ3DKs7Uoo6+tM9EVCLilM9pU1P9ELeE121QGFfk7F7qhEup2Xt31HrZ0j0hDZoD
X+IGHUNsMLLCw1STAcP7+h9A8dPXpvFm2u0jmKvn2uvZPFj3Y/OQi9rb0ePYtbDhfkisyA/N3ag5
OSMkkwOCq5i2sg8CUtHO+LqYKVF9gaweUo/YOkM9oz0H7rsBVExzYlQYa5XdUc914cTWNVgvRblR
zTBW/PE4td6r3+k7Mmg7S6i72e5PPIxGXtv8DQMM5G7rfqiBj3RatGmUZpQM27a8mraanrCoh1eZ
9KeEUfHaVJQQre5+Kl3YRBgH5B4LIv3yoyO65xEcpnO4DB8d5hC3h5rKTdO9NYPdP6Vs847Czr7S
Eh3J6g6QqHI21rvEqv8UdrHwMOAa6DQ2oavy13KNPd/6d2rH9tYu3Bu0eDhKcFqjgdsl1BCyZjUd
2r5w30bTfCXR+ZiBR4hCj0OBTg5ZTpjJo+M1MIl8JpR4zxXuYCx8nU3NMd1lAtDlCt0c94IExIp1
6YN/EvFoxnR50Cl2dUIp/tvUdPwdqfSHkuZX4/nLUZIp+2cQocQ+yx/m3qB9uRgDcSf3Ypnyi7Lv
H3gczgFkyMj13NoVPWw4KB97oaqMlotR7Wn+7FnZekYYbiK3KSjh0RxBrF6yXSmgkkmCepwf5W4B
FD22IDFrsvjJVLxn0LlKK4BTlSIalYHx6pS0Njhxlgdsgq2aK+DQrW8jC8AmPFFxCXftkr/oeoBW
Z5fTcQ7FUbaltdVdhSwHmVIgsWxdt36qgsU81NwrXT97mAZkC8MO2lsbjm9BHzwMmUc1F3ogRoI+
SF/fBSBOdyG9x3HLZpDptJqAB2rN6NOZco9hMD61afnuV0ZNZWRaLS08ZyQT1LxqIFq0hM77MEHp
qNpKv6U8vHcxZXogzAmgMkcBwK0b+62I7e5UwZzjRGbTZJ3RVwgLyWW+1pQ0E63Tp7AS+pDWrvxm
rAM2ABPtxOyPI9glzUMHUD2kzs7TuY4b2jJ2TdUL7Ewzvxdx0L57E9lwxxZE5Y2R/n+3UOUJgqvj
Mfp3rCGOupF0kSJ3BmmOLZ4rX3GJofMMzQd0lWHrF0gVTdGdCAa/sxL1AbHlBwmbggFtQgAoCnR/
5E3Zu6Nm+bY0mOCTMn4nSeaL6O+5BUSHjkucZ0mDhyAzsE/J9pVo0GDfKoxywrGLP97FZvzscqQz
V0ISq5MDQahtn4rq0i/kv8kIpxhYQQHEyiHmG0f5mjxy6fKSf8DB8yxUUPufl/cwEYb7RAzBj+L+
tYs9QQsbd6J9gjCK8L4y7lVuU7uQ2Ldl1h7KmqqQNdNJyyROJbugl2WrnNH/EA1MUbtRrCj2g/ov
PUzYCVnqpvG5d0pU59g7d7qfD1ahKgJKFKxpbqsV1Ne4wyOXHw72ZMZLIq70GUtBat3XV5qZC9Og
a77YTAwT4zmuVJpqn5fJFPAnlvbEYzwqbQqm+eS9DxnV/EXU9gWlvmi4d3Tmpp/U1ar5mRz/XJ3N
JAafZdjtABmuObI9KtnZKMcxCyn4YtTJsQjRw5OqOwKdSu8KUAVU705jaZ4zL+GH2ot1VD5gE0p7
M24S7u5E/zPIfTqrXnXKiuSlN9e8vw5ufAxvYmZuXVowVTqMhFUCkFIPsh7fVhbrDsYex4QmGtjZ
BPf4nc9S4ENmguSIsjEAx9xp92NZdFvSde+wayTSS3vsKYbt3cx6HFwmoizzigeTz/JX28f+n2Ry
2t9REz8FdLlP4vnTsYk8Au644Gfn57DOIJOZ2o0My/IuoK3hc+JLkRbdLxaBoY7GBn3fS7Y+DkCD
oD8xsc1xTh8V0rpLgPCTuJM6oX2dMrsNwY4vj6lMfWRQk6G6AnJmaWffr/OOZ/EwqtX0zXi3E1b7
6QQs3LBgyAGlPOWBeeP3ZaZAOYKtF2yDEt08a1mVV7sBqnBxitPJ/xhx4u2ckHvWAm/uGdKOMCtu
cRv2b+HY0fLNiVJE6DzFBvwFvXMAh/euxzUgHMRhYhGGWY5/OeT+jsBELdt7TUcifF0B16ksgBiJ
aQdjL9hD0rp3VY83aid/WhZVBb4eaScUUW4Z+37u/3L0Jfga8mduCdzhrkXFmMEsRJiNgJIbe8Yu
+6TsfH1RWTEQ9DaRfyNX7Jukne2iP25CCsX+5L8LPSU3rdjuweNJ697azWnmR82y3IuFxEUuut8m
JuNRmS9pxlrusclZYF/Cb2lqEwW15cYIBEK/C7Y3fIRG8B5SgdvUwGtOZtlWm4nq7aWQM5YUSnhL
6gePTsV/ko76h0nsULPMgBUJJG0SnOla8EpX7XCucwrQZKup3JHE141P+quRgthEcFJuTTlwgTKj
Z3BdZoMc6BGPHRJ1p4r5vhq84V4kXWRJdjAa1ljeYQnSprLolPTiJQjYGoPkfkwV5XcwfKV538/i
3murXx6ZcKaK+NFoqYDUsX1VjmqOJIAxfgjKm695u4zPpU/Ep6nBc0g1HvRKEILqtvXbrPwYXFIH
aYUwl5FldNhgQXEVLG5qJtcli09QL2HMwsPLWjaGsA/HAe9IkYScl03OjuEDQlUg+xc+XSgM4SB3
KwONLwxOEQCNIZpXVNjAdniyDX9zPz0tKHNgPwax93J5s2a3fp4NxNA+tWFMJT+sXozaUL1Ni3fN
UmV9uKF4WoLpAuoPYGOf3FuC9TZVZ13ZF4IXNjXVA3pVsU1wsJ8Sz743wh5Ttb36gfwzx9m7W7j4
7ZNDpnJ+72ImtL5C/JFDaL1RzzwXAjMHjsprIDuxd4fuHjz+ZfbVeGUGpT+e3bMo4kmOyaMx5e82
VPHOxrZx4/TRrOe7xKCXr8jD2QEbXxm1Qt39UYt+TlbKVzBBkK0C597WbvpIsoMJu8GDy7PhT1au
/HBXiXtBKP0kYl9HcqHDyMbUCbjGcLD8ZgDOymeitsJXWdS8g9NNkf63hXMlRPA5cps4AGREGIVC
valgf/jsFidbwddtqomWmkirrXtkoCrowlgOgA7/uSnaF587/yYJE6DnEAJJ15u7KmYhLTUABgzT
5fMds6AG5WjeTpOPSw6PdA3JyOJfaGiBowQ+JxY37YG1ZJHdOatj4w8rV75RrBN6Vm1466jZbsax
HY9xN3TJgR4/YdsMCMI7EgFmU4hYYXWHwvV+ajv+Azd+33Fw76XnXqnvdVEHr58KrN/yLRPPDdGW
zhzeVDyf4rguXrTPvgqPzuOZh9u/IZhQC6hHUhZP0tcgQz1dCP/SzrU3hpJ8wozqUU0Os4loyTGb
PJySrHmdPVEcMw9zJO47tHqQVBvTDo5cbIlgCJZXZH7xQ4zvhXnhiPaV3YH5z+65ZOmbyoJxrVLr
16AsuRO5Fn/qmlSpP9sJqXmsjOlgWf+Rdl7LjWtblv2VivvciMYGNlxFVz/QgKRIylL2BZEpZcJ7
j6/vgVPRdVOUQopz7+vJPLkJt81ac45J8Y5ZgTybUXMI/qzjwXiacgsMVFVRb8DsEx11Q5SchcyC
+WecpPcUpHIdDt70Svwkm7K2ValushLrIJs2JpJuumJoe+lBr3N7aC4wi6OSia0pgnatQDGCI9dq
vMJqS9MlxpI6YievcyJXxgFOfEKFCQpTvCZOuN5qCVkdBu6yytP2sk70yxTbqEuV+qY0NXUbR/Tu
zUiho1bUKLyM6DmoBdXieN7Awk1cYHrpLlKvrVxztiENdRCiymkV60IdFeA+pXoVZyoJNp0OWqir
96i7uhXU/XtNiR+RBbJ2TZ4FNaWDokvnzWvlHQTA4KZo1Rj6pdMqVx3k4ldAUoRyILlvnPw2b/MD
UMYnDGmHWGvqpRjnKl+2k14UIiJBFLg1SgmRM4siMAIcvPni0/CeDiYcFzPaF1n1omByQisfdcuw
65A4kuhGZRpFSAgC0ue3kbSEGkLDcuA07ZM115tJRkj13BlBITb4zzORvQaRIR/MIBiOSi22KbSr
w0RV7ELM+rAWzj50+3gJIqyHW4jMJyj5Bm066PwTKELqqIISyOTRmMOpVwZtYRfi0RrFxsFOspUO
xjUBDmbfC0wyfkS3D01OvFa94W5IxFNCUcItSxQ9Q54TYKbEDcHUg6wOQSP8C5E2W0qhW2p/P9Iy
JLSKdJQic940gM1pFNluwDtKOJS2082ieRl8cI56ai1T+gnYETCullp5k7HwoHBDYJRQySB6xXba
V5N8um2dYUOyRLfTDNK1wy4zt2GGvNlO2C5CfMUb4HskgtMjGVW1W7Y9O2+Z49hp4ffV+HVVZ6cp
FLh03ZqLCrqXrkryOXB9xb+ckIZ+XU7Fmg3CPsCUfmdIJWxdffRDe1uonhwXXputylK3ltk03sjc
OwR9kJwSqezyythqBFrBylpOg1/dmJEKnlPvEOsiibJpcyarWdywbh21WQUprVhIEqH6XE1TtxWF
clcyCbvCyRECS4T9VHyLbtf+1fkcuviqS+hYLIShBYemqB56TgTGsvMm+97K/DVkAftnnUj4evFv
G5Xxkp7kNpdT/maWVcnyHA/7QIv1333Tvyk10G0scyN5XrVlL7VmxHLj2+3eQzJ1TfPzFSpRhwxN
JNu8inH1BU0uCddoIoGcoC6d59bRswtPtcynLIBna/esOh1oD5fmBUkeeitfrBJRwAI/wbLPpfNo
ml1zVwjR3bS1EYmF1g/DVZZQcicHLtlXhIztKSrYV7WdT2s66tlG4VSISH7YxyGJQNuMYzQWzDK8
bVqRbTXLxPBoapltQ0zIkkffLF6iXmtXoh6D14Yd+a/c07N1WQSUkkIIHPSqlGuv9bW3MVf3sexY
xSn6F0fy3uW2ZEU5mU6oXoXAc8B8s7M5lGqX/Rq6ITmmLeVn9rvBb5EPOE88LTVocVfhDnEBUR3k
TTheflnVnnpllVntKi0paogTAVkCaE1Pfu0pdC5r3IJzSgqF3HHtlawOflvRo+8B3mTV9DPJ1TeF
YN+d7uG/7msHn2cxvchIrK2emIVhjBu3rxKKibqN0JmPhMCyBjFhMLWroIsjLKYTrPJpzlBAu7pW
0LkNC9NK/Ms29jEBFINB04GZr9s6/tRfo9/vN2qdcLz2sNuxmenFBjCuUXPz8DjvET/SHEC2eJ/6
eFU4bwJDyyQarvIx5ZiHXr0dmMOink1EANUIxTdasgqDsocYgHp7dfTTdsJqJvqj3bU/+Atoron9
yh0auKOhgCuTtblvJ0wrNHQrNkBmkU/6KWOK2EjWAglow4z6jdfLOGSV54mu8yhxHjI217lQzJes
MHTOlJG2UioFKS94G102yBRarPtKr4Y3LUSWVYkkGlc179PCzKfrYJYQlc208sbqt9TgkWtlevTF
m6dX/k2oygPnomzdWPx6s3jCR37hWP19Z1F3Vv300U/I7JV2+9CkHTuPkXsAhwkLZUOeVRYCebYq
gW0/8y7H0L/QTRQEqMH8DTV7qOMkMDU+6khNjW/p6SnbGhvLUPlIOfrph8ANWnb6I1/GXswOS9gg
/gG9YH8dYbqADDQdozGdgVJsEtISzY9i4lUYMecCXmeTR2/qaioVrB5NKRyY6PBdlx5L3oZtxUTa
JCgl2G9EuprM7oLmdhw0HOrSCR1vSE4YxU5qvmWKz9FwEwxjA0qrrRZIDXcgiIgeAIRrIqsH+9nT
MJHIMZpU5YPi6ANuww42Dr2e3h9Zc8N+g9kzuhxSifdGK9gZkESkqVivTagjTZDu4DKs7MLe0cqt
ceMgBvIIzrCLpsFzF9RuZJT0jhPKNFVB8z6z8jeOf6x9SXvEKXEwraE4WdLfDeZsp0Ffh/DHW1g1
nwixEyv4OxHIFeeyruVLJh2NFLc62k5NrhOGPGQ7oguHJTs2sUxyfRwXJgWKRTT2Nw5blqmW6rKL
md8jIGLbKNauKEDW0Ln1AGNS8NNqhtfEoM2Kd/iO+a5cC2k8qRHoeAMU7NLUnYuGnXSRTvGNmKZ6
54u0vpV5aByjpLA3dWQGdykJdZh1zJso8IsLdJE4BXL/p13at1al72TfnyqFzZMftpy8yik8+Cpn
k5a5AJx285DCRME+aY2rWTzW5/mTIO+DfRSxPUO4wQHnrEt6GSvYCBuB2HBCA62Idlgj2GGliWjL
1jhI2szfqsK38CAiAOnmqlTiX4214V2lQ4X4MtVOdkuFtO/DGbJUbHxMMEOY964FKeZVWKn9rNH4
p6pd3be9BIsyn7aopCuXRZmmN8S0ozZuUDIU0caGKbHx6G0Yo0VXtEY7V5i7UZs3gVH/msoodJBY
k2MeJy0FdmqM8dQyJ2rW09hNNTQmhWkQZ7bWvlrSQTQgaR8ndnYcBiO5Negvzpb6if14IEWBcZ8J
tq6JyynRYYQ12gQqrYkrgvBXnwe3GHolv58luLa4JVOA/zlPsrsx0PVdFGgde3L0i5jWGhLL0ssR
93fqgSa288Df1FTaAO5SnPBtaRyCIvSAIqClzYjRuFZNnOMtDsBbesB4zNMoWKl453YIyxZUMwxY
8d0bK5yxtTJ5F+BNpFIe9k/dUK7KDma/iES7bWIbk1QZ6Aa0n76+KqbGCZ5hWue349QohzyB6hL3
5daWgCpigDHXo4Yzzmn9HM8MqOQmcJBRcaLYNWo1d/tsWdnrhtwVtHYIfaVrKkqp39KPtH9Iwx5v
pWKLPd9XMd5HLM6uXYwBbXjTeqPlUB30ju1+ihMY4kAd3WCApc+gZ4Q0FQ3ejr5mtUEGPBpmCAnA
bmA/9kAeKk7j4P7Kym8usGfHSMANrZxzMbGGGJZCyizz2F6N7WEHLbCnxluo47Qsa6SYnaFTChzb
aQPe/9E3KmWX1km4DsPoaoKpeBFSQ6Ykky91ozeuzLSgCAHwFYUtazApxr+y1PolfHFKwh4mljO2
JvsJHyiniaiDGn+w0mdhZyfreFwGXZPg4rW7lWIDkPII2kunHi9WHj5XcRCj5SR92ae5EfneLwxP
y5AX/CVF2LhRlZLOiDdS99aQ+EHNANw62UuvJktJN/S9XrBTRyFGeCsa5oWZkk+T4dR+INWxPFmB
+RsvDCe/MmDDaeJwC40xudMDJ2Sjkwc7PZGviBhe2MaVlAgbYHwQG0gdg3repKi6LKJKf2k4yAm0
zYzmPsJNfnIIq+CEGMKfLYMBw66I7rMYGnVSYFOYe3xgu1HzKtVvPAsV0MTRxEYliuHO89EJLA3h
ISNhS36rcp3YihpMWr5pN0tmyIaTSHwLrgs+0yzvIbWaFKeyEpCcdBRX3Rjt+FtrEKTmq6yzbilA
81NOo6Ew8XzM8QWAqbULo472uIppEmMYPSyvhkqIhhjIT+B3RymV5I0VgGW+NUFfYPGmK2U7W78Y
bFrAA+YSidf6KMJCPvo2ryBydMu717x8PDmdVG5QK0ZAentSuZ0Bo79DPMgNNGVxGFWqizpmwGqV
lBVHvpkTcEiaAK1QeVJV37xPKwI5FzP7oF7ZMu5OYWmA3qQS6LK3rEChAYqul7XD9nDVj11NRRYj
46TwZqmGVrlkPdX4hyxa+akTOc4i6h35c6z5j+xsHEw7uJYOmCxgzeRVcIH+St9OyJSoCipYSLKA
VmqD/lJ341LqLz0ZOkQySWdnNOrBA5cTxSAuUVJd+p0OD8wxGwqsEyZffKoFFrT0Pu3SYy76E7Sa
B6mTTinH6Bo0z6lzpOMGcSARUs1tuahti+vRRh5lItRYFDaUIKyjm153PKJJshGRl70e+homa80b
pUXOBkmMNUvfSFNjzn00Y42IwLmqj8ErOSgGgF8tplGEh9Eb71WQX2taTDkYiYEeXYLqb6mbWgB7
1V6FA3DKBLFajxU0iW5aywIAUrWafM79CBx3QQcz5iXY450pORdZNJBrXMt0NJ3wqJpR/ODxQl14
UzEUiwLR5Fyose8hhIl9yeK6Noa0zfhZg3Eyg+o1THRKzb5P1duLrBPkvJO0+NRImsUKUHnJxtbk
hmqrsihkyOYjJPjo3umbR8WEo0NVWTOOfjjZey8OMCsB6px7zpcyxEUtEgxXhqDg3ZO+sBdh3y4k
yW8vbZY/DqYy3FS1zoYxz7PwZ583/bGwDRpCZEe1ICWK5Ic26Mo6nl3LyVCiigqCuIBSznEcfAmw
GYh7RfILHGV70XglB2ONOYBMgxLlRaES62105tqAbY5AhSJYjWlhrqOROBm1l1YG5VLGvrEdUqRm
eRIDEKrRAirepWZRxIxDif7RpOfaeYeaXuk2yfFpL6rR98C8x1l2NGuCIahlOb9p26AsxB2y1Qwg
RIgHSZvQsnpnKM6EeDHBdlzR3O6K9mdq9dvJV/aRk19GdTSRZOCHpwZEmbOKqxm+Cb0yWvU2iHUz
JzS1h5XRlQLTshDJgwgwAfhVJA+oc1AOG3PDVu3ygq/Fe9ZjdIFaSx0Fq74GVZwgjmNCtzsqzGKL
PDeYu4MoZ+YECdrLBDGRTWDNAohI7mud2gARUtMdDA5lQ7o66rycfuGFaSja25CEBvyRWmC9mNpR
2eqEMmwwRKt3pl72d1aBb9c2fJxOsAHvOMV7Lx6noGekY+xC9aE74a5kw6R3DZBkTsTB7KCZKCpv
rJYvfMUN5bSGmYBTYH7BEnASo0RQGcKDB+l35edpclVYKhmtUaIv6ErzUYUbB5DRznMmPE9zG15M
kvrl6LMyD/2Vj0Wc3b1gv9dJuNSITATgVDocGVUQAqs8CspRt+3mlE++Mg7NUwbLNwryYUEMzs2s
FQJOkVyUdTWCW8329OvnYiHnoiSkcEnGVKD/pum9ttogcKc0btBcty2HGC16qQLrd6dEa7OO7xWP
bjtk8YuANQS/8wO7RfoDdFx3DavLBpHfmybhXVQarjsdFQtU2L3eqUtVMtUt4slUl1WR7n0YH2pP
MTAIiAYvspecHt/aStuTJ2fYAVWAdVJ5FNyzmNTLBqqB6uUUbuqVpf0F2POPcWtOa71BQTOVHGex
dgV7Je4qAgTMYyHhAufUBA44Et+03k75Gc0utkeF51JoV94sTnB8CGPsEQ8sB7gtUUnSBlP5W6K8
brNiDamPF8ovueFhcerbQV5EaYEabWxP6kBIaa3jYmmrFB2H9E/Stn+nvbXCr34PWydzAV2sx0oM
YMCyfSUC3Q1SRCoZtKpJ33ukZC2tzu+v2E7GF07tPDkNCRdeGPqXRDwBJbKhEYuwA62W4sk2yO7Y
VNKZRrenkveLW/WCepdCazVhJ2NnogUhmlba7/fWyKuNhpEpt90qrXZV9sPIYSPbUXrXIKFM2oIF
UtA56l7Dwh8OYkDJj0Lz0S6mN81RkythRfZFWkcpXQp/HK5a2a1AXMcL1fbWtgUClJIT543GvGv1
DONtTgZLkE31vWPJK9ErtP2SVkIJ60Y6ZEtfwlZtR9PFLlhfB5Zz11Vq4HYN7/aAnyVq8pmLbvvN
D4zl/i4vTYnRAhpiIWvnBhgj2L9IFRfjxBdfgEhaNIKyeRZrmFqFclH4NuVarYQfHVKX9jUvedDs
PtzEBhziuCaPF2QEKAzkEbQtOn/lIJINEfAZSMCV/tgh1VnqNS0WKxv068kARdRURUuVh7K6PVTJ
3kihsuRAFJx4siBS6S85FT4Yks4u9pJj2FQHL2/y6wL8iI/gZSM5E5AwnrvUDAoc6OxJDIv2Fko3
UP4JLZ47s+6puhYzGKnz9EvVhzKgqKmzdCLNevAJOj+FSpO5VRnKayZ3zmsx9guyGIvYURZR0+mu
w2+iaIAtb8slr2vqi0uIOyjw2ZRqyMavrGgsNmCvYJ3H1g0C5orSjXGphsnoql2IRqKYot9NmL/G
FURRGHZ4D4PsWWK4GiqUIw0MnWVUtc9OHV+yrO5RzLJWAZHRVCoNVQqPJk5xUuZtMi6jlEIHKOr+
WYpEv580M3SnytJ3I2fzVwGMezHokfmW1/hXHcu80DS4C+p8EwplMYrSWVhtg18LFvuamiQWVS1X
kR5R5Go9iq4cEm7MQouxUiQhOjdluAsMJ1kHXRJRM23CJ76SEzpadAQOHh/OiAulQWwbK07woOba
Vsk6QXgqv+UCFFq/hXfAphZ/XYcWiZ3STZoHT1YSXFlTc6nRZFlpuXPdaUU7LhLKSftJiX/KMt01
LJFo5JAh36tZc8yYeKKF6jl3ATWitVYRIGvok+LCuyEDxitvGwpy15mOnU3mUGlDEqOKnqO1zKhS
DMJ+g1F3j643JeJqYp+us/vMKmJcigCEcHMzCv0pAow1CcmX0EYBsVojll7TfIYEBVx9QsfN/gjS
DWbduDB/VMQec0IWcw5uP2LHzUVKcTruWJ5kt1XmclBlHDVdp2yrDfdJS8KQWb50Je1DHzosghMA
I2Fc3XmSL9cq76G70pg0CYZIEGEZBX2VySF+OMP1CNdiXtjhCNj6a+1Z5UNbNewsHMR0Je0zGIDQ
NT1i+dg3LQqCvVN6VYd5FxxOeTGrm2/YdQYzJW6TwvHLu+7OdGprRwpugW3Ux1SSWdDlZWEdmMl+
C7VA7xfQBoeSTHE85ATm5eEvW2XqiBUVa4XH+xzp+0ZLZnQrUZzMHDQHkgdcsuOVbajXQSTzG3IM
n5WIShOT8C1pRZdZpb4iPyowRSlipdfGKUaqfhUrdUCogq6gmu6yca3EpIdjlUMF0ZdHfGXDihyM
aGf0arnwLesKTjGXjjNkrfuzsM+P00PdjMQtgG2PkZcPK2CWV3SxvXVudAaIVLu6GSVq2hqZ/yFS
TeVKTUow0UONsi8fZ5HTThu0ucVEEC5pbPAemEsEM7uZRauuy+pTPYxyQRznLX0VDpOokLX7JmHR
DvqGfIJCP5SzwyflXBrpnERQUpjGK0fvem1UydHWBFlWRkM7XrkOcei5bDVYZeufvmMRZKhSa5jn
rQOkfaooafTAX96YWC/cjGP/IbS65EoLQ95PhU3Lbd7J6FZDSrwiZZgWbPFsE5/WqxYfH5aElVob
PqkGrbbz67jdaphDl00l3/TSaZZsGFRuVXJAvvE45OZDbevmkomf+YfO5gPIIg91xVAvS/SiK0iN
46saFBkcSCKAkEkvG37ZnsDI39pAkW8ZW3r51NTmj9Equ11RWbRBydBcZ4NJpkFa4vhvjF3UG88C
ajBlagdvECnfIMHC44hrP2AdWYezwaIif0aJJouks+hOJAIOUkoRNyWyjv7haNULoeQPRAncWTXR
oQQDikeaqs+SHsIyLXMU+8KMjnZVmLjped6JocN/R3mxVInI2BiWvbNtkEdDLOHeT2mjvWDmxQDW
aci9hgaCWxJNbx7b90jyf4XsdH0Pt+hA4NEmM9Xyzqua34LjWkf8CU5ME0dD2/6GnfdrEDVHjXhS
i9UI2ZDtkaU0qyFLbitd+UWwUH7dx9SXTLROvIIxkpIIaFy5q/p2zze97MDXbgM7LFxi1oy7uK9L
F9YeR3OTk74KYn2aqi5coj83bhsvCe9GEgQ2SurLe4fmLZNVrBCFNveaOxsDJLzpvUHAdw3ZYNlk
ubwwVGfdjRn6GUCuNwrZhceAwIHZiqpsW7Uo9nhF2fdmaUWrYhzMO3aRLxiR6PyIsGU5VCMEHNRT
5+q5Itl42AjMG6XvBU88QwUtpmQj6zr4VcJC340S9nNj2gusHSdFI4Qsrqo9WshfeYkFNpKppBA/
TJxfC+Ou1zLTpVgnoadF0Tof/IPM9ItMaU/O0FxmUZGvx44yh9UYLsNxVaRv0RjCWxAYD1Qz9RuH
UpKzVFOTrmgyGsOF6U3NWkYy2gTmkG1jBTe+GPS3EfO5i/aRGKEqKNZUIXM24PkVyqqrTGnUK9Wm
zx6SVGZmgbaP21p/hkofzXNHBr8OKlyCInpqDYcsnHog/dsorvED92+GT65vYAnOyDK3NkM1BDSS
+LwvJSkx4MB4Od3Rbl992d2mCpQJrNCU4CJ8HII8LS8Dq9cW9pEvGdiSPa6lb3MK9zuSQZNkbG0c
T3m7/cd//O//+39eh//0f+XXeTLHPvxH1qbXeZg19X/9w/jHfxT//V93b//1D0uatqYL4WA9kqql
qsLiz19/3IaZz18W/4t/MBKNMhVYaNfKk4J1IV78CyMYbJEMYQlD15z3I+gWjvMENPGaTNTaOdo/
2Vv//RE4n6tCajiVNfVsBBHHoVWmWuEq6kqnd6+urYd/ZQQJbxRjHQr1s7tEIaubhKJCMKZAxa6I
h7X6eoT5Xzh/DppjqKapWppp2fNz+uM5hCVrP5stb92S5MQMhIiWhlhUxevg5euRhPnJUFIFv2Vp
uiENU7wfCoTLYLQoo1yUC2voA6tiV7jDtlgbN0hJF0CHV/2j9c31fTYqz8bSLdtyVMmb9n5U2glq
XjVTC2gTv8sQlafG0slmFeM6afCBjaIC8FVYC/Qu6VWaAVFOnRvDsa6J9VyMKoJXMpMXLcXN49c3
5OMnoKt8BlJFxSwsBBPvf1mBazJkpmldGoc0bZadqbphdPp6kI83HT8SI7AnJxvLOf8KfN0HkGK1
rcv5qb2EmdRcGs9fD/HxFWIIC9+VpdqOhn75/XUYdZLYlaq2rqNg8wDXFHH4ularnf34bw3kqO8H
6mlU0WfuW5emeuz4jOWqjznBO989GZt/6P1H8e6KnPN3xqzGENVyx9n3gAypw3eYvmi2cUOJ5jkL
fneDevX1pX03ovb+0opeKVtF6VoXJe34EE2r2PjZsx/fwgz7eqTP3jqYRJpqI+439fO3LoGNkTcN
L0TjNbT0MSpnv3Xz8PUg8yM/u4FCNYFPmo7E7WOevdqV4qsaR/bWTatbaonAXHwoIgY1+IXx27v8
ejAxP46PozGrsK6j5Tn/xJOirwx8/Bz8l5A+V9nK25Emv8ld31Xcb8aa37HzsQRmPM1Ecih0eXZl
fYsWiu506xKhZz1xlIMZp3aUii8wOE7EJnnh317HdOZL5n+dWyptXX//akwp+AUtxO9HkR65e6ke
G9XAssBm6+3ri/vkQ343knw/kohyR/crklCtGZIDXOoeteXCeSjzbyblzwYirYGAIYcmvnU+KQF2
a5HksxJg09jGGg6hVfc4lsGh/OaKxPzdnD0uzTZVe15zJHuA+Zf8sbyJUe3MMh8B2/2oYpxpuB/I
E7zW0WZBl7x3MEJDOlG/eWQfX38pTMsyeEkch63B2UtSSgqaijMkbkeak9qfOE3PfUkwsfFR4rxJ
GrfBHP/NqB+/bAnzzbYtVWfF+7Ad0WyraOqcUU31pr9PnaNx//X78dkAGjuFea+gsuc5v5mQI3Rv
vqzI/Ik5iMoi0Ghygb8e5ePLIalw0a61VT40xzl738lVdexCMspEcwPCxYrDeoNi7Ju79XHGZRhH
M0yDZ8V3fHYxtpdn/IJ5mOKoPpgEmA5UM8hz+Enh7esr+rgGvx9q/il/vIR60GNQRgvnZgiq+21t
b5pbCn5fDyLm+/L+VZcs8PY8DTLh0rV/PwqiHuzZKq96tUJyshIL/yXbsnnZaKt4lWyU/dfjfXZR
JjfQYSGZZ42zNdJG9VkUeAxdv3Kbk0YIFXFdu6/HEB9nW6mZ0nF46Ryu6Hyi8Ct7smXAnSsJdlkM
2qG4TsVBna7bay1wi+abeenjd8uZlE0ZCxcLJB/v+1s4jppBxAvXhF18WaYXJs1oaRJ9rjFVJdZt
PzcXIFJ/fZWfjIpEmMnQtMlORLr9flRv8PGh6lykSAmeROr8l8NWbkKzPgm4Z+mQ3lKI/vsrGc4s
KSiUaZqpfdj5O0HSAr3nfSFnztp3/VuJXO6K07PhvdmPsAT+/lXyFPX5szadD4+SPM85voqr1Db2
Rb0xd71LhMkm+uZb+zhHGcKWgq0Nu1Gb+/r+ZjbYlap+YhjDvO9fSOb0vnnvPxsA+JptM8nqWJvP
pifW4qIiCoUjWR4dqy5zSx/+JsyHr2/Xx+mJT2r+/bYQtvnhsGRUIQt8xBJJewo46PjTt39EdC8O
o/3NizDPC3/OG6zDjopvTgpH5Vgjzlb93lSynnYpFwTToX9ouzXIzl6+qqe/d0Xn48w39o9ZkNx5
FBpqm7geetkUaG+JH5fS9xGbBapbvOPbrwf87sLmGeyPAdW+I0rGYkA9sBcTsnlX0XA+WcESGXi8
UnJ8rl+PeP7Q/vsS5421bTCFyLOXr/OGZmAKYd0fXLh7xlwwv4h+zEpg+c1Q59Pv2VDG2aQxYrqJ
cmwvqIAYJsPjjX8MYlbc1Su4s8o3q8vn9/J/rsw4m+1nNpmVJAPFlEmscr1Slnmh1rsoT3cUPzVE
liSFfPMJzC/exxfzn2Nq759fy7RYSbjzuFcEFefgiiXu37yLZx+ziANrxFZsg6PQmXdtc0eTYXDx
//bUcyPvm7v417f01SXNl/zHK+nAsramkuQfEfrHwlIhDao5/kO6ZFRbCcSG5x7H6iaLBEL34naS
6gxRqN8mB0pOOZQ/vn5hv3uLzr5JkrSAR0Q8Vr8D4trot2Qfn0CD3eI2ff73hjr7GtGyTgoSbm9t
oE+sFYC1DkHAiIFuCuO7os833+H53g6iiqHYONddulWcC9cDLLa+xlxJuGnb3AVhff/1xX034Pzn
fz5Xop68JkIbbEtvabQIFbLkcqqGWW9DRxcTAgmcAa2Rf2/Ys/lGI/rN9+mxsgHzrVVzbdNu7u4t
BR7ZNx/KhzP22Xxjns036KMS8mZ8Yo8X3QoK4GLaG+vRJV9la66/vqrP5hrWPLZCQAE58Z7NNVEX
YL5u6aoZQ74yW5J6svjYIGejCU6ApPVNreLDGXG+tD/HO5tnhrRHDIsaxqUlKMnm6bDdAubGtOZB
eljSXn/hlPNcW8WGCLllPdVXw6CH39xhbf7WzucGlmCdzDdpSPt88chUPwvSxMzd2L70flOh7+8J
lbaQcvq3yqMTuGN7I6xTf4/beGYWFGg4blKaNUrzpr3mcNJ2PraWjHB5PXO/fiR/bZs+/jjdkkzH
jk658v0L7qWk0akgi0idiI7w1K4S/U0Uq7g2N0S3uI6lM6WhNPRO4NguHDnekkkfdL9z/dR3OunK
NpPpNNRrJrJyhYpn1xnpTsIAAp4cg6AHcf4jAjuHnRmLR9NCYW77YPP1ZXz6Zjn/vIqzz5T8FTNX
UHO5OGGWtDd2IGdeCQu9dPz6kur309fDfTa7crf+56adfZ5t3Dk1sZM8UeR915z9nd+++BemAMGu
zWa3oWO4PpvB9TmyEFVl5OYTrbg6/UkO85IoL7kogHKE5bFok+8+mHlVPH8ZtHkr71Dds/S/TqJ/
zHYWjVKkD03u1gZtxhqoR0hcU7KtzesgtUl4Ll1A8iRRPwrnUvTbwgn+ha2BZmmUWBxhGeb5FEGa
tI1ZC5FNk9gYZWPwGN2/MAv9OcTZrBBpdgtAHyVQguPnpVI3sLlHOBbfXMmH/sQ8+/w5znyz/7iZ
jpkVHPSgFg/UINKqPnQpgAz2jVKicChNt+yKVZCBLC5i9b5WmJpsE6PECBcGTJiKmlG1FloHUurr
t/ez+ejPH3a2V9HC2omzngMOMaoGPo82WJVT/s3r+90gZ69v67d12yRTBp182b05zhLJy9eX8dnS
rFmOKelQGJo8n7l0QhugCXAZ3k1x1ZcvrbVJX9vi8dsqj/j8Wv450tnsYreEvVoZI6kbglTXYhWt
BuBnCzjO1GDEEj3ExXT996/O1HRNcmk0X86vrqFcEedVjdpMrCoNWOoyt39r1ja5EcM3s9lnl0cI
gaWTwOuY4rx9Z9cVoMGiYqg5Z93IQLPjv3C0b9bBz57Xn8OcfXcEbCEJCpmjyYpIb7L2obJW+oOm
As25+PrefX5BVP84/lIAPC8VKKLpmk7h3iWKO/4iFoAv6usRPl4LJRaO8AY3jFt2PkLU+OiETOpJ
IVlb5BeNQ3rRw+FKxBZMvzuh8fp6wI8LHO0Ptk6UAG2qZtbZZKIFFf/mPKD1VHQoe+JF/Ky0u4qg
j68Hmpeu90sART9eOJUCksV+5Ww/QE2/QrtN0cAqn9LyelT6XcTnNQwgBZGKcScHYXwz5icXp7Mj
pFXKmFI93yDh2oUESNK7K7PL7kQV3y9utMekO319aZ8NQ8cA1Su3kBrg2aVpHZlnuTPkrv4Uv4SK
udR9WNq/ZP/NMvrJyyGRDlB2oczzsYDqeZztxmKIUf4TEXfpg76/nRUh+Wn49fUVfdyHGNwuGxab
wff7oT8mysbrEp0vN/C1XdewcxwOob/HYfj1OB/KtegsJF1mnYazRRHkvDkWJBEZPmSnu0FbrJ2n
nHi2o/mKS5sw1QUq1fjx6wE/eVRSUO8z5rMCnfSzk4Jmlzj9sD66hOsl12S5QpldtHda9s1M8fk4
tkVXmKtyzmUYMi3yuErRiNfmSnvQQAAP6+qGBNCvL+dDCf+v+8fF/P9x5lfmj71A2Dpt2Klcj9yA
9loPe9RL22SBJGOtbstH55s38LP3glmJ1VEjqpaWwfvhShPBP6fkzJ0I4StWab0eYLh/c3T4ZKaQ
fw5yto2oWHu9qYfUhX54UV46WE3hz0NvuOC7gqf09S38brR5zv/jDjYR2rJyjFiDLwwXGPiGxIN1
tbHXXw/zcekw3l3UfGf/GCYXdjhkxJ24qbrhkF+oG/HNN/vdCP+PtDPrcdto2vYvIsB9ORVFSpp9
7Fk8PiEc28N93/nrv4t5PryRKEGEkwBBDoy41M3u6urqqvtaeqE2h5FBjZlbjLehqb3p6r5APeD6
MC6sa439KisW6rTntQC6OaoKZ1JGAf0LOzQJX6LpIL9Ha8nKS3a4JsxVLrw16H9ffY+mq6kBC5Uq
01W/hd8nFDAek+++trJJL3x6jVszj3rk/2Vx+U5O7qwpO6/yYSV+hVu7Ue66/mc+oGHzCzlaJXi7
PncXNs88Y3NESdYcN366BDQUEhqkgyIK2DZjdgfq9j3MV4Z04XKgnRiRT430ctJQUGpwzPaIOr5G
0udIzND0zVYsXLH2bAHG3vgwBXu9hz7sxzRapRB9qda3gpU1vzbghbdICoELiKKTJvlWZPv6pX+n
M/6/zenCVxhFHwwe4pBu8bOgD4OKS0Ta6jUvO/8ti9iFxw6uNvNxSHnKvPWOVmPCCd+3bQk+yfH3
gU3BPv96W7qm283sLAxYAfb1gV3YAPN7lExBvkgR2nJthiOayrOo/fwCjExkpj8nbzp9aWuvX5dO
EJ0rMfUOvNCrZ7kzCr3aQBMUXjAdyWVcbuBatnE/2boLu8sWV0pvLowLAATBEkaZTXmxPhHuUAZa
A0m0QnN5g04VeU73pX+/PnsXdvaJlcXK8305FaV5UMo3T9ua4JfnErDdROmw+m60h+vW1sa0WIRB
FQhi27PneNYoZomYnf5uvJCGvG7m0qdiVAYia6YO+2oZQsPE8HlbZ1TjrnUUl6Bpa3wxHOQkdpTE
PpUrJ+OFDK5GYEFkKxPZiuKyJmuk24Lc2oi0ZT/uxET7blWN6Fq+ptAkARtJrCW0ZNBW0YV0N9bl
u1om/YoPuZBHPP0Ri4NT6mPqlg2erYpg+KECGdxkVvCDDCGqzVNyUEThQ4RZs7cClYePsL2l90K9
aZNgN00KorgWL1sglcpblB2iO3w+lYAtErNe9YIU330h9vQ369/HWvjWSdlfIpq7G2pN0OEwm3tq
4GmyNGDBXv+UFzzjyczOK+rIoZQUlOZCYNIcR/GjtyUa8CaSnytzp6yZWUSHiIWWpVF1hsNLenKn
9oF8Q0de8lFwuxOqJLDbuuu+tVb8hLaZ/iGKIorOurorTPOlgq6DFozCVSPokDs09OK9j3vgHrTZ
wXeBwBiVY/8WAyeAm1NQAAvhStEqRE18ud/HHXSKWmpuaLW+GWIIuEWP8Cpf8XGyjJ+Tkn+RatW6
bWW6Z/Mpwva/mGNilP+VgnBnP53jJC3Jzs9znD5Ynt2S7aAXbO38mT3/4mSY39qp/aCChmv0wgiJ
Tb2SucO4HXcIt/suiivf8MJbA+E9Add86cNNLy0UgtIb6EORuHTNnerkO/NO3yBPYsNe3649D13w
ZMfGlvWyg4iMae4R3vmW3Qx3leGa34Bc+NHX69/m0rQdDWpZLlsOdFspI7FqKT6jWCY8o9F+3cIl
Z3kylMVBk/RTgbfExPBIrfSu3aFauBcP4YF+M8o8x911exe22om5xYkzAGlWW7RJ3Ijmdp9uv7vu
oQ3c60YuXZexwsk5h5DqWVjstcKoaAFXowQtKWp8XiXFbsxN2se2ArTuUQxXqowvL4h/DM7DPnJU
YmIYieQRhyvfpPfJuo0e5L/i6g8LZLjEnoxq4Q1JzTcArVl1EXKbL6buKL+vz9vFUeiWiUyeSNZT
WRzQUQWxRp6nTSARmUdvCpQFqbjLJsdr3v6bqXnlH01YryalDkSA7UoXo25u2/pWR7bTUB7SNl1Z
c5fX+NG4Fl9HraFggCpjOYDfaB5z5aE07MZDPvMg3XfSLVoUMKWnN28tE7U2oYsvVqjyGCAkzv59
U2DDGxv64My/1FXnN++apXs1yXjNhbGQCpfJahFw0tTqIaLdz6NdHUjJby17oPlDdlF6ctfekS+4
JYu6JooeSePxz+KG1ptGp7WQ3dleZG0qa9v/+uPVcWJg4ZQqMa4yWvgzN7aeJpDUSKzyBtfCmlir
IL0QAVtknuZQWyb7ubxsQiL2abdDTSiP9uObj3gNDJcvwkcdIYSx4mvXbC1GJYRKFwIWz9xWehYl
MKY0v2sm6d2I3nVYSOVziczP9Zm8+KmOxrfwt7AHVblt55UBSuoN9fnw23UDlzYXteZzg8occWvL
FF4i1qPZjIxqPkDmtYfgn63c06S9pezXXa30mWdpsdaxhy3V4HHm7I007lp6COaiHXE32kT329JO
beNVdHkbXa2YuBRWnFhbuMTJoAE6QUIUa6g+OEiN7MUndSO7uUuX65+nDU+MLZyipcpRp6cCD73p
7fgmwrY1DsXzyveaN+e1+Vs4QzlXjE7XBUpb3MlFHYSSKFvfoBG5peBkNSWwZm3hARvUz4NEbSJ3
EN9Y9gl6PqghhzszsF6RfBjfC/FT87I/PylPJnIR0DewK/VU5abZhHfls9jdmn+tzOLaKlwEtMoQ
TnExkRMbb0abdYHHFT/ApbIuAH2uWJs/yZVPtqxjLlq0gOLGi9xicKsnxC+MT/XPC/Z48f9nWy2r
zlGl1Mu4J+FQhgcoqT66ty/mmpFLgdmJlXlaj459KxC1MA9r+vp/DOKvdAy+JgOlNRPN596tB2RF
LckHhIO1EkivzeDCDaZ6lwjUjETuLAyTIdWFVjRZjuEPGw+J0E6Gt/AW+qTmSTeakdvJs7TQxhQ/
25VIc3UKF05CiRWE4kSGokARowFXfql1N0TGn46pxvHGh+71+lqff/S11bdwGFSLFlAT9Mid2yDZ
UbCO69S9bmPt+yzcBAwjrr9hG7kxAs4CeHlLEd4MMXZko+0P/83WwjkgsD/BZSgi17rVI2f4RFxd
rOzrNi4EficLYeEetCCUUuALkdu0muJOoNch4yUBuiFS6nS1eFeg+L75TzaVRSGhrzSiICT0HQaz
dFqO1nyBsFsb7lCDQdA2X+2Lmf/Cs4XBMwcpL9rNz2qF8kCvlWhWYpyF2RJtV+ZvpnzbILTraU5R
WU6OzEvi/5vYEEVWmqpVnVfyxVLRPTE2SKbRHoNGmoio8meAOE79GCrfr8/nxdDpyNBinShNNVVa
R6BRfMSgEL9qa4WJF4OLOXNNEwJP4kTTp95QVVpBQjyaqnYX4MyW/+6TWzBv3LyTnbSy7C86jiNr
f//5ke8tRg+uVJlHrvZYHZS9SRijb8S7Zlfv/3zijg0trgdQEntLmXhsEMWb7kWAZbPyZS7trmMD
i1OktxA7UASO9zA8pNFB/t0bP4oHShyvj2PNzOLQAFBqZUCcWWk/rPfKZJmTs96snrwXI+g5dWxp
VNydd5IXQ6sHXQ9Yu7cBnL2VNqq7B31DxeY23Yq3a522l3ztkbmln4CI12SSzKVU5GnhvqRKlPTv
x/WpW7OxWAKKmAL5RnPXbZtpU/4ow7fWeF1t4F2zslgHGor+5BsZSVTfWJSD0bimoQ624lcv+QG6
uBRFIhdNp+til0pWkJv5fLkWviX6c/xNVFaihkvDoFgRsQ4UO2iRW6wzqdTydJyj1TLZSrEdNjvp
bbWL8dJiNmUTtRMNYAOvWKe+JiShr8odRtTvPhqKPAJ6dpRDOHGuf/lLdki70ZdpklM2lpUqyagX
Q67yBmg2d81XZBHigGeeIVvZm+cfhRQV5XnzFZABLWuJNIpj+xyRGrdCWBgeeQoVxFqLFNaMLE6A
BvyqXIqIhAjTtC21h65HlSx6+9MJOx3JYnn1U5W1lkfgPZSH7kXV74TBaV/6bMUpXzhsju1o4iI8
qEXKsHsr8v/2MhTb27kd31NMxJvYuC9XLmDnq+DU2GL/F5Xa5+Xc0DxUAGw3UEXN++GVZ/XrczfP
zWkEghkefikNRe+Gk/R0UYNvUcooNAK30hE5MegE+THL89fBTkr32rRvke69bvHikuDEngtDqTxc
pr5K1J1ghY9I0rYKb1+G9VB2Q4tYa3f4b4YWvq0WE9kcBhFMkgCGy/CjbeG3tqaP+sqILn6qoxEt
5hB1qxypWt1wjBFkah0qdFJTaZiUoBfBPklR160UX1z+av/M4eKW5LV1j4SiJTjSBCrgG7pirQ47
gSzw+BUhko3frpVKzRv1fJ38Y3H+qkehj5pkCKapvNCm6ksOkUKhuLYevzavVSyiP7emwnDu0Odl
+Y+5+c+PzE1ejmBdFMGmpvHCHgO6xgULOnDZjhDGs7UH77UvOP/5kbkUmSjwRarhKIX5e8rAMurZ
vVCG8a2mZvsMafV/sbs1kWQpVSm8Gy6Tpq2iZb3aUKEj8j6gPKqOjLCZaovhy/U9cCFk1ZE1+sfQ
YhOMogAirKRHXK82cnhoXiApb7Rd9Z2i/fYRkeQVe+dXXeyxtXU6hDmKl3cLJPrKaEqJ+MoIlUXf
bl481EcBxd32zX3cPUuVbKNbJsZuEj/k6u66+UvLhvoSfBkeDcGJhdOU5G7wIUcR1uLDxt/V8MWv
KBq7buTS5js2sphSxFfV0u80w5FRga5/BGpxGIbJHmZO5FdVULcxKPfrJi/tvmOTCw/T0W499COH
wUh1wiOgn0K4S76j6wgZ6LqlC6E0ZRhHU7hwLSjZZ1STcmIryKYq2/6tU+jhNTbpc5Mequd4+mJ9
muaHupbnvLQF0ZqiqoSbsHhW8Y5AYl4WOdfephJ6F/D6Ti2AihCIDQAYFJs2cM35N2P9x+YyjgfL
O2p+JxlOUMe0Rmp7ESCNXGR/1aj8Nkn0EpelQ1z5pCMiu0cV5aFtOYszZGtXFu6lQ/Fo9Mpi4QZx
BFEvIW/dDR2KqdBFhKHYegri3itjvrRBjy0tVm9eTl5XlXXoIn+o4cZVEzVnkuYoT47iPkxr+T2P
OunGijX9nlbA9k7MevLocGbnMkZoG1H2RR2T5+u/a+XzL+OQFoAx72/EIZCCrFt/PsLs4DbRV5b3
RQdx9MUXq5t+Hp3WAEtzRP1WL1yz3STd3drt/UI509+lTFSdodhBlmVxWCKYHhaJzh4SA7v6Kvc3
cLbNot/Ev8TqNiy+VvfUcVyfv8sLaK6i/5/JxYEpDaLhw5cE1x7JX4TE2BVdodsolJtrC2heistI
gDqt/7M0f8mjs7LNPHVIh0aH/VnsWuM2H4RbvbvrGlQ6LUnfN9NzXxjfK2R7J034en2YF8+zY+uL
C8U4gUwNBDx8338Xfg4icFn4NFuYd6hQJ9+bcKWK8KKzPxrt/OdHo+3zrjfSObajej/onooJjUpr
pxR3Hk2kkaBs9UZa+ZSX1+j/TbCxuGbkRYGW68TFjLfh+kvbHvKnsF7ZBxfvMpQnMJWmwSv0MgoH
ZuAZkjwZThyObG7zIPbVA6zpm7jRNpRZT8VeRFUcaXm7EvLtkCYrHu/ylzz6BUtHBLA4pUfcc5om
bxGBlcr3UFaf+j7ZBpV/76uF/uxFsQlviIqTIg6ylV9wPs+m/neyiOZU9VxkRhcjAFl5YTjjABp+
mmYFazTn7QoeAUiE39dX7gVrVFJa1lxYRYPqWfYA0mGsK4nltFOD5ruCduMYkNoZislG+HQlv7dm
bbFN2sFKuKyWJJCF8IMm3IPsQ9/R4hESev55fWQX1hLKTkdDW+yRYMwKKpp9y4ngCmzA5NqGCjou
NKNmk2k+wFX9par8/lYexwK5/PhLkSa2EAGHu/5Lzp3gnJvB38oayjRnF/RMAYqJtrvhRJ7a3hS1
Z269aegORmsoKxvogilTojpWmh0uSgCLMZemprVCo+uOCQ3YMeAA7IyahzHxT4XNOD4Uuu4VhToR
6lPVhbudWhmx+qFTHLyB0WzkcrvWgnUe8s0zZppo0M1ytGc9WB0dgKzMUXO64p6O4K1l7KzS3Mg/
JLQNeIMrf+smbkDlqSzYQve6/tHmAZycJ1inO5x+Pc5KSnDmmT7ysGEWZDAOW8Wporv02Yq+SfWd
/F40H//CDBKMlDaS8zrrxzKnNBxFnXnsx4Nxq7VuDXDtSVl70jmL1BkNS4IqM3UWr1p2OSLCWRfN
iBm1dNtgHyhUz2VfqhFQ3/CBVvrKaXxp8jSaKWeZVmqXlv0CQ9VWMcwJxekeo/DR2FXDhqIbSOXX
J+/SqBDIMpGkk+YugcVqJ7/+/820Vm2rvYfEzuQftAjNMS2JkTKZfkZtNK6sjItW+VpsMgpe6eY8
XRkwPUULCqniyFnPCUAUWub+k4BaQ+AlrZPVtdMDHl2Z0jPXyRecA2Quzbp0oXEvDZJGNBvFmfh2
IlwekUUSIQbdWyvju/Tx5gPYJGsNZGt5JJhaRN+yxfgIE7snM7gtfiTfYZpf/3bnVgwRzQ7q9ee2
MH35aDVGwARqGSvCz/S1qZ+6N2qz5LU39bOoUD61srjAdHrWSrGEldanGKsPGtnukmpfcamxTWqy
qqqiLFpFvRnAs9wdULiSVhbpmUuef4JBOoVq1bnjQzldLtkolp0czD9B3zTjIf1Qld31qTw/6WYT
tETMj6YKddjzXB/5qqIqMl8qMAG1iBYWqmP22j2YCzpz1htYLlrTMYJ3NGbHvJjT0iwyGQICvuS+
2YKGcQUn+KtFmm4uK1YO18d2YfaofKT8G4vsNnMRjg25NGRmXymOPnL3LoQg2eqJCMqx6dbypec7
jEPtyNTiQ8Eej3269UEjNN3HGE00ZHsoEXmBBL7H99eaw87FD4g+dBTd6T4X9fPaTiWSG02rcZJx
ntjZCDYH3ltXD1tBqX7LckDLJ3Jr7YwtB665KbTsVSexgi7MnVplcKbgT12f7PMb4vyTLBwqz0kK
HcmLhVRaURMIHgspg60BbM8OE+9uKDon8OtbSd5Z9bi3QNg1nyWgtuvGZ2d9euCiTiKyiMX5xKVr
+HQRIwGV0jtY86XjYDMmENb3Jey7MniFpGNJrrcmr3Xux08NLi7d48zXk5NScRTvu/WtCeGBPyqf
iLQy4deHdi5ixrzSRQ7IhCB7jgFPx5Y3U2bIQqE4pt64g/ldyT7GJnU7cTgYyo0+3GmGK2SfcvCQ
6t/zboRts3JhvLSPUHSniJgbnCIu+0n9Ua0I4vgFhbTtXgw63H6sjPHc1ZqmhhwZPW1UPdCnfzrG
QY4lr/ACxfmf3FVghzfiYXTpeNmtNWYhXXC2WE6NLdwCqox9AaZXdHqlfoZaCSJY2CHFXLuZX7og
rAkIx/twmGiol8J8M1mVtx2M8lcALMLOrMhuGi2ys0D55YWedCAZDRTVkzO7UMUXwFqe02datG/L
3OlL470PxRjwOur2EbnOYExJWEt3NWA6hJyCXR2Wd2akNQfRKtptpgk9QWtkvo0mSBetDPZeHVdO
x6Uj98QtlQKVHfqqb/sC4PXCkjaJNd10aajboarX+74n5wWE69tUQEjN/Fy6qaMC4X01+51XyXMQ
xju/6r5Pqu5BOYlhLfIwvOkkUYBlTRd3FiMhlIvA3eppO/kNoLI00Ez61KqHaCgbG0k977GnoW4T
N/33Xkn8XeKJ7TugGR3iR9pSRdUKNRBpBPgAm1TAv8NQSt7DIBvfs7q5D5om9u1S1fNNUytbPy/U
hziDiaPPAltqFX9prPChMix6vfvqKUVmGZdVxjsR5vemjuUXQQmbYu/p8S5rB4mOnjjytjV7/mFU
zOGulsLDmI3mY5BL1UZK+wPVVo9ZDkg2z+B+bCwP2oDph1t90LdtJmQ2ivpOnkzxR6fV4jYoxX1f
Jo+ZKlW7FkmgyRB/tHXsGg2dcmGW6PxW0bvPcu0l4AqyNaUu3TZwyN+9rgAtB4lkZwTdfgpGuxsg
cgm8Du2hBW/r3m82VZTuYhHdytYE0xTX3isJIEfJZc012uquyizDqYoZKa+Stp38YOvHzZ1WlNZ2
bISHVCvrRws0aBqpe83gPd0QnuJQYAmMCoSjWe5PjfaGaIxwMoT7viohLtAw1mSl/KDx6QKKFzaF
5N/QRYtP8Xr6o+IENqC2lRTr3bTy17Acvb3F/26D59qYY3iPgOErahaGm/omnEYlcgiswSeZ2bfe
rz8GlvImUYbY9kULc163p2sfApok7ERRyLZabAEVFQ6Sz2Ab8iR6IXjSxksa7SGcEb563JTgtwBq
CymZXKisthZMT/EU9I5ZztzsunmoxuZ7lE8fesLUUNT7EhoaZ7ql3cQFknXhmGxjKfpddHq30xON
ntJcek0FP7OH0ii2SZQihECMbWY+JJQ+/hKllc2nM4jkJoBssg6PVHemnMxt7QFriytkvpLuRmpF
KHKaEEBEVisAWuV+zPJsQ5hxm6TpANFP1Z5AWhsfCoItHxnbGHy0ku+lEoqRVIDno5ZEcAcJ4l4g
JfbYxpADW7sV8+0IsWOvjFPYQg+S5UOPWjBwsUh9UjNkFbTiQxxr6UD5WWOLPJ98FXmUCp02agHN
6VHQ38hVn9tFZ9BBJYU2or2uL/iPk5z4m9RAnqyW6qHfwBszvyleDbpGxOXJ/te05BLXqYCseP7Z
4D/eQ7V68YXqSfMq6wZwBukPQL19gw7HGJg7L5++ZjrPtKkabwE03oyNeFP1xnDLjXTjDfDMfbkT
Nl1lfrZUW+OTfiPPuG9KsUaQwDPsVjHttAltQN74xfDTqI3HbAjvW9pFHatt3DbTv6ZdRiEC6sNu
L2S3WpBQmysDgktlmXu7wWsO3EZnMKatNvif+K3yV6fkxq0vR4cwUHZ5zZOOBq688au3tDRGt+3K
Dz2uXUNQ6ZpLHbEjp2N0FHx6AiAhHqQOkWRW90NgRW+CJhBGBJb4JveZ5wZReNcK6Q0Kk9JL6rW/
c9Mcb6yqfuwzcH9ZVL8BTCw+pkTdDK0M4xSMWZSM0XvW9rdCORSf5Via72NmVPugTLg/DxwM6BuL
v3CaZbkxeq+2UVkWfFsps+heokd3U4Sd8Mjjxkb1BBEiXive5ijz7Ho8JQF98DBnbMWRuKuqgHSY
Q7qTiuCLZLbCnlJqu2iEz8lM7VKmpXRA1rER6a7KhmHYslXbrdJqvZulAapndR7aQmEdrKYCDwdv
yYTyFLc0AivNALVchewesoIqASRrKtT2CL6RTOOrAYnNGI2NQkhkTyp/fz2lr0jTfEW7eYsLZPsP
94XPcI0o3RLp0Pk05wnZ0a04aHaZqJ+Not2kwgDV28czpBJyBJZGpyYh5cagS5yNPUobw8j027pL
nJDuWluOkxtZSZ6TDLKypoZkdCB6l5CUqO2W3CQTxtcq9SBvgka1parcl6xhrfI5bIPW5gE+2WhV
n3CGZluuehB9gdfoUDPHX51KCrXLvOhJbTwNqrA8bApRvTET0bEEZdyUQPVSVSt3k5rmjhhrAI9n
Jy4xq1ZgPiGGsFU6DdhCbwq8ykSRxs60EGFMpcwujUjdNGn6zW/1RzB5+wDwNvOW0TUdCOYuM+td
MYRuNI79fZaOb4bJ0PwUIauhN+yghc1MJeqGEEW3G0m+N3LlLw8hwtREetkEjdymDaGKCEVaacf7
SS/u8oKnPqlmy1Vi2fwMNDG9F3AcBkV52wx3b1ejbI8GHUFq3x/0oH1Cn3dDXOKMrRpDc4gC2/cA
jA5VMyB8gSRA1xiMu3yNat+ZEvFTtcpfPHy9+FQa1AH9lUblO1EuIAdrNV+kuHnLKPJICiuDamht
jVDnMV3rEE+MwtqxeuFVGsVpk7WtE5hidwf82nfEJnqwTOqlqwClbNASYzyFjjxmB3MA2CpJT7rB
fdIavsrJ8F1hEJWp3emtiL+Fhdg1jfI1DcSNGU0ScFB2U68DEY9HIqq+NdkYon9nBUVie4U2ucDn
AwBFsVZsB8uLgJkbDTs17ly17bZ1M78DmXJ7W9Vs8bQunMJq2L6W9ql0sj3NQZkmdhshU+5QTdyK
Ylq5mpD8BsKn7NROBwI/SXva5QB+9sOdNYHfS5M3AU3/PFEK0mvdXwiLqtspN+C6BjV+XwLJvcvH
2Hyu6ET3DN136Hfayg1ilH4g3oyFfOCxYy83yUfcxxYYyHbTdHXLT03d2sq0va/Lv3MZvwHanchQ
+Vn6wZ5UEBBcA455BGUuU8Zdw+3Cj4Q9IcL0LKnT8E0xy6rdCLAZQWsTzKV9+VROCYhZY6x/60V/
oNdL3KEjuykS87nr9Z04oJeakkxDjWvXdGGKIytvMn0Sb/s48F7BEv+s2prGxGEwHlrDepGGIra7
PrrpAqCxoR8TKtGSxOKob+QyvEd0eyOOxTPR+H0Ivddue+UxGHVk+GLxLe+FL6oHvrYLfgydSde1
9y2P8htDy3YeYgSWJfXEEvQSpF3hUOex01spuu0E7TavhC8Jq3gIiEB6XaHckoBeSjp/nyIMaSbB
kwC+9LYqgtz1Mv82mPVuDL5gpKQwNoVetAcEAf24eiySwWnqYlt4cAQFjRI3NbkD7/GsBcotbxVw
ZxUBSUkSf2gFqK4e9e4sYKz4OK/cF22BLjYHccX5BUdny2jvSBPddQXuq2qNje+PNq3SN74qJHYe
QKEdGvU2HMKfXRyCVOSbTLrgWFkPPrmQnUxL9lSa/zS0Ya/O4gQVsWlHnRIPmeXTqPKRJBlBG0tD
Bzf6Wpvypm79YNek+ragInjlMnueuDu9ei3ushaE4kT1IUgq38B+ovBLGVv7Lq7VPp1fWMGykNYX
AZsgLyDP2ZqjnJaRNzrQwojsCK4ftY291ylbwpj9yrX10k3y2M4i5ZEQZ6PaGahOKb0I3+LwJ9op
W10f+ICvufoINHvbAJ+5bvXi4OZaXdor517bxV15pHFOj4ZGdtr0k76oneDfj/5aM++FRB1TeGRl
cUn2tSYbfKOUHRLSjrINHcGWHnBeMCRIC365PqS/5SRO8zen1hb5G6kqCjQ0RJl0VscDX1Rnb0FQ
5bu2MHd+5tV7TxIcLQkMW1W4W1kV92dAeo80cBMvCPngJl2wqVTN20r9dBPh5VDy+llOWuCYrWpu
FPhKoUZ3dxCLw12nThLg3B6y6kihYdlUuHty4VEZevtqUsd9S5XZU2np7SM0cPZG2k5bQZd9/voq
3k598YsMHMUQRskVNddu5SpId2qjPoRCQqmpVbwNbbHttBJKS19sS9GbUEDGdWZlsYGYsZnQt01A
7crwNd1Agn3J1aGXPcjI5K9if3TKUNpECVdbq/sd+FV+11aAsdOpHuxcK39Wsb/1a8sVETha+Rpn
+RGLPBqoPJqfZ0bF4mPUQ6XCqa9lJ9VurW9l9to9r+ooX8gWnhpZJtAA+nqxjJHBd+TcTiN/CylC
4BrxWvQ3ouRYuhO0L9dHdu5+To0u3I+XBUWpCzmL2tBfm+jLaNTvUY3SeQR5Wv/zV8BTZ7eYx7Gt
upiOU8UxBoo+eUKAweR20vCoTg+gFlaSdBdm9NTcYkaphC4iD71iJ7qbXM0Nb7w761mxIyez/1jp
hKfVY+ewMMWlG9xx5MmOpPIwErYyLTAolZnkVriOiPux95zrX27N6S2+XFInYuL5hgo2fjuGMXmX
nZetFcacJ3VPh7U4NiZjzMSB+hLH997VmV2gjD+FlEaYSMvv29LEePvr+rjWTC5OEEWCkj3MB/VY
Kne6Wjxh4qYPumlPTfkhGFS3CEgDXjc6f56Ft4VQieI/iXIdrN7CaJ4G5cDFmwpdaSBcGXXJGaZ/
sfrxHqixz6paPF0t1gjSO01SdorqNJZ1CxZ8o+mhIwLv0eVPtV+j9p0/AMwCvP9YW6yPtsJTdnWv
On0Tv5PSQIKRmtVy008eWmLtbugeRX7D9Xk8dyenRhfrpU7ZcFWnqo5acweCZG1z8/ym5cb3JqsI
xJR2WNkG89+4/HI8jc+FIGgqIL54GthwVW2NVsGiF3Na6TDbJc21JkQJm5XY5qIlia8HxI/yu2XO
31DjppUlSXWisbHNatyYyrRLyRnSZLmyHC9+uyNTi2ns8yKXjERXnSGud3JIArDTbXVy0FYGbuq7
IZdn1uvz9Y93cYCI587lUtQuLcOowCCXQ6eYRNKVNOaw90vjJjC3Qb9Wl3ZxlRwZWnwz1A/9otUS
1dHE31XIDXaTkF5JHsS/rg/oXL0SFqx1ZGhx3sRpRm0B2SdHCToXJuiWnJRAYBMVH4rQbPLO/z0Y
CCz1vejKQjK4UyeFwaYIort6ou8dbaQZD19Gh7jq5JU6pgvPWPy6uR0Hv8NNY9mbVYpySz1OOFGE
LDtlOrwG3Kc3tT7uqiwz941nfh3H9m1olI3sKc7ozXTbMcz2HnclX67XirPPvz+xgCTSL8zrGt5w
EUZrXlJwV8Tz+lnNrXVyxalC1/8m9NYqTc7PLixpXEc0SzMtZfkwSjVtGTbiSLVCtVcr+S4uXnTf
XDn+zw8SbjszKA1YJBLNyyKdyWvLKk5iSjyanfjWC4cC5Ym74Lv2p0BbdDzJUeuKoaDdRjJycXgk
DdRzy1MUx1fQcskbhC3qdu/nabG9vp4vfaBjQ/OIjy5xUzeVaiNyiRPfzHAnvbXvNJRfN3Hpy1CE
hsY+PePoFCzGkiUlKfGcSRPT/C+xD/ZjLt7wCHfdyrkD+PtkQkYDtKKGdufpQARSL6On9Vx6f2p/
lcawke/qfOvVv/+FmZmRayH5NBd1nJrxwJb4sY6ZNiaRmA30vpkeadEsP8xkpEZcK038+1Ofnkac
RToNMVBqePlfFnOEUVxYEdUrTt/lPFWM5L7qYVJ/NIlas4vVvnM9RSffVCh+kGwapX8w6sKufcOR
CuEGHMDeE8P7sjIevUDb9N2akumFmWfbqXxcC0orW+90SpKWl9ci4+G6/0RbHqnFH8KTv9ZueOGq
jKrDkZXFQo189D2aEistb6YIi6JtezBeQVm66t530/frn/nvWV3MujS3I/19RaMsb/GdBR95ef6M
mK1AbEhKaG4kUVRMvFH6GTfopPyeaNreKglch8HMt6Gev4oJCc+NEia5a4o9NDkdgRqyXGoIp0MI
bru0iw+NFvc278Txiu8/P+CphKT6jH9VpFCWn6HzrEgS4dY5kkHLjRYL2zwUXmpjvFEtoXpUEHcp
4vYlxoG51yfrglek8I3PTwM13VPLIj+eEyylnAvFJF171+TEDib5Psk++5xH19S3vXqtW+zCkpu7
wgko5h0B1uB0ybVwrOpApsBprDbGvu5tKXsTPn3xx/WBXVp0J3YWi05QZWBHpLUdcWfuZGfae3cZ
ek2+XdnCdq2D6oIrpgqZUkkqqXj9/ftsP3LFmYS8i1JxgnEgb9As3Rb6dBda5k3YTs71gZ3fTSg0
PTK1WN19JApmPQ7UBkM7FrL0S6euFclf+ERcfeb6Y4pZQGcs/LHSNETmBSYod3VT+jnS5P8x923P
der4mv9K134+2geJm5g63Q/AuvmWOL4leaEc2xEIkEACBPz18630PtPxciqePjUPU7UfnFrbZgGS
frfvIj6KOjgLg4dy0f+Th4dbwkmJegsdu5P8z8FhxVsg/Q9ysNzTBgXQtGzCtsJ0/j2T5V/d2c+X
OskAo6jCjCSg6HsGMsM32sWKbzAlxngY6BDd7n//rn6xr1Ew/+vOTkq8aEGuJFaGd9VMGesF2P3k
i0jOgrrPTB19CqKnIXovzB0XwMnxhyyHgsQVAxH55jChuijWtkfQEUsv8rlSV6XfRoe50u9ssR8C
WqdXSoBi9aMQeSIYhK+3co32fbASPE0unToXorrxjq2pJPioWNhmcxPel9Z8gOPItAXh44lA3GbS
k3co6g7afYWfeQzz5FJ5e1b058iZ+pSXBJrxkAFKf/8qfvFUkFuApnoE+v4CNK0VdDp9HHQzewy6
/jDwMNfvUpjfnjr+EdABkgBazyCYnGrTNAPVy9QBZ1eM0aEooRRj/A9eBGjDcKgxUBu4vJdjnIUV
YP2thPOcfP79jb45ivANIh8m2FDGYZBcP9m8sfBIH0qce82XlZCzweXLw2TGdyLWO1c5tXtl8VSE
I6BJm9nVHwLTZqyUt978iYKR9T+4H0AYIoDCj22Sky07JJ4CrAhXAoqiU4A2VKn/4g//rpjI8akd
EzXwOn5R7IazrDX3AU/lR5bKE4aZK5Lp5eb39/Lm+PlxFZQFYCT8osSDTQewJi2uglnknWFqVw3+
1TQjAURPu8zwFN4JFm9W/ckFT4LgGPZtqzlQmENSn0XwKe/UC+nbd6qEt53Vk8ucrLl6AaAiMLgv
c8TudNjcoNDGel9bIB1MOGaxczuinxv0LuDq+p6bwa/uEloWUIMCfg7wyOPnP0Vf4vwpXrHRNp1o
X7S7rkr2uLw3gnkTd3GPP1/kuCN+uogsFhKPChMYaNZ/i3X9DaOf36+OX+2pn69wkhlJpysTC6x0
oeL7oDyzJL6EiiawOOydPfWW/XNyMyfrovYXGbEB64J7i7ubxEAzAV3GS1aMfG9QEEKYniXd4Qhf
qpvocZKN+A7EzAZNIeA2Wla/R9L9xTs87gmGPij6dmh/vH68jQY4EpwFfwMPR4QSyLFBH0QX+e8f
8S9eIq5ydIcI0APwTmtz2KoCY4MOyqax7d3queti2f7+Cr+6DwYdhAAuboADn67FVjhUWpAG2Yge
2paDl5qoyYvh5fdXOb6fV5HX99AoYrC34swHi+vkaQFfCmBMhBXvwd+XPBUStttf4/7bcpsM7zyy
t0UsroW2DJ4agnzyhpEQdJSuxlP+RgcV3xcJrJKsq/cF5hiXRcDPm87KszoCU99GXfUJxw2MVwdD
z1uy5nDKGD+tPpguTOw16P5x6ox+L9n/xc6hPzy+jo0dCOudJCKdixJLe0zNlWuACq3PbMs/SRAf
pWNPv3/yby6FigUVGkIsQNiQzD1+/tMxAJEEh5lmsGyWKx0muW+25EvE3+uIvXm/P66CdiBse9Cq
etN7a5OxaBldNkMFLBXgJddlH36Yrur20iz/vg72ydVOEnCgZEI2IhXDlL676IevdERVhtFrfzNO
Nk1WiwFddz17BwNsDjuPi/c2/9veJwctAjkLOC/HVPK0OSc6qBMcy5pN77yD/cQnt5mhUxIs0WF5
5OTAy/q8Ah7D2RhwpDmtvDULzPDvKuwcvwX2FBp4qLFw3L9+t04DjDhF3gLUbbVVys/qc7rYQ0mn
ffcJvrEy6d+JnG97Fa8veUrUmtp2Chx89zZt3O+8x8Zv0gi9qDXmQAYD0XfOB52SYN3XHRDy/r4O
+KaSdlNWPO3P/AHyMTU7BMxsmq8WWni/X+ynyxAHy1GUDA7Qxz5wcnqYYdA91ZZqD5A9YKGHjNB7
rNhtxCHkAuDo+h7B9jQ/Ol4PdEN0TYMYYeC0EbyMC+mFX3sbhrH+Ej24YNpY8qH1PqFt/14MPK7q
n8/Q48VwnB0TZchiv/GfgUGKS0SvvM00BBszfq9JcRCwe01amppZ7qtwuWqArGDiaxfMDw3lh98/
3V/d7c9f4OQowZTRVjzA020h+wECicxGOaeDY1NOhtZls2PvzRzfEPAxFzsasx4FV0AlASHo9RL3
w6QPV/SiNrYqPou23roZbEeg4GhW9sUF+PB7FA8XoWbY9+qdJPsHb/nVI8fVQ4aGZwguC7JZ//XV
yciLpvJ9dOYG+RXHK8aPxcDgc6Uzxab+I4NhjYHl4JqyXp9rXXoynSN60EwDeK9vkCUkBKbSCXq3
GBk9IZqjsSfYbWNDAw5x3KJ+NE9Ot1PKqyCB8hAQyM0K5L23zllU82UDR1wAa6cmhzFcmw2jSFKt
ZU4Aw49MsOy06UBhB9IZutFVzc961bYbq6dbXSSEpui3f4LVmoDze+XXW9JxX2YWxLKtlEAHj9Hc
vpMWvtmEx4fGj8ymY4L7Jri186RRG0m6CboKSsW0vAJv5aNdGGCXjONc6MElmAGW3/9+eZ5GuuNS
QSF5lFhEYwsd1dcvKwZ4tW17iOK4AHIUMEec1uZh7l5WRj7+/kqnOdM/r4SiHPfhoXY+OXf9AWq4
QTXQTVfLXKoB09ooO2KRfn+ZN1EG14HyFnIylF/HKu9k8bcJHYFyjrxNPyznOFRzd2mZugyX4EHQ
IaN3rCnPxhWwcw5htT7aqSsorL3zJfxfvE8/xnD62B5AnAmPn/+UQYzTWsyVqegmXJPkRQr+2Qjx
XMKnCLDMWaeqitsyayI17GaAw+tQXhQRrLhpuVNTha87AdDbd1vC62YHdgVQjY3J7EChp7fIcDOD
hJGVfMhaMBBSe4SRM4BCBwDPx37aerO4ER2gvbFRm7aEY42yV4aDhQklrQzCT/uROz91lnap9ovb
RvEXjElTUtHdTJ8q4CNzXwefBkxNeSSv/SnotlMCbtSYGGCCm900VlDjnD77oEIl3fJomF9toW3r
fxvmqc9ZWD67Bi5DYtl23pJBgHJOzViDRzaXmGRC6lkMwzYx3jknK9hXkWI3jNCPCPy7EDj3FPY1
O/B5kmeBhCI1voEijK2a79ov5WZwaGLzpbmzfJSPrmtEBiH4bs8MVwcPhY5KpjIHctrPhGggYBGS
5CuOy+rKNQpKFUmVVy2QdRGL5Zkpk34/2CS4autiOoxO3RZU9Ji81+vdwoXaQaYuSuE09bGfOT2L
ldX3vhqbbYiUOltEPF3XpLvDdDaPKHilJFJXFYOLe+jNzyqqnhONkcIk/K1sVK7XAqi7kl80hYIl
mgDqeTLRRvdhdyBtUGzbucyDWu4hKnBoO5MS9DM2YY/c2+OfHDS8PiYjyFapMOUWL/lLVE3Vvm2A
8P79Kv7F2eAD+YZiG8NUAGVOEm5hekWCYYWC/0qfPZXXZv423c/ROzPbX1zmxyY5ljmA2Z02ouEr
NlrQ5ZEPTOWctVVyuUwgiMEOCeyA8dvv7+lNOIb5IoMaBUMbGuPOUwEnawbTr+WEfBtW7NMN5bdD
r3fm2ph3dFp+cQCAwenjMgAQ+m90AAEdrAQYIt6mtnrnXYZl+QBpzAvmXYibpoj/eVv/+TT/L/Gi
P/4zvNp//Bf+/aS7Bb9bDif//MeH7kXdDOblZbh87P7r+Kv/53/9x+t/4jf/+sv54/D46h9H6Pqw
XI8vZvn0Ysdm+HFNfIfj//l/++HfXn78ldule/n7H096VMPxr4lKqz/++ujw/Pc/UED/9O6Of/+v
D68eW/zejXt5fnn7Cy+PdsDvBn8C+gsJUUz4EEogC/jH39zL8RPq/ZmgnMKoE2sX+aWHFaC0Gcq/
/xElfwLHmfwg+aPa/WF9ZfV4/CgM/4Qm7xGVcMSC4XXFf/z3jb96+P96GX9TY/tRV9CPxDWPO+Nf
KdAP+rcP9jcwDSh3YqTVr0//qAHdHj3MIFv9onpA/VxxEKxCcRctRVGmVcznLm2gd3U71ODig4fZ
TjJtgCN4GEJev6d+f/J9UOSgf4DndVQQO9KnvZMoH6rR0AASSGAEKvZ1aom02VyDrrSIefkqEtuC
7LdE5ZDaHkwTsBUEv/C9biqyzlTj9U/v8a/H9ZvHg6+D9BBvB97peEj44UQHq55iSfpokbkL4nkn
whWOlwa44M8tVKkAzJ/DZYJsLAUjqXU+GmONcBHGN3pRSL76vn+nJDxNmPGFjkqdESZd8DnikBN4
/b6G0eNcl2rOWz9cyjSoGCzYJEif39ECWkgKRnB7K+pqQOo5d1xn40TBb/O7uvj33xV8OY/FGIZy
gHrDOvP1dzFQoSgnTBLyUc8i2CpdzMEm4lIPWTRMtN3KfuDJhyiS9Zp6xNlPvr9GN74v4/jCaIwm
3gkDxw7dq/WMFxbFCJU+GufIaY4KKq+/08yQM48Fo6A6IoP7TCoShNtG1DbM2EpNnNfKFPOe85mK
81G7HiBuAtj3VYhkx0trX641CDWqGh56TNf9rfZpchPLKDJX67JC1531rMsCjsw6m2wTspw1wIRv
PAYGCYbICkMBRgvIPjEtaH1BSDeth5J1IH2PhfUt/HOX2eYTGX2wngq4iaZI3x2cfJkDqKtuSdFm
4DSPRdb25bDkUccgdCt5UiybiUXtt6VDQrkrx9keLY+L6BbWpaia+nEFUSuWo/669k0E8dEm7INt
LZc52sHohjdfWJGIMmtN0EjYpk2cgSOVzMUTyDeO7yXKfdhzqsJrd7rhTKcSvGXxoVZJqC4LiNO+
eGUNhNcwGyCkk1GXmFpircdbkCVtkkGStXks4OsAgvxsoRQ1y2RZszCe4bgMopebrkdjYKG5etSp
j65d0Lftj7d9HyWjWzbMg7dW2geFwrGvHTX5JIGDwQ7r1ZpqFBkP6P4BF1qACAqojATlc6NNEcsD
zDcLmC35QL7P1Rzft02vm00BU9c+8ywBaW0sQ7w5GHqG7jwyrnV5EJZLvymwLtY0nMhUfjRsHsCY
q4P5e1k2AvLanud0WrOSgpfs9RG1APqCSJ2CI9iAot3WZXVJZkFZuqJVAJIhrZMjEjmaxb4sEqA8
aLPUnz1qhX8c64ItJtCRDcEodTGG89EyvUzIK78D97Z8ASxsBmdCBNELB+WsSUm4YhKzavBWsihZ
+v467IwYURDGCNMNpUXumh6cRXQq+INF6zzJQsiqd7BShhpTuRCIZ48D6SBpufiK5SMb8ERsNdgP
ZO3kdVyr8uuIs1OloPAGT1xy9jgbJMApCI9izuYhZuW2GdCPSQcGMjmSaLF4uTeReMqjahyf/LFT
TxJDXnACYojvgPDR8no7jrT8isgtxs1Uz8TLVA8eetq10dgedUVtc9Z2LbLKFi6c5qA9SMGD7t+4
OPeSFUSNuVESYFZRzli5Prjv47qAl9231sNdalmDAgzAwIgnY1qzAYfVKTzRnoOwZVz0gRMtaTpp
7a+pv/btlCd6mFk61+DQwq7VjJcRV4CU9JHkQZo0bA13bowXcr/qEKTKhiemPIttYESquFqgTTJ0
wNdKNwcoR5K2UZlLVHXNx6XxoJcqjUXVA8BP5pAgT1iVlMHFT2L0/oOuezk0XZQm9dL6l6MrONx3
A41Sg/XLAhgS9bAxezt1t5IQtCNW0C+/dZ2FPACf0CLcQbBi2YsS1kHpSDtxjbYASpdRxPacNU7X
EDJMXJwqRkfgmVUHHnFktXqyy9C1Kdx5UEo1xMFlSBQLGDi+YXWYQvvPk/kwlNAi6CZXwKsvnonB
NNiF35msydNqmUQt5MnhuljrHjWc5rJOgVxrwXOr+0ClfQixByi4eMLP1iaZHtnKOtBzQ0+4HC4D
MShsTAdfVaQ0rI0VYlM3e8HnWSsjsyWEWWDa0rGC07JXQf5aq5UUWdMh0KWrm6cZf0SiesRDa/3U
96RHs8F5KDO9kpK8jTFPR5uYo+1OZk8/FrBpWMAh4gvNqV0LlZah8Mfbpa3iC0bRo99H4dTMu6qL
7JLPEBKDl0IzMJ6txk4t2G6s/Y7Mx3hZie7O89QXYEtjO+grr40J3VTLsEC1YF05wj54RgdVVJCT
odT2jyGbpE1XhN3vSqxyzotOgXCMZt7yzZuLluZIN2IHgZ9mXg8VCL9QsxADFNv8PqggihCUMWqu
SkHEPRjpAiJ3CV+vQ9yODqN6MwNjXVTgVW2xoUn8zbNWgzfLIolRmeXCO68BlsZNNLFVqRe7CPUl
GP8KePCWksyht8M3Us3Y1XVV2gQLbGBXswbqJOt4LW1uWGJuA4zahsxVBdqtlWn8aqMLGeuLsg6g
yBBDjgRyRphcdZsk0EzlJlpdBxQ/nVwqfcy2UlPX/r1TPhLWZV5ug2JeHkgho3E3Vi68j0VCe1h6
mrZEHmOQYvKwqIBGrArInWoaQT4lVMzcMVov0NAvJ4MOHRthfRcqqkTWeBLgsLJhdMjnRbReSiBl
XGN3JkGfguXPsjbo1m9HFCzZWNDJXiJRi9u6ZFhNFkK8Ylc1c1nnZmqXz+jVhUOKjYM3WUxB+9T1
Hn6ErhP1LzrfhLcV+m3X6NuAlGxQI9JU+ErW+VSBlYntHCUh6KIEU2dH9OJ/6YJOegdZdMIeKNI7
hBfZeRbAbYKULLYLcH6yQ5fzCpMqhA5iQVF8wh6QgGDaxsTqTCAZvyW8Cz9PMiDgeaHRjhvE6f+y
dp16oONaqbyQGpN7PBkcgi1krKts6iYusXkc+OC+8JsIxHICowjJZZCaClZqW1aVMd960SzBQSqV
Y4eJtHbeFQGZ6lQKiRjUYVl+r6OWR3ntWqhxqCpEwgttTdhSodj/3Fa6vmOJXOEhGhegDjcM4jAb
ELGjaucj6zpPoLIKb2VNoCIxEaPOTCVjVM4FVgKkKhpsDYN+TZwVAos3E1SDM44OOGR7PPSnwowP
x9WcjFF0tmjokaVqSJrxbhjRxtsuCxlq8FUar827ma/RFn4Hsspdp8mcylFxHFW97szWTkUN8Qgh
S7OlbcvKg+9msVWJgicph1345TIY0adl0gIdExXBBOoG5vA67V1FQKpQDTLrhE4AEoThZHH8874e
chwyeBdD5e6h1hvf2KALh4vVd4Ln8cLh2jmvthjTsJ0EoBzgrV+RcCBjZsoBDSFFjXwZVtuXmxXd
JXR9nOrrFGe9+6jjwiYHmLEAeGl815e5Dj35PIZV/zkpV0DS0IRbwRYQFfOzNqxksOUFGZuD0t6k
H1yIsLrBGxyGCyUUtnGN3v5dxbsOWSE8DuAf5fMK224Mw61HSk+hcBkYChoWoB01gttSZsCKBs8q
IPZzO7VMZLzqsA3rNgGZscQRbTIfT+AbUHqVSV1QIjpyw4Jd74uFbKCE7ys8iBofrhMkerImgQZT
Lky4WugsQNS8YkM8ZREtoTXC45X7GUovPcFJLo7P0EA1Be4zRhDwsOqQlNA1+GLx8y0qAgzf4H7d
fK0oWuWZh/ZimAVW9yZrZj3eQMPRtZkTSY8uPYHiz2ExshJbgEHxjlti2J3P4uacC4c8UMXdWIHM
TfpnGxatyGF1CMkhMQVzcG5Yb54C2jGIPcVgumD3NDhTvBkvcR274a5EYjxlc1HDfBFM92SFlgSJ
NqSw/bWDTOUtNG4MlGiQ1InUeBBtSGVIyU1UBdWDRxgSlb6C9+Bm9FYkmYkq2jK3hW8w7BIKch6l
SAxa31AeeA5qkZSbpOMu2MamD59b6yJoERDpSiRNGj93Q+jdDhg93LMlQR5tgNPDIVD4s8Ehr6fc
YKTs5V1v6LeVONJnAfqxy9Z0eKdZMgwSuS+0BOK0gYcq7KxIJEgWdIMA6oku6x0EJMIxpRUN7nqy
wAo3IIm/ZEmZdEUaCwXHh2qa1KNbIQK1rdd5vOAtjoa1LBlKwEY+JiSBDknQlnsG7a5dObXNWc39
AsZWJZ8OBePd5xkkO7ehMhI7Pbr+k1qLvSZjXN97FR2+2HCo8gGxPLejaWDD28nkmkc6egxdSHZG
lghSaDqG9UVZIUcd6w59V9tD4GYNOPSPgQMYd7GswOZ1MAs614GhX6IWKX7WtI354qPA3nOvnj8q
KNB+jcgAs3OqVr7zmRCfbGhpLjE7yx2OL5OBj99edP0QwrAP061nJfvyjEKv6CA8ze4CUCM/1LSh
TxTKLudxIpB7QzppwNVKH+Vg0ND4KuxK7ucjgT8HzsIeU1YDLTMBtZiAlGsPJPa4BLuINh7S17Zc
H1znry6HBVF/zuBaCJ8AJSD54w2wXroRrWNBak0MY6oiSnYLWRJIPdRTea0RNQ7VGPEzX0x2y8WU
THeDcDUCfoH0EBocBXRD2ESRbkLu45hVd5esnKor2nf9pyLqeJ8n4WKWu3a29CGa1Nyd6UCNdwt0
Tq/IaL07hoHXJoaWioUshecOhQZOGLoWhoFWrbmLUgZxhssZ0hBf6DqsF2M/9+GmRml+FgWC7F0A
KY6CgPg715JB64AT4Lm6ej+KVtxQ4OpvoqFgF9hSyJKqeLkUyQK1DJz3u141SJ1xGkJcayw7kUFs
xt7F9jhpVXQsaqiLKH4R9TNa2Dj6o62HpglDwmjLNPHNPG7sUgzZOkVjs0um2drtwHxoFEhD5ufF
a+fmAslRiRwzcPJqQZLzpZAVNvAiP8jVtjukweRLW3f1RUMG9t2bWr/MZ9WSC736oj9AmBtzO3RN
8JKhEvUUBUiLIX2l+8uZo55NcZcYVqhOzx9ET8ovHf5DoE5dgrMDeE7O8iFCMpUzaburThoJO5C1
i380B2jqBh5817agbV77xXLe2GDI60EwGAdjwrhburV4bJPEXJHVxIDFlaOFmB2NYSgcxTpMNdHJ
V7Yqc6gwDS8+gSPdfUhCgjVHKwuIFGSbGkjx2GwIu+7AaPdRRqbNQbAazhmTC8penAF7tHAKlMcz
tGNmKDLLLYYJ7ZCByI9jEWnN3o2dy+tgFGfA/uO3BJwS5ibu92pd+GONhpvbrqNUUU54dGZ013dX
EOxsL3oOhRB0TsL7GkHT7VunfXkoq0HdJk6OqLIxY+aEjQefUNRBVjD6MpQjUgzpR1B/EZDHAs9f
k3OKhHYXE0TKdAEjVT51zTB+LUVHKMNoY0xQm/m9W8Lt5A8tuSrKamzOcCQFy2VXN0P30pXGlFez
4K7YO1vV0BojpvCXLisrVoM+DGWYBgQP2fuwaCoLKA2C4GGhTbOkHgo3QVJZ+B5E42b49+RdwEpy
wwawnbvNim6bY5AIo2NZbmKox8lPdJR+8BCB0heegUrIm3x1uMHbIEDhcYXxyOxRlOWJCvbWi6y4
gloY8xCle11+Jgs37QFhso+bvK2Rzp2XiOrjTUSnFbUn4SvXL6KzFubtUBIKoag0HJPQPgvnmrnL
PjCLvGZDN6nvPpmmVWeYrHbluFVxP7lPY2jbpxiSKsimAmmbc4hBEPpQSAl9XoSt3uwHE87euZ8s
7bCZNSLFfdUuiPdTJINpN0MgpWRpv6xz/WFu4SMWp3bljUD+30zQdSvoNPVhav2Vr89k1vA0WuLY
lo/KqyE6uMagQ3iQYZO18NKiqAAv3NJYAOJ7FPMbKEmLPvFmm7WFARgPKk0BFLbqISHxGRMmibZT
uI54BbOnwgtHaorBpOvC+MEWk0HAFoPXAwscVkhgv0U9xi3fcKbW8bCrvBEtjJShKNY29aB7237u
kD7o52QlU7GZ+exX53NVNcMHwEah95NDbCJZdmU8F/E59LUjFKn+NLUX1QgO1x7k6aDdNKs263XU
4SY0yhNXwkmVLzx4JraAWKwgAdSco9Ij89dimbs+nRHZk70ZgF6GeALaVLsAZr3TgQ4g/GRtO/jT
mV85CCMtZJyK88jGgF/YFrV3PqimcruYjVZekZ6X/Va7eNRnBgko8uk4WZqLENti4ypBkd7BNwca
XqrSBxHNbNdMkn4fKHcH26AbnK80bMZMqmWl+dh2HQSjBHio+1BXy2ULABIUngDKb+4Tl/Renjif
ygMBYXPJ3THBYqr5Fi7cv4eT2vStCoblS13G3R1ekVdCgUpN5xCtp2fwr3xJoC1ybqHrxwfYyUAP
bQL5QI70JlRQf9mWZU8/2G4owKfFI242vY0gZeG1a3eI1VhvTUQh8LECZh99wYQMnUysD7ZPdNw/
zDaqsobOq9lj2hmLnSWSmDRaRPIyLWWxpvGYIAGB9lNbgY/AbWduG1pUVbZENWglElpPDSSG4qDf
uFlFcUqXGPKYHgStcPYNtd/kTT3p63iVbZchxFgksT3yZpi8UfHksz6Y0tbrhQZNpUDnpjckfljr
AAlo3bDa5LFXIurbWTdfe6hhPaFtq6tNGXFo12HGg3wlIZxPGzSn5Qh9RtAC8hljagx/QgGGXOWQ
9O5cIZk9H+mKAB72wEtlQgV6Qi1p4/KyMdALRefNxiblnoG+RBA7suQyiWwEPauKVBdRFyKj7QPu
JszcFYXmEleAFQUYfQ5nhIxjv4HUkDUbvKao3dOypsEOyEdbX4ZKFugkeh1ymKibxSUNDOIzvAn9
777vsJaqkCjvmveuRX7K0NdPkwgdSfiXJIUr05Es0HJTIlTTlknSZpXtu+fCyWnBRKB2j4IAeQI1
ujiprqU/RI9BWdDxbByQwm4KKKQvmQB/r86SOUT7KxyNTvIJwuoUlagMo3PUU0jmi6GPUWzWmAuU
aIo31YzzidoHWy0l5mjeEYAeJZ0HjVlfQltqVbI5FDye+X1bBnA1F11d3bB6xOwtHip64bceuCfQ
JanR5az7Subj0MonBOYVOpkjRmF4+6iC0TYQUNWcsSFoyiz0OvNGB0V4NlSiH26RIdPHpR/HeoMK
aG2RbUU9hbNcqQBrZi26ArKOyD1GKxUKDmDKUWdKA1TdqLTvXUbjGGssvFg0Y/ofEIcrqW9LlxtX
epeqxvQslZOi94tP+cV/LKWsC64BHFuaRiKGBg2a2gzRrLP9KNL/qDnkFQsC4aVoRbxA0kXUg1+j
qAPgYfbfwfMkxyHmv4acx6HQ0QsBcCWglAGCPgVSIoCbdY4HiK+tdIXAJhSm/D2B50WSTcUC+Khw
jnhwt5BTfTku0kEzd1INYObAxOSeTDTZ1AsLexiGDJAKRwYVlCmZYmQRvAEfH6YtfnHXYm5QnXdh
MM77cIiWmwazRaSErg4wxJwJe8FMCjoQC3wFda7LCma6SMuiFIP58ONsPPT4PcMLYN3U1DwBajnP
qe4Ze0HXIblgcXms7b22R0d/7Rw7x9RoQhMPLPbm0iRkRjtrTTjOAIB0oE9qbYnNTW2DTRY6xbLS
jX6FTimsobIW5V97jbZgiLZZ7OPU6gqFlh4lcfFUQSMGGmcdWsG5bxMkvY52YNWgf6H0Wc0mNAkp
RKDL6zIMansG6HcA2+NJ6OV5XGmh7uzIJ7h4UL0iuZ7mGlNbiflFHrMCyk4FxJRZapAQ3oUwZz7r
gYC6VWXjHjgIrkHqdZBBzlxTIN0HVZRgzlAY4EgQSLGZ0Z3lIpedHif0uANvyFFDogxdEVpJWsZk
5kghjv0iNin2iBARjFBvQxf2fFprtOeYkqufBhDjmt9Dp7+ep8eAxuFpYwZ7VE0AfYedYLpCbVAD
usZtSOChBQjAxXpPEcrQruOdvlnWZmwy9P+jMA0W2z2VCQFuEGyDOUN/CWpwPwbY/+/QFq+wF5fV
k9FWfx9egzD+/8RkxBjt/ud/Qx/eYDIutRpe1Atktl4BOY6/9Bcuw/vTx4tCE5gByQPcLVB+f+Ey
+J8BZM1h3RN7FNN2QBD+gmUE/p8hwlF81MWI8MNRZOUvWEZA/0TQO/LWqQ9KP9jE/w4sAxD+10cW
GBs+hAFoDJo6+JrsVIOgGCbXQIK7zsZa3uDY1zsLTlO6zPCkqxjSoynqLj2MdfLuf3N3JUuuG9n1
V7jr7ghTTYCYuOmI4lycaiBfvZI2DLCIApLERIwEHI7wxh/htVe98M5L7/Qn/hKfJAtPTJCvJmRL
aj0pFKoiXyJxM/PmHc49F4DiTmRZzkhWcOmbG29oomqxbe7CuE+SjduWNZBBxlI9guWS4ihHuIpi
B4WNu1ya7/YbbQEyiC9pqt15lgqv19k8Ro4PivQWdJ3i7u+S0DEgyLytNPzwFuXpeoxyQ9xyvgL/
CiU6YrhDWw0TpSUpsbN+KxEBlrCyha/CP7v2EhtM140dsmIhDPdlpxVISFakMuI7KhAoKxnNFdtE
aJiDxIqDeptIO+hkvx6MbQ1k2I1UyhZBEAYGaeLFoLe0bow8T4fs5bC/00g82yzjtKsid9t1kuWq
IeT1ITBVcCYbDW+kEKeBalqh0YWyj4cg6+y6oYokqIIWPEhbJf1YcQN0BmgRhJaa++4Onke/pbgI
Ylhht5kuvWsPKYPrfdhEhLBlpWi9gabZ1BZpe742cnfL+kADq/CgBRchUZwA+bENGaDGNQFoUbNv
bA8hKk1VviqUrwYtFWdIoJjQmOFulAKA1wOlOYy0TLyG0RW2cb+MEWZAkVoDDmOrqXRtP497UtrK
kIXxvHG0b1mTFsB6PTkV4djFFhyUSFSmLlLUSRvIQRNJEpRNgUenSyR4n7JpOjexav60b+bAM6vh
bEk2Whtx0qxv0i8EG9DFO3EMJ4nIXZKG3tdcRNGTrLkoYYub4UxooOmOtQWzZaIhSgyRR6NlKoK6
fGvJE1/2AUhpSVkC2i2kGpK9+lV0ltagbtp+W4r21shENK1ThxMYaEjz43bVwC+hbcZL+JUTN0fY
Nkx9p72vK3IfPO7RfdJaIg2wR/hJCfNtD8Xayw2kbtrX4VJUwEhuW90loERDydr7s0S2lgN63nuw
MhXcz+IOxC2+/RVFbK2JBJsNJbZNs7vE5h/ZajzaZVsjA5CgB1z2owtuXcEB6i1El9Mu2Ot9NMZt
7q7ryR5ZDg3NqPZmMxpZ6JYBgHWk9j0TwcVmhObo4V62x8t41xyQcIPWtp7s9mJr1/zRQeVV10XK
uLMLAKpwFDQGQE7ZBWc+tsYwQnzscZdo9UkTtBe9EL3Q7wD7EUeZUwe6HI7lsLVExT5RiS5K6vKr
GOzAq6M1sWN92sigHip3e4HEiOmAlQyAj5018cFV0yN2ADYLqWGPCTwokESDQw9xQOVm10JKJcvy
XV9dSqAegOezMF0nmVp1NIuQTA0sziGCJ5azC3ryJt1N7U1dupUjdHK0Y2fb2Ws2StRV95HaCQDb
IPeJRit9ACncXrIUghma79qUBDwCTbi1HIahaILntLXvZ2mitd1lkA32yK0DIi7u2kvwTOAOX/r4
MgAC23yrrO14qfykwmlB47aWOd5uvAfg4zdImCUg2naVzHmOKOk6phRNEWMSFjuENK8R+1p2IpQN
dZeNpSQDPBDD9ogbYeMatbPa3K4vWwMLxwtU+pKMDoqIhXdCWYZ71giBEiCKbJhWHiBoh6BJTwGz
wHU9BxuEv9SELw3NcfpCYhkuupD2cJvEo73nyM8t0LnvBvWNHY59ZAEdGDuqMPD9vdVHSXbaRXgH
WXEV1Fh6cy9ubpydpPTtVhNJUj+QwWToe5uhgoBPtxW6+OtylGnTXEqjqYL+CV8CV4vsduqDEwD4
aUQwNonWHAGEF3VsLQxHmuCntwoYQDp1N0U78wBYgtAOczCc+c7INskeiAzyjLKu3mafiehYSYKB
CfN3JWSNYKjt7HofwKx8srWXY4TfgrGskS2I/IPkGr3LpTsJje1vZGQ4wGzvJ8bGczWAVsQ8/xKi
LJMAKKC2JrEDay5MXT1OQOCbb9M2zHFQX4LBDe8K7rgArPVAAzWIabdbDlQykhioOFczh/IeeLlU
x4Fo9Xfx9Zamjod1IEpoRZVg6rYFGpp2vvSzBsrnJPsr7O39AslI8VrNffpRuFT66cYLHnfmLnis
Jw2wGKDpxmMrVlXsl31TeUobTjiO4OcMSZ5B9OYmsevdSFgGYyTAnWHsNYJH0lLjeY5WcHcRImEI
qhNtpDmKPdXk1Mn7YT2YR1KKvLgsPdiAA4I3H/nPhhcbQFgDg5FPG2j60bHdUF9apgLW0P0GSIjm
07Yl3O23Zs/2VKW9TZJpZmGXxYip7rWvqq8iKISXaisprqOmgi44OcqV5WSEbIlDV2fXFoEXsuP0
GrtZ6UFZunBi1R8zEraDGDEX4PInshLuRxYh0XCXxPNmTpDGt0PA9wXQaKPFF7rm2qg02aVaPwX0
CFlEsrZSF+Rmov+M6s2B6jhjsIxRu0FuC+b2OU7xelG2FCZWbk9yYu3AvpzjsllKCwHZxxDMH20b
qqOVoOpD9rxGN9CaM4B4HgQlBHZfWModNLeEe7exfzI3gNdliXCP0Ns9rgRg7pu46PzmHVGXC6mB
e32zuUFPh9iMAG9qgX/c1dBt2tmRCUjm1TbZKg/Ipd8uVXtCGvIAvSGythx4Ud/fIeaJv6wg3aY1
yS3c4YUtW7fgePjiIFONewNdncC7/dwE/hxAhf0e26L1qCB432nU1QFiOz/moTsXLBmFBQ0E1+rO
hnQ2avC88VTDkzfPAoIYHQfOak/Y7mFNSKbT0yi2ynVsvxO4yUJGiH0OzggUOeS7FOz0tqEo5o9L
NLFqoZVFPWjOQKOotIHYWQFn10sR3diGgCtEwhropUfTapGOm27Fdqoikxur0sAl7lzaSZNGCAQC
+MI2bc1T+ojGD2Aa+p3EkYbbpNEEAAG87vt0piA9jHIkZ5Jk21ma5mMBdmE7861VhoTERlNuc3QB
TlIkd11Z6Td977ZRR55vmdwI0r6/y0ZuoNxB1fVz2m3Eiuj20NTZFqz8mpTdJ7ZHwLAPYWooB0NJ
c1tO82twZfQ8X+55WvaUyTBS96J8jU58Xhd5vOESNmIT27e5b0LdIFkq2cMtRNwW/fAmAsUPYibo
ASUH8Gpx1Kc7Ta23AykcSc1G1LHcAOEt2ZuHrtCAWbN73OTyMIqcOSgYEjAqSmMPCdOeW3fmgHnd
EZKF0+VOm9WDvdBRGgoaGsAG0+T6urkhzaG/V67djapNWr4i9iIUUPk+PpeU+mKTyD+CsnSCfNDt
MvFmtonU69YFVMoK7EGz3pqlPljX5b08C/zoMQu3zw3A07qwYjqIROM0285g42hTy9KugXtFTkaY
Bsj8qXH61IzcZnu7DB5dM50gz4yoQB0yyZRGf1uP12gdctvw6zrI2tqqtzQikCpne/URtTB3pGn3
UNvwEIuAMDU2sDuS/AFx6ZFZb41QbDKz0a6hDvwcKMvEtqZuR2kY7ftO5o4cGn5wcB7FdNn2k01n
60Oc9kYFWlUDCwLZzZcN8c43o5smCUZR3LrP1T16CYTL+Z7GYDfR7hGdgshg24pXQM9jsaT6KNxh
PVrLno0WMW3ZhfzMULxDIGPfBiR4087yqKvEYV9G3r8DnKXXTUN/Leb0JjOzG/R++FrfNJCjD9TZ
Ei1Bu0BJzcw8vnVy6Rpo0jsUOyMZrnWDOhgiWqgnBXt8D0pE7gm2jTtnRymg1b6pCsAfugPUaw08
D52YbQT/Wk7y1UPpBLoSQQr5doOKHHfzbGn7LTLK4NFvpspiv8O+Q8QdzPp11NEg4jsXguQnZdkc
uS3/xrKlYRCgfaAHCGksBA8bMXncE3Nke8C9hC3slRjbHoobLAELEkgDJ0eMxVPvSMMbOlZy7/sa
CmK3mAZKp7uy6d2aEXbSMhEAMQMiVhR/DJfe0PX9L+qWjMO6P0bF+30A7wfwRvNGTtDUAnyXALrt
kKeT5HDQREvIzj6RkLBIWnm/7iFwiGbltNkDgIKo2oAJpez6hORfSOIRRFrq6rCOFh5ddLud+KIG
a0bybgWQnPcDiubD+6O8K0+3+9HSzZDQXjqUeUjYHskBPhSDgAeJf8thhfcFH5hvDQyPFl2E5aGY
IpKPVY2cFJiclY0cK1cATaMBhkMRxcL73JdOIxXnA72vDqUF/ggm5HEY6FAC89oAto5KmXiNShVZ
+AF1AygmVxooNsYfhKdsz4WtdfgYFSk0JoKiIw2AHvxBVALPOxHQ+czPa28+953XXuBYpEMrcbSq
EpCUHxRUHINbjn11ETEfxB4QvzkKpoVw0O/r1QXK615p9ZutH0ASj8iEzL57Xf2hhQ808Aa/vDw+
/529PG28W+nlaexOlGWZ9mAo9vbp1hd/ENDduoHdf/zzu9v6ImVCqSYCHO8WZQkRXpYZMj0RQR0S
AskeaKco9SP987uTgVD5+Ks/yMDJI1DLHgEBVXrozYG4PcK+H3z1d6jHb9cI0B32+nCBECM8KO6j
/nzzC8X1cT7Ai+I81Ck2ZZS+Ml+llY3HwY9KlP78N6bQ8aDeTz6klZsnPzLfPV67J58Wd8NhWi/P
epHH+UyZifVo4SWEUPxySIxAD56s7PBB9vJWxwLLju7qa/00kN+Eev5lGmelm9+OyWujDlCAiiSe
uy6GoiKkSrbqwFMD7XuYvAPK+6sPO9dRw1m7hZwCo4Zp19A1KTZwgIuhD1ugweFJX1DeZqxr80iP
jJAZXcIBrCqeDgYIdLt25YA+/YlZVrAg06bP330CJvOupe3oAVmtDJ0RDbQa6uY1mgH6XtHvcfxL
G/ibFXS+rVkL6OOfv0znaN5ghk3Q3iIjhVwi+DKblY/z6du8fUJPv917OaIneqo4rZXeEtkx1P0y
Q31CTZ3O9O33glKDFc9Mu5jAazqirVsBjl2xZega0Wv4uxvovfsz89ErrRiHjirzUGh6ruPQBsQ/
HflQ0111wtdB6SzRZgaVBw0D3bCLcQ6y5SFczHXHDEqr96vOdeQF65IIKNda1WHHcaqTqBjnIIIm
h2EnxkoH1Qo7LocdduOUZKBwuA/u4FoHzFSpW1pVsnM9XpPaVaCvCHvFUJ79yoOD14IdVXzt2nqn
Vni5dumca8ADBme3r8hB2l+NMKq1dXdbSIFuOjhGxY9UlX7OnvrRcEosGJQnsKqoZ14Nm+5PYa1s
qckNDiJHHbvu1ubxak1CKM4n5igCkcZDLS9id1UDsBUmG6PyqSMGgAcHGV2t4to0Dpkd+TI6Bxn9
631v3rt/6HX/rUY3jxFAYOX9r4pgqwGZNXA0wKpo0oHn+fWlP72/e9+cgUu/5W1/wAkGDqi4/g82
wXfsD0zLxVu84SJ5T7A03/jO78GNunou29uqdLY/Xl75nSrryoXufopKZjxtLlI++R8cNyzpV4GS
LbEb6mMj9oDI9RG5Po5xuGlBGHV2+D426IzS9Vx0ZA6eeKUJX8XQSLpdkgMcpIqCmFMeoUtzBm6t
dWZ7fEweN/QksDNG8agGuixNQmgJfWea4LkrFqG4aj72jFuYCyZo5Bhth9a7KuI6TYrbQxwTRPNn
Uop/4XY6unlHl+A16x97Ri9tREVrahLgHZT4RhBAW/CqOfHeB02NEE3TIt1h3wpalcJJQUEKamgV
8BxKbMYegk+81VQ3rcBYFSPRo4CGSir9B4kBBMBVQaShv8oP+uaF12aoozKCsxsQub0zd/etx166
IH4d5xzF+dAX77k2Thbln+FasOEssBvvTA2cvNG7b4a1FwTMIUW4+bt76r2jUqXIzpXGhKsO2zYA
hYqdYqCDSfzaCXjnbMFIBMEeYnVDI8gN00MtPiMSiiDmMHm9FE04vyw/voBtEPMgjMZMt8lhul3D
dfSAcT94+AnXgVH2EBQOG64XRuW75oAhx52FkoRP+0qd3HiyWNmqHGTbJ2cBbcoqW3WH9fXAMy65
MK/eR+88JH2Elp4Yw4wmeatOeUBWMJ5KgYXWa7Hfd053AOYxNzSyYopUV9CCo8oTNgL4ueywPOSA
JAcr3RaHU9EJPGAKGNUgUCrCqkIYgpNADxghCLRaq+q4109nygFJTg7jRrrNzpbmqavOdmQEpQ2G
5hochkWkY6pnbIwG9I3VR57oUVLaDRIH6U4Iqu/Lpolw7rPFv1j27zzEYGZP9G15yhxkPCHQ6yg8
QpiklDWgzQqqboxJvDcc4OwCsxjr4MfSXHbVoaeevYZMioEO48oc1BrqsPRSLpQyjFeeLtXtxTCH
ySocVu87boqgcrCHESpIdVZX8LiaQWJbymALPCKKtwhsxADXMyLmkRu/93DLsQcPtPPFYz5vUNET
bZQHpu3wqu60+UFrgv6SSeiLPLyOuV9KLR4gPpUnnOhw6IJ18er0dIi0V2Llgb9Dc13RFJ6nJMqP
wYFijscpczjQX7Y0e8sYlwjcFI/5/G57ydSMiWuuPdZtPI+oxh++nh5gXD1h36EtAaMxQLVcfe6v
VcZWXUojKGfbVA7SRu7EqHnPMF7YjKYs8EjBHmO4U/3JWJc9PZCh8bDnxqipThj1gUY/Erh4qi/m
z/9B1f8l10yVQLUAPCcajGtIlYFo/s3H/XahNZqH+CMG1kwgnBgzhYNHd+WauPOLrUNV5ZsL+3ak
u+1FYQqU3emwAo9xcSczh1bkYPy14yB21+R0rrSrTdX7rWPpzKXJ46K4N/x4ZZMnqr4QAq+Btdhk
NAFlF6g68a7heE9AC+Axbz+Pww7soAADRebMur6ab3mnV9bxHA/8E4VA6NamjXyriucb3vCQ/nS/
yagY+fAcDt5ZR/eN2oMRrBl7g2Ltq74ByCPh9UXMjlc42LZoue1HxfSoGGj/taqT7e1iPfKg9+wa
GJxdg9EplMei8gMCgt4xzLA8rIxeZBHPZ9U1bfxYdboLHPuB7pQMI42DSznQV+wh1Dgs3wCUeIxs
37Yb3r5ezjfCoTNHVdF2fv6fyKit/3SNeraAOXUCj8trbLgZI4oLIIT4w8b9hKzKVgFar1XfZxPk
kCOLuVxgZHIYl6xKUqAtjKou3RSAflMPn0rIPx7XCGKcXkQ7GB/nSPXaoVtg9SnbesroYHRmKp7y
eV9yCoxHMcpxrhxO8RQX6VM57sZB9071GNq3HMEReFxGUy+nWhIlDYw0eCTxZgSGODMqD8V+GJW9
L9Dpr3jM5zfEUVmC5SgM9bgY7rAzzuE5H1c/9zDz2VoascHBJpwb2ZNl2HapXoRHUugFsHQGXhN5
ZIbmlCSMjXOia1Qh9c8v4pyW6ei1ieGVwk+0yWxVTTRHELUMDOMByJ/HJYw7KlCqz3bhsS4PGsVX
H3T+8395NZSU//z3A7ziNvj5v90nwgL8xCYHWQO9S0oYMARTqr/AQnfzsh4F23D1gb+YZwecRzIO
Tjdae+m1vh4yNobII7GFMj9SMpBFmYOQQZkFt9hl7lc0Fawu5J/ODHqRRwLqJ+Ks9FXK3IAijxqL
ow49P988MlttEtQWsIyYZBGAntWlfLXKDGbtVFFEPLPRkoDxBNYcmIM3D8xvF9QEqWTrjxjVfDbh
IqJcgo3Gc1C1V0gDrXSyYQfmYFFdBahMYS01DjY2imhMW18boVXsdGqk8UBqTDOdYuSYYXlM2IrL
i8ZBx4JizGVPaZPDXBFjXHlrds14XGPzgNQmqH5i/Hoe7jfKSNi4CY97cYhwcW1M/zO/uj/dDgIP
m/3aRcbLKBk3Am3JW9VAxcjs0gk8zN6R7rOqAWze1ec6zgIzy8vqDLdM9aGPqcWxV4pWgiG4+tjH
G/3C2ByO9BiFxFvrXCQczvVEZwP8yE5WlwWSt7p3dkRkDlJGshzZttJe5mGZIuqzJgnrLQu0x3vV
o4eB9ax8pnnE9WeGz/rJoDevPt1bPUDm3b6UwUZ/ax7jb89MFZB6cxgYTC7E95HgCIvBDtf/q5Uz
70yEzYEr0X2oDWZkgcPuWFg6KQPGREqFVXXbLfQNOZc0zHUeQxPErIpxjjYWjxnDoaVmYVnNoQF9
8azPh3++5Cvjgjh4IDUfiBG5Ogs64qHqblBZ4yW16wjZdb/211oPSTwvil9OZiGSQxxSFhscFuDl
gePY1UMLPuRfa8X/kksPVSUeHvbcR6Lczi7pG3D687B9pmS9Bl6pp4fRqdCOpCffP2fQIu+itnmR
2twiWxQMupDat/891pifPhR1uKgbfNNHfjuBd7hVdCxQQOz/+/f/DLd6ptcGQYYsDmYwRCLS0YtV
Y/Qh6lXB1skhFrAgAAfUkeRiMzuqiGYMDQ7OJwLBW31bbPfwr12iexn8JVK7A9hEZ2JelEFP5JFC
6HrbtQcBLvQt3EjiMF5JS1Uk1H8W6/l5ZTTWYxIQpuJKoDRwaC5RffBbvY7uDU8oZkJj4rgY76Am
js/gsPbA4JoXRuaggya6H1kls+Y47Tcvgd8wsHRgyaqKlzudP91bYGI7/VWPYkELkjrmWcUnxS9f
q6BGYSXJWTOGw57reLi0a/cl1gEeZnnPrs11O9FRu3q64VQOfuYAsBgDeRv2jHM43ggSrGmh+umE
cbqLHz+vN2YQcKCbMTNjtJ+oPvItMCasshPerqG7tDtf2bMcadkOfBbFdu9QCseXA4OL8xfD+Z+O
VvEyeYf89tb5DVei4PCruhqnr/AP035XQbxiD0/1o4NFIziSh6xnWw9WSNkWgx5co+KHzx97AIxj
YrN6iofvSWcLxcrqqTev2bdtUwqwA08fFAozNI/Y4ExPdKAwLrgjPEJ4HT1DMdQlV4SHn9gp7T0e
WKWu5yCbynJ28vDKinEvg3N5hMVA9lrmkOVRJ4dLfQ0K1pgFHvDA6QzBC0iKw3w0pzl4OSOcktL6
CTxY5aZ6QPPsZfAWD/g2rVcKKZiGcacFHox1t6jljzxqSDLunciDWe7I1jsmURQedPXMSAirn3jE
UI5PmcRPbIga7QOLrfP5e2CBokey1teH6S+8FViXikEPNw2PyvEFgnBH+XSwL73wkjIUebCZHAX1
QEA1ARJlWjNFyzGOWuEshssD4NoGTpKEVu2BoJXVRSUPyrxCnp9fpC/zV5/AwVZvo4K7hK4WefhD
HfgsSNsUIjhsKR4xlbnO2lyiysHjREQ+qvVAPgQ4UcweYx6Qz+PuhIEUWT//3Tac7FQqMh88Il5g
quMJLP8DwDQ8kkPHFzjeArU/Hyld/nL6Ek3wWb/pkp4a5b9EGS79ljcl5CX+uF/Xxfg13vLI8Ff1
vV5xen+j/gBXgUndcBZ/wSOWj55d6AjHOlhv7uK3PZZ2oOcsXI4HJJYGJphQG4+we8ezvXLtEo9s
U+8JljMbZOPRI6EPM//JooVnpSomHkDHvm5vv1tuzSGQN4iB+2I2G8L0hRL9vIkwR9IG4TZmawg8
mLto7h6hCOayEjS5+oxvjSAuRjm4PjwK274EcXmyIo8T8oAKghx9OJiFQwuH4gW+t3CXFP6vE86k
XTb+kMhUSg5ZLozgwQEDHNezZ28vhIEUcFCgp0hLUcDoQLsHvb1Tf7t1v0TF+wc0Bo5tZUBSrjse
cyh52NFt0PSVQ64c3Lg5vWa9i24iDyBi24sTI7qwf3mg9Dseddz/PDaQ63PNv1xy4Xk41AcwJSWf
h5dBb/dLz+HBWIamnsVJZxw9HrRlIz1AFOjCOvCo8eiTDSkuHXpr8oDn9Y012nL90gzqQMNDnoJz
3PCrfZXeiW15sd7AaZad4ZJ5pB3bgFkEF6SvcYisvsz9AMulu5SGmL4l2CjkfM3sJh5mEoLPDAzs
nFk9/nB1+tAAddiLiA7vMH3qIgBkF79jXgKM2MWG+56V87YzNETPXCqsc/SSwCNCWsThDpB0t3Zg
qK8tEE8mwLexpisPTreRZ4H8EZr8KvJspiJK4AGzpIxjNGd0bxjPhegPFjIPB3IMlNAKAS52YA5n
o2MFgFkiP3dpkXlwSt/qtpOh3PZc6Dwa1h2L3ktxP3QLLeT0+b0/M9JaR7cvMI/xIJmekVItPQ+a
lAfdBZCFdc94RFhnYBZgR+Vxo1AB/2QAdMN2eQQzWvXFuyXREyLjF402dIbg8ADdR6KfvsIF/hQ+
2D27zDDAQaHDPguBqbuM6T9vDPPxO+oYbB4aNlK6/1K7CpHSCQlULr1FkLSigO4acKmd2LUY+x8N
O6ovysLbwtdndqrIw0RfoNKEnS0PiMEiBhtoabIcduZXLC/sWCrwfhwBwF3I9ZDF4YE0+ApT7cJt
IfKwws8cQ5EHyha4bxD8nl9BKAPmUl9Iq01ourrQN6cil5FdUVX0UpHBLNkAbPhtauHfMAxxoYVO
1TDE6dvQ6/gfAmYdGB5yucxe51GidB+HpXotkQegffHz/4KxITNO94n4trF1KslfNwd3qdvRr7sv
Lr0770zjpVZLv7O3fEMML2fryYar+Lf/BwAA//8=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5.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4.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6</xdr:col>
      <xdr:colOff>215347</xdr:colOff>
      <xdr:row>0</xdr:row>
      <xdr:rowOff>0</xdr:rowOff>
    </xdr:from>
    <xdr:to>
      <xdr:col>23</xdr:col>
      <xdr:colOff>257175</xdr:colOff>
      <xdr:row>3</xdr:row>
      <xdr:rowOff>91108</xdr:rowOff>
    </xdr:to>
    <xdr:sp macro="" textlink="">
      <xdr:nvSpPr>
        <xdr:cNvPr id="4" name="TITLE TEXT">
          <a:extLst>
            <a:ext uri="{FF2B5EF4-FFF2-40B4-BE49-F238E27FC236}">
              <a16:creationId xmlns:a16="http://schemas.microsoft.com/office/drawing/2014/main" id="{64573A09-B621-9968-252C-19EC733F59DC}"/>
            </a:ext>
          </a:extLst>
        </xdr:cNvPr>
        <xdr:cNvSpPr txBox="1"/>
      </xdr:nvSpPr>
      <xdr:spPr>
        <a:xfrm>
          <a:off x="3872947" y="0"/>
          <a:ext cx="10405028" cy="57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SPORT CLIMBING DASHBOARD  -  ASCENTS</a:t>
          </a:r>
          <a:r>
            <a:rPr lang="en-US" sz="3200" b="1" baseline="0">
              <a:solidFill>
                <a:schemeClr val="bg1"/>
              </a:solidFill>
            </a:rPr>
            <a:t> ABOVE 7A</a:t>
          </a:r>
          <a:r>
            <a:rPr lang="en-US" sz="3200" b="1">
              <a:solidFill>
                <a:schemeClr val="bg1"/>
              </a:solidFill>
            </a:rPr>
            <a:t> </a:t>
          </a:r>
        </a:p>
      </xdr:txBody>
    </xdr:sp>
    <xdr:clientData/>
  </xdr:twoCellAnchor>
  <xdr:twoCellAnchor>
    <xdr:from>
      <xdr:col>1</xdr:col>
      <xdr:colOff>85725</xdr:colOff>
      <xdr:row>51</xdr:row>
      <xdr:rowOff>9524</xdr:rowOff>
    </xdr:from>
    <xdr:to>
      <xdr:col>26</xdr:col>
      <xdr:colOff>190500</xdr:colOff>
      <xdr:row>74</xdr:row>
      <xdr:rowOff>19050</xdr:rowOff>
    </xdr:to>
    <xdr:sp macro="" textlink="">
      <xdr:nvSpPr>
        <xdr:cNvPr id="23" name="SHAPE SLICERS">
          <a:extLst>
            <a:ext uri="{FF2B5EF4-FFF2-40B4-BE49-F238E27FC236}">
              <a16:creationId xmlns:a16="http://schemas.microsoft.com/office/drawing/2014/main" id="{F19EB346-DAF3-4604-A6A9-388F3150803B}"/>
            </a:ext>
          </a:extLst>
        </xdr:cNvPr>
        <xdr:cNvSpPr/>
      </xdr:nvSpPr>
      <xdr:spPr bwMode="auto">
        <a:xfrm>
          <a:off x="485775" y="7296149"/>
          <a:ext cx="15344775" cy="3733801"/>
        </a:xfrm>
        <a:prstGeom prst="roundRect">
          <a:avLst>
            <a:gd name="adj" fmla="val 3171"/>
          </a:avLst>
        </a:prstGeom>
        <a:solidFill>
          <a:schemeClr val="accent3">
            <a:lumMod val="75000"/>
            <a:alpha val="70000"/>
          </a:scheme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SLICERS</a:t>
          </a:r>
        </a:p>
      </xdr:txBody>
    </xdr:sp>
    <xdr:clientData/>
  </xdr:twoCellAnchor>
  <xdr:twoCellAnchor editAs="oneCell">
    <xdr:from>
      <xdr:col>1</xdr:col>
      <xdr:colOff>257177</xdr:colOff>
      <xdr:row>53</xdr:row>
      <xdr:rowOff>95250</xdr:rowOff>
    </xdr:from>
    <xdr:to>
      <xdr:col>3</xdr:col>
      <xdr:colOff>137797</xdr:colOff>
      <xdr:row>62</xdr:row>
      <xdr:rowOff>20955</xdr:rowOff>
    </xdr:to>
    <mc:AlternateContent xmlns:mc="http://schemas.openxmlformats.org/markup-compatibility/2006" xmlns:a14="http://schemas.microsoft.com/office/drawing/2010/main">
      <mc:Choice Requires="a14">
        <xdr:graphicFrame macro="">
          <xdr:nvGraphicFramePr>
            <xdr:cNvPr id="10" name="SLICER - GRADE">
              <a:extLst>
                <a:ext uri="{FF2B5EF4-FFF2-40B4-BE49-F238E27FC236}">
                  <a16:creationId xmlns:a16="http://schemas.microsoft.com/office/drawing/2014/main" id="{85130E2B-67A8-422B-AC5D-9EDA832CAD1B}"/>
                </a:ext>
              </a:extLst>
            </xdr:cNvPr>
            <xdr:cNvGraphicFramePr/>
          </xdr:nvGraphicFramePr>
          <xdr:xfrm>
            <a:off x="0" y="0"/>
            <a:ext cx="0" cy="0"/>
          </xdr:xfrm>
          <a:graphic>
            <a:graphicData uri="http://schemas.microsoft.com/office/drawing/2010/slicer">
              <sle:slicer xmlns:sle="http://schemas.microsoft.com/office/drawing/2010/slicer" name="SLICER - GRADE"/>
            </a:graphicData>
          </a:graphic>
        </xdr:graphicFrame>
      </mc:Choice>
      <mc:Fallback xmlns="">
        <xdr:sp macro="" textlink="">
          <xdr:nvSpPr>
            <xdr:cNvPr id="0" name=""/>
            <xdr:cNvSpPr>
              <a:spLocks noTextEdit="1"/>
            </xdr:cNvSpPr>
          </xdr:nvSpPr>
          <xdr:spPr>
            <a:xfrm>
              <a:off x="657227" y="7705725"/>
              <a:ext cx="109728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333375</xdr:colOff>
      <xdr:row>53</xdr:row>
      <xdr:rowOff>114300</xdr:rowOff>
    </xdr:from>
    <xdr:to>
      <xdr:col>11</xdr:col>
      <xdr:colOff>172085</xdr:colOff>
      <xdr:row>62</xdr:row>
      <xdr:rowOff>19685</xdr:rowOff>
    </xdr:to>
    <mc:AlternateContent xmlns:mc="http://schemas.openxmlformats.org/markup-compatibility/2006" xmlns:a14="http://schemas.microsoft.com/office/drawing/2010/main">
      <mc:Choice Requires="a14">
        <xdr:graphicFrame macro="">
          <xdr:nvGraphicFramePr>
            <xdr:cNvPr id="12" name="SLICER -YEAR">
              <a:extLst>
                <a:ext uri="{FF2B5EF4-FFF2-40B4-BE49-F238E27FC236}">
                  <a16:creationId xmlns:a16="http://schemas.microsoft.com/office/drawing/2014/main" id="{B1F5F930-BF2F-4ED6-8ACE-31E8C5A8A241}"/>
                </a:ext>
              </a:extLst>
            </xdr:cNvPr>
            <xdr:cNvGraphicFramePr/>
          </xdr:nvGraphicFramePr>
          <xdr:xfrm>
            <a:off x="0" y="0"/>
            <a:ext cx="0" cy="0"/>
          </xdr:xfrm>
          <a:graphic>
            <a:graphicData uri="http://schemas.microsoft.com/office/drawing/2010/slicer">
              <sle:slicer xmlns:sle="http://schemas.microsoft.com/office/drawing/2010/slicer" name="SLICER -YEAR"/>
            </a:graphicData>
          </a:graphic>
        </xdr:graphicFrame>
      </mc:Choice>
      <mc:Fallback xmlns="">
        <xdr:sp macro="" textlink="">
          <xdr:nvSpPr>
            <xdr:cNvPr id="0" name=""/>
            <xdr:cNvSpPr>
              <a:spLocks noTextEdit="1"/>
            </xdr:cNvSpPr>
          </xdr:nvSpPr>
          <xdr:spPr>
            <a:xfrm>
              <a:off x="4391025" y="7724775"/>
              <a:ext cx="22860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190501</xdr:colOff>
      <xdr:row>53</xdr:row>
      <xdr:rowOff>104775</xdr:rowOff>
    </xdr:from>
    <xdr:to>
      <xdr:col>7</xdr:col>
      <xdr:colOff>288290</xdr:colOff>
      <xdr:row>62</xdr:row>
      <xdr:rowOff>21590</xdr:rowOff>
    </xdr:to>
    <mc:AlternateContent xmlns:mc="http://schemas.openxmlformats.org/markup-compatibility/2006" xmlns:a14="http://schemas.microsoft.com/office/drawing/2010/main">
      <mc:Choice Requires="a14">
        <xdr:graphicFrame macro="">
          <xdr:nvGraphicFramePr>
            <xdr:cNvPr id="8" name="SLICER - TRIES">
              <a:extLst>
                <a:ext uri="{FF2B5EF4-FFF2-40B4-BE49-F238E27FC236}">
                  <a16:creationId xmlns:a16="http://schemas.microsoft.com/office/drawing/2014/main" id="{6BBBFC27-8631-4E61-8737-10FF091236E4}"/>
                </a:ext>
              </a:extLst>
            </xdr:cNvPr>
            <xdr:cNvGraphicFramePr/>
          </xdr:nvGraphicFramePr>
          <xdr:xfrm>
            <a:off x="0" y="0"/>
            <a:ext cx="0" cy="0"/>
          </xdr:xfrm>
          <a:graphic>
            <a:graphicData uri="http://schemas.microsoft.com/office/drawing/2010/slicer">
              <sle:slicer xmlns:sle="http://schemas.microsoft.com/office/drawing/2010/slicer" name="SLICER - TRIES"/>
            </a:graphicData>
          </a:graphic>
        </xdr:graphicFrame>
      </mc:Choice>
      <mc:Fallback xmlns="">
        <xdr:sp macro="" textlink="">
          <xdr:nvSpPr>
            <xdr:cNvPr id="0" name=""/>
            <xdr:cNvSpPr>
              <a:spLocks noTextEdit="1"/>
            </xdr:cNvSpPr>
          </xdr:nvSpPr>
          <xdr:spPr>
            <a:xfrm>
              <a:off x="1809751" y="7715250"/>
              <a:ext cx="2533649"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238124</xdr:colOff>
      <xdr:row>53</xdr:row>
      <xdr:rowOff>123825</xdr:rowOff>
    </xdr:from>
    <xdr:to>
      <xdr:col>13</xdr:col>
      <xdr:colOff>573404</xdr:colOff>
      <xdr:row>62</xdr:row>
      <xdr:rowOff>38100</xdr:rowOff>
    </xdr:to>
    <mc:AlternateContent xmlns:mc="http://schemas.openxmlformats.org/markup-compatibility/2006" xmlns:a14="http://schemas.microsoft.com/office/drawing/2010/main">
      <mc:Choice Requires="a14">
        <xdr:graphicFrame macro="">
          <xdr:nvGraphicFramePr>
            <xdr:cNvPr id="18" name="SLICER - MONTH">
              <a:extLst>
                <a:ext uri="{FF2B5EF4-FFF2-40B4-BE49-F238E27FC236}">
                  <a16:creationId xmlns:a16="http://schemas.microsoft.com/office/drawing/2014/main" id="{1D5167AA-C6C7-B360-097D-800D0660F2D0}"/>
                </a:ext>
              </a:extLst>
            </xdr:cNvPr>
            <xdr:cNvGraphicFramePr/>
          </xdr:nvGraphicFramePr>
          <xdr:xfrm>
            <a:off x="0" y="0"/>
            <a:ext cx="0" cy="0"/>
          </xdr:xfrm>
          <a:graphic>
            <a:graphicData uri="http://schemas.microsoft.com/office/drawing/2010/slicer">
              <sle:slicer xmlns:sle="http://schemas.microsoft.com/office/drawing/2010/slicer" name="SLICER - MONTH"/>
            </a:graphicData>
          </a:graphic>
        </xdr:graphicFrame>
      </mc:Choice>
      <mc:Fallback xmlns="">
        <xdr:sp macro="" textlink="">
          <xdr:nvSpPr>
            <xdr:cNvPr id="0" name=""/>
            <xdr:cNvSpPr>
              <a:spLocks noTextEdit="1"/>
            </xdr:cNvSpPr>
          </xdr:nvSpPr>
          <xdr:spPr>
            <a:xfrm>
              <a:off x="6734174" y="7734300"/>
              <a:ext cx="155448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xdr:colOff>
      <xdr:row>53</xdr:row>
      <xdr:rowOff>123825</xdr:rowOff>
    </xdr:from>
    <xdr:to>
      <xdr:col>17</xdr:col>
      <xdr:colOff>21590</xdr:colOff>
      <xdr:row>62</xdr:row>
      <xdr:rowOff>38100</xdr:rowOff>
    </xdr:to>
    <mc:AlternateContent xmlns:mc="http://schemas.openxmlformats.org/markup-compatibility/2006" xmlns:a14="http://schemas.microsoft.com/office/drawing/2010/main">
      <mc:Choice Requires="a14">
        <xdr:graphicFrame macro="">
          <xdr:nvGraphicFramePr>
            <xdr:cNvPr id="2" name="SLICER - HEIGHT RANGE">
              <a:extLst>
                <a:ext uri="{FF2B5EF4-FFF2-40B4-BE49-F238E27FC236}">
                  <a16:creationId xmlns:a16="http://schemas.microsoft.com/office/drawing/2014/main" id="{86F51416-C7D8-B16C-23B8-43D078F846D3}"/>
                </a:ext>
              </a:extLst>
            </xdr:cNvPr>
            <xdr:cNvGraphicFramePr/>
          </xdr:nvGraphicFramePr>
          <xdr:xfrm>
            <a:off x="0" y="0"/>
            <a:ext cx="0" cy="0"/>
          </xdr:xfrm>
          <a:graphic>
            <a:graphicData uri="http://schemas.microsoft.com/office/drawing/2010/slicer">
              <sle:slicer xmlns:sle="http://schemas.microsoft.com/office/drawing/2010/slicer" name="SLICER - HEIGHT RANGE"/>
            </a:graphicData>
          </a:graphic>
        </xdr:graphicFrame>
      </mc:Choice>
      <mc:Fallback xmlns="">
        <xdr:sp macro="" textlink="">
          <xdr:nvSpPr>
            <xdr:cNvPr id="0" name=""/>
            <xdr:cNvSpPr>
              <a:spLocks noTextEdit="1"/>
            </xdr:cNvSpPr>
          </xdr:nvSpPr>
          <xdr:spPr>
            <a:xfrm>
              <a:off x="8343900" y="7734300"/>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533400</xdr:colOff>
      <xdr:row>53</xdr:row>
      <xdr:rowOff>123826</xdr:rowOff>
    </xdr:from>
    <xdr:to>
      <xdr:col>17</xdr:col>
      <xdr:colOff>19685</xdr:colOff>
      <xdr:row>62</xdr:row>
      <xdr:rowOff>38101</xdr:rowOff>
    </xdr:to>
    <mc:AlternateContent xmlns:mc="http://schemas.openxmlformats.org/markup-compatibility/2006" xmlns:a14="http://schemas.microsoft.com/office/drawing/2010/main">
      <mc:Choice Requires="a14">
        <xdr:graphicFrame macro="">
          <xdr:nvGraphicFramePr>
            <xdr:cNvPr id="14" name="SLICER - HEIGHT" hidden="1">
              <a:extLst>
                <a:ext uri="{FF2B5EF4-FFF2-40B4-BE49-F238E27FC236}">
                  <a16:creationId xmlns:a16="http://schemas.microsoft.com/office/drawing/2014/main" id="{8E4E9217-EC51-4756-B3ED-C5FF362B2900}"/>
                </a:ext>
              </a:extLst>
            </xdr:cNvPr>
            <xdr:cNvGraphicFramePr/>
          </xdr:nvGraphicFramePr>
          <xdr:xfrm>
            <a:off x="0" y="0"/>
            <a:ext cx="0" cy="0"/>
          </xdr:xfrm>
          <a:graphic>
            <a:graphicData uri="http://schemas.microsoft.com/office/drawing/2010/slicer">
              <sle:slicer xmlns:sle="http://schemas.microsoft.com/office/drawing/2010/slicer" name="SLICER - HEIGHT"/>
            </a:graphicData>
          </a:graphic>
        </xdr:graphicFrame>
      </mc:Choice>
      <mc:Fallback xmlns="">
        <xdr:sp macro="" textlink="">
          <xdr:nvSpPr>
            <xdr:cNvPr id="0" name=""/>
            <xdr:cNvSpPr>
              <a:spLocks noTextEdit="1"/>
            </xdr:cNvSpPr>
          </xdr:nvSpPr>
          <xdr:spPr>
            <a:xfrm>
              <a:off x="8248650" y="7734301"/>
              <a:ext cx="1933575"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104775</xdr:colOff>
      <xdr:row>53</xdr:row>
      <xdr:rowOff>133350</xdr:rowOff>
    </xdr:from>
    <xdr:to>
      <xdr:col>26</xdr:col>
      <xdr:colOff>59688</xdr:colOff>
      <xdr:row>73</xdr:row>
      <xdr:rowOff>21590</xdr:rowOff>
    </xdr:to>
    <mc:AlternateContent xmlns:mc="http://schemas.openxmlformats.org/markup-compatibility/2006" xmlns:a14="http://schemas.microsoft.com/office/drawing/2010/main">
      <mc:Choice Requires="a14">
        <xdr:graphicFrame macro="">
          <xdr:nvGraphicFramePr>
            <xdr:cNvPr id="7" name="SLICER - PARTNER">
              <a:extLst>
                <a:ext uri="{FF2B5EF4-FFF2-40B4-BE49-F238E27FC236}">
                  <a16:creationId xmlns:a16="http://schemas.microsoft.com/office/drawing/2014/main" id="{EEA71A99-160A-4EBA-98ED-5A0B8B5920FE}"/>
                </a:ext>
              </a:extLst>
            </xdr:cNvPr>
            <xdr:cNvGraphicFramePr/>
          </xdr:nvGraphicFramePr>
          <xdr:xfrm>
            <a:off x="0" y="0"/>
            <a:ext cx="0" cy="0"/>
          </xdr:xfrm>
          <a:graphic>
            <a:graphicData uri="http://schemas.microsoft.com/office/drawing/2010/slicer">
              <sle:slicer xmlns:sle="http://schemas.microsoft.com/office/drawing/2010/slicer" name="SLICER - PARTNER"/>
            </a:graphicData>
          </a:graphic>
        </xdr:graphicFrame>
      </mc:Choice>
      <mc:Fallback xmlns="">
        <xdr:sp macro="" textlink="">
          <xdr:nvSpPr>
            <xdr:cNvPr id="0" name=""/>
            <xdr:cNvSpPr>
              <a:spLocks noTextEdit="1"/>
            </xdr:cNvSpPr>
          </xdr:nvSpPr>
          <xdr:spPr>
            <a:xfrm>
              <a:off x="10258425" y="7743825"/>
              <a:ext cx="5438773" cy="3108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257174</xdr:colOff>
      <xdr:row>62</xdr:row>
      <xdr:rowOff>152401</xdr:rowOff>
    </xdr:from>
    <xdr:to>
      <xdr:col>17</xdr:col>
      <xdr:colOff>38100</xdr:colOff>
      <xdr:row>73</xdr:row>
      <xdr:rowOff>21590</xdr:rowOff>
    </xdr:to>
    <mc:AlternateContent xmlns:mc="http://schemas.openxmlformats.org/markup-compatibility/2006" xmlns:a14="http://schemas.microsoft.com/office/drawing/2010/main">
      <mc:Choice Requires="a14">
        <xdr:graphicFrame macro="">
          <xdr:nvGraphicFramePr>
            <xdr:cNvPr id="11" name="SLICER - CRAG">
              <a:extLst>
                <a:ext uri="{FF2B5EF4-FFF2-40B4-BE49-F238E27FC236}">
                  <a16:creationId xmlns:a16="http://schemas.microsoft.com/office/drawing/2014/main" id="{8126757E-8BF2-467C-8FC0-9001F583447B}"/>
                </a:ext>
              </a:extLst>
            </xdr:cNvPr>
            <xdr:cNvGraphicFramePr/>
          </xdr:nvGraphicFramePr>
          <xdr:xfrm>
            <a:off x="0" y="0"/>
            <a:ext cx="0" cy="0"/>
          </xdr:xfrm>
          <a:graphic>
            <a:graphicData uri="http://schemas.microsoft.com/office/drawing/2010/slicer">
              <sle:slicer xmlns:sle="http://schemas.microsoft.com/office/drawing/2010/slicer" name="SLICER - CRAG"/>
            </a:graphicData>
          </a:graphic>
        </xdr:graphicFrame>
      </mc:Choice>
      <mc:Fallback xmlns="">
        <xdr:sp macro="" textlink="">
          <xdr:nvSpPr>
            <xdr:cNvPr id="0" name=""/>
            <xdr:cNvSpPr>
              <a:spLocks noTextEdit="1"/>
            </xdr:cNvSpPr>
          </xdr:nvSpPr>
          <xdr:spPr>
            <a:xfrm>
              <a:off x="657224" y="9220201"/>
              <a:ext cx="9534526" cy="1647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133350</xdr:colOff>
      <xdr:row>12</xdr:row>
      <xdr:rowOff>85725</xdr:rowOff>
    </xdr:from>
    <xdr:to>
      <xdr:col>6</xdr:col>
      <xdr:colOff>194310</xdr:colOff>
      <xdr:row>49</xdr:row>
      <xdr:rowOff>38100</xdr:rowOff>
    </xdr:to>
    <xdr:sp macro="" textlink="">
      <xdr:nvSpPr>
        <xdr:cNvPr id="20" name="SHAPE GRADES">
          <a:extLst>
            <a:ext uri="{FF2B5EF4-FFF2-40B4-BE49-F238E27FC236}">
              <a16:creationId xmlns:a16="http://schemas.microsoft.com/office/drawing/2014/main" id="{4186994B-3A1C-4C2E-AF03-01D9F5AB0BE3}"/>
            </a:ext>
          </a:extLst>
        </xdr:cNvPr>
        <xdr:cNvSpPr/>
      </xdr:nvSpPr>
      <xdr:spPr bwMode="auto">
        <a:xfrm>
          <a:off x="742950" y="1219200"/>
          <a:ext cx="3108960" cy="5943600"/>
        </a:xfrm>
        <a:prstGeom prst="roundRect">
          <a:avLst>
            <a:gd name="adj" fmla="val 3873"/>
          </a:avLst>
        </a:prstGeom>
        <a:solidFill>
          <a:schemeClr val="accent5">
            <a:lumMod val="75000"/>
            <a:alpha val="70000"/>
          </a:scheme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GRADES</a:t>
          </a:r>
          <a:r>
            <a:rPr lang="en-US" sz="2400" b="1" baseline="0">
              <a:solidFill>
                <a:schemeClr val="bg1"/>
              </a:solidFill>
            </a:rPr>
            <a:t> &amp; ATTEMPTS</a:t>
          </a:r>
          <a:endParaRPr lang="en-US" sz="2400" b="1">
            <a:solidFill>
              <a:schemeClr val="bg1"/>
            </a:solidFill>
          </a:endParaRPr>
        </a:p>
      </xdr:txBody>
    </xdr:sp>
    <xdr:clientData/>
  </xdr:twoCellAnchor>
  <xdr:twoCellAnchor>
    <xdr:from>
      <xdr:col>1</xdr:col>
      <xdr:colOff>304800</xdr:colOff>
      <xdr:row>27</xdr:row>
      <xdr:rowOff>38100</xdr:rowOff>
    </xdr:from>
    <xdr:to>
      <xdr:col>6</xdr:col>
      <xdr:colOff>0</xdr:colOff>
      <xdr:row>37</xdr:row>
      <xdr:rowOff>64770</xdr:rowOff>
    </xdr:to>
    <xdr:graphicFrame macro="">
      <xdr:nvGraphicFramePr>
        <xdr:cNvPr id="16" name="% OF FLASH, OS, RP - AREA">
          <a:extLst>
            <a:ext uri="{FF2B5EF4-FFF2-40B4-BE49-F238E27FC236}">
              <a16:creationId xmlns:a16="http://schemas.microsoft.com/office/drawing/2014/main" id="{1DCA95E9-B5A4-4C67-BA0F-1E3D063C9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304800</xdr:colOff>
      <xdr:row>27</xdr:row>
      <xdr:rowOff>38100</xdr:rowOff>
    </xdr:from>
    <xdr:to>
      <xdr:col>6</xdr:col>
      <xdr:colOff>0</xdr:colOff>
      <xdr:row>37</xdr:row>
      <xdr:rowOff>64770</xdr:rowOff>
    </xdr:to>
    <xdr:graphicFrame macro="">
      <xdr:nvGraphicFramePr>
        <xdr:cNvPr id="25" name="% OF FLASH, OS, RP - COL" hidden="1">
          <a:extLst>
            <a:ext uri="{FF2B5EF4-FFF2-40B4-BE49-F238E27FC236}">
              <a16:creationId xmlns:a16="http://schemas.microsoft.com/office/drawing/2014/main" id="{B5A2D451-ADC2-41B2-97BD-0A54CD433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304799</xdr:colOff>
      <xdr:row>38</xdr:row>
      <xdr:rowOff>47625</xdr:rowOff>
    </xdr:from>
    <xdr:to>
      <xdr:col>5</xdr:col>
      <xdr:colOff>609599</xdr:colOff>
      <xdr:row>48</xdr:row>
      <xdr:rowOff>74295</xdr:rowOff>
    </xdr:to>
    <xdr:graphicFrame macro="">
      <xdr:nvGraphicFramePr>
        <xdr:cNvPr id="24" name="AVG TRIES PER ASCENT">
          <a:extLst>
            <a:ext uri="{FF2B5EF4-FFF2-40B4-BE49-F238E27FC236}">
              <a16:creationId xmlns:a16="http://schemas.microsoft.com/office/drawing/2014/main" id="{4C8CA6BD-6034-47A5-B7A9-5D4AAB1FB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314325</xdr:colOff>
      <xdr:row>16</xdr:row>
      <xdr:rowOff>38100</xdr:rowOff>
    </xdr:from>
    <xdr:to>
      <xdr:col>6</xdr:col>
      <xdr:colOff>9525</xdr:colOff>
      <xdr:row>26</xdr:row>
      <xdr:rowOff>64770</xdr:rowOff>
    </xdr:to>
    <xdr:graphicFrame macro="">
      <xdr:nvGraphicFramePr>
        <xdr:cNvPr id="17" name="GRADES - BARS">
          <a:extLst>
            <a:ext uri="{FF2B5EF4-FFF2-40B4-BE49-F238E27FC236}">
              <a16:creationId xmlns:a16="http://schemas.microsoft.com/office/drawing/2014/main" id="{87814E02-32E1-42CE-81AF-47DD15DD9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295275</xdr:colOff>
      <xdr:row>15</xdr:row>
      <xdr:rowOff>104775</xdr:rowOff>
    </xdr:from>
    <xdr:to>
      <xdr:col>5</xdr:col>
      <xdr:colOff>600075</xdr:colOff>
      <xdr:row>26</xdr:row>
      <xdr:rowOff>76200</xdr:rowOff>
    </xdr:to>
    <xdr:graphicFrame macro="">
      <xdr:nvGraphicFramePr>
        <xdr:cNvPr id="3" name="GRADES - PIE" hidden="1">
          <a:extLst>
            <a:ext uri="{FF2B5EF4-FFF2-40B4-BE49-F238E27FC236}">
              <a16:creationId xmlns:a16="http://schemas.microsoft.com/office/drawing/2014/main" id="{756429E7-F27A-46FC-B3BB-239F03A37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304800</xdr:colOff>
      <xdr:row>15</xdr:row>
      <xdr:rowOff>95250</xdr:rowOff>
    </xdr:from>
    <xdr:to>
      <xdr:col>6</xdr:col>
      <xdr:colOff>0</xdr:colOff>
      <xdr:row>26</xdr:row>
      <xdr:rowOff>66675</xdr:rowOff>
    </xdr:to>
    <xdr:graphicFrame macro="">
      <xdr:nvGraphicFramePr>
        <xdr:cNvPr id="6" name="GRADES - PYRAMID" hidden="1">
          <a:extLst>
            <a:ext uri="{FF2B5EF4-FFF2-40B4-BE49-F238E27FC236}">
              <a16:creationId xmlns:a16="http://schemas.microsoft.com/office/drawing/2014/main" id="{2104439C-A11B-451C-9452-1E55A401E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314326</xdr:colOff>
      <xdr:row>33</xdr:row>
      <xdr:rowOff>19050</xdr:rowOff>
    </xdr:from>
    <xdr:to>
      <xdr:col>6</xdr:col>
      <xdr:colOff>9526</xdr:colOff>
      <xdr:row>48</xdr:row>
      <xdr:rowOff>59055</xdr:rowOff>
    </xdr:to>
    <xdr:graphicFrame macro="">
      <xdr:nvGraphicFramePr>
        <xdr:cNvPr id="32" name="NUMBER OF TRIES - HIST" hidden="1">
          <a:extLst>
            <a:ext uri="{FF2B5EF4-FFF2-40B4-BE49-F238E27FC236}">
              <a16:creationId xmlns:a16="http://schemas.microsoft.com/office/drawing/2014/main" id="{823E08BB-3398-4FEA-9102-2EDCE7B10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400050</xdr:colOff>
      <xdr:row>12</xdr:row>
      <xdr:rowOff>76200</xdr:rowOff>
    </xdr:from>
    <xdr:to>
      <xdr:col>13</xdr:col>
      <xdr:colOff>64770</xdr:colOff>
      <xdr:row>49</xdr:row>
      <xdr:rowOff>28575</xdr:rowOff>
    </xdr:to>
    <xdr:sp macro="" textlink="">
      <xdr:nvSpPr>
        <xdr:cNvPr id="19" name="SHAPE TIME">
          <a:extLst>
            <a:ext uri="{FF2B5EF4-FFF2-40B4-BE49-F238E27FC236}">
              <a16:creationId xmlns:a16="http://schemas.microsoft.com/office/drawing/2014/main" id="{B9EA52CF-D35B-4A8C-A24C-94760A17BAE8}"/>
            </a:ext>
          </a:extLst>
        </xdr:cNvPr>
        <xdr:cNvSpPr/>
      </xdr:nvSpPr>
      <xdr:spPr bwMode="auto">
        <a:xfrm>
          <a:off x="4057650" y="1209675"/>
          <a:ext cx="3931920" cy="5943600"/>
        </a:xfrm>
        <a:prstGeom prst="roundRect">
          <a:avLst>
            <a:gd name="adj" fmla="val 2940"/>
          </a:avLst>
        </a:prstGeom>
        <a:solidFill>
          <a:schemeClr val="accent6">
            <a:lumMod val="75000"/>
            <a:alpha val="70000"/>
          </a:scheme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TIME FEATURES</a:t>
          </a:r>
        </a:p>
      </xdr:txBody>
    </xdr:sp>
    <xdr:clientData/>
  </xdr:twoCellAnchor>
  <xdr:twoCellAnchor>
    <xdr:from>
      <xdr:col>6</xdr:col>
      <xdr:colOff>523873</xdr:colOff>
      <xdr:row>33</xdr:row>
      <xdr:rowOff>76200</xdr:rowOff>
    </xdr:from>
    <xdr:to>
      <xdr:col>12</xdr:col>
      <xdr:colOff>523873</xdr:colOff>
      <xdr:row>48</xdr:row>
      <xdr:rowOff>87630</xdr:rowOff>
    </xdr:to>
    <xdr:graphicFrame macro="">
      <xdr:nvGraphicFramePr>
        <xdr:cNvPr id="34" name="MONTHS - HIST">
          <a:extLst>
            <a:ext uri="{FF2B5EF4-FFF2-40B4-BE49-F238E27FC236}">
              <a16:creationId xmlns:a16="http://schemas.microsoft.com/office/drawing/2014/main" id="{67AAF358-4A88-4EF2-90B9-DA57A6DB8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533400</xdr:colOff>
      <xdr:row>15</xdr:row>
      <xdr:rowOff>95250</xdr:rowOff>
    </xdr:from>
    <xdr:to>
      <xdr:col>12</xdr:col>
      <xdr:colOff>533400</xdr:colOff>
      <xdr:row>32</xdr:row>
      <xdr:rowOff>85725</xdr:rowOff>
    </xdr:to>
    <xdr:graphicFrame macro="">
      <xdr:nvGraphicFramePr>
        <xdr:cNvPr id="33" name="YEARS - HIST">
          <a:extLst>
            <a:ext uri="{FF2B5EF4-FFF2-40B4-BE49-F238E27FC236}">
              <a16:creationId xmlns:a16="http://schemas.microsoft.com/office/drawing/2014/main" id="{59939449-3C2B-4B87-BA75-EA818BFDC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285749</xdr:colOff>
      <xdr:row>12</xdr:row>
      <xdr:rowOff>85724</xdr:rowOff>
    </xdr:from>
    <xdr:to>
      <xdr:col>26</xdr:col>
      <xdr:colOff>133349</xdr:colOff>
      <xdr:row>26</xdr:row>
      <xdr:rowOff>13334</xdr:rowOff>
    </xdr:to>
    <xdr:sp macro="" textlink="">
      <xdr:nvSpPr>
        <xdr:cNvPr id="22" name="SHAPE HABITS">
          <a:extLst>
            <a:ext uri="{FF2B5EF4-FFF2-40B4-BE49-F238E27FC236}">
              <a16:creationId xmlns:a16="http://schemas.microsoft.com/office/drawing/2014/main" id="{6A219843-E070-4387-A839-FC9093BEB3BA}"/>
            </a:ext>
          </a:extLst>
        </xdr:cNvPr>
        <xdr:cNvSpPr/>
      </xdr:nvSpPr>
      <xdr:spPr bwMode="auto">
        <a:xfrm>
          <a:off x="8210549" y="1219199"/>
          <a:ext cx="7772400" cy="2194560"/>
        </a:xfrm>
        <a:prstGeom prst="roundRect">
          <a:avLst>
            <a:gd name="adj" fmla="val 4907"/>
          </a:avLst>
        </a:prstGeom>
        <a:solidFill>
          <a:srgbClr val="7030A0">
            <a:alpha val="70000"/>
          </a:srgb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HABITS </a:t>
          </a:r>
          <a:r>
            <a:rPr lang="en-US" sz="2400" b="1" baseline="0">
              <a:solidFill>
                <a:schemeClr val="bg1"/>
              </a:solidFill>
            </a:rPr>
            <a:t>&amp; PREFERENCES</a:t>
          </a:r>
          <a:endParaRPr lang="en-US" sz="2400" b="1">
            <a:solidFill>
              <a:schemeClr val="bg1"/>
            </a:solidFill>
          </a:endParaRPr>
        </a:p>
      </xdr:txBody>
    </xdr:sp>
    <xdr:clientData/>
  </xdr:twoCellAnchor>
  <xdr:twoCellAnchor>
    <xdr:from>
      <xdr:col>13</xdr:col>
      <xdr:colOff>390525</xdr:colOff>
      <xdr:row>15</xdr:row>
      <xdr:rowOff>38100</xdr:rowOff>
    </xdr:from>
    <xdr:to>
      <xdr:col>17</xdr:col>
      <xdr:colOff>329565</xdr:colOff>
      <xdr:row>25</xdr:row>
      <xdr:rowOff>64770</xdr:rowOff>
    </xdr:to>
    <xdr:graphicFrame macro="">
      <xdr:nvGraphicFramePr>
        <xdr:cNvPr id="5" name="ASCENT PER HEIGHT - BARS">
          <a:extLst>
            <a:ext uri="{FF2B5EF4-FFF2-40B4-BE49-F238E27FC236}">
              <a16:creationId xmlns:a16="http://schemas.microsoft.com/office/drawing/2014/main" id="{7BF2E903-E3E5-4578-9079-37D29AF46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447674</xdr:colOff>
      <xdr:row>15</xdr:row>
      <xdr:rowOff>38100</xdr:rowOff>
    </xdr:from>
    <xdr:to>
      <xdr:col>22</xdr:col>
      <xdr:colOff>325754</xdr:colOff>
      <xdr:row>25</xdr:row>
      <xdr:rowOff>64770</xdr:rowOff>
    </xdr:to>
    <xdr:graphicFrame macro="">
      <xdr:nvGraphicFramePr>
        <xdr:cNvPr id="31" name="PARTNERS - HIST">
          <a:extLst>
            <a:ext uri="{FF2B5EF4-FFF2-40B4-BE49-F238E27FC236}">
              <a16:creationId xmlns:a16="http://schemas.microsoft.com/office/drawing/2014/main" id="{F118D34E-3889-49DE-824E-67ABA808A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285751</xdr:colOff>
      <xdr:row>27</xdr:row>
      <xdr:rowOff>19049</xdr:rowOff>
    </xdr:from>
    <xdr:to>
      <xdr:col>26</xdr:col>
      <xdr:colOff>133351</xdr:colOff>
      <xdr:row>49</xdr:row>
      <xdr:rowOff>9524</xdr:rowOff>
    </xdr:to>
    <xdr:sp macro="" textlink="">
      <xdr:nvSpPr>
        <xdr:cNvPr id="21" name="SHAPES COUNTRIES">
          <a:extLst>
            <a:ext uri="{FF2B5EF4-FFF2-40B4-BE49-F238E27FC236}">
              <a16:creationId xmlns:a16="http://schemas.microsoft.com/office/drawing/2014/main" id="{07C4E6F5-191C-4AF6-9B80-6B9082440F2C}"/>
            </a:ext>
          </a:extLst>
        </xdr:cNvPr>
        <xdr:cNvSpPr/>
      </xdr:nvSpPr>
      <xdr:spPr bwMode="auto">
        <a:xfrm>
          <a:off x="8210551" y="3581399"/>
          <a:ext cx="7772400" cy="3552825"/>
        </a:xfrm>
        <a:prstGeom prst="roundRect">
          <a:avLst>
            <a:gd name="adj" fmla="val 3171"/>
          </a:avLst>
        </a:prstGeom>
        <a:solidFill>
          <a:srgbClr val="C00000">
            <a:alpha val="70000"/>
          </a:srgb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                                                         COUNTRIES &amp; PLACES</a:t>
          </a:r>
        </a:p>
      </xdr:txBody>
    </xdr:sp>
    <xdr:clientData/>
  </xdr:twoCellAnchor>
  <xdr:twoCellAnchor>
    <xdr:from>
      <xdr:col>20</xdr:col>
      <xdr:colOff>180975</xdr:colOff>
      <xdr:row>30</xdr:row>
      <xdr:rowOff>28575</xdr:rowOff>
    </xdr:from>
    <xdr:to>
      <xdr:col>25</xdr:col>
      <xdr:colOff>607695</xdr:colOff>
      <xdr:row>48</xdr:row>
      <xdr:rowOff>66675</xdr:rowOff>
    </xdr:to>
    <xdr:graphicFrame macro="">
      <xdr:nvGraphicFramePr>
        <xdr:cNvPr id="13" name="FAVORITE CRAGS - PIE">
          <a:extLst>
            <a:ext uri="{FF2B5EF4-FFF2-40B4-BE49-F238E27FC236}">
              <a16:creationId xmlns:a16="http://schemas.microsoft.com/office/drawing/2014/main" id="{82DF5BF3-B8EA-4AA1-BF34-978CB8C39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180975</xdr:colOff>
      <xdr:row>30</xdr:row>
      <xdr:rowOff>133350</xdr:rowOff>
    </xdr:from>
    <xdr:to>
      <xdr:col>25</xdr:col>
      <xdr:colOff>607695</xdr:colOff>
      <xdr:row>47</xdr:row>
      <xdr:rowOff>114300</xdr:rowOff>
    </xdr:to>
    <xdr:graphicFrame macro="">
      <xdr:nvGraphicFramePr>
        <xdr:cNvPr id="15" name="FAVORITE CRAGS - HIST" hidden="1">
          <a:extLst>
            <a:ext uri="{FF2B5EF4-FFF2-40B4-BE49-F238E27FC236}">
              <a16:creationId xmlns:a16="http://schemas.microsoft.com/office/drawing/2014/main" id="{FDF1097C-CD6C-47CC-9371-19C2EB82F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409575</xdr:colOff>
      <xdr:row>27</xdr:row>
      <xdr:rowOff>123824</xdr:rowOff>
    </xdr:from>
    <xdr:to>
      <xdr:col>20</xdr:col>
      <xdr:colOff>57150</xdr:colOff>
      <xdr:row>48</xdr:row>
      <xdr:rowOff>66674</xdr:rowOff>
    </xdr:to>
    <mc:AlternateContent xmlns:mc="http://schemas.openxmlformats.org/markup-compatibility/2006">
      <mc:Choice xmlns:cx4="http://schemas.microsoft.com/office/drawing/2016/5/10/chartex" Requires="cx4">
        <xdr:graphicFrame macro="">
          <xdr:nvGraphicFramePr>
            <xdr:cNvPr id="9" name="MAP">
              <a:extLst>
                <a:ext uri="{FF2B5EF4-FFF2-40B4-BE49-F238E27FC236}">
                  <a16:creationId xmlns:a16="http://schemas.microsoft.com/office/drawing/2014/main" id="{75DD9675-E223-4B75-9C97-33ECB09BC0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8410575" y="4650104"/>
              <a:ext cx="4074795" cy="3463290"/>
            </a:xfrm>
            <a:prstGeom prst="rect">
              <a:avLst/>
            </a:prstGeom>
            <a:solidFill>
              <a:prstClr val="white"/>
            </a:solidFill>
            <a:ln w="1">
              <a:solidFill>
                <a:prstClr val="green"/>
              </a:solidFill>
            </a:ln>
          </xdr:spPr>
          <xdr:txBody>
            <a:bodyPr vertOverflow="clip" horzOverflow="clip"/>
            <a:lstStyle/>
            <a:p>
              <a:r>
                <a:rPr lang="en-AT"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552450</xdr:colOff>
      <xdr:row>29</xdr:row>
      <xdr:rowOff>114300</xdr:rowOff>
    </xdr:from>
    <xdr:to>
      <xdr:col>19</xdr:col>
      <xdr:colOff>66675</xdr:colOff>
      <xdr:row>46</xdr:row>
      <xdr:rowOff>104775</xdr:rowOff>
    </xdr:to>
    <xdr:graphicFrame macro="">
      <xdr:nvGraphicFramePr>
        <xdr:cNvPr id="30" name="COUNTRIES - PIE" hidden="1">
          <a:extLst>
            <a:ext uri="{FF2B5EF4-FFF2-40B4-BE49-F238E27FC236}">
              <a16:creationId xmlns:a16="http://schemas.microsoft.com/office/drawing/2014/main" id="{CAF06053-0CF7-4605-AA0B-CBCD580B0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438148</xdr:colOff>
      <xdr:row>15</xdr:row>
      <xdr:rowOff>38100</xdr:rowOff>
    </xdr:from>
    <xdr:to>
      <xdr:col>26</xdr:col>
      <xdr:colOff>11428</xdr:colOff>
      <xdr:row>25</xdr:row>
      <xdr:rowOff>64770</xdr:rowOff>
    </xdr:to>
    <xdr:graphicFrame macro="">
      <xdr:nvGraphicFramePr>
        <xdr:cNvPr id="27" name="PARTNERS - HIST">
          <a:extLst>
            <a:ext uri="{FF2B5EF4-FFF2-40B4-BE49-F238E27FC236}">
              <a16:creationId xmlns:a16="http://schemas.microsoft.com/office/drawing/2014/main" id="{549408C3-21FF-48CB-89A2-8637AA5C0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134618</xdr:colOff>
      <xdr:row>4</xdr:row>
      <xdr:rowOff>111759</xdr:rowOff>
    </xdr:from>
    <xdr:to>
      <xdr:col>26</xdr:col>
      <xdr:colOff>116618</xdr:colOff>
      <xdr:row>11</xdr:row>
      <xdr:rowOff>135890</xdr:rowOff>
    </xdr:to>
    <xdr:sp macro="" textlink="">
      <xdr:nvSpPr>
        <xdr:cNvPr id="26" name="SHAPE HABITS">
          <a:extLst>
            <a:ext uri="{FF2B5EF4-FFF2-40B4-BE49-F238E27FC236}">
              <a16:creationId xmlns:a16="http://schemas.microsoft.com/office/drawing/2014/main" id="{0E4E3B13-F091-4684-A4FF-71A9886B8DC9}"/>
            </a:ext>
          </a:extLst>
        </xdr:cNvPr>
        <xdr:cNvSpPr/>
      </xdr:nvSpPr>
      <xdr:spPr bwMode="auto">
        <a:xfrm>
          <a:off x="553718" y="751839"/>
          <a:ext cx="15984000" cy="1144271"/>
        </a:xfrm>
        <a:prstGeom prst="roundRect">
          <a:avLst>
            <a:gd name="adj" fmla="val 10240"/>
          </a:avLst>
        </a:prstGeom>
        <a:solidFill>
          <a:srgbClr val="002060">
            <a:alpha val="70000"/>
          </a:srgb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OVERVIEW</a:t>
          </a:r>
        </a:p>
      </xdr:txBody>
    </xdr:sp>
    <xdr:clientData/>
  </xdr:twoCellAnchor>
  <xdr:twoCellAnchor>
    <xdr:from>
      <xdr:col>15</xdr:col>
      <xdr:colOff>534669</xdr:colOff>
      <xdr:row>6</xdr:row>
      <xdr:rowOff>158115</xdr:rowOff>
    </xdr:from>
    <xdr:to>
      <xdr:col>20</xdr:col>
      <xdr:colOff>215539</xdr:colOff>
      <xdr:row>10</xdr:row>
      <xdr:rowOff>139365</xdr:rowOff>
    </xdr:to>
    <xdr:grpSp>
      <xdr:nvGrpSpPr>
        <xdr:cNvPr id="48" name="Group 47">
          <a:extLst>
            <a:ext uri="{FF2B5EF4-FFF2-40B4-BE49-F238E27FC236}">
              <a16:creationId xmlns:a16="http://schemas.microsoft.com/office/drawing/2014/main" id="{37293C6A-1963-D0A0-B9C6-A7298B7E5FF6}"/>
            </a:ext>
          </a:extLst>
        </xdr:cNvPr>
        <xdr:cNvGrpSpPr/>
      </xdr:nvGrpSpPr>
      <xdr:grpSpPr>
        <a:xfrm>
          <a:off x="9758182" y="1152028"/>
          <a:ext cx="2828261" cy="643859"/>
          <a:chOff x="759459" y="1182371"/>
          <a:chExt cx="2880000" cy="641650"/>
        </a:xfrm>
      </xdr:grpSpPr>
      <xdr:sp macro="" textlink="">
        <xdr:nvSpPr>
          <xdr:cNvPr id="28" name="SHAPE HABITS">
            <a:extLst>
              <a:ext uri="{FF2B5EF4-FFF2-40B4-BE49-F238E27FC236}">
                <a16:creationId xmlns:a16="http://schemas.microsoft.com/office/drawing/2014/main" id="{52712B81-AE6B-40AD-9E5D-BB13513D3159}"/>
              </a:ext>
            </a:extLst>
          </xdr:cNvPr>
          <xdr:cNvSpPr/>
        </xdr:nvSpPr>
        <xdr:spPr bwMode="auto">
          <a:xfrm>
            <a:off x="759459" y="1182371"/>
            <a:ext cx="2880000" cy="641650"/>
          </a:xfrm>
          <a:prstGeom prst="roundRect">
            <a:avLst>
              <a:gd name="adj" fmla="val 25597"/>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1600" b="0">
                <a:solidFill>
                  <a:schemeClr val="tx1">
                    <a:lumMod val="75000"/>
                    <a:lumOff val="25000"/>
                  </a:schemeClr>
                </a:solidFill>
              </a:rPr>
              <a:t>TOTAL ASCENTS</a:t>
            </a:r>
          </a:p>
        </xdr:txBody>
      </xdr:sp>
      <xdr:sp macro="" textlink="'PIVOTS &amp; CALCULATIONS'!AN11">
        <xdr:nvSpPr>
          <xdr:cNvPr id="40" name="Deliveries_On_Time_Percentage">
            <a:extLst>
              <a:ext uri="{FF2B5EF4-FFF2-40B4-BE49-F238E27FC236}">
                <a16:creationId xmlns:a16="http://schemas.microsoft.com/office/drawing/2014/main" id="{95F9E798-6F63-487A-BBEE-BCAA190BCA0A}"/>
              </a:ext>
            </a:extLst>
          </xdr:cNvPr>
          <xdr:cNvSpPr txBox="1"/>
        </xdr:nvSpPr>
        <xdr:spPr>
          <a:xfrm>
            <a:off x="1795779" y="1463041"/>
            <a:ext cx="703581" cy="35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7510B0-3F76-4634-A74A-F25B045CE696}" type="TxLink">
              <a:rPr lang="en-US" sz="1600" b="0" i="0" u="none" strike="noStrike">
                <a:solidFill>
                  <a:srgbClr val="000000"/>
                </a:solidFill>
                <a:latin typeface="Arial"/>
                <a:cs typeface="Arial"/>
              </a:rPr>
              <a:pPr algn="ctr"/>
              <a:t>226</a:t>
            </a:fld>
            <a:endParaRPr lang="en-AT" sz="3200">
              <a:solidFill>
                <a:schemeClr val="tx1">
                  <a:lumMod val="75000"/>
                  <a:lumOff val="25000"/>
                </a:schemeClr>
              </a:solidFill>
            </a:endParaRPr>
          </a:p>
        </xdr:txBody>
      </xdr:sp>
    </xdr:grpSp>
    <xdr:clientData/>
  </xdr:twoCellAnchor>
  <xdr:twoCellAnchor>
    <xdr:from>
      <xdr:col>7</xdr:col>
      <xdr:colOff>154939</xdr:colOff>
      <xdr:row>6</xdr:row>
      <xdr:rowOff>137795</xdr:rowOff>
    </xdr:from>
    <xdr:to>
      <xdr:col>11</xdr:col>
      <xdr:colOff>484779</xdr:colOff>
      <xdr:row>10</xdr:row>
      <xdr:rowOff>159685</xdr:rowOff>
    </xdr:to>
    <xdr:grpSp>
      <xdr:nvGrpSpPr>
        <xdr:cNvPr id="51" name="Group 50">
          <a:extLst>
            <a:ext uri="{FF2B5EF4-FFF2-40B4-BE49-F238E27FC236}">
              <a16:creationId xmlns:a16="http://schemas.microsoft.com/office/drawing/2014/main" id="{7CE8CB25-7B2E-1920-5D18-A03EE82A7E59}"/>
            </a:ext>
          </a:extLst>
        </xdr:cNvPr>
        <xdr:cNvGrpSpPr/>
      </xdr:nvGrpSpPr>
      <xdr:grpSpPr>
        <a:xfrm>
          <a:off x="4342626" y="1131708"/>
          <a:ext cx="2847753" cy="684499"/>
          <a:chOff x="4419898" y="1091901"/>
          <a:chExt cx="2896286" cy="658758"/>
        </a:xfrm>
      </xdr:grpSpPr>
      <xdr:sp macro="" textlink="">
        <xdr:nvSpPr>
          <xdr:cNvPr id="29" name="SHAPE HABITS">
            <a:extLst>
              <a:ext uri="{FF2B5EF4-FFF2-40B4-BE49-F238E27FC236}">
                <a16:creationId xmlns:a16="http://schemas.microsoft.com/office/drawing/2014/main" id="{94ED0401-46C2-4F86-ADC7-7CB6570468FB}"/>
              </a:ext>
            </a:extLst>
          </xdr:cNvPr>
          <xdr:cNvSpPr/>
        </xdr:nvSpPr>
        <xdr:spPr bwMode="auto">
          <a:xfrm>
            <a:off x="4419898" y="1091901"/>
            <a:ext cx="2896286" cy="658758"/>
          </a:xfrm>
          <a:prstGeom prst="roundRect">
            <a:avLst>
              <a:gd name="adj" fmla="val 25597"/>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1600" b="0">
                <a:solidFill>
                  <a:schemeClr val="bg2">
                    <a:lumMod val="25000"/>
                  </a:schemeClr>
                </a:solidFill>
              </a:rPr>
              <a:t>MAX GRADE</a:t>
            </a:r>
          </a:p>
        </xdr:txBody>
      </xdr:sp>
      <xdr:sp macro="" textlink="'PIVOTS &amp; CALCULATIONS'!AN10">
        <xdr:nvSpPr>
          <xdr:cNvPr id="42" name="Deliveries_On_Time_Percentage">
            <a:extLst>
              <a:ext uri="{FF2B5EF4-FFF2-40B4-BE49-F238E27FC236}">
                <a16:creationId xmlns:a16="http://schemas.microsoft.com/office/drawing/2014/main" id="{3CA69702-99B7-4FFC-B18C-92F2D9BC98C1}"/>
              </a:ext>
            </a:extLst>
          </xdr:cNvPr>
          <xdr:cNvSpPr txBox="1"/>
        </xdr:nvSpPr>
        <xdr:spPr>
          <a:xfrm>
            <a:off x="5523497" y="1396177"/>
            <a:ext cx="704732" cy="341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28B906-3977-4896-8D99-5A8F755B753C}" type="TxLink">
              <a:rPr lang="en-US" sz="1600" b="0" i="0" u="none" strike="noStrike">
                <a:solidFill>
                  <a:srgbClr val="000000"/>
                </a:solidFill>
                <a:latin typeface="Arial"/>
                <a:cs typeface="Arial"/>
              </a:rPr>
              <a:pPr algn="ctr"/>
              <a:t>7c+</a:t>
            </a:fld>
            <a:endParaRPr lang="en-AT" sz="5400" b="0">
              <a:solidFill>
                <a:schemeClr val="bg2">
                  <a:lumMod val="25000"/>
                </a:schemeClr>
              </a:solidFill>
            </a:endParaRPr>
          </a:p>
        </xdr:txBody>
      </xdr:sp>
    </xdr:grpSp>
    <xdr:clientData/>
  </xdr:twoCellAnchor>
  <xdr:twoCellAnchor>
    <xdr:from>
      <xdr:col>1</xdr:col>
      <xdr:colOff>472438</xdr:colOff>
      <xdr:row>6</xdr:row>
      <xdr:rowOff>138430</xdr:rowOff>
    </xdr:from>
    <xdr:to>
      <xdr:col>6</xdr:col>
      <xdr:colOff>143148</xdr:colOff>
      <xdr:row>10</xdr:row>
      <xdr:rowOff>159050</xdr:rowOff>
    </xdr:to>
    <xdr:grpSp>
      <xdr:nvGrpSpPr>
        <xdr:cNvPr id="50" name="Group 49">
          <a:extLst>
            <a:ext uri="{FF2B5EF4-FFF2-40B4-BE49-F238E27FC236}">
              <a16:creationId xmlns:a16="http://schemas.microsoft.com/office/drawing/2014/main" id="{C75AD514-EF63-2C4B-350F-3E11DC143B7E}"/>
            </a:ext>
          </a:extLst>
        </xdr:cNvPr>
        <xdr:cNvGrpSpPr/>
      </xdr:nvGrpSpPr>
      <xdr:grpSpPr>
        <a:xfrm>
          <a:off x="883255" y="1132343"/>
          <a:ext cx="2818102" cy="683229"/>
          <a:chOff x="9781538" y="1121409"/>
          <a:chExt cx="2883810" cy="649270"/>
        </a:xfrm>
      </xdr:grpSpPr>
      <xdr:sp macro="" textlink="">
        <xdr:nvSpPr>
          <xdr:cNvPr id="35" name="SHAPE HABITS">
            <a:extLst>
              <a:ext uri="{FF2B5EF4-FFF2-40B4-BE49-F238E27FC236}">
                <a16:creationId xmlns:a16="http://schemas.microsoft.com/office/drawing/2014/main" id="{16E7FDD9-F263-43A3-9852-4404FD6A95C0}"/>
              </a:ext>
            </a:extLst>
          </xdr:cNvPr>
          <xdr:cNvSpPr/>
        </xdr:nvSpPr>
        <xdr:spPr bwMode="auto">
          <a:xfrm>
            <a:off x="9781538" y="1121409"/>
            <a:ext cx="2883810" cy="649270"/>
          </a:xfrm>
          <a:prstGeom prst="roundRect">
            <a:avLst>
              <a:gd name="adj" fmla="val 25597"/>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1600" b="0">
                <a:solidFill>
                  <a:schemeClr val="bg2">
                    <a:lumMod val="25000"/>
                  </a:schemeClr>
                </a:solidFill>
              </a:rPr>
              <a:t>CLIMBS SINCE</a:t>
            </a:r>
          </a:p>
        </xdr:txBody>
      </xdr:sp>
      <xdr:sp macro="" textlink="">
        <xdr:nvSpPr>
          <xdr:cNvPr id="43" name="Deliveries_On_Time_Percentage">
            <a:extLst>
              <a:ext uri="{FF2B5EF4-FFF2-40B4-BE49-F238E27FC236}">
                <a16:creationId xmlns:a16="http://schemas.microsoft.com/office/drawing/2014/main" id="{6EFA204F-A37F-447E-9F6B-54002194BC14}"/>
              </a:ext>
            </a:extLst>
          </xdr:cNvPr>
          <xdr:cNvSpPr txBox="1"/>
        </xdr:nvSpPr>
        <xdr:spPr>
          <a:xfrm>
            <a:off x="10835638" y="1384151"/>
            <a:ext cx="715011" cy="343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2">
                    <a:lumMod val="25000"/>
                  </a:schemeClr>
                </a:solidFill>
                <a:latin typeface="Arial"/>
                <a:cs typeface="Arial"/>
              </a:rPr>
              <a:t>2006</a:t>
            </a:r>
          </a:p>
        </xdr:txBody>
      </xdr:sp>
    </xdr:grpSp>
    <xdr:clientData/>
  </xdr:twoCellAnchor>
  <xdr:twoCellAnchor>
    <xdr:from>
      <xdr:col>21</xdr:col>
      <xdr:colOff>104140</xdr:colOff>
      <xdr:row>6</xdr:row>
      <xdr:rowOff>139700</xdr:rowOff>
    </xdr:from>
    <xdr:to>
      <xdr:col>25</xdr:col>
      <xdr:colOff>428900</xdr:colOff>
      <xdr:row>10</xdr:row>
      <xdr:rowOff>157780</xdr:rowOff>
    </xdr:to>
    <xdr:grpSp>
      <xdr:nvGrpSpPr>
        <xdr:cNvPr id="46" name="Group 45">
          <a:extLst>
            <a:ext uri="{FF2B5EF4-FFF2-40B4-BE49-F238E27FC236}">
              <a16:creationId xmlns:a16="http://schemas.microsoft.com/office/drawing/2014/main" id="{F5810111-831B-FCC2-7BAC-1E579B817213}"/>
            </a:ext>
          </a:extLst>
        </xdr:cNvPr>
        <xdr:cNvGrpSpPr/>
      </xdr:nvGrpSpPr>
      <xdr:grpSpPr>
        <a:xfrm>
          <a:off x="13104523" y="1133613"/>
          <a:ext cx="2842673" cy="680689"/>
          <a:chOff x="13233400" y="1097280"/>
          <a:chExt cx="2872380" cy="640080"/>
        </a:xfrm>
      </xdr:grpSpPr>
      <xdr:sp macro="" textlink="">
        <xdr:nvSpPr>
          <xdr:cNvPr id="39" name="SHAPE HABITS">
            <a:extLst>
              <a:ext uri="{FF2B5EF4-FFF2-40B4-BE49-F238E27FC236}">
                <a16:creationId xmlns:a16="http://schemas.microsoft.com/office/drawing/2014/main" id="{55AE7093-AB1F-4921-B8A9-C628554FFDA0}"/>
              </a:ext>
            </a:extLst>
          </xdr:cNvPr>
          <xdr:cNvSpPr/>
        </xdr:nvSpPr>
        <xdr:spPr bwMode="auto">
          <a:xfrm>
            <a:off x="13233400" y="1097280"/>
            <a:ext cx="2872380" cy="640080"/>
          </a:xfrm>
          <a:prstGeom prst="roundRect">
            <a:avLst>
              <a:gd name="adj" fmla="val 25597"/>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1600" b="0">
                <a:solidFill>
                  <a:schemeClr val="bg2">
                    <a:lumMod val="25000"/>
                  </a:schemeClr>
                </a:solidFill>
              </a:rPr>
              <a:t>BEST YEAR</a:t>
            </a:r>
          </a:p>
        </xdr:txBody>
      </xdr:sp>
      <xdr:sp macro="" textlink="'PIVOTS &amp; CALCULATIONS'!AN33">
        <xdr:nvSpPr>
          <xdr:cNvPr id="45" name="Deliveries_On_Time_Percentage">
            <a:extLst>
              <a:ext uri="{FF2B5EF4-FFF2-40B4-BE49-F238E27FC236}">
                <a16:creationId xmlns:a16="http://schemas.microsoft.com/office/drawing/2014/main" id="{901BA56E-316E-47A6-B338-CADA060428D7}"/>
              </a:ext>
            </a:extLst>
          </xdr:cNvPr>
          <xdr:cNvSpPr txBox="1"/>
        </xdr:nvSpPr>
        <xdr:spPr>
          <a:xfrm>
            <a:off x="14318212" y="1377949"/>
            <a:ext cx="711201"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E32142-2DCE-4CDA-B510-37AF65A52F37}" type="TxLink">
              <a:rPr lang="en-US" sz="1600" b="0" i="0" u="none" strike="noStrike">
                <a:solidFill>
                  <a:srgbClr val="000000"/>
                </a:solidFill>
                <a:latin typeface="Arial"/>
                <a:cs typeface="Arial"/>
              </a:rPr>
              <a:pPr algn="ctr"/>
              <a:t>2025</a:t>
            </a:fld>
            <a:endParaRPr lang="en-AT" sz="5400">
              <a:solidFill>
                <a:schemeClr val="bg2">
                  <a:lumMod val="25000"/>
                </a:schemeClr>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26</xdr:col>
      <xdr:colOff>9525</xdr:colOff>
      <xdr:row>5</xdr:row>
      <xdr:rowOff>0</xdr:rowOff>
    </xdr:from>
    <xdr:to>
      <xdr:col>34</xdr:col>
      <xdr:colOff>0</xdr:colOff>
      <xdr:row>21</xdr:row>
      <xdr:rowOff>152400</xdr:rowOff>
    </xdr:to>
    <xdr:graphicFrame macro="">
      <xdr:nvGraphicFramePr>
        <xdr:cNvPr id="8" name="Chart 7">
          <a:extLst>
            <a:ext uri="{FF2B5EF4-FFF2-40B4-BE49-F238E27FC236}">
              <a16:creationId xmlns:a16="http://schemas.microsoft.com/office/drawing/2014/main" id="{4CB546D5-B378-48F0-B363-DA14B4875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0</xdr:colOff>
      <xdr:row>41</xdr:row>
      <xdr:rowOff>0</xdr:rowOff>
    </xdr:from>
    <xdr:to>
      <xdr:col>33</xdr:col>
      <xdr:colOff>266700</xdr:colOff>
      <xdr:row>58</xdr:row>
      <xdr:rowOff>152400</xdr:rowOff>
    </xdr:to>
    <xdr:graphicFrame macro="">
      <xdr:nvGraphicFramePr>
        <xdr:cNvPr id="4" name="Chart 3">
          <a:extLst>
            <a:ext uri="{FF2B5EF4-FFF2-40B4-BE49-F238E27FC236}">
              <a16:creationId xmlns:a16="http://schemas.microsoft.com/office/drawing/2014/main" id="{C749AC46-861C-4309-AF02-9FF85FDEC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ork" refreshedDate="46110.834928009259" createdVersion="8" refreshedVersion="8" minRefreshableVersion="3" recordCount="215" xr:uid="{070E175E-4867-4CA3-9136-27CE1997D5E4}">
  <cacheSource type="worksheet">
    <worksheetSource name="SportClimbing"/>
  </cacheSource>
  <cacheFields count="17">
    <cacheField name="Date" numFmtId="168">
      <sharedItems containsSemiMixedTypes="0" containsNonDate="0" containsDate="1" containsString="0" minDate="2006-07-15T00:00:00" maxDate="2026-03-30T00:00:00"/>
    </cacheField>
    <cacheField name="Date_filter" numFmtId="168">
      <sharedItems/>
    </cacheField>
    <cacheField name="Day" numFmtId="0">
      <sharedItems containsSemiMixedTypes="0" containsString="0" containsNumber="1" containsInteger="1" minValue="1" maxValue="31"/>
    </cacheField>
    <cacheField name="Month" numFmtId="0">
      <sharedItems count="12">
        <s v="Jul"/>
        <s v="Apr"/>
        <s v="May"/>
        <s v="Aug"/>
        <s v="Nov"/>
        <s v="Dec"/>
        <s v="Jan"/>
        <s v="Feb"/>
        <s v="Mar"/>
        <s v="Jun"/>
        <s v="Sep"/>
        <s v="Oct"/>
      </sharedItems>
    </cacheField>
    <cacheField name="Year" numFmtId="0">
      <sharedItems containsSemiMixedTypes="0" containsString="0" containsNumber="1" containsInteger="1" minValue="2006" maxValue="2026" count="17">
        <n v="2006"/>
        <n v="2007"/>
        <n v="2008"/>
        <n v="2011"/>
        <n v="2012"/>
        <n v="2013"/>
        <n v="2016"/>
        <n v="2017"/>
        <n v="2018"/>
        <n v="2019"/>
        <n v="2020"/>
        <n v="2021"/>
        <n v="2022"/>
        <n v="2023"/>
        <n v="2024"/>
        <n v="2025"/>
        <n v="2026"/>
      </sharedItems>
    </cacheField>
    <cacheField name="Route name" numFmtId="0">
      <sharedItems/>
    </cacheField>
    <cacheField name="Grade" numFmtId="0">
      <sharedItems/>
    </cacheField>
    <cacheField name="Country" numFmtId="0">
      <sharedItems/>
    </cacheField>
    <cacheField name="Crag" numFmtId="0">
      <sharedItems/>
    </cacheField>
    <cacheField name="Sector" numFmtId="0">
      <sharedItems/>
    </cacheField>
    <cacheField name="Height (m)" numFmtId="0">
      <sharedItems containsSemiMixedTypes="0" containsString="0" containsNumber="1" containsInteger="1" minValue="8" maxValue="40"/>
    </cacheField>
    <cacheField name="Height range (m)" numFmtId="0">
      <sharedItems/>
    </cacheField>
    <cacheField name="Belayer" numFmtId="0">
      <sharedItems/>
    </cacheField>
    <cacheField name="Total number of tries" numFmtId="0">
      <sharedItems containsMixedTypes="1" containsNumber="1" containsInteger="1" minValue="1" maxValue="40"/>
    </cacheField>
    <cacheField name="Tries num. only excl. outliers" numFmtId="0">
      <sharedItems containsSemiMixedTypes="0" containsString="0" containsNumber="1" containsInteger="1" minValue="1" maxValue="40"/>
    </cacheField>
    <cacheField name="onsight/flash/redpoint" numFmtId="0">
      <sharedItems/>
    </cacheField>
    <cacheField name="Score" numFmtId="0">
      <sharedItems containsSemiMixedTypes="0" containsString="0" containsNumber="1" containsInteger="1" minValue="10" maxValue="8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46.360650000002" backgroundQuery="1" createdVersion="8" refreshedVersion="8" minRefreshableVersion="3" recordCount="0" supportSubquery="1" supportAdvancedDrill="1" xr:uid="{57DE6C56-EBC5-4343-B032-5865A7A552CE}">
  <cacheSource type="external" connectionId="1"/>
  <cacheFields count="9">
    <cacheField name="[SportClimbing].[Belayer].[Belayer]" caption="Belayer" numFmtId="0" hierarchy="16" level="1">
      <sharedItems count="10">
        <s v="Angel"/>
        <s v="Chris Awe"/>
        <s v="Chrissi"/>
        <s v="Christian"/>
        <s v="Gustavo"/>
        <s v="Guy"/>
        <s v="Kathy"/>
        <s v="Lena"/>
        <s v="Tibor"/>
        <s v="Yoel"/>
      </sharedItems>
    </cacheField>
    <cacheField name="[Measures].[Count of Belayer]" caption="Count of Belayer" numFmtId="0" hierarchy="27" level="32767"/>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3"/>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0"/>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2"/>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5"/>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46.360652083335" backgroundQuery="1" createdVersion="8" refreshedVersion="8" minRefreshableVersion="3" recordCount="0" supportSubquery="1" supportAdvancedDrill="1" xr:uid="{1F882D17-6359-4C52-A0EF-F535B1A5BB4A}">
  <cacheSource type="external" connectionId="1"/>
  <cacheFields count="9">
    <cacheField name="[Measures].[Count of Belayer]" caption="Count of Belayer" numFmtId="0" hierarchy="27" level="32767"/>
    <cacheField name="[Years].[YEARS].[YEARS]" caption="YEARS" numFmtId="0" hierarchy="21" level="1">
      <sharedItems containsSemiMixedTypes="0" containsString="0" containsNumber="1" containsInteger="1" minValue="2006" maxValue="2026" count="21">
        <n v="2006"/>
        <n v="2007"/>
        <n v="2008"/>
        <n v="2009"/>
        <n v="2010"/>
        <n v="2011"/>
        <n v="2012"/>
        <n v="2013"/>
        <n v="2014"/>
        <n v="2015"/>
        <n v="2016"/>
        <n v="2017"/>
        <n v="2018"/>
        <n v="2019"/>
        <n v="2020"/>
        <n v="2021"/>
        <n v="2022"/>
        <n v="2023"/>
        <n v="2024"/>
        <n v="2025"/>
        <n v="2026"/>
      </sharedItems>
      <extLst>
        <ext xmlns:x15="http://schemas.microsoft.com/office/spreadsheetml/2010/11/main" uri="{4F2E5C28-24EA-4eb8-9CBF-B6C8F9C3D259}">
          <x15:cachedUniqueNames>
            <x15:cachedUniqueName index="0" name="[Years].[YEARS].&amp;[2006]"/>
            <x15:cachedUniqueName index="1" name="[Years].[YEARS].&amp;[2007]"/>
            <x15:cachedUniqueName index="2" name="[Years].[YEARS].&amp;[2008]"/>
            <x15:cachedUniqueName index="3" name="[Years].[YEARS].&amp;[2009]"/>
            <x15:cachedUniqueName index="4" name="[Years].[YEARS].&amp;[2010]"/>
            <x15:cachedUniqueName index="5" name="[Years].[YEARS].&amp;[2011]"/>
            <x15:cachedUniqueName index="6" name="[Years].[YEARS].&amp;[2012]"/>
            <x15:cachedUniqueName index="7" name="[Years].[YEARS].&amp;[2013]"/>
            <x15:cachedUniqueName index="8" name="[Years].[YEARS].&amp;[2014]"/>
            <x15:cachedUniqueName index="9" name="[Years].[YEARS].&amp;[2015]"/>
            <x15:cachedUniqueName index="10" name="[Years].[YEARS].&amp;[2016]"/>
            <x15:cachedUniqueName index="11" name="[Years].[YEARS].&amp;[2017]"/>
            <x15:cachedUniqueName index="12" name="[Years].[YEARS].&amp;[2018]"/>
            <x15:cachedUniqueName index="13" name="[Years].[YEARS].&amp;[2019]"/>
            <x15:cachedUniqueName index="14" name="[Years].[YEARS].&amp;[2020]"/>
            <x15:cachedUniqueName index="15" name="[Years].[YEARS].&amp;[2021]"/>
            <x15:cachedUniqueName index="16" name="[Years].[YEARS].&amp;[2022]"/>
            <x15:cachedUniqueName index="17" name="[Years].[YEARS].&amp;[2023]"/>
            <x15:cachedUniqueName index="18" name="[Years].[YEARS].&amp;[2024]"/>
            <x15:cachedUniqueName index="19" name="[Years].[YEARS].&amp;[2025]"/>
            <x15:cachedUniqueName index="20" name="[Years].[YEARS].&amp;[2026]"/>
          </x15:cachedUniqueNames>
        </ext>
      </extLst>
    </cacheField>
    <cacheField name="[SportClimbing].[Belayer].[Belayer]" caption="Belayer" numFmtId="0" hierarchy="16"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2"/>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1"/>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46.360654861113" backgroundQuery="1" createdVersion="8" refreshedVersion="8" minRefreshableVersion="3" recordCount="0" supportSubquery="1" supportAdvancedDrill="1" xr:uid="{DBD749E6-8D70-41D8-A8CC-84C599EC1F06}">
  <cacheSource type="external" connectionId="1"/>
  <cacheFields count="10">
    <cacheField name="[Measures].[Count of Belayer]" caption="Count of Belayer" numFmtId="0" hierarchy="27" level="32767"/>
    <cacheField name="[SportClimbing].[Month].[Month]" caption="Month" numFmtId="0" hierarchy="7" level="1">
      <sharedItems count="12">
        <s v="Apr"/>
        <s v="Aug"/>
        <s v="Dec"/>
        <s v="Feb"/>
        <s v="Jan"/>
        <s v="Jul"/>
        <s v="Jun"/>
        <s v="Mar"/>
        <s v="May"/>
        <s v="Nov"/>
        <s v="Oct"/>
        <s v="Sep"/>
      </sharedItems>
    </cacheField>
    <cacheField name="[MONTHS].[MONTHS 2].[MONTHS 2]" caption="MONTHS 2" numFmtId="0" hierarchy="2" level="1">
      <sharedItems count="12">
        <s v="Jan"/>
        <s v="Feb"/>
        <s v="Mar"/>
        <s v="Apr"/>
        <s v="May"/>
        <s v="Jun"/>
        <s v="Jul"/>
        <s v="Aug"/>
        <s v="Sep"/>
        <s v="Oct"/>
        <s v="Nov"/>
        <s v="Dec"/>
      </sharedItems>
    </cacheField>
    <cacheField name="[SportClimbing].[Belayer].[Belayer]" caption="Belayer" numFmtId="0" hierarchy="16"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2"/>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2" memberValueDatatype="130" unbalanced="0">
      <fieldsUsage count="2">
        <fieldUsage x="-1"/>
        <fieldUsage x="1"/>
      </fieldsUsage>
    </cacheHierarchy>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5"/>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6"/>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8"/>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9"/>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3"/>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4"/>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7"/>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46.360656828707" backgroundQuery="1" createdVersion="8" refreshedVersion="8" minRefreshableVersion="3" recordCount="0" supportSubquery="1" supportAdvancedDrill="1" xr:uid="{7CC608A1-3AC3-47C8-874D-083349D65011}">
  <cacheSource type="external" connectionId="1"/>
  <cacheFields count="9">
    <cacheField name="[SportClimbing].[Crag].[Crag]" caption="Crag" numFmtId="0" hierarchy="12" level="1">
      <sharedItems count="46">
        <s v="Achleiten"/>
        <s v="Ailefroide"/>
        <s v="Arboli"/>
        <s v="Arbolí"/>
        <s v="Arco"/>
        <s v="Atlantida"/>
        <s v="Berglsteinersee"/>
        <s v="Bichlersee"/>
        <s v="Can Paulet"/>
        <s v="Carol"/>
        <s v="Cavallers"/>
        <s v="Chulilla"/>
        <s v="Collegats"/>
        <s v="Dent de la Rancune"/>
        <s v="Etxauri"/>
        <s v="Fenda de Arrabida"/>
        <s v="Font Soleia"/>
        <s v="Garraf"/>
        <s v="Gelida"/>
        <s v="Gorges de la Cesse"/>
        <s v="Gorges du Tarn"/>
        <s v="Grau dels matxos"/>
        <s v="Hundepension"/>
        <s v="Le Coupeau"/>
        <s v="Le Fayet"/>
        <s v="Mallorca"/>
        <s v="Margalef"/>
        <s v="Martinswand"/>
        <s v="Marxuquera"/>
        <s v="Masriudoms"/>
        <s v="Montserrat norte"/>
        <s v="Montserrat sur"/>
        <s v="Ötztal"/>
        <s v="Penyes Aragonesas (Castellón)"/>
        <s v="Roc d'Anglars"/>
        <s v="Roc de la Lluna"/>
        <s v="Rodellar"/>
        <s v="Sadernes"/>
        <s v="Sautens"/>
        <s v="Silz"/>
        <s v="Siurana"/>
        <s v="Starkenbach"/>
        <s v="Unterinn"/>
        <s v="Zillertal - Astholz"/>
        <s v="Zillertal - Ewige Jagdgründe"/>
        <s v="Zillertal -Monkey Island"/>
      </sharedItems>
    </cacheField>
    <cacheField name="[Measures].[Count of Belayer]" caption="Count of Belayer" numFmtId="0" hierarchy="27" level="32767"/>
    <cacheField name="[SportClimbing].[Belayer].[Belayer]" caption="Belayer" numFmtId="0" hierarchy="16"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0"/>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2"/>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5"/>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46.360659143516" backgroundQuery="1" createdVersion="8" refreshedVersion="8" minRefreshableVersion="3" recordCount="0" supportSubquery="1" supportAdvancedDrill="1" xr:uid="{20807ACE-EF13-49B7-9C50-6151DA6E539D}">
  <cacheSource type="external" connectionId="1"/>
  <cacheFields count="10">
    <cacheField name="[SportClimbing].[Country].[Country]" caption="Country" numFmtId="0" hierarchy="11" level="1">
      <sharedItems count="6">
        <s v="Austria"/>
        <s v="France"/>
        <s v="Germany"/>
        <s v="Italy"/>
        <s v="Portugal"/>
        <s v="Spain"/>
      </sharedItems>
    </cacheField>
    <cacheField name="[Measures].[Count of Belayer]" caption="Count of Belayer" numFmtId="0" hierarchy="27" level="32767"/>
    <cacheField name="[SportClimbing].[Belayer].[Belayer]" caption="Belayer" numFmtId="0" hierarchy="16"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8"/>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2" memberValueDatatype="130" unbalanced="0">
      <fieldsUsage count="2">
        <fieldUsage x="-1"/>
        <fieldUsage x="0"/>
      </fieldsUsage>
    </cacheHierarchy>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7"/>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9"/>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2"/>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6"/>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46.360660995371" backgroundQuery="1" createdVersion="8" refreshedVersion="8" minRefreshableVersion="3" recordCount="0" supportSubquery="1" supportAdvancedDrill="1" xr:uid="{6C96952E-A342-429B-9021-FABFA00C7C2D}">
  <cacheSource type="external" connectionId="1"/>
  <cacheFields count="9">
    <cacheField name="[SportClimbing].[Grade].[Grade]" caption="Grade" numFmtId="0" hierarchy="10" level="1">
      <sharedItems count="6">
        <s v="7a"/>
        <s v="7a+"/>
        <s v="7b"/>
        <s v="7b+"/>
        <s v="7c"/>
        <s v="7c+"/>
      </sharedItems>
    </cacheField>
    <cacheField name="[Measures].[Count of Belayer]" caption="Count of Belayer" numFmtId="0" hierarchy="27" level="32767"/>
    <cacheField name="[SportClimbing].[Belayer].[Belayer]" caption="Belayer" numFmtId="0" hierarchy="16"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2"/>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5"/>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46.360663194442" backgroundQuery="1" createdVersion="8" refreshedVersion="8" minRefreshableVersion="3" recordCount="0" supportSubquery="1" supportAdvancedDrill="1" xr:uid="{0B67CAF8-2EDA-4687-8EF0-53C89B0BC7A4}">
  <cacheSource type="external" connectionId="1"/>
  <cacheFields count="9">
    <cacheField name="[Measures].[Count of Belayer]" caption="Count of Belayer" numFmtId="0" hierarchy="27" level="32767"/>
    <cacheField name="[SportClimbing].[Height range (m)].[Height range (m)]" caption="Height range (m)" numFmtId="0" hierarchy="15" level="1">
      <sharedItems count="7">
        <s v="0-10"/>
        <s v="11-15"/>
        <s v="16-20"/>
        <s v="21-25"/>
        <s v="26-30"/>
        <s v="31-35"/>
        <s v="35+"/>
      </sharedItems>
    </cacheField>
    <cacheField name="[SportClimbing].[Belayer].[Belayer]" caption="Belayer" numFmtId="0" hierarchy="16"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8"/>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7"/>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1"/>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2"/>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6"/>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46.360665509259" backgroundQuery="1" createdVersion="8" refreshedVersion="8" minRefreshableVersion="3" recordCount="0" supportSubquery="1" supportAdvancedDrill="1" xr:uid="{6CE7B693-E357-4194-90F1-A409FAD4A27C}">
  <cacheSource type="external" connectionId="1"/>
  <cacheFields count="10">
    <cacheField name="[SportClimbing].[onsight/flash/redpoint].[onsight/flash/redpoint]" caption="onsight/flash/redpoint" numFmtId="0" hierarchy="19" level="1">
      <sharedItems count="3">
        <s v="flash"/>
        <s v="onsight"/>
        <s v="redpoint"/>
      </sharedItems>
    </cacheField>
    <cacheField name="[Measures].[Count of Belayer]" caption="Count of Belayer" numFmtId="0" hierarchy="27" level="32767"/>
    <cacheField name="[SportClimbing].[Belayer].[Belayer]" caption="Belayer" numFmtId="0" hierarchy="16"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8"/>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7"/>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9"/>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2"/>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2" memberValueDatatype="130" unbalanced="0">
      <fieldsUsage count="2">
        <fieldUsage x="-1"/>
        <fieldUsage x="0"/>
      </fieldsUsage>
    </cacheHierarchy>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6"/>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46.360667824076" backgroundQuery="1" createdVersion="8" refreshedVersion="8" minRefreshableVersion="3" recordCount="0" supportSubquery="1" supportAdvancedDrill="1" xr:uid="{34AAC4AA-AF88-4AD6-8649-5C38E4221176}">
  <cacheSource type="external" connectionId="1"/>
  <cacheFields count="9">
    <cacheField name="[SportClimbing].[Grade].[Grade]" caption="Grade" numFmtId="0" hierarchy="10" level="1">
      <sharedItems count="6">
        <s v="7a"/>
        <s v="7a+"/>
        <s v="7b"/>
        <s v="7b+"/>
        <s v="7c"/>
        <s v="7c+"/>
      </sharedItems>
    </cacheField>
    <cacheField name="[Measures].[Average of Tries num. only excl. outliers]" caption="Average of Tries num. only excl. outliers" numFmtId="0" hierarchy="29" level="32767"/>
    <cacheField name="[SportClimbing].[Belayer].[Belayer]" caption="Belayer" numFmtId="0" hierarchy="16"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2"/>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5"/>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46.360669560185" backgroundQuery="1" createdVersion="8" refreshedVersion="8" minRefreshableVersion="3" recordCount="0" supportSubquery="1" supportAdvancedDrill="1" xr:uid="{C068A6E9-1389-452E-8C87-0945917E55BE}">
  <cacheSource type="external" connectionId="1"/>
  <cacheFields count="9">
    <cacheField name="[SportClimbing].[Grade].[Grade]" caption="Grade" numFmtId="0" hierarchy="10" level="1">
      <sharedItems count="6">
        <s v="7a"/>
        <s v="7a+"/>
        <s v="7b"/>
        <s v="7b+"/>
        <s v="7c"/>
        <s v="7c+"/>
      </sharedItems>
    </cacheField>
    <cacheField name="[Measures].[Count of Belayer]" caption="Count of Belayer" numFmtId="0" hierarchy="27" level="32767"/>
    <cacheField name="[SportClimbing].[onsight/flash/redpoint].[onsight/flash/redpoint]" caption="onsight/flash/redpoint" numFmtId="0" hierarchy="19" level="1">
      <sharedItems count="3">
        <s v="flash"/>
        <s v="onsight"/>
        <s v="redpoint"/>
      </sharedItems>
    </cacheField>
    <cacheField name="[SportClimbing].[Belayer].[Belayer]" caption="Belayer" numFmtId="0" hierarchy="16"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3"/>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4"/>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2" memberValueDatatype="130" unbalanced="0">
      <fieldsUsage count="2">
        <fieldUsage x="-1"/>
        <fieldUsage x="2"/>
      </fieldsUsage>
    </cacheHierarchy>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6"/>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46.360671875002" backgroundQuery="1" createdVersion="8" refreshedVersion="8" minRefreshableVersion="3" recordCount="0" supportSubquery="1" supportAdvancedDrill="1" xr:uid="{0C738BFB-A475-4821-BAAC-6F97E7E0D64B}">
  <cacheSource type="external" connectionId="1"/>
  <cacheFields count="9">
    <cacheField name="[SportClimbing].[Total number of tries].[Total number of tries]" caption="Total number of tries" numFmtId="0" hierarchy="17" level="1">
      <sharedItems count="15">
        <s v="1"/>
        <s v="10"/>
        <s v="12"/>
        <s v="14"/>
        <s v="2"/>
        <s v="24"/>
        <s v="3"/>
        <s v="4"/>
        <s v="40"/>
        <s v="5"/>
        <s v="6"/>
        <s v="7"/>
        <s v="8"/>
        <s v="flash"/>
        <s v="onsight"/>
      </sharedItems>
    </cacheField>
    <cacheField name="[Measures].[Count of Belayer]" caption="Count of Belayer" numFmtId="0" hierarchy="27" level="32767"/>
    <cacheField name="[SportClimbing].[Belayer].[Belayer]" caption="Belayer" numFmtId="0" hierarchy="16"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3"/>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2"/>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0"/>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5"/>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46.360679745369" backgroundQuery="1" createdVersion="8" refreshedVersion="8" minRefreshableVersion="3" recordCount="0" supportSubquery="1" supportAdvancedDrill="1" xr:uid="{4E3746F3-C866-485E-9FC2-1146007C4101}">
  <cacheSource type="external" connectionId="1"/>
  <cacheFields count="2">
    <cacheField name="[SportClimbing].[Year].[Year]" caption="Year" numFmtId="0" hierarchy="8" level="1">
      <sharedItems containsSemiMixedTypes="0" containsString="0" containsNumber="1" containsInteger="1" minValue="2006" maxValue="2026" count="17">
        <n v="2006"/>
        <n v="2007"/>
        <n v="2008"/>
        <n v="2011"/>
        <n v="2012"/>
        <n v="2013"/>
        <n v="2016"/>
        <n v="2017"/>
        <n v="2018"/>
        <n v="2019"/>
        <n v="2020"/>
        <n v="2021"/>
        <n v="2022"/>
        <n v="2023"/>
        <n v="2024"/>
        <n v="2025"/>
        <n v="2026"/>
      </sharedItems>
      <extLst>
        <ext xmlns:x15="http://schemas.microsoft.com/office/spreadsheetml/2010/11/main" uri="{4F2E5C28-24EA-4eb8-9CBF-B6C8F9C3D259}">
          <x15:cachedUniqueNames>
            <x15:cachedUniqueName index="0" name="[SportClimbing].[Year].&amp;[2006]"/>
            <x15:cachedUniqueName index="1" name="[SportClimbing].[Year].&amp;[2007]"/>
            <x15:cachedUniqueName index="2" name="[SportClimbing].[Year].&amp;[2008]"/>
            <x15:cachedUniqueName index="3" name="[SportClimbing].[Year].&amp;[2011]"/>
            <x15:cachedUniqueName index="4" name="[SportClimbing].[Year].&amp;[2012]"/>
            <x15:cachedUniqueName index="5" name="[SportClimbing].[Year].&amp;[2013]"/>
            <x15:cachedUniqueName index="6" name="[SportClimbing].[Year].&amp;[2016]"/>
            <x15:cachedUniqueName index="7" name="[SportClimbing].[Year].&amp;[2017]"/>
            <x15:cachedUniqueName index="8" name="[SportClimbing].[Year].&amp;[2018]"/>
            <x15:cachedUniqueName index="9" name="[SportClimbing].[Year].&amp;[2019]"/>
            <x15:cachedUniqueName index="10" name="[SportClimbing].[Year].&amp;[2020]"/>
            <x15:cachedUniqueName index="11" name="[SportClimbing].[Year].&amp;[2021]"/>
            <x15:cachedUniqueName index="12" name="[SportClimbing].[Year].&amp;[2022]"/>
            <x15:cachedUniqueName index="13" name="[SportClimbing].[Year].&amp;[2023]"/>
            <x15:cachedUniqueName index="14" name="[SportClimbing].[Year].&amp;[2024]"/>
            <x15:cachedUniqueName index="15" name="[SportClimbing].[Year].&amp;[2025]"/>
            <x15:cachedUniqueName index="16" name="[SportClimbing].[Year].&amp;[2026]"/>
          </x15:cachedUniqueNames>
        </ext>
      </extLst>
    </cacheField>
    <cacheField name="[Measures].[Count of Belayer]" caption="Count of Belayer" numFmtId="0" hierarchy="27"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2" memberValueDatatype="20" unbalanced="0">
      <fieldsUsage count="2">
        <fieldUsage x="-1"/>
        <fieldUsage x="0"/>
      </fieldsUsage>
    </cacheHierarchy>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0"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0"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46.360680555554" backgroundQuery="1" createdVersion="8" refreshedVersion="8" minRefreshableVersion="3" recordCount="0" supportSubquery="1" supportAdvancedDrill="1" xr:uid="{7CC7EE5B-C1DB-4082-8B7C-269BCC580FF0}">
  <cacheSource type="external" connectionId="1"/>
  <cacheFields count="2">
    <cacheField name="[SportClimbing].[Grade].[Grade]" caption="Grade" numFmtId="0" hierarchy="10" level="1">
      <sharedItems count="6">
        <s v="7a"/>
        <s v="7a+"/>
        <s v="7b"/>
        <s v="7b+"/>
        <s v="7c"/>
        <s v="7c+"/>
      </sharedItems>
    </cacheField>
    <cacheField name="[Measures].[Count of Belayer]" caption="Count of Belayer" numFmtId="0" hierarchy="27"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0"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46.360681597223" backgroundQuery="1" createdVersion="8" refreshedVersion="8" minRefreshableVersion="3" recordCount="0" supportSubquery="1" supportAdvancedDrill="1" xr:uid="{49DF5B5D-AF05-473C-8F40-6AF8625638AF}">
  <cacheSource type="external" connectionId="1"/>
  <cacheFields count="2">
    <cacheField name="[SportClimbing].[Belayer].[Belayer]" caption="Belayer" numFmtId="0" hierarchy="16" level="1">
      <sharedItems count="10">
        <s v="Chris Awe"/>
        <s v="Chrissi"/>
        <s v="Christian"/>
        <s v="Gustavo"/>
        <s v="Guy"/>
        <s v="Kathy"/>
        <s v="Lena"/>
        <s v="Patrick"/>
        <s v="Tibor"/>
        <s v="Yoel"/>
      </sharedItems>
    </cacheField>
    <cacheField name="[Measures].[Sum of Score]" caption="Sum of Score" numFmtId="0" hierarchy="32"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0"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0"/>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46.360682523147" backgroundQuery="1" createdVersion="8" refreshedVersion="8" minRefreshableVersion="3" recordCount="0" supportSubquery="1" supportAdvancedDrill="1" xr:uid="{41CBC2E3-029F-4CDD-BB4A-12EE1AD892B8}">
  <cacheSource type="external" connectionId="1"/>
  <cacheFields count="4">
    <cacheField name="[SportClimbing].[Belayer].[Belayer]" caption="Belayer" numFmtId="0" hierarchy="16" level="1">
      <sharedItems count="4">
        <s v="Chris Awe"/>
        <s v="Chrissi"/>
        <s v="Christian"/>
        <s v="Guy"/>
      </sharedItems>
    </cacheField>
    <cacheField name="[Measures].[Count of Belayer]" caption="Count of Belayer" numFmtId="0" hierarchy="27" level="32767"/>
    <cacheField name="[SportClimbing].[Year].[Year]" caption="Year" numFmtId="0" hierarchy="8" level="1">
      <sharedItems containsSemiMixedTypes="0" containsNonDate="0" containsString="0"/>
    </cacheField>
    <cacheField name="[SportClimbing].[Date_filter].[Date_filter]" caption="Date_filter" numFmtId="0" hierarchy="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2" memberValueDatatype="11" unbalanced="0">
      <fieldsUsage count="2">
        <fieldUsage x="-1"/>
        <fieldUsage x="3"/>
      </fieldsUsage>
    </cacheHierarchy>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2" memberValueDatatype="20" unbalanced="0">
      <fieldsUsage count="2">
        <fieldUsage x="-1"/>
        <fieldUsage x="2"/>
      </fieldsUsage>
    </cacheHierarchy>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0"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0"/>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46.360683564817" backgroundQuery="1" createdVersion="8" refreshedVersion="8" minRefreshableVersion="3" recordCount="0" supportSubquery="1" supportAdvancedDrill="1" xr:uid="{A18BB18B-4740-4999-ABAD-92E25A0ECD2E}">
  <cacheSource type="external" connectionId="1"/>
  <cacheFields count="3">
    <cacheField name="[SportClimbing].[Height range (m)].[Height range (m)]" caption="Height range (m)" numFmtId="0" hierarchy="15" level="1">
      <sharedItems count="7">
        <s v="0-10"/>
        <s v="11-15"/>
        <s v="16-20"/>
        <s v="21-25"/>
        <s v="26-30"/>
        <s v="31-35"/>
        <s v="35+"/>
      </sharedItems>
    </cacheField>
    <cacheField name="[SportClimbing].[Grade].[Grade]" caption="Grade" numFmtId="0" hierarchy="10" level="1">
      <sharedItems count="6">
        <s v="7a"/>
        <s v="7a+"/>
        <s v="7b"/>
        <s v="7b+"/>
        <s v="7c"/>
        <s v="7c+"/>
      </sharedItems>
    </cacheField>
    <cacheField name="[Measures].[Average of Tries num. only excl. outliers]" caption="Average of Tries num. only excl. outliers" numFmtId="0" hierarchy="29"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1"/>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0"/>
      </fieldsUsage>
    </cacheHierarchy>
    <cacheHierarchy uniqueName="[SportClimbing].[Belayer]" caption="Belayer" attribute="1" defaultMemberUniqueName="[SportClimbing].[Belayer].[All]" allUniqueName="[SportClimbing].[Belayer].[All]" dimensionUniqueName="[SportClimbing]" displayFolder="" count="0"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46.360684490741" backgroundQuery="1" createdVersion="8" refreshedVersion="8" minRefreshableVersion="3" recordCount="0" supportSubquery="1" supportAdvancedDrill="1" xr:uid="{638DF3FE-A928-4EFE-A314-2A11BEC7CB37}">
  <cacheSource type="external" connectionId="1"/>
  <cacheFields count="2">
    <cacheField name="[Years].[YEARS].[YEARS]" caption="YEARS" numFmtId="0" hierarchy="21" level="1">
      <sharedItems containsSemiMixedTypes="0" containsString="0" containsNumber="1" containsInteger="1" minValue="2006" maxValue="2026" count="21">
        <n v="2006"/>
        <n v="2007"/>
        <n v="2008"/>
        <n v="2009"/>
        <n v="2010"/>
        <n v="2011"/>
        <n v="2012"/>
        <n v="2013"/>
        <n v="2014"/>
        <n v="2015"/>
        <n v="2016"/>
        <n v="2017"/>
        <n v="2018"/>
        <n v="2019"/>
        <n v="2020"/>
        <n v="2021"/>
        <n v="2022"/>
        <n v="2023"/>
        <n v="2024"/>
        <n v="2025"/>
        <n v="2026"/>
      </sharedItems>
      <extLst>
        <ext xmlns:x15="http://schemas.microsoft.com/office/spreadsheetml/2010/11/main" uri="{4F2E5C28-24EA-4eb8-9CBF-B6C8F9C3D259}">
          <x15:cachedUniqueNames>
            <x15:cachedUniqueName index="0" name="[Years].[YEARS].&amp;[2006]"/>
            <x15:cachedUniqueName index="1" name="[Years].[YEARS].&amp;[2007]"/>
            <x15:cachedUniqueName index="2" name="[Years].[YEARS].&amp;[2008]"/>
            <x15:cachedUniqueName index="3" name="[Years].[YEARS].&amp;[2009]"/>
            <x15:cachedUniqueName index="4" name="[Years].[YEARS].&amp;[2010]"/>
            <x15:cachedUniqueName index="5" name="[Years].[YEARS].&amp;[2011]"/>
            <x15:cachedUniqueName index="6" name="[Years].[YEARS].&amp;[2012]"/>
            <x15:cachedUniqueName index="7" name="[Years].[YEARS].&amp;[2013]"/>
            <x15:cachedUniqueName index="8" name="[Years].[YEARS].&amp;[2014]"/>
            <x15:cachedUniqueName index="9" name="[Years].[YEARS].&amp;[2015]"/>
            <x15:cachedUniqueName index="10" name="[Years].[YEARS].&amp;[2016]"/>
            <x15:cachedUniqueName index="11" name="[Years].[YEARS].&amp;[2017]"/>
            <x15:cachedUniqueName index="12" name="[Years].[YEARS].&amp;[2018]"/>
            <x15:cachedUniqueName index="13" name="[Years].[YEARS].&amp;[2019]"/>
            <x15:cachedUniqueName index="14" name="[Years].[YEARS].&amp;[2020]"/>
            <x15:cachedUniqueName index="15" name="[Years].[YEARS].&amp;[2021]"/>
            <x15:cachedUniqueName index="16" name="[Years].[YEARS].&amp;[2022]"/>
            <x15:cachedUniqueName index="17" name="[Years].[YEARS].&amp;[2023]"/>
            <x15:cachedUniqueName index="18" name="[Years].[YEARS].&amp;[2024]"/>
            <x15:cachedUniqueName index="19" name="[Years].[YEARS].&amp;[2025]"/>
            <x15:cachedUniqueName index="20" name="[Years].[YEARS].&amp;[2026]"/>
          </x15:cachedUniqueNames>
        </ext>
      </extLst>
    </cacheField>
    <cacheField name="[Measures].[Sum of Score]" caption="Sum of Score" numFmtId="0" hierarchy="32"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0"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0"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0"/>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46.360648148147" backgroundQuery="1" createdVersion="3" refreshedVersion="8" minRefreshableVersion="3" recordCount="0" supportSubquery="1" supportAdvancedDrill="1" xr:uid="{4FCA4614-ED7F-498C-B3D3-CB6F1F7D0B7D}">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cacheHierarchy uniqueName="[SportClimbing].[Height range (m)]" caption="Height range (m)" attribute="1" defaultMemberUniqueName="[SportClimbing].[Height range (m)].[All]" allUniqueName="[SportClimbing].[Height range (m)].[All]" dimensionUniqueName="[SportClimbing]" displayFolder="" count="2"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6079486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
  <r>
    <d v="2006-07-15T00:00:00"/>
    <b v="0"/>
    <n v="15"/>
    <x v="0"/>
    <x v="0"/>
    <s v="Mégaboule"/>
    <s v="7a"/>
    <s v="France"/>
    <s v="Roc d'Anglars"/>
    <s v="Révélations"/>
    <n v="15"/>
    <s v="11-15"/>
    <s v="Guhlm"/>
    <n v="7"/>
    <n v="7"/>
    <s v="redpoint"/>
    <n v="10"/>
  </r>
  <r>
    <d v="2007-07-22T00:00:00"/>
    <b v="0"/>
    <n v="22"/>
    <x v="0"/>
    <x v="1"/>
    <s v="Clin d'oeil à la Lune"/>
    <s v="7a"/>
    <s v="France"/>
    <s v="Roc d'Anglars"/>
    <s v="Révélations"/>
    <n v="25"/>
    <s v="21-25"/>
    <s v="Thomas Bur"/>
    <n v="4"/>
    <n v="4"/>
    <s v="redpoint"/>
    <n v="10"/>
  </r>
  <r>
    <d v="2008-04-19T00:00:00"/>
    <b v="0"/>
    <n v="19"/>
    <x v="1"/>
    <x v="2"/>
    <s v="Sex Machine"/>
    <s v="7a"/>
    <s v="France"/>
    <s v="Gorges de la Cesse"/>
    <s v="Cassiopée"/>
    <n v="25"/>
    <s v="21-25"/>
    <s v="Guhlm"/>
    <s v="flash"/>
    <n v="1"/>
    <s v="flash"/>
    <n v="10"/>
  </r>
  <r>
    <d v="2008-05-03T00:00:00"/>
    <b v="0"/>
    <n v="3"/>
    <x v="2"/>
    <x v="2"/>
    <s v="Bamboleiro"/>
    <s v="7a"/>
    <s v="France"/>
    <s v="Carol"/>
    <s v="Gauche"/>
    <n v="18"/>
    <s v="16-20"/>
    <s v="Teddy"/>
    <n v="2"/>
    <n v="2"/>
    <s v="redpoint"/>
    <n v="10"/>
  </r>
  <r>
    <d v="2011-08-06T00:00:00"/>
    <b v="0"/>
    <n v="6"/>
    <x v="3"/>
    <x v="3"/>
    <s v="Lola"/>
    <s v="7a"/>
    <s v="Spain"/>
    <s v="Rodellar"/>
    <s v="Pared de la Virgen"/>
    <n v="20"/>
    <s v="16-20"/>
    <s v="Shyamal"/>
    <n v="2"/>
    <n v="2"/>
    <s v="redpoint"/>
    <n v="10"/>
  </r>
  <r>
    <d v="2012-04-08T00:00:00"/>
    <b v="0"/>
    <n v="8"/>
    <x v="1"/>
    <x v="4"/>
    <s v="Manara Clic"/>
    <s v="7a"/>
    <s v="Spain"/>
    <s v="Roc de la Lluna"/>
    <s v="Sud"/>
    <n v="20"/>
    <s v="16-20"/>
    <s v="Patrick"/>
    <n v="2"/>
    <n v="2"/>
    <s v="redpoint"/>
    <n v="10"/>
  </r>
  <r>
    <d v="2012-11-21T00:00:00"/>
    <b v="0"/>
    <n v="21"/>
    <x v="4"/>
    <x v="4"/>
    <s v="De socials un 10"/>
    <s v="7a+"/>
    <s v="Spain"/>
    <s v="Gelida"/>
    <s v="Centre"/>
    <n v="25"/>
    <s v="21-25"/>
    <s v="David Valls"/>
    <n v="4"/>
    <n v="4"/>
    <s v="redpoint"/>
    <n v="15"/>
  </r>
  <r>
    <d v="2012-12-21T00:00:00"/>
    <b v="0"/>
    <n v="21"/>
    <x v="5"/>
    <x v="4"/>
    <s v="KA NO"/>
    <s v="7a+"/>
    <s v="Spain"/>
    <s v="Gelida"/>
    <s v="Centre"/>
    <n v="25"/>
    <s v="21-25"/>
    <s v="Patrick"/>
    <s v="flash"/>
    <n v="1"/>
    <s v="flash"/>
    <n v="15"/>
  </r>
  <r>
    <d v="2013-01-21T00:00:00"/>
    <b v="0"/>
    <n v="21"/>
    <x v="6"/>
    <x v="5"/>
    <s v="Amor suprem"/>
    <s v="7b"/>
    <s v="Spain"/>
    <s v="Gelida"/>
    <s v="Centre"/>
    <n v="25"/>
    <s v="21-25"/>
    <s v="Patrick"/>
    <n v="7"/>
    <n v="7"/>
    <s v="redpoint"/>
    <n v="25"/>
  </r>
  <r>
    <d v="2013-02-01T00:00:00"/>
    <b v="0"/>
    <n v="1"/>
    <x v="7"/>
    <x v="5"/>
    <s v="nº28"/>
    <s v="7a"/>
    <s v="Spain"/>
    <s v="Gelida"/>
    <s v="Centre"/>
    <n v="18"/>
    <s v="16-20"/>
    <s v="Andres Villarroel"/>
    <s v="onsight"/>
    <n v="1"/>
    <s v="onsight"/>
    <n v="10"/>
  </r>
  <r>
    <d v="2013-02-05T00:00:00"/>
    <b v="0"/>
    <n v="5"/>
    <x v="7"/>
    <x v="5"/>
    <s v="Neska polita"/>
    <s v="7a"/>
    <s v="Spain"/>
    <s v="Garraf"/>
    <s v="Mala Dona"/>
    <n v="12"/>
    <s v="11-15"/>
    <s v="Byron"/>
    <n v="12"/>
    <n v="12"/>
    <s v="redpoint"/>
    <n v="10"/>
  </r>
  <r>
    <d v="2013-02-09T00:00:00"/>
    <b v="0"/>
    <n v="9"/>
    <x v="7"/>
    <x v="5"/>
    <s v="Las Garretes del Garraf"/>
    <s v="7b+"/>
    <s v="Spain"/>
    <s v="Garraf"/>
    <s v="Mala Dona"/>
    <n v="25"/>
    <s v="21-25"/>
    <s v="Byron"/>
    <n v="2"/>
    <n v="2"/>
    <s v="redpoint"/>
    <n v="40"/>
  </r>
  <r>
    <d v="2013-02-26T00:00:00"/>
    <b v="0"/>
    <n v="26"/>
    <x v="7"/>
    <x v="5"/>
    <s v="Xapes Negres"/>
    <s v="7a+"/>
    <s v="Spain"/>
    <s v="Gelida"/>
    <s v="Centre"/>
    <n v="20"/>
    <s v="16-20"/>
    <s v="Marc Ros"/>
    <s v="flash"/>
    <n v="1"/>
    <s v="flash"/>
    <n v="15"/>
  </r>
  <r>
    <d v="2013-02-26T00:00:00"/>
    <b v="0"/>
    <n v="26"/>
    <x v="7"/>
    <x v="5"/>
    <s v="nº26"/>
    <s v="7a"/>
    <s v="Spain"/>
    <s v="Gelida"/>
    <s v="Centre"/>
    <n v="20"/>
    <s v="16-20"/>
    <s v="David Valls"/>
    <s v="onsight"/>
    <n v="1"/>
    <s v="onsight"/>
    <n v="10"/>
  </r>
  <r>
    <d v="2013-03-09T00:00:00"/>
    <b v="0"/>
    <n v="9"/>
    <x v="8"/>
    <x v="5"/>
    <s v="Merda de la serra"/>
    <s v="7a+"/>
    <s v="Spain"/>
    <s v="Gelida"/>
    <s v="Centre"/>
    <n v="20"/>
    <s v="16-20"/>
    <s v="Dave"/>
    <n v="2"/>
    <n v="2"/>
    <s v="redpoint"/>
    <n v="15"/>
  </r>
  <r>
    <d v="2013-03-09T00:00:00"/>
    <b v="0"/>
    <n v="9"/>
    <x v="8"/>
    <x v="5"/>
    <s v="Dos peluts i un destí"/>
    <s v="7a"/>
    <s v="Spain"/>
    <s v="Gelida"/>
    <s v="Centre"/>
    <n v="20"/>
    <s v="16-20"/>
    <s v="Dave"/>
    <n v="2"/>
    <n v="2"/>
    <s v="redpoint"/>
    <n v="10"/>
  </r>
  <r>
    <d v="2013-03-21T00:00:00"/>
    <b v="0"/>
    <n v="21"/>
    <x v="8"/>
    <x v="5"/>
    <s v="Simply Extrem"/>
    <s v="7b+"/>
    <s v="Spain"/>
    <s v="Garraf"/>
    <s v="Mala Dona"/>
    <n v="18"/>
    <s v="16-20"/>
    <s v="Byron"/>
    <n v="8"/>
    <n v="8"/>
    <s v="redpoint"/>
    <n v="40"/>
  </r>
  <r>
    <d v="2013-04-10T00:00:00"/>
    <b v="0"/>
    <n v="10"/>
    <x v="1"/>
    <x v="5"/>
    <s v="Garroma"/>
    <s v="7b+"/>
    <s v="Spain"/>
    <s v="Garraf"/>
    <s v="Mala Dona"/>
    <n v="25"/>
    <s v="21-25"/>
    <s v="Juan"/>
    <n v="14"/>
    <n v="14"/>
    <s v="redpoint"/>
    <n v="40"/>
  </r>
  <r>
    <d v="2013-04-13T00:00:00"/>
    <b v="0"/>
    <n v="13"/>
    <x v="1"/>
    <x v="5"/>
    <s v="Brigadistak"/>
    <s v="7a"/>
    <s v="Spain"/>
    <s v="Siurana"/>
    <s v="Siuranella Este"/>
    <n v="30"/>
    <s v="26-30"/>
    <s v="Gabo"/>
    <s v="onsight"/>
    <n v="1"/>
    <s v="onsight"/>
    <n v="10"/>
  </r>
  <r>
    <d v="2013-04-13T00:00:00"/>
    <b v="0"/>
    <n v="13"/>
    <x v="1"/>
    <x v="5"/>
    <s v="Lo dejé to blanco"/>
    <s v="7a"/>
    <s v="Spain"/>
    <s v="Siurana"/>
    <s v="Siuranella Este"/>
    <n v="30"/>
    <s v="26-30"/>
    <s v="Daniel Perez"/>
    <s v="onsight"/>
    <n v="1"/>
    <s v="onsight"/>
    <n v="10"/>
  </r>
  <r>
    <d v="2013-04-13T00:00:00"/>
    <b v="0"/>
    <n v="13"/>
    <x v="1"/>
    <x v="5"/>
    <s v="Lo més negre"/>
    <s v="7a"/>
    <s v="Spain"/>
    <s v="Siurana"/>
    <s v="Siuranella Este"/>
    <n v="25"/>
    <s v="21-25"/>
    <s v="Patrick"/>
    <n v="2"/>
    <n v="2"/>
    <s v="redpoint"/>
    <n v="10"/>
  </r>
  <r>
    <d v="2013-04-17T00:00:00"/>
    <b v="0"/>
    <n v="17"/>
    <x v="1"/>
    <x v="5"/>
    <s v="Calma Tensa"/>
    <s v="7b+"/>
    <s v="Spain"/>
    <s v="Gelida"/>
    <s v="Centre"/>
    <n v="20"/>
    <s v="16-20"/>
    <s v="Patrick"/>
    <n v="2"/>
    <n v="2"/>
    <s v="redpoint"/>
    <n v="40"/>
  </r>
  <r>
    <d v="2013-05-04T00:00:00"/>
    <b v="0"/>
    <n v="4"/>
    <x v="2"/>
    <x v="5"/>
    <s v="Imperatriz Esmeralda"/>
    <s v="7b+"/>
    <s v="Spain"/>
    <s v="Font Soleia"/>
    <s v="Paret Gran"/>
    <n v="22"/>
    <s v="21-25"/>
    <s v="Juan"/>
    <n v="10"/>
    <n v="10"/>
    <s v="redpoint"/>
    <n v="40"/>
  </r>
  <r>
    <d v="2013-05-29T00:00:00"/>
    <b v="0"/>
    <n v="29"/>
    <x v="2"/>
    <x v="5"/>
    <s v="Súbete a mi piel"/>
    <s v="7a"/>
    <s v="Spain"/>
    <s v="Font Soleia"/>
    <s v="Paret Gran"/>
    <n v="18"/>
    <s v="16-20"/>
    <s v="Juan"/>
    <n v="2"/>
    <n v="2"/>
    <s v="redpoint"/>
    <n v="10"/>
  </r>
  <r>
    <d v="2016-06-13T00:00:00"/>
    <b v="0"/>
    <n v="13"/>
    <x v="9"/>
    <x v="6"/>
    <s v="Josuai Lama"/>
    <s v="7a"/>
    <s v="Spain"/>
    <s v="Garraf"/>
    <s v="Cova dels Bombers"/>
    <n v="15"/>
    <s v="11-15"/>
    <s v="Hervé"/>
    <n v="2"/>
    <n v="2"/>
    <s v="redpoint"/>
    <n v="10"/>
  </r>
  <r>
    <d v="2016-11-12T00:00:00"/>
    <b v="0"/>
    <n v="12"/>
    <x v="4"/>
    <x v="6"/>
    <s v="Sugopy"/>
    <s v="7a"/>
    <s v="Spain"/>
    <s v="Siurana"/>
    <s v="Grau dels Masets Esquerra"/>
    <n v="25"/>
    <s v="21-25"/>
    <s v="Martyn"/>
    <s v="flash"/>
    <n v="1"/>
    <s v="flash"/>
    <n v="10"/>
  </r>
  <r>
    <d v="2017-04-02T00:00:00"/>
    <b v="0"/>
    <n v="2"/>
    <x v="1"/>
    <x v="7"/>
    <s v="Se m'apaga la baldufa"/>
    <s v="7a"/>
    <s v="Spain"/>
    <s v="Siurana"/>
    <s v="Esperó Primavera"/>
    <n v="20"/>
    <s v="16-20"/>
    <s v="Henry"/>
    <n v="2"/>
    <n v="2"/>
    <s v="redpoint"/>
    <n v="10"/>
  </r>
  <r>
    <d v="2017-04-13T00:00:00"/>
    <b v="0"/>
    <n v="13"/>
    <x v="1"/>
    <x v="7"/>
    <s v="Juan y Fran se nos van"/>
    <s v="7a+"/>
    <s v="Spain"/>
    <s v="Rodellar"/>
    <s v="Las ventanas"/>
    <n v="20"/>
    <s v="16-20"/>
    <s v="Yoel"/>
    <n v="3"/>
    <n v="3"/>
    <s v="redpoint"/>
    <n v="15"/>
  </r>
  <r>
    <d v="2017-04-15T00:00:00"/>
    <b v="0"/>
    <n v="15"/>
    <x v="1"/>
    <x v="7"/>
    <s v="Pasaba por aquí"/>
    <s v="7a"/>
    <s v="Spain"/>
    <s v="Rodellar"/>
    <s v="El Callejón"/>
    <n v="25"/>
    <s v="21-25"/>
    <s v="Gustavo"/>
    <n v="8"/>
    <n v="8"/>
    <s v="redpoint"/>
    <n v="10"/>
  </r>
  <r>
    <d v="2017-05-19T00:00:00"/>
    <b v="0"/>
    <n v="19"/>
    <x v="2"/>
    <x v="7"/>
    <s v="Good feeling"/>
    <s v="7a"/>
    <s v="Spain"/>
    <s v="Montserrat sur"/>
    <s v="Cova de l'Arcada"/>
    <n v="32"/>
    <s v="31-35"/>
    <s v="Andres Villarroel"/>
    <s v="onsight"/>
    <n v="1"/>
    <s v="onsight"/>
    <n v="10"/>
  </r>
  <r>
    <d v="2017-06-07T00:00:00"/>
    <b v="0"/>
    <n v="7"/>
    <x v="9"/>
    <x v="7"/>
    <s v="Viagraman"/>
    <s v="7a"/>
    <s v="Spain"/>
    <s v="Siurana"/>
    <s v="El Pati"/>
    <n v="25"/>
    <s v="21-25"/>
    <s v="Yoel"/>
    <n v="3"/>
    <n v="3"/>
    <s v="redpoint"/>
    <n v="10"/>
  </r>
  <r>
    <d v="2017-06-20T00:00:00"/>
    <b v="0"/>
    <n v="20"/>
    <x v="9"/>
    <x v="7"/>
    <s v="Performance"/>
    <s v="7a"/>
    <s v="Spain"/>
    <s v="Font Soleia"/>
    <s v="El Gruyere"/>
    <n v="25"/>
    <s v="21-25"/>
    <s v="Will"/>
    <s v="onsight"/>
    <n v="1"/>
    <s v="onsight"/>
    <n v="10"/>
  </r>
  <r>
    <d v="2017-06-20T00:00:00"/>
    <b v="0"/>
    <n v="20"/>
    <x v="9"/>
    <x v="7"/>
    <s v="Requiem"/>
    <s v="7a+"/>
    <s v="Spain"/>
    <s v="Font Soleia"/>
    <s v="El Gruyere"/>
    <n v="25"/>
    <s v="21-25"/>
    <s v="Will"/>
    <s v="onsight"/>
    <n v="1"/>
    <s v="onsight"/>
    <n v="15"/>
  </r>
  <r>
    <d v="2017-07-08T00:00:00"/>
    <b v="0"/>
    <n v="8"/>
    <x v="0"/>
    <x v="7"/>
    <s v="Fleck"/>
    <s v="7b"/>
    <s v="Spain"/>
    <s v="Collegats"/>
    <s v="La Pedrera"/>
    <n v="35"/>
    <s v="31-35"/>
    <s v="Yoel"/>
    <n v="2"/>
    <n v="2"/>
    <s v="redpoint"/>
    <n v="25"/>
  </r>
  <r>
    <d v="2017-08-12T00:00:00"/>
    <b v="0"/>
    <n v="12"/>
    <x v="3"/>
    <x v="7"/>
    <s v="Beso de Cobra"/>
    <s v="7a"/>
    <s v="Spain"/>
    <s v="Siurana"/>
    <s v="L'aparador"/>
    <n v="30"/>
    <s v="26-30"/>
    <s v="Tieme"/>
    <s v="onsight"/>
    <n v="1"/>
    <s v="onsight"/>
    <n v="10"/>
  </r>
  <r>
    <d v="2017-09-02T00:00:00"/>
    <b v="0"/>
    <n v="2"/>
    <x v="10"/>
    <x v="7"/>
    <s v="Crit de Panic"/>
    <s v="7a"/>
    <s v="Spain"/>
    <s v="Sadernes"/>
    <s v="Cova del Bisbe"/>
    <n v="25"/>
    <s v="21-25"/>
    <s v="Gustavo"/>
    <n v="3"/>
    <n v="3"/>
    <s v="redpoint"/>
    <n v="10"/>
  </r>
  <r>
    <d v="2017-09-13T00:00:00"/>
    <b v="0"/>
    <n v="13"/>
    <x v="10"/>
    <x v="7"/>
    <s v="Attack of the Spindly Killer Fish"/>
    <s v="7a+"/>
    <s v="Spain"/>
    <s v="Mallorca"/>
    <s v="Cala Sa Nau"/>
    <n v="10"/>
    <s v="0-10"/>
    <s v="water solo"/>
    <s v="onsight"/>
    <n v="1"/>
    <s v="onsight"/>
    <n v="15"/>
  </r>
  <r>
    <d v="2017-09-13T00:00:00"/>
    <b v="0"/>
    <n v="13"/>
    <x v="10"/>
    <x v="7"/>
    <s v="Rich Bitch"/>
    <s v="7a"/>
    <s v="Spain"/>
    <s v="Mallorca"/>
    <s v="Cala Mitjana"/>
    <n v="10"/>
    <s v="0-10"/>
    <s v="water solo"/>
    <s v="onsight"/>
    <n v="1"/>
    <s v="onsight"/>
    <n v="10"/>
  </r>
  <r>
    <d v="2017-09-13T00:00:00"/>
    <b v="0"/>
    <n v="13"/>
    <x v="10"/>
    <x v="7"/>
    <s v="Balsa Boys"/>
    <s v="7a+"/>
    <s v="Spain"/>
    <s v="Mallorca"/>
    <s v="Cala Mitjana"/>
    <n v="12"/>
    <s v="11-15"/>
    <s v="water solo"/>
    <n v="2"/>
    <n v="2"/>
    <s v="redpoint"/>
    <n v="15"/>
  </r>
  <r>
    <d v="2017-09-23T00:00:00"/>
    <b v="0"/>
    <n v="23"/>
    <x v="10"/>
    <x v="7"/>
    <s v="Brego"/>
    <s v="7a+"/>
    <s v="Spain"/>
    <s v="Font Soleia"/>
    <s v="El Gruyere"/>
    <n v="25"/>
    <s v="21-25"/>
    <s v="Guy"/>
    <s v="onsight"/>
    <n v="1"/>
    <s v="onsight"/>
    <n v="15"/>
  </r>
  <r>
    <d v="2017-09-25T00:00:00"/>
    <b v="0"/>
    <n v="25"/>
    <x v="10"/>
    <x v="7"/>
    <s v="Cetaci"/>
    <s v="7a+"/>
    <s v="Spain"/>
    <s v="Garraf"/>
    <s v="Cova dels Bombers"/>
    <n v="20"/>
    <s v="16-20"/>
    <s v="Guy"/>
    <n v="5"/>
    <n v="5"/>
    <s v="redpoint"/>
    <n v="15"/>
  </r>
  <r>
    <d v="2017-10-14T00:00:00"/>
    <b v="0"/>
    <n v="14"/>
    <x v="11"/>
    <x v="7"/>
    <s v="Huir para vivir"/>
    <s v="7a+"/>
    <s v="Spain"/>
    <s v="Siurana"/>
    <s v="Siuranella Este"/>
    <n v="30"/>
    <s v="26-30"/>
    <s v="Gustavo"/>
    <n v="3"/>
    <n v="3"/>
    <s v="redpoint"/>
    <n v="15"/>
  </r>
  <r>
    <d v="2017-10-15T00:00:00"/>
    <b v="0"/>
    <n v="15"/>
    <x v="11"/>
    <x v="7"/>
    <s v="Rauxa"/>
    <s v="7a+"/>
    <s v="Spain"/>
    <s v="Siurana"/>
    <s v="L'aparador"/>
    <n v="25"/>
    <s v="21-25"/>
    <s v="Shyamal"/>
    <n v="2"/>
    <n v="2"/>
    <s v="redpoint"/>
    <n v="15"/>
  </r>
  <r>
    <d v="2017-10-21T00:00:00"/>
    <b v="0"/>
    <n v="21"/>
    <x v="11"/>
    <x v="7"/>
    <s v="Jeketepeke"/>
    <s v="7a+"/>
    <s v="Spain"/>
    <s v="Siurana"/>
    <s v="El Cargol"/>
    <n v="25"/>
    <s v="21-25"/>
    <s v="Henry"/>
    <s v="onsight"/>
    <n v="1"/>
    <s v="onsight"/>
    <n v="15"/>
  </r>
  <r>
    <d v="2017-10-21T00:00:00"/>
    <b v="0"/>
    <n v="21"/>
    <x v="11"/>
    <x v="7"/>
    <s v="La panxa del bou"/>
    <s v="7a+"/>
    <s v="Spain"/>
    <s v="Siurana"/>
    <s v="Siuranella Este"/>
    <n v="28"/>
    <s v="26-30"/>
    <s v="Henry"/>
    <n v="3"/>
    <n v="3"/>
    <s v="redpoint"/>
    <n v="15"/>
  </r>
  <r>
    <d v="2017-10-22T00:00:00"/>
    <b v="0"/>
    <n v="22"/>
    <x v="11"/>
    <x v="7"/>
    <s v="Cojón prieto"/>
    <s v="7a"/>
    <s v="Spain"/>
    <s v="Siurana"/>
    <s v="L'Herbolari"/>
    <n v="30"/>
    <s v="26-30"/>
    <s v="Henry"/>
    <s v="onsight"/>
    <n v="1"/>
    <s v="onsight"/>
    <n v="10"/>
  </r>
  <r>
    <d v="2017-10-28T00:00:00"/>
    <b v="0"/>
    <n v="28"/>
    <x v="11"/>
    <x v="7"/>
    <s v="Cingles"/>
    <s v="7a"/>
    <s v="Spain"/>
    <s v="Grau dels matxos"/>
    <s v="page 4"/>
    <n v="25"/>
    <s v="21-25"/>
    <s v="Guy"/>
    <n v="2"/>
    <n v="2"/>
    <s v="redpoint"/>
    <n v="10"/>
  </r>
  <r>
    <d v="2017-10-28T00:00:00"/>
    <b v="0"/>
    <n v="28"/>
    <x v="11"/>
    <x v="7"/>
    <s v="Piano Piano"/>
    <s v="7a"/>
    <s v="Spain"/>
    <s v="Grau dels matxos"/>
    <s v="page 5"/>
    <n v="25"/>
    <s v="21-25"/>
    <s v="Guy"/>
    <n v="4"/>
    <n v="4"/>
    <s v="redpoint"/>
    <n v="10"/>
  </r>
  <r>
    <d v="2017-11-04T00:00:00"/>
    <b v="0"/>
    <n v="4"/>
    <x v="4"/>
    <x v="7"/>
    <s v="No ho sé"/>
    <s v="7b"/>
    <s v="Spain"/>
    <s v="Gelida"/>
    <s v="Centre"/>
    <n v="25"/>
    <s v="21-25"/>
    <s v="Angel"/>
    <n v="6"/>
    <n v="6"/>
    <s v="redpoint"/>
    <n v="25"/>
  </r>
  <r>
    <d v="2017-12-08T00:00:00"/>
    <b v="0"/>
    <n v="8"/>
    <x v="5"/>
    <x v="7"/>
    <s v="Little Ted"/>
    <s v="7a+"/>
    <s v="Spain"/>
    <s v="Siurana"/>
    <s v="Grau dels Masets Baix"/>
    <n v="25"/>
    <s v="21-25"/>
    <s v="Yoel"/>
    <n v="2"/>
    <n v="2"/>
    <s v="redpoint"/>
    <n v="15"/>
  </r>
  <r>
    <d v="2017-12-09T00:00:00"/>
    <b v="0"/>
    <n v="9"/>
    <x v="5"/>
    <x v="7"/>
    <s v="No m'enganyis mes"/>
    <s v="7a"/>
    <s v="Spain"/>
    <s v="Arbolí"/>
    <s v="Can Simiro"/>
    <n v="20"/>
    <s v="16-20"/>
    <s v="Dave"/>
    <s v="flash"/>
    <n v="1"/>
    <s v="flash"/>
    <n v="10"/>
  </r>
  <r>
    <d v="2017-12-10T00:00:00"/>
    <b v="0"/>
    <n v="10"/>
    <x v="5"/>
    <x v="7"/>
    <s v="Prendre la tête"/>
    <s v="7a+"/>
    <s v="Spain"/>
    <s v="Siurana"/>
    <s v="Can Gans Dionis"/>
    <n v="20"/>
    <s v="16-20"/>
    <s v="Karla Mexicana"/>
    <n v="3"/>
    <n v="3"/>
    <s v="redpoint"/>
    <n v="15"/>
  </r>
  <r>
    <d v="2017-12-16T00:00:00"/>
    <b v="0"/>
    <n v="16"/>
    <x v="5"/>
    <x v="7"/>
    <s v="Mystiflower"/>
    <s v="7a"/>
    <s v="Spain"/>
    <s v="Arbolí"/>
    <s v="El Dard"/>
    <n v="30"/>
    <s v="26-30"/>
    <s v="Pelu"/>
    <s v="onsight"/>
    <n v="1"/>
    <s v="onsight"/>
    <n v="10"/>
  </r>
  <r>
    <d v="2017-12-17T00:00:00"/>
    <b v="0"/>
    <n v="17"/>
    <x v="5"/>
    <x v="7"/>
    <s v="Mr Krek"/>
    <s v="7b"/>
    <s v="Spain"/>
    <s v="Arbolí"/>
    <s v="El Dard"/>
    <n v="30"/>
    <s v="26-30"/>
    <s v="Pelu"/>
    <n v="2"/>
    <n v="2"/>
    <s v="redpoint"/>
    <n v="25"/>
  </r>
  <r>
    <d v="2017-12-30T00:00:00"/>
    <b v="0"/>
    <n v="30"/>
    <x v="5"/>
    <x v="7"/>
    <s v="Anys Bionics"/>
    <s v="7b+"/>
    <s v="Spain"/>
    <s v="Siurana"/>
    <s v="El Salt de la Reina Mora"/>
    <n v="38"/>
    <s v="35+"/>
    <s v="Yoel"/>
    <s v="onsight"/>
    <n v="1"/>
    <s v="onsight"/>
    <n v="40"/>
  </r>
  <r>
    <d v="2017-12-31T00:00:00"/>
    <b v="0"/>
    <n v="31"/>
    <x v="5"/>
    <x v="7"/>
    <s v="Salmo veintitrés"/>
    <s v="7a"/>
    <s v="Spain"/>
    <s v="Arbolí"/>
    <s v="El Falcó"/>
    <n v="20"/>
    <s v="16-20"/>
    <s v="Yoel"/>
    <s v="onsight"/>
    <n v="1"/>
    <s v="onsight"/>
    <n v="10"/>
  </r>
  <r>
    <d v="2017-12-31T00:00:00"/>
    <b v="0"/>
    <n v="31"/>
    <x v="5"/>
    <x v="7"/>
    <s v="?"/>
    <s v="7a+"/>
    <s v="Spain"/>
    <s v="Arbolí"/>
    <s v="El Falcó"/>
    <n v="25"/>
    <s v="21-25"/>
    <s v="Yoel"/>
    <n v="2"/>
    <n v="2"/>
    <s v="redpoint"/>
    <n v="15"/>
  </r>
  <r>
    <d v="2018-01-05T00:00:00"/>
    <b v="0"/>
    <n v="5"/>
    <x v="6"/>
    <x v="8"/>
    <s v="Fotut Futur"/>
    <s v="7b"/>
    <s v="Spain"/>
    <s v="Garraf"/>
    <s v="Mala Dona"/>
    <n v="20"/>
    <s v="16-20"/>
    <s v="Lena"/>
    <n v="2"/>
    <n v="2"/>
    <s v="redpoint"/>
    <n v="25"/>
  </r>
  <r>
    <d v="2018-01-27T00:00:00"/>
    <b v="0"/>
    <n v="27"/>
    <x v="6"/>
    <x v="8"/>
    <s v="Megatrix"/>
    <s v="7b+"/>
    <s v="Spain"/>
    <s v="Gelida"/>
    <s v="Centre"/>
    <n v="25"/>
    <s v="21-25"/>
    <s v="Yoel"/>
    <n v="10"/>
    <n v="10"/>
    <s v="redpoint"/>
    <n v="40"/>
  </r>
  <r>
    <d v="2018-02-03T00:00:00"/>
    <b v="0"/>
    <n v="3"/>
    <x v="7"/>
    <x v="8"/>
    <s v="Qui s'ha mort"/>
    <s v="7b"/>
    <s v="Spain"/>
    <s v="Can Paulet"/>
    <s v="Esquerra"/>
    <n v="12"/>
    <s v="11-15"/>
    <s v="Yoel"/>
    <n v="3"/>
    <n v="3"/>
    <s v="redpoint"/>
    <n v="25"/>
  </r>
  <r>
    <d v="2018-02-22T00:00:00"/>
    <b v="0"/>
    <n v="22"/>
    <x v="7"/>
    <x v="8"/>
    <s v="Dale duro negro"/>
    <s v="7b"/>
    <s v="Spain"/>
    <s v="Chulilla"/>
    <s v="Sex shop"/>
    <n v="32"/>
    <s v="31-35"/>
    <s v="Lena"/>
    <s v="flash"/>
    <n v="1"/>
    <s v="flash"/>
    <n v="25"/>
  </r>
  <r>
    <d v="2018-02-23T00:00:00"/>
    <b v="0"/>
    <n v="23"/>
    <x v="7"/>
    <x v="8"/>
    <s v="Los caminantes"/>
    <s v="7b"/>
    <s v="Spain"/>
    <s v="Chulilla"/>
    <s v="Chorreras"/>
    <n v="32"/>
    <s v="31-35"/>
    <s v="Lena"/>
    <n v="2"/>
    <n v="2"/>
    <s v="redpoint"/>
    <n v="25"/>
  </r>
  <r>
    <d v="2018-02-24T00:00:00"/>
    <b v="0"/>
    <n v="24"/>
    <x v="7"/>
    <x v="8"/>
    <s v="?"/>
    <s v="7a"/>
    <s v="Spain"/>
    <s v="Chulilla"/>
    <s v="Oasis"/>
    <n v="32"/>
    <s v="31-35"/>
    <s v="Lena"/>
    <s v="onsight"/>
    <n v="1"/>
    <s v="onsight"/>
    <n v="10"/>
  </r>
  <r>
    <d v="2018-03-18T00:00:00"/>
    <b v="0"/>
    <n v="18"/>
    <x v="8"/>
    <x v="8"/>
    <s v="Baby sitter"/>
    <s v="7a"/>
    <s v="Spain"/>
    <s v="Margalef"/>
    <s v="La Mainadera"/>
    <n v="18"/>
    <s v="16-20"/>
    <s v="Kathy"/>
    <n v="2"/>
    <n v="2"/>
    <s v="redpoint"/>
    <n v="10"/>
  </r>
  <r>
    <d v="2018-03-30T00:00:00"/>
    <b v="0"/>
    <n v="30"/>
    <x v="8"/>
    <x v="8"/>
    <s v="Curriculo vaginal"/>
    <s v="7c"/>
    <s v="Spain"/>
    <s v="Chulilla"/>
    <s v="Sex shop"/>
    <n v="20"/>
    <s v="16-20"/>
    <s v="Guy"/>
    <n v="5"/>
    <n v="5"/>
    <s v="redpoint"/>
    <n v="60"/>
  </r>
  <r>
    <d v="2018-03-31T00:00:00"/>
    <b v="0"/>
    <n v="31"/>
    <x v="8"/>
    <x v="8"/>
    <s v="Zikrutiña mientras puedas"/>
    <s v="7a+"/>
    <s v="Spain"/>
    <s v="Chulilla"/>
    <s v="Muro de lamentaciones"/>
    <n v="18"/>
    <s v="16-20"/>
    <s v="Guy"/>
    <n v="2"/>
    <n v="2"/>
    <s v="redpoint"/>
    <n v="15"/>
  </r>
  <r>
    <d v="2018-04-01T00:00:00"/>
    <b v="0"/>
    <n v="1"/>
    <x v="1"/>
    <x v="8"/>
    <s v="?"/>
    <s v="7b+"/>
    <s v="Spain"/>
    <s v="Chulilla"/>
    <s v="Masters"/>
    <n v="30"/>
    <s v="26-30"/>
    <s v="Kathy"/>
    <n v="2"/>
    <n v="2"/>
    <s v="redpoint"/>
    <n v="40"/>
  </r>
  <r>
    <d v="2018-04-02T00:00:00"/>
    <b v="0"/>
    <n v="2"/>
    <x v="1"/>
    <x v="8"/>
    <s v="?"/>
    <s v="7b"/>
    <s v="Spain"/>
    <s v="Chulilla"/>
    <s v="Fantasía"/>
    <n v="30"/>
    <s v="26-30"/>
    <s v="Guy"/>
    <n v="4"/>
    <n v="4"/>
    <s v="redpoint"/>
    <n v="25"/>
  </r>
  <r>
    <d v="2018-04-18T00:00:00"/>
    <b v="0"/>
    <n v="18"/>
    <x v="1"/>
    <x v="8"/>
    <s v="Desvariant"/>
    <s v="7b"/>
    <s v="Spain"/>
    <s v="Arbolí"/>
    <s v="L'Obaga del Falcó"/>
    <n v="25"/>
    <s v="21-25"/>
    <s v="Ulises"/>
    <n v="2"/>
    <n v="2"/>
    <s v="redpoint"/>
    <n v="25"/>
  </r>
  <r>
    <d v="2018-04-20T00:00:00"/>
    <b v="0"/>
    <n v="20"/>
    <x v="1"/>
    <x v="8"/>
    <s v="Ay Mamita"/>
    <s v="7a"/>
    <s v="Spain"/>
    <s v="Siurana"/>
    <s v="El Pati"/>
    <n v="35"/>
    <s v="31-35"/>
    <s v="Kat"/>
    <s v="onsight"/>
    <n v="1"/>
    <s v="onsight"/>
    <n v="10"/>
  </r>
  <r>
    <d v="2018-04-22T00:00:00"/>
    <b v="0"/>
    <n v="22"/>
    <x v="1"/>
    <x v="8"/>
    <s v="Bindelef"/>
    <s v="7a+"/>
    <s v="Spain"/>
    <s v="Siurana"/>
    <s v="Can Codolar"/>
    <n v="35"/>
    <s v="31-35"/>
    <s v="Henry"/>
    <s v="onsight"/>
    <n v="1"/>
    <s v="onsight"/>
    <n v="15"/>
  </r>
  <r>
    <d v="2018-04-28T00:00:00"/>
    <b v="0"/>
    <n v="28"/>
    <x v="1"/>
    <x v="8"/>
    <s v="La mía"/>
    <s v="7a"/>
    <s v="Spain"/>
    <s v="Margalef"/>
    <s v="Culample 4"/>
    <n v="25"/>
    <s v="21-25"/>
    <s v="Kathy"/>
    <s v="onsight"/>
    <n v="1"/>
    <s v="onsight"/>
    <n v="10"/>
  </r>
  <r>
    <d v="2018-04-28T00:00:00"/>
    <b v="0"/>
    <n v="28"/>
    <x v="1"/>
    <x v="8"/>
    <s v="El Charlatán"/>
    <s v="7a+"/>
    <s v="Spain"/>
    <s v="Margalef"/>
    <s v="Culample 4"/>
    <n v="25"/>
    <s v="21-25"/>
    <s v="Kathy"/>
    <n v="2"/>
    <n v="2"/>
    <s v="redpoint"/>
    <n v="15"/>
  </r>
  <r>
    <d v="2018-04-29T00:00:00"/>
    <b v="0"/>
    <n v="29"/>
    <x v="1"/>
    <x v="8"/>
    <s v="La forum de les postures"/>
    <s v="7a"/>
    <s v="Spain"/>
    <s v="Margalef"/>
    <s v="Cabernet"/>
    <n v="30"/>
    <s v="26-30"/>
    <s v="Ulises"/>
    <s v="onsight"/>
    <n v="1"/>
    <s v="onsight"/>
    <n v="10"/>
  </r>
  <r>
    <d v="2018-04-29T00:00:00"/>
    <b v="0"/>
    <n v="29"/>
    <x v="1"/>
    <x v="8"/>
    <s v="Mar de fons"/>
    <s v="7b"/>
    <s v="Spain"/>
    <s v="Margalef"/>
    <s v="Cabernet"/>
    <n v="10"/>
    <s v="0-10"/>
    <s v="Kathy"/>
    <n v="3"/>
    <n v="3"/>
    <s v="redpoint"/>
    <n v="25"/>
  </r>
  <r>
    <d v="2018-05-26T00:00:00"/>
    <b v="0"/>
    <n v="26"/>
    <x v="2"/>
    <x v="8"/>
    <s v="Ladilla"/>
    <s v="7a"/>
    <s v="Spain"/>
    <s v="Sadernes"/>
    <s v="Castell s'Espasa dret"/>
    <n v="25"/>
    <s v="21-25"/>
    <s v="Gustavo"/>
    <s v="onsight"/>
    <n v="1"/>
    <s v="onsight"/>
    <n v="10"/>
  </r>
  <r>
    <d v="2018-05-26T00:00:00"/>
    <b v="0"/>
    <n v="26"/>
    <x v="2"/>
    <x v="8"/>
    <s v="Calendra"/>
    <s v="7a+"/>
    <s v="Spain"/>
    <s v="Sadernes"/>
    <s v="Castell s'Espasa dret"/>
    <n v="25"/>
    <s v="21-25"/>
    <s v="Gustavo"/>
    <s v="onsight"/>
    <n v="1"/>
    <s v="onsight"/>
    <n v="15"/>
  </r>
  <r>
    <d v="2018-06-10T00:00:00"/>
    <b v="0"/>
    <n v="10"/>
    <x v="9"/>
    <x v="8"/>
    <s v="Esgraons al cel"/>
    <s v="7a+"/>
    <s v="Spain"/>
    <s v="Montserrat norte"/>
    <s v="El prohibitivo"/>
    <n v="12"/>
    <s v="11-15"/>
    <s v="Kathy"/>
    <s v="flash"/>
    <n v="1"/>
    <s v="flash"/>
    <n v="15"/>
  </r>
  <r>
    <d v="2018-06-24T00:00:00"/>
    <b v="0"/>
    <n v="24"/>
    <x v="9"/>
    <x v="8"/>
    <s v="Menganos"/>
    <s v="7a+"/>
    <s v="Spain"/>
    <s v="Montserrat sur"/>
    <s v="La Piula"/>
    <n v="25"/>
    <s v="21-25"/>
    <s v="Kathy"/>
    <n v="2"/>
    <n v="2"/>
    <s v="redpoint"/>
    <n v="15"/>
  </r>
  <r>
    <d v="2018-09-10T00:00:00"/>
    <b v="0"/>
    <n v="10"/>
    <x v="10"/>
    <x v="8"/>
    <s v="Bisexual"/>
    <s v="7a"/>
    <s v="Spain"/>
    <s v="Mallorca"/>
    <s v="Cala Varques - Metrosexual"/>
    <n v="12"/>
    <s v="11-15"/>
    <s v="water solo"/>
    <n v="2"/>
    <n v="2"/>
    <s v="redpoint"/>
    <n v="10"/>
  </r>
  <r>
    <d v="2018-11-03T00:00:00"/>
    <b v="0"/>
    <n v="3"/>
    <x v="4"/>
    <x v="8"/>
    <s v="Salmoneti a contra corrent"/>
    <s v="7a"/>
    <s v="Spain"/>
    <s v="Siurana"/>
    <s v="Corral nou"/>
    <n v="22"/>
    <s v="21-25"/>
    <s v="Angel"/>
    <s v="onsight"/>
    <n v="1"/>
    <s v="onsight"/>
    <n v="10"/>
  </r>
  <r>
    <d v="2018-11-03T00:00:00"/>
    <b v="0"/>
    <n v="3"/>
    <x v="4"/>
    <x v="8"/>
    <s v="Bocadillo de calamares en el km 0"/>
    <s v="7a+"/>
    <s v="Spain"/>
    <s v="Siurana"/>
    <s v="Corral nou"/>
    <n v="25"/>
    <s v="21-25"/>
    <s v="Angel"/>
    <n v="2"/>
    <n v="2"/>
    <s v="redpoint"/>
    <n v="15"/>
  </r>
  <r>
    <d v="2019-04-05T00:00:00"/>
    <b v="0"/>
    <n v="5"/>
    <x v="1"/>
    <x v="9"/>
    <s v="Fisuterapia"/>
    <s v="7a"/>
    <s v="Spain"/>
    <s v="Siurana"/>
    <s v="Herbolari"/>
    <n v="30"/>
    <s v="26-30"/>
    <s v="Guy"/>
    <n v="2"/>
    <n v="2"/>
    <s v="redpoint"/>
    <n v="10"/>
  </r>
  <r>
    <d v="2019-04-06T00:00:00"/>
    <b v="0"/>
    <n v="6"/>
    <x v="1"/>
    <x v="9"/>
    <s v="Cargol treu banya"/>
    <s v="7a"/>
    <s v="Spain"/>
    <s v="Siurana"/>
    <s v="L'Olla"/>
    <n v="13"/>
    <s v="11-15"/>
    <s v="Guy"/>
    <n v="2"/>
    <n v="2"/>
    <s v="redpoint"/>
    <n v="10"/>
  </r>
  <r>
    <d v="2019-04-14T00:00:00"/>
    <b v="0"/>
    <n v="14"/>
    <x v="1"/>
    <x v="9"/>
    <s v="Café del mar"/>
    <s v="7a+"/>
    <s v="Spain"/>
    <s v="Montserrat norte"/>
    <s v="El Casot"/>
    <n v="25"/>
    <s v="21-25"/>
    <s v="Gustavo"/>
    <s v="flash"/>
    <n v="1"/>
    <s v="flash"/>
    <n v="15"/>
  </r>
  <r>
    <d v="2019-09-22T00:00:00"/>
    <b v="0"/>
    <n v="22"/>
    <x v="10"/>
    <x v="9"/>
    <s v="Jihad"/>
    <s v="7a+"/>
    <s v="Spain"/>
    <s v="Montserrat norte"/>
    <s v="Cova de l'os"/>
    <n v="20"/>
    <s v="16-20"/>
    <s v="Antonin"/>
    <n v="2"/>
    <n v="2"/>
    <s v="redpoint"/>
    <n v="15"/>
  </r>
  <r>
    <d v="2019-11-01T00:00:00"/>
    <b v="0"/>
    <n v="1"/>
    <x v="4"/>
    <x v="9"/>
    <s v="La Siberiana"/>
    <s v="7b"/>
    <s v="Spain"/>
    <s v="Siurana"/>
    <s v="Can Codolar"/>
    <n v="30"/>
    <s v="26-30"/>
    <s v="Guy"/>
    <n v="3"/>
    <n v="3"/>
    <s v="redpoint"/>
    <n v="25"/>
  </r>
  <r>
    <d v="2019-11-02T00:00:00"/>
    <b v="0"/>
    <n v="2"/>
    <x v="4"/>
    <x v="9"/>
    <s v="Tikis Mikis"/>
    <s v="7a"/>
    <s v="Spain"/>
    <s v="Siurana"/>
    <s v="Siuranella Centre"/>
    <n v="30"/>
    <s v="26-30"/>
    <s v="Gustavo"/>
    <n v="2"/>
    <n v="2"/>
    <s v="redpoint"/>
    <n v="10"/>
  </r>
  <r>
    <d v="2019-11-16T00:00:00"/>
    <b v="0"/>
    <n v="16"/>
    <x v="4"/>
    <x v="9"/>
    <s v="El ultimo poeta"/>
    <s v="7b"/>
    <s v="Spain"/>
    <s v="Margalef"/>
    <s v="La Mainadera"/>
    <n v="20"/>
    <s v="16-20"/>
    <s v="Inti"/>
    <n v="2"/>
    <n v="2"/>
    <s v="redpoint"/>
    <n v="25"/>
  </r>
  <r>
    <d v="2020-08-24T00:00:00"/>
    <b v="0"/>
    <n v="24"/>
    <x v="3"/>
    <x v="10"/>
    <s v="Cop de roc"/>
    <s v="7a+"/>
    <s v="Spain"/>
    <s v="Siurana"/>
    <s v="Can Codolar"/>
    <n v="35"/>
    <s v="31-35"/>
    <s v="Laila"/>
    <n v="2"/>
    <n v="2"/>
    <s v="redpoint"/>
    <n v="15"/>
  </r>
  <r>
    <d v="2020-08-27T00:00:00"/>
    <b v="0"/>
    <n v="27"/>
    <x v="3"/>
    <x v="10"/>
    <s v="Avui si que no m'enganyes"/>
    <s v="7b"/>
    <s v="Spain"/>
    <s v="Siurana"/>
    <s v="Siuranella Este"/>
    <n v="22"/>
    <s v="21-25"/>
    <s v="Inti"/>
    <n v="6"/>
    <n v="6"/>
    <s v="redpoint"/>
    <n v="25"/>
  </r>
  <r>
    <d v="2020-09-20T00:00:00"/>
    <b v="0"/>
    <n v="20"/>
    <x v="10"/>
    <x v="10"/>
    <s v="No name num 93"/>
    <s v="7a+"/>
    <s v="Spain"/>
    <s v="Grau dels matxos"/>
    <s v="page 4"/>
    <n v="25"/>
    <s v="21-25"/>
    <s v="Guy"/>
    <s v="flash"/>
    <n v="1"/>
    <s v="flash"/>
    <n v="15"/>
  </r>
  <r>
    <d v="2020-09-24T00:00:00"/>
    <b v="0"/>
    <n v="24"/>
    <x v="10"/>
    <x v="10"/>
    <s v="El Trapella num 90"/>
    <s v="7b+"/>
    <s v="Spain"/>
    <s v="Grau dels matxos"/>
    <s v="page 4"/>
    <n v="25"/>
    <s v="21-25"/>
    <s v="Guy"/>
    <n v="4"/>
    <n v="4"/>
    <s v="redpoint"/>
    <n v="40"/>
  </r>
  <r>
    <d v="2020-09-24T00:00:00"/>
    <b v="0"/>
    <n v="24"/>
    <x v="10"/>
    <x v="10"/>
    <s v="El Drac"/>
    <s v="7a"/>
    <s v="Spain"/>
    <s v="Grau dels matxos"/>
    <s v="page 4"/>
    <n v="25"/>
    <s v="21-25"/>
    <s v="Gabo"/>
    <s v="flash"/>
    <n v="1"/>
    <s v="flash"/>
    <n v="10"/>
  </r>
  <r>
    <d v="2020-09-26T00:00:00"/>
    <b v="0"/>
    <n v="26"/>
    <x v="10"/>
    <x v="10"/>
    <s v="Pota de bou"/>
    <s v="7a+"/>
    <s v="Spain"/>
    <s v="Grau dels matxos"/>
    <s v="page 6"/>
    <n v="25"/>
    <s v="21-25"/>
    <s v="Kat"/>
    <s v="onsight"/>
    <n v="1"/>
    <s v="onsight"/>
    <n v="15"/>
  </r>
  <r>
    <d v="2020-10-17T00:00:00"/>
    <b v="0"/>
    <n v="17"/>
    <x v="11"/>
    <x v="10"/>
    <s v="Ni me n'entero"/>
    <s v="7a"/>
    <s v="Spain"/>
    <s v="Siurana"/>
    <s v="Ca la Isabel"/>
    <n v="20"/>
    <s v="16-20"/>
    <s v="Guy"/>
    <s v="onsight"/>
    <n v="1"/>
    <s v="onsight"/>
    <n v="10"/>
  </r>
  <r>
    <d v="2020-10-18T00:00:00"/>
    <b v="0"/>
    <n v="18"/>
    <x v="11"/>
    <x v="10"/>
    <s v="ACDC"/>
    <s v="7b+"/>
    <s v="Spain"/>
    <s v="Siurana"/>
    <s v="Ca l'Onassis"/>
    <n v="28"/>
    <s v="26-30"/>
    <s v="Gustavo"/>
    <n v="4"/>
    <n v="4"/>
    <s v="redpoint"/>
    <n v="40"/>
  </r>
  <r>
    <d v="2020-10-24T00:00:00"/>
    <b v="0"/>
    <n v="24"/>
    <x v="11"/>
    <x v="10"/>
    <s v="?"/>
    <s v="7a"/>
    <s v="Spain"/>
    <s v="Siurana"/>
    <s v="Siuranella Este"/>
    <n v="30"/>
    <s v="26-30"/>
    <s v="Inti"/>
    <n v="2"/>
    <n v="2"/>
    <s v="redpoint"/>
    <n v="10"/>
  </r>
  <r>
    <d v="2020-10-25T00:00:00"/>
    <b v="0"/>
    <n v="25"/>
    <x v="11"/>
    <x v="10"/>
    <s v="No hi ha pa per tant xoriço"/>
    <s v="7a"/>
    <s v="Spain"/>
    <s v="Siurana"/>
    <s v="Grau dels Masets Baix"/>
    <n v="30"/>
    <s v="26-30"/>
    <s v="Kat"/>
    <s v="onsight"/>
    <n v="1"/>
    <s v="onsight"/>
    <n v="10"/>
  </r>
  <r>
    <d v="2021-04-22T00:00:00"/>
    <b v="0"/>
    <n v="22"/>
    <x v="1"/>
    <x v="11"/>
    <s v="Remulo y romo"/>
    <s v="7a"/>
    <s v="Spain"/>
    <s v="Siurana"/>
    <s v="Can Melafots"/>
    <n v="18"/>
    <s v="16-20"/>
    <s v="Lydia"/>
    <s v="onsight"/>
    <n v="1"/>
    <s v="onsight"/>
    <n v="10"/>
  </r>
  <r>
    <d v="2021-04-23T00:00:00"/>
    <b v="0"/>
    <n v="23"/>
    <x v="1"/>
    <x v="11"/>
    <s v="La Morena de Montsant"/>
    <s v="7a+"/>
    <s v="Spain"/>
    <s v="Siurana"/>
    <s v="El Cargol"/>
    <n v="40"/>
    <s v="35+"/>
    <s v="Bernardo"/>
    <s v="onsight"/>
    <n v="1"/>
    <s v="onsight"/>
    <n v="15"/>
  </r>
  <r>
    <d v="2021-04-24T00:00:00"/>
    <b v="0"/>
    <n v="24"/>
    <x v="1"/>
    <x v="11"/>
    <s v="Pako pintxo"/>
    <s v="7a"/>
    <s v="Spain"/>
    <s v="Siurana"/>
    <s v="Ca l'Orro"/>
    <n v="15"/>
    <s v="11-15"/>
    <s v="Bernardo"/>
    <n v="2"/>
    <n v="2"/>
    <s v="redpoint"/>
    <n v="10"/>
  </r>
  <r>
    <d v="2021-05-06T00:00:00"/>
    <b v="0"/>
    <n v="6"/>
    <x v="2"/>
    <x v="11"/>
    <s v="Clone Club"/>
    <s v="7a"/>
    <s v="Spain"/>
    <s v="Grau dels matxos"/>
    <s v="page 6"/>
    <n v="20"/>
    <s v="16-20"/>
    <s v="Guy"/>
    <s v="onsight"/>
    <n v="1"/>
    <s v="onsight"/>
    <n v="10"/>
  </r>
  <r>
    <d v="2021-05-14T00:00:00"/>
    <b v="0"/>
    <n v="14"/>
    <x v="2"/>
    <x v="11"/>
    <s v="La Transformació"/>
    <s v="7a"/>
    <s v="Spain"/>
    <s v="Siurana"/>
    <s v="Grau dels Masets Esquerra"/>
    <n v="25"/>
    <s v="21-25"/>
    <s v="Bernardo"/>
    <n v="4"/>
    <n v="4"/>
    <s v="redpoint"/>
    <n v="10"/>
  </r>
  <r>
    <d v="2021-05-19T00:00:00"/>
    <b v="0"/>
    <n v="19"/>
    <x v="2"/>
    <x v="11"/>
    <s v="Alpha"/>
    <s v="7a"/>
    <s v="Spain"/>
    <s v="Grau dels matxos"/>
    <s v="page 3"/>
    <n v="20"/>
    <s v="16-20"/>
    <s v="Bernardo"/>
    <s v="flash"/>
    <n v="1"/>
    <s v="flash"/>
    <n v="10"/>
  </r>
  <r>
    <d v="2021-05-20T00:00:00"/>
    <b v="0"/>
    <n v="20"/>
    <x v="2"/>
    <x v="11"/>
    <s v="Mainada de plafó"/>
    <s v="7b"/>
    <s v="Spain"/>
    <s v="Grau dels matxos"/>
    <s v="page 2"/>
    <n v="20"/>
    <s v="16-20"/>
    <s v="Guy"/>
    <n v="5"/>
    <n v="5"/>
    <s v="redpoint"/>
    <n v="25"/>
  </r>
  <r>
    <d v="2021-05-27T00:00:00"/>
    <b v="0"/>
    <n v="27"/>
    <x v="2"/>
    <x v="11"/>
    <s v="No pasarán"/>
    <s v="7b"/>
    <s v="Spain"/>
    <s v="Grau dels matxos"/>
    <s v="page 2"/>
    <n v="16"/>
    <s v="16-20"/>
    <s v="Guy"/>
    <n v="6"/>
    <n v="6"/>
    <s v="redpoint"/>
    <n v="25"/>
  </r>
  <r>
    <d v="2021-05-29T00:00:00"/>
    <b v="0"/>
    <n v="29"/>
    <x v="2"/>
    <x v="11"/>
    <s v="Semen up"/>
    <s v="7a"/>
    <s v="Spain"/>
    <s v="Siurana"/>
    <s v="Siuranella Este"/>
    <n v="20"/>
    <s v="16-20"/>
    <s v="Angel"/>
    <s v="onsight"/>
    <n v="1"/>
    <s v="onsight"/>
    <n v="10"/>
  </r>
  <r>
    <d v="2021-05-30T00:00:00"/>
    <b v="0"/>
    <n v="30"/>
    <x v="2"/>
    <x v="11"/>
    <s v="Daniel Taupin"/>
    <s v="7a+"/>
    <s v="Spain"/>
    <s v="Siurana"/>
    <s v="L'aparador"/>
    <n v="25"/>
    <s v="21-25"/>
    <s v="Angel"/>
    <n v="2"/>
    <n v="2"/>
    <s v="redpoint"/>
    <n v="15"/>
  </r>
  <r>
    <d v="2021-06-02T00:00:00"/>
    <b v="0"/>
    <n v="2"/>
    <x v="9"/>
    <x v="11"/>
    <s v="Tsunami"/>
    <s v="7a+"/>
    <s v="Spain"/>
    <s v="Grau dels matxos"/>
    <s v="El Sunyer"/>
    <n v="18"/>
    <s v="16-20"/>
    <s v="Guy"/>
    <s v="onsight"/>
    <n v="1"/>
    <s v="onsight"/>
    <n v="15"/>
  </r>
  <r>
    <d v="2021-06-02T00:00:00"/>
    <b v="0"/>
    <n v="2"/>
    <x v="9"/>
    <x v="11"/>
    <s v="El Nas"/>
    <s v="7a"/>
    <s v="Spain"/>
    <s v="Grau dels matxos"/>
    <s v="El Sunyer"/>
    <n v="18"/>
    <s v="16-20"/>
    <s v="Guy"/>
    <n v="2"/>
    <n v="2"/>
    <s v="redpoint"/>
    <n v="10"/>
  </r>
  <r>
    <d v="2021-06-13T00:00:00"/>
    <b v="0"/>
    <n v="13"/>
    <x v="9"/>
    <x v="11"/>
    <s v="Bous i Esquellets"/>
    <s v="7c"/>
    <s v="Spain"/>
    <s v="Grau dels matxos"/>
    <s v="El Sunyer"/>
    <n v="22"/>
    <s v="21-25"/>
    <s v="Sean"/>
    <n v="7"/>
    <n v="7"/>
    <s v="redpoint"/>
    <n v="60"/>
  </r>
  <r>
    <d v="2021-06-20T00:00:00"/>
    <b v="0"/>
    <n v="20"/>
    <x v="9"/>
    <x v="11"/>
    <s v="Las orelles del llop"/>
    <s v="7a+"/>
    <s v="Spain"/>
    <s v="Grau dels matxos"/>
    <s v="El Sunyer"/>
    <n v="18"/>
    <s v="16-20"/>
    <s v="Lydia"/>
    <s v="onsight"/>
    <n v="1"/>
    <s v="onsight"/>
    <n v="15"/>
  </r>
  <r>
    <d v="2021-06-20T00:00:00"/>
    <b v="0"/>
    <n v="20"/>
    <x v="9"/>
    <x v="11"/>
    <s v="Emboirats"/>
    <s v="7b"/>
    <s v="Spain"/>
    <s v="Grau dels matxos"/>
    <s v="El Sunyer"/>
    <n v="18"/>
    <s v="16-20"/>
    <s v="Lydia"/>
    <s v="onsight"/>
    <n v="1"/>
    <s v="onsight"/>
    <n v="25"/>
  </r>
  <r>
    <d v="2021-06-24T00:00:00"/>
    <b v="0"/>
    <n v="24"/>
    <x v="9"/>
    <x v="11"/>
    <s v="Tiramilles"/>
    <s v="7a+"/>
    <s v="Spain"/>
    <s v="Grau dels matxos"/>
    <s v="El Sunyer"/>
    <n v="18"/>
    <s v="16-20"/>
    <s v="Guy"/>
    <n v="2"/>
    <n v="2"/>
    <s v="redpoint"/>
    <n v="15"/>
  </r>
  <r>
    <d v="2021-11-14T00:00:00"/>
    <b v="0"/>
    <n v="14"/>
    <x v="4"/>
    <x v="11"/>
    <s v="Sac de Gemecs"/>
    <s v="7a"/>
    <s v="Spain"/>
    <s v="Siurana"/>
    <s v="Grau dels Masets Baix"/>
    <n v="25"/>
    <s v="21-25"/>
    <s v="Lydia"/>
    <s v="onsight"/>
    <n v="1"/>
    <s v="onsight"/>
    <n v="10"/>
  </r>
  <r>
    <d v="2022-01-30T00:00:00"/>
    <b v="0"/>
    <n v="30"/>
    <x v="6"/>
    <x v="12"/>
    <s v="Ventolera Cosmica"/>
    <s v="7c+"/>
    <s v="Spain"/>
    <s v="Gelida"/>
    <s v="Centre"/>
    <n v="20"/>
    <s v="16-20"/>
    <s v="Guy"/>
    <n v="40"/>
    <n v="40"/>
    <s v="redpoint"/>
    <n v="80"/>
  </r>
  <r>
    <d v="2022-02-10T00:00:00"/>
    <b v="0"/>
    <n v="10"/>
    <x v="7"/>
    <x v="12"/>
    <s v="LSD"/>
    <s v="7a"/>
    <s v="Spain"/>
    <s v="Penyes Aragonesas (Castellón)"/>
    <s v="La ciudad perdida de Muchapicha"/>
    <n v="15"/>
    <s v="11-15"/>
    <s v="Lena"/>
    <s v="onsight"/>
    <n v="1"/>
    <s v="onsight"/>
    <n v="10"/>
  </r>
  <r>
    <d v="2022-02-11T00:00:00"/>
    <b v="0"/>
    <n v="11"/>
    <x v="7"/>
    <x v="12"/>
    <s v="Blue agave"/>
    <s v="7a"/>
    <s v="Spain"/>
    <s v="Chulilla"/>
    <s v="Muro de lamentaciones"/>
    <n v="35"/>
    <s v="31-35"/>
    <s v="Lena"/>
    <s v="flash"/>
    <n v="1"/>
    <s v="flash"/>
    <n v="10"/>
  </r>
  <r>
    <d v="2022-02-12T00:00:00"/>
    <b v="0"/>
    <n v="12"/>
    <x v="7"/>
    <x v="12"/>
    <s v="Dumbo love"/>
    <s v="7a"/>
    <s v="Spain"/>
    <s v="Chulilla"/>
    <s v="Tierra de Nadie"/>
    <n v="20"/>
    <s v="16-20"/>
    <s v="Lena"/>
    <s v="onsight"/>
    <n v="1"/>
    <s v="onsight"/>
    <n v="10"/>
  </r>
  <r>
    <d v="2022-02-13T00:00:00"/>
    <b v="0"/>
    <n v="13"/>
    <x v="7"/>
    <x v="12"/>
    <s v="El Magnate del tomate"/>
    <s v="7a+"/>
    <s v="Spain"/>
    <s v="Chulilla"/>
    <s v="Chorreras"/>
    <n v="35"/>
    <s v="31-35"/>
    <s v="Donald"/>
    <s v="onsight"/>
    <n v="1"/>
    <s v="onsight"/>
    <n v="15"/>
  </r>
  <r>
    <d v="2022-03-17T00:00:00"/>
    <b v="0"/>
    <n v="17"/>
    <x v="8"/>
    <x v="12"/>
    <s v="SPUF"/>
    <s v="7a"/>
    <s v="Portugal"/>
    <s v="Fenda de Arrabida"/>
    <s v="Carallon"/>
    <n v="20"/>
    <s v="16-20"/>
    <s v="Vittorio"/>
    <s v="onsight"/>
    <n v="1"/>
    <s v="onsight"/>
    <n v="10"/>
  </r>
  <r>
    <d v="2022-05-25T00:00:00"/>
    <b v="0"/>
    <n v="25"/>
    <x v="2"/>
    <x v="12"/>
    <s v="Revelhao"/>
    <s v="7a"/>
    <s v="Portugal"/>
    <s v="Atlantida"/>
    <s v="Gaivotas"/>
    <n v="23"/>
    <s v="21-25"/>
    <s v="Alexandre Marques"/>
    <n v="3"/>
    <n v="3"/>
    <s v="redpoint"/>
    <n v="10"/>
  </r>
  <r>
    <d v="2022-06-10T00:00:00"/>
    <b v="0"/>
    <n v="10"/>
    <x v="9"/>
    <x v="12"/>
    <s v="Arseniac"/>
    <s v="7a"/>
    <s v="Spain"/>
    <s v="Arbolí"/>
    <s v="L'Obaga"/>
    <n v="23"/>
    <s v="21-25"/>
    <s v="Kathy"/>
    <s v="onsight"/>
    <n v="1"/>
    <s v="onsight"/>
    <n v="10"/>
  </r>
  <r>
    <d v="2022-06-17T00:00:00"/>
    <b v="0"/>
    <n v="17"/>
    <x v="9"/>
    <x v="12"/>
    <s v="?"/>
    <s v="7a+"/>
    <s v="Spain"/>
    <s v="Cavallers"/>
    <s v="Kaos"/>
    <n v="15"/>
    <s v="11-15"/>
    <s v="Kathy"/>
    <n v="3"/>
    <n v="3"/>
    <s v="redpoint"/>
    <n v="15"/>
  </r>
  <r>
    <d v="2022-07-16T00:00:00"/>
    <b v="0"/>
    <n v="16"/>
    <x v="0"/>
    <x v="12"/>
    <s v="L'âge de cristal"/>
    <s v="7a"/>
    <s v="France"/>
    <s v="Le Fayet"/>
    <s v="Thermes"/>
    <n v="16"/>
    <s v="16-20"/>
    <s v="Kati Golovina"/>
    <n v="2"/>
    <n v="2"/>
    <s v="redpoint"/>
    <n v="10"/>
  </r>
  <r>
    <d v="2022-07-23T00:00:00"/>
    <b v="0"/>
    <n v="23"/>
    <x v="0"/>
    <x v="12"/>
    <s v="La Haine"/>
    <s v="7a+"/>
    <s v="France"/>
    <s v="Le Coupeau"/>
    <s v="Right"/>
    <n v="16"/>
    <s v="16-20"/>
    <s v="Chris Knight"/>
    <n v="2"/>
    <n v="2"/>
    <s v="redpoint"/>
    <n v="15"/>
  </r>
  <r>
    <d v="2022-07-24T00:00:00"/>
    <b v="0"/>
    <n v="24"/>
    <x v="0"/>
    <x v="12"/>
    <s v="Doigts de fée pour un cœur de lion"/>
    <s v="7a+"/>
    <s v="France"/>
    <s v="Le Coupeau"/>
    <s v="Left"/>
    <n v="16"/>
    <s v="16-20"/>
    <s v="Chris Knight"/>
    <n v="2"/>
    <n v="2"/>
    <s v="redpoint"/>
    <n v="15"/>
  </r>
  <r>
    <d v="2022-09-04T00:00:00"/>
    <b v="0"/>
    <n v="4"/>
    <x v="10"/>
    <x v="12"/>
    <s v="Combat des chefs"/>
    <s v="7a+"/>
    <s v="France"/>
    <s v="Roc d'Anglars"/>
    <s v="Plan Plan"/>
    <n v="27"/>
    <s v="26-30"/>
    <s v="Teddy"/>
    <n v="5"/>
    <n v="5"/>
    <s v="redpoint"/>
    <n v="15"/>
  </r>
  <r>
    <d v="2022-10-08T00:00:00"/>
    <b v="0"/>
    <n v="8"/>
    <x v="11"/>
    <x v="12"/>
    <s v="Schuh des Manitou "/>
    <s v="7a"/>
    <s v="Austria"/>
    <s v="Zillertal - Ewige Jagdgründe"/>
    <s v="Wam"/>
    <n v="20"/>
    <s v="16-20"/>
    <s v="Juman"/>
    <s v="onsight"/>
    <n v="1"/>
    <s v="onsight"/>
    <n v="10"/>
  </r>
  <r>
    <d v="2022-10-08T00:00:00"/>
    <b v="0"/>
    <n v="8"/>
    <x v="11"/>
    <x v="12"/>
    <s v="Maracuja"/>
    <s v="7a"/>
    <s v="Austria"/>
    <s v="Zillertal - Ewige Jagdgründe"/>
    <s v="Wig"/>
    <n v="18"/>
    <s v="16-20"/>
    <s v="Juman"/>
    <s v="onsight"/>
    <n v="1"/>
    <s v="onsight"/>
    <n v="10"/>
  </r>
  <r>
    <d v="2022-11-01T00:00:00"/>
    <b v="0"/>
    <n v="1"/>
    <x v="4"/>
    <x v="12"/>
    <s v="It's Easy"/>
    <s v="7a+"/>
    <s v="Austria"/>
    <s v="Martinswand"/>
    <s v="Dschungelbuch Hauptteil"/>
    <n v="15"/>
    <s v="11-15"/>
    <s v="Chris Awe"/>
    <n v="3"/>
    <n v="3"/>
    <s v="redpoint"/>
    <n v="15"/>
  </r>
  <r>
    <d v="2022-11-05T00:00:00"/>
    <b v="0"/>
    <n v="5"/>
    <x v="4"/>
    <x v="12"/>
    <s v="Kotitscha"/>
    <s v="7a"/>
    <s v="Austria"/>
    <s v="Martinswand"/>
    <s v="Dschungelbuch Hauptteil"/>
    <n v="20"/>
    <s v="16-20"/>
    <s v="Chris Awe"/>
    <s v="onsight"/>
    <n v="1"/>
    <s v="onsight"/>
    <n v="10"/>
  </r>
  <r>
    <d v="2022-11-12T00:00:00"/>
    <b v="0"/>
    <n v="12"/>
    <x v="4"/>
    <x v="12"/>
    <s v="Blitzaktion"/>
    <s v="7a"/>
    <s v="Austria"/>
    <s v="Ötztal"/>
    <s v="Engelswand"/>
    <n v="12"/>
    <s v="11-15"/>
    <s v="Chris Awe"/>
    <n v="2"/>
    <n v="2"/>
    <s v="redpoint"/>
    <n v="10"/>
  </r>
  <r>
    <d v="2022-11-19T00:00:00"/>
    <b v="0"/>
    <n v="19"/>
    <x v="4"/>
    <x v="12"/>
    <s v="Blockparty"/>
    <s v="7a"/>
    <s v="Italy"/>
    <s v="Unterinn"/>
    <s v="Unterinn"/>
    <n v="10"/>
    <s v="0-10"/>
    <s v="Chris Awe"/>
    <n v="4"/>
    <n v="4"/>
    <s v="redpoint"/>
    <n v="10"/>
  </r>
  <r>
    <d v="2023-02-06T00:00:00"/>
    <b v="0"/>
    <n v="6"/>
    <x v="7"/>
    <x v="13"/>
    <s v="?"/>
    <s v="7a"/>
    <s v="Spain"/>
    <s v="Siurana"/>
    <s v="L'Herbolari"/>
    <n v="15"/>
    <s v="11-15"/>
    <s v="Lena"/>
    <n v="2"/>
    <n v="2"/>
    <s v="redpoint"/>
    <n v="10"/>
  </r>
  <r>
    <d v="2023-02-09T00:00:00"/>
    <b v="0"/>
    <n v="9"/>
    <x v="7"/>
    <x v="13"/>
    <s v="L'esquitx"/>
    <s v="7a"/>
    <s v="Spain"/>
    <s v="Siurana"/>
    <s v="Can Toni Gros"/>
    <n v="18"/>
    <s v="16-20"/>
    <s v="Chris Awe"/>
    <s v="flash"/>
    <n v="1"/>
    <s v="flash"/>
    <n v="10"/>
  </r>
  <r>
    <d v="2023-02-09T00:00:00"/>
    <b v="0"/>
    <n v="9"/>
    <x v="7"/>
    <x v="13"/>
    <s v="Jugant amb foc"/>
    <s v="7a"/>
    <s v="Spain"/>
    <s v="Siurana"/>
    <s v="Can Toni Gros"/>
    <n v="25"/>
    <s v="21-25"/>
    <s v="Juman"/>
    <n v="2"/>
    <n v="2"/>
    <s v="redpoint"/>
    <n v="10"/>
  </r>
  <r>
    <d v="2023-02-10T00:00:00"/>
    <b v="0"/>
    <n v="10"/>
    <x v="7"/>
    <x v="13"/>
    <s v="Kun"/>
    <s v="7a"/>
    <s v="Spain"/>
    <s v="Siurana"/>
    <s v="Siuranella Centre"/>
    <n v="28"/>
    <s v="26-30"/>
    <s v="Juman"/>
    <s v="flash"/>
    <n v="1"/>
    <s v="flash"/>
    <n v="10"/>
  </r>
  <r>
    <d v="2023-02-10T00:00:00"/>
    <b v="0"/>
    <n v="10"/>
    <x v="7"/>
    <x v="13"/>
    <s v="Mort de gana"/>
    <s v="7a"/>
    <s v="Spain"/>
    <s v="Siurana"/>
    <s v="Siuranella Centre"/>
    <n v="20"/>
    <s v="16-20"/>
    <s v="Lena"/>
    <n v="2"/>
    <n v="2"/>
    <s v="redpoint"/>
    <n v="10"/>
  </r>
  <r>
    <d v="2023-02-11T00:00:00"/>
    <b v="0"/>
    <n v="11"/>
    <x v="7"/>
    <x v="13"/>
    <s v="Enganyapardals"/>
    <s v="7a"/>
    <s v="Spain"/>
    <s v="Siurana"/>
    <s v="Siuranella Centre"/>
    <n v="28"/>
    <s v="26-30"/>
    <s v="Juman"/>
    <s v="onsight"/>
    <n v="1"/>
    <s v="onsight"/>
    <n v="10"/>
  </r>
  <r>
    <d v="2023-02-19T00:00:00"/>
    <b v="0"/>
    <n v="19"/>
    <x v="7"/>
    <x v="13"/>
    <s v="Fumanchu"/>
    <s v="7a+"/>
    <s v="Spain"/>
    <s v="Siurana"/>
    <s v="Négociée"/>
    <n v="18"/>
    <s v="16-20"/>
    <s v="Lena"/>
    <n v="2"/>
    <n v="2"/>
    <s v="redpoint"/>
    <n v="15"/>
  </r>
  <r>
    <d v="2023-02-19T00:00:00"/>
    <b v="0"/>
    <n v="19"/>
    <x v="7"/>
    <x v="13"/>
    <s v="Permagel"/>
    <s v="7a"/>
    <s v="Spain"/>
    <s v="Siurana"/>
    <s v="Siuranella Este"/>
    <n v="25"/>
    <s v="21-25"/>
    <s v="Chris Awe"/>
    <n v="2"/>
    <n v="2"/>
    <s v="redpoint"/>
    <n v="10"/>
  </r>
  <r>
    <d v="2023-02-22T00:00:00"/>
    <b v="0"/>
    <n v="22"/>
    <x v="7"/>
    <x v="13"/>
    <s v="L'os"/>
    <s v="7a"/>
    <s v="Spain"/>
    <s v="Marxuquera"/>
    <s v="Potente"/>
    <n v="18"/>
    <s v="16-20"/>
    <s v="Natasha"/>
    <s v="onsight"/>
    <n v="1"/>
    <s v="onsight"/>
    <n v="10"/>
  </r>
  <r>
    <d v="2023-02-26T00:00:00"/>
    <b v="0"/>
    <n v="26"/>
    <x v="7"/>
    <x v="13"/>
    <s v="Mikel"/>
    <s v="7a"/>
    <s v="Spain"/>
    <s v="Chulilla"/>
    <s v="Cherales Grande"/>
    <n v="30"/>
    <s v="26-30"/>
    <s v="Bernardo"/>
    <s v="onsight"/>
    <n v="1"/>
    <s v="onsight"/>
    <n v="10"/>
  </r>
  <r>
    <d v="2023-02-26T00:00:00"/>
    <b v="0"/>
    <n v="26"/>
    <x v="7"/>
    <x v="13"/>
    <s v="Y un cacau más"/>
    <s v="7a"/>
    <s v="Spain"/>
    <s v="Chulilla"/>
    <s v="Cherales Grande"/>
    <n v="25"/>
    <s v="21-25"/>
    <s v="Lena"/>
    <s v="flash"/>
    <n v="1"/>
    <s v="flash"/>
    <n v="10"/>
  </r>
  <r>
    <d v="2023-02-27T00:00:00"/>
    <b v="0"/>
    <n v="27"/>
    <x v="7"/>
    <x v="13"/>
    <s v="Hijos de Caín"/>
    <s v="7a"/>
    <s v="Spain"/>
    <s v="Chulilla"/>
    <s v="Perros"/>
    <n v="16"/>
    <s v="16-20"/>
    <s v="Klaus Charfreitag"/>
    <s v="onsight"/>
    <n v="1"/>
    <s v="onsight"/>
    <n v="10"/>
  </r>
  <r>
    <d v="2023-03-24T00:00:00"/>
    <b v="0"/>
    <n v="24"/>
    <x v="8"/>
    <x v="13"/>
    <s v="Wunderbare Welt der Schwerkraft "/>
    <s v="7a"/>
    <s v="Austria"/>
    <s v="Martinswand"/>
    <s v="Wunderbare Welt"/>
    <n v="22"/>
    <s v="21-25"/>
    <s v="Tibor"/>
    <s v="flash"/>
    <n v="1"/>
    <s v="flash"/>
    <n v="10"/>
  </r>
  <r>
    <d v="2023-05-27T00:00:00"/>
    <b v="0"/>
    <n v="27"/>
    <x v="2"/>
    <x v="13"/>
    <s v="Secret Garden"/>
    <s v="7a"/>
    <s v="Austria"/>
    <s v="Berglsteinersee"/>
    <s v="Secret Garden"/>
    <n v="15"/>
    <s v="11-15"/>
    <s v="Chris Awe"/>
    <n v="2"/>
    <n v="2"/>
    <s v="redpoint"/>
    <n v="10"/>
  </r>
  <r>
    <d v="2023-06-17T00:00:00"/>
    <b v="0"/>
    <n v="17"/>
    <x v="9"/>
    <x v="13"/>
    <s v="Bold Man"/>
    <s v="7a"/>
    <s v="Austria"/>
    <s v="Hundepension"/>
    <s v="Knappenwand"/>
    <n v="18"/>
    <s v="16-20"/>
    <s v="Chris Awe"/>
    <n v="2"/>
    <n v="2"/>
    <s v="redpoint"/>
    <n v="10"/>
  </r>
  <r>
    <d v="2023-07-03T00:00:00"/>
    <b v="0"/>
    <n v="3"/>
    <x v="0"/>
    <x v="13"/>
    <s v="Verschneidung links"/>
    <s v="7a"/>
    <s v="Austria"/>
    <s v="Zillertal - Astholz"/>
    <s v="Astholz"/>
    <n v="20"/>
    <s v="16-20"/>
    <s v="Asier"/>
    <n v="2"/>
    <n v="2"/>
    <s v="redpoint"/>
    <n v="10"/>
  </r>
  <r>
    <d v="2023-07-03T00:00:00"/>
    <b v="0"/>
    <n v="3"/>
    <x v="0"/>
    <x v="13"/>
    <s v="Gebi Crack"/>
    <s v="7a"/>
    <s v="Austria"/>
    <s v="Zillertal - Astholz"/>
    <s v="Astholz"/>
    <n v="10"/>
    <s v="0-10"/>
    <s v="Asier"/>
    <n v="2"/>
    <n v="2"/>
    <s v="redpoint"/>
    <n v="10"/>
  </r>
  <r>
    <d v="2023-07-03T00:00:00"/>
    <b v="0"/>
    <n v="3"/>
    <x v="0"/>
    <x v="13"/>
    <s v="Was nicht passt wird passend gemacht"/>
    <s v="7a"/>
    <s v="Austria"/>
    <s v="Zillertal - Astholz"/>
    <s v="Astholz"/>
    <n v="20"/>
    <s v="16-20"/>
    <s v="Asier"/>
    <n v="2"/>
    <n v="2"/>
    <s v="redpoint"/>
    <n v="10"/>
  </r>
  <r>
    <d v="2023-09-17T00:00:00"/>
    <b v="0"/>
    <n v="17"/>
    <x v="10"/>
    <x v="13"/>
    <s v="Dödl up"/>
    <s v="7a"/>
    <s v="Austria"/>
    <s v="Hundepension"/>
    <s v="Knappenwand"/>
    <n v="12"/>
    <s v="11-15"/>
    <s v="Tibor"/>
    <n v="3"/>
    <n v="3"/>
    <s v="redpoint"/>
    <n v="10"/>
  </r>
  <r>
    <d v="2023-10-28T00:00:00"/>
    <b v="0"/>
    <n v="28"/>
    <x v="11"/>
    <x v="13"/>
    <s v="Hokus Pokus"/>
    <s v="7a"/>
    <s v="Austria"/>
    <s v="Ötztal"/>
    <s v="Ötz"/>
    <n v="18"/>
    <s v="16-20"/>
    <s v="Betka"/>
    <n v="2"/>
    <n v="2"/>
    <s v="redpoint"/>
    <n v="10"/>
  </r>
  <r>
    <d v="2023-11-04T00:00:00"/>
    <b v="0"/>
    <n v="4"/>
    <x v="4"/>
    <x v="13"/>
    <s v="Tiramisu"/>
    <s v="7a"/>
    <s v="Austria"/>
    <s v="Starkenbach"/>
    <s v="Herbstwind"/>
    <n v="15"/>
    <s v="11-15"/>
    <s v="Betka"/>
    <n v="2"/>
    <n v="2"/>
    <s v="redpoint"/>
    <n v="10"/>
  </r>
  <r>
    <d v="2023-11-04T00:00:00"/>
    <b v="0"/>
    <n v="4"/>
    <x v="4"/>
    <x v="13"/>
    <s v="Türkischer Kaffee"/>
    <s v="7a"/>
    <s v="Austria"/>
    <s v="Starkenbach"/>
    <s v="Herbstwind"/>
    <n v="10"/>
    <s v="0-10"/>
    <s v="Betka"/>
    <n v="3"/>
    <n v="3"/>
    <s v="redpoint"/>
    <n v="10"/>
  </r>
  <r>
    <d v="2024-01-28T00:00:00"/>
    <b v="0"/>
    <n v="28"/>
    <x v="6"/>
    <x v="14"/>
    <s v="Vecchia Roma"/>
    <s v="7a"/>
    <s v="Austria"/>
    <s v="Martinswand"/>
    <s v="Wunderbare Welt"/>
    <n v="22"/>
    <s v="21-25"/>
    <s v="Tibor"/>
    <n v="6"/>
    <n v="6"/>
    <s v="redpoint"/>
    <n v="10"/>
  </r>
  <r>
    <d v="2024-03-10T00:00:00"/>
    <b v="0"/>
    <n v="10"/>
    <x v="8"/>
    <x v="14"/>
    <s v="Mister Inzing"/>
    <s v="7a+"/>
    <s v="Austria"/>
    <s v="Martinswand"/>
    <s v="Dschungelbuch Hauptteil"/>
    <n v="22"/>
    <s v="21-25"/>
    <s v="Chris Awe"/>
    <n v="2"/>
    <n v="2"/>
    <s v="redpoint"/>
    <n v="15"/>
  </r>
  <r>
    <d v="2024-03-20T00:00:00"/>
    <b v="0"/>
    <n v="20"/>
    <x v="8"/>
    <x v="14"/>
    <s v="Der keusche Josef aus dem Zillertal"/>
    <s v="7a"/>
    <s v="Austria"/>
    <s v="Martinswand"/>
    <s v="Wunderbare Welt"/>
    <n v="24"/>
    <s v="21-25"/>
    <s v="Tibor"/>
    <s v="flash"/>
    <n v="1"/>
    <s v="flash"/>
    <n v="10"/>
  </r>
  <r>
    <d v="2024-04-09T00:00:00"/>
    <b v="0"/>
    <n v="9"/>
    <x v="1"/>
    <x v="14"/>
    <s v="Viva die Fichte"/>
    <s v="7a"/>
    <s v="Austria"/>
    <s v="Martinswand"/>
    <s v="Wunderbare Welt"/>
    <n v="18"/>
    <s v="16-20"/>
    <s v="Tibor"/>
    <n v="3"/>
    <n v="3"/>
    <s v="redpoint"/>
    <n v="10"/>
  </r>
  <r>
    <d v="2024-04-09T00:00:00"/>
    <b v="0"/>
    <n v="9"/>
    <x v="1"/>
    <x v="14"/>
    <s v="Die Null im Kondom"/>
    <s v="7a"/>
    <s v="Austria"/>
    <s v="Martinswand"/>
    <s v="Wunderbare Welt"/>
    <n v="20"/>
    <s v="16-20"/>
    <s v="Tibor"/>
    <n v="2"/>
    <n v="2"/>
    <s v="redpoint"/>
    <n v="10"/>
  </r>
  <r>
    <d v="2024-05-01T00:00:00"/>
    <b v="0"/>
    <n v="1"/>
    <x v="2"/>
    <x v="14"/>
    <s v="Glasierte Leiste"/>
    <s v="7a+"/>
    <s v="Germany"/>
    <s v="Bichlersee"/>
    <s v="Bichlersee"/>
    <n v="22"/>
    <s v="21-25"/>
    <s v="Nadine"/>
    <n v="2"/>
    <n v="2"/>
    <s v="redpoint"/>
    <n v="15"/>
  </r>
  <r>
    <d v="2024-09-21T00:00:00"/>
    <b v="0"/>
    <n v="21"/>
    <x v="10"/>
    <x v="14"/>
    <s v="Little Lenny"/>
    <s v="7b"/>
    <s v="Austria"/>
    <s v="Silz"/>
    <s v="Guanacho"/>
    <n v="20"/>
    <s v="16-20"/>
    <s v="Christian"/>
    <n v="5"/>
    <n v="5"/>
    <s v="redpoint"/>
    <n v="25"/>
  </r>
  <r>
    <d v="2024-09-22T00:00:00"/>
    <b v="0"/>
    <n v="22"/>
    <x v="10"/>
    <x v="14"/>
    <s v="Sisyphos"/>
    <s v="7a+"/>
    <s v="Austria"/>
    <s v="Silz"/>
    <s v="Guanacho"/>
    <n v="12"/>
    <s v="11-15"/>
    <s v="Tibor"/>
    <s v="onsight"/>
    <n v="1"/>
    <s v="onsight"/>
    <n v="15"/>
  </r>
  <r>
    <d v="2024-09-22T00:00:00"/>
    <b v="0"/>
    <n v="22"/>
    <x v="10"/>
    <x v="14"/>
    <s v="Grissini Kombo"/>
    <s v="7a"/>
    <s v="Austria"/>
    <s v="Silz"/>
    <s v="Guanacho"/>
    <n v="20"/>
    <s v="16-20"/>
    <s v="Tibor"/>
    <n v="3"/>
    <n v="3"/>
    <s v="redpoint"/>
    <n v="10"/>
  </r>
  <r>
    <d v="2024-10-06T00:00:00"/>
    <b v="0"/>
    <n v="6"/>
    <x v="11"/>
    <x v="14"/>
    <s v="Mei ... was bringts ma?"/>
    <s v="7a+"/>
    <s v="Austria"/>
    <s v="Silz"/>
    <s v="Guanacho"/>
    <n v="20"/>
    <s v="16-20"/>
    <s v="Christian"/>
    <n v="4"/>
    <n v="4"/>
    <s v="redpoint"/>
    <n v="15"/>
  </r>
  <r>
    <d v="2024-11-17T00:00:00"/>
    <b v="0"/>
    <n v="17"/>
    <x v="4"/>
    <x v="14"/>
    <s v="Miss Easy"/>
    <s v="7c"/>
    <s v="Austria"/>
    <s v="Martinswand"/>
    <s v="Dschungelbuch Hauptteil"/>
    <n v="18"/>
    <s v="16-20"/>
    <s v="Christian"/>
    <n v="24"/>
    <n v="24"/>
    <s v="redpoint"/>
    <n v="60"/>
  </r>
  <r>
    <d v="2025-03-04T00:00:00"/>
    <b v="0"/>
    <n v="4"/>
    <x v="8"/>
    <x v="15"/>
    <s v="Crosta Panic"/>
    <s v="7a+"/>
    <s v="Spain"/>
    <s v="Siurana"/>
    <s v="El Pati"/>
    <n v="25"/>
    <s v="21-25"/>
    <s v="Tibor"/>
    <n v="2"/>
    <n v="2"/>
    <s v="redpoint"/>
    <n v="15"/>
  </r>
  <r>
    <d v="2025-03-08T00:00:00"/>
    <b v="0"/>
    <n v="8"/>
    <x v="8"/>
    <x v="15"/>
    <s v="Corta y dura"/>
    <s v="7a+"/>
    <s v="Spain"/>
    <s v="Masriudoms"/>
    <s v="Cova d’en Marian"/>
    <n v="8"/>
    <s v="0-10"/>
    <s v="Francesco"/>
    <n v="2"/>
    <n v="2"/>
    <s v="redpoint"/>
    <n v="15"/>
  </r>
  <r>
    <d v="2025-03-08T00:00:00"/>
    <b v="0"/>
    <n v="8"/>
    <x v="8"/>
    <x v="15"/>
    <s v="? (left of forn de pa)"/>
    <s v="7a"/>
    <s v="Spain"/>
    <s v="Masriudoms"/>
    <s v="Cova d’en Marian"/>
    <n v="27"/>
    <s v="26-30"/>
    <s v="Francesco"/>
    <n v="1"/>
    <n v="1"/>
    <s v="flash"/>
    <n v="10"/>
  </r>
  <r>
    <d v="2025-03-09T00:00:00"/>
    <b v="0"/>
    <n v="9"/>
    <x v="8"/>
    <x v="15"/>
    <s v="Colze de nena"/>
    <s v="7a+"/>
    <s v="Spain"/>
    <s v="Siurana"/>
    <s v="Siuranella Centre"/>
    <n v="22"/>
    <s v="21-25"/>
    <s v="Francesco"/>
    <n v="5"/>
    <n v="5"/>
    <s v="redpoint"/>
    <n v="15"/>
  </r>
  <r>
    <d v="2025-03-09T00:00:00"/>
    <b v="0"/>
    <n v="9"/>
    <x v="8"/>
    <x v="15"/>
    <s v="La vileta"/>
    <s v="7a"/>
    <s v="Spain"/>
    <s v="Siurana"/>
    <s v="Siuranella Centre"/>
    <n v="25"/>
    <s v="21-25"/>
    <s v="Francesco"/>
    <n v="2"/>
    <n v="2"/>
    <s v="redpoint"/>
    <n v="10"/>
  </r>
  <r>
    <d v="2025-03-10T00:00:00"/>
    <b v="0"/>
    <n v="10"/>
    <x v="8"/>
    <x v="15"/>
    <s v="Humor de gos"/>
    <s v="7a+"/>
    <s v="Spain"/>
    <s v="Siurana"/>
    <s v="Can Toni Gros"/>
    <n v="30"/>
    <s v="26-30"/>
    <s v="Luca"/>
    <n v="3"/>
    <n v="3"/>
    <s v="redpoint"/>
    <n v="15"/>
  </r>
  <r>
    <d v="2025-03-16T00:00:00"/>
    <b v="0"/>
    <n v="16"/>
    <x v="8"/>
    <x v="15"/>
    <s v="Lua"/>
    <s v="7c"/>
    <s v="Spain"/>
    <s v="Siurana"/>
    <s v="Siuranella Este"/>
    <n v="40"/>
    <s v="35+"/>
    <s v="Tibor"/>
    <n v="8"/>
    <n v="8"/>
    <s v="redpoint"/>
    <n v="60"/>
  </r>
  <r>
    <d v="2025-03-17T00:00:00"/>
    <b v="0"/>
    <n v="17"/>
    <x v="8"/>
    <x v="15"/>
    <s v="Menjapendulo"/>
    <s v="7b"/>
    <s v="Spain"/>
    <s v="Siurana"/>
    <s v="Esperó Primavera"/>
    <n v="30"/>
    <s v="26-30"/>
    <s v="Tibor"/>
    <n v="2"/>
    <n v="2"/>
    <s v="redpoint"/>
    <n v="25"/>
  </r>
  <r>
    <d v="2025-03-18T00:00:00"/>
    <b v="0"/>
    <n v="18"/>
    <x v="8"/>
    <x v="15"/>
    <s v="Bellini"/>
    <s v="7a"/>
    <s v="Spain"/>
    <s v="Arboli"/>
    <s v="Falcololo"/>
    <n v="16"/>
    <s v="16-20"/>
    <s v="Yun"/>
    <n v="3"/>
    <n v="3"/>
    <s v="redpoint"/>
    <n v="10"/>
  </r>
  <r>
    <d v="2025-03-22T00:00:00"/>
    <b v="0"/>
    <n v="22"/>
    <x v="8"/>
    <x v="15"/>
    <s v="Guybrush"/>
    <s v="7a"/>
    <s v="Spain"/>
    <s v="Margalef"/>
    <s v="Espadelles extension"/>
    <n v="20"/>
    <s v="16-20"/>
    <s v="Tibor"/>
    <n v="2"/>
    <n v="2"/>
    <s v="redpoint"/>
    <n v="10"/>
  </r>
  <r>
    <d v="2025-03-24T00:00:00"/>
    <b v="0"/>
    <n v="24"/>
    <x v="8"/>
    <x v="15"/>
    <s v="Abre los ojos"/>
    <s v="7b"/>
    <s v="Spain"/>
    <s v="Siurana"/>
    <s v="Siuranella Sud"/>
    <n v="19"/>
    <s v="16-20"/>
    <s v="Tibor"/>
    <n v="3"/>
    <n v="3"/>
    <s v="redpoint"/>
    <n v="25"/>
  </r>
  <r>
    <d v="2025-03-24T00:00:00"/>
    <b v="0"/>
    <n v="24"/>
    <x v="8"/>
    <x v="15"/>
    <s v="La secallona"/>
    <s v="7a"/>
    <s v="Spain"/>
    <s v="Siurana"/>
    <s v="Siuranella Sud"/>
    <n v="24"/>
    <s v="21-25"/>
    <s v="Tibor"/>
    <n v="2"/>
    <n v="2"/>
    <s v="redpoint"/>
    <n v="10"/>
  </r>
  <r>
    <d v="2025-03-29T00:00:00"/>
    <b v="1"/>
    <n v="29"/>
    <x v="8"/>
    <x v="15"/>
    <s v="Sgeve d’autore"/>
    <s v="7a"/>
    <s v="Italy"/>
    <s v="Arco"/>
    <s v="Giardino di Nato"/>
    <n v="15"/>
    <s v="11-15"/>
    <s v="Chrissi"/>
    <s v="onsight"/>
    <n v="1"/>
    <s v="onsight"/>
    <n v="10"/>
  </r>
  <r>
    <d v="2025-03-29T00:00:00"/>
    <b v="1"/>
    <n v="29"/>
    <x v="8"/>
    <x v="15"/>
    <s v="Lo slancio"/>
    <s v="7b"/>
    <s v="Italy"/>
    <s v="Arco"/>
    <s v="Giardino di Nato"/>
    <n v="15"/>
    <s v="11-15"/>
    <s v="Chrissi"/>
    <n v="3"/>
    <n v="3"/>
    <s v="redpoint"/>
    <n v="25"/>
  </r>
  <r>
    <d v="2025-03-30T00:00:00"/>
    <b v="1"/>
    <n v="30"/>
    <x v="8"/>
    <x v="15"/>
    <s v="Cintura di Orione"/>
    <s v="7a+"/>
    <s v="Italy"/>
    <s v="Arco"/>
    <s v="Petra Marginis"/>
    <n v="33"/>
    <s v="31-35"/>
    <s v="Chrissi"/>
    <s v="onsight"/>
    <n v="1"/>
    <s v="onsight"/>
    <n v="15"/>
  </r>
  <r>
    <d v="2025-04-06T00:00:00"/>
    <b v="1"/>
    <n v="6"/>
    <x v="1"/>
    <x v="15"/>
    <s v="Hundertwasser"/>
    <s v="7b+"/>
    <s v="Austria"/>
    <s v="Martinswand"/>
    <s v="Wunderbare Welt"/>
    <n v="26"/>
    <s v="26-30"/>
    <s v="Chrissi"/>
    <n v="5"/>
    <n v="5"/>
    <s v="redpoint"/>
    <n v="40"/>
  </r>
  <r>
    <d v="2025-04-21T00:00:00"/>
    <b v="1"/>
    <n v="21"/>
    <x v="1"/>
    <x v="15"/>
    <s v="Down Under"/>
    <s v="7a+"/>
    <s v="Austria"/>
    <s v="Martinswand"/>
    <s v="Bogen"/>
    <n v="22"/>
    <s v="21-25"/>
    <s v="Chrissi"/>
    <n v="6"/>
    <n v="6"/>
    <s v="redpoint"/>
    <n v="15"/>
  </r>
  <r>
    <d v="2025-04-27T00:00:00"/>
    <b v="1"/>
    <n v="27"/>
    <x v="1"/>
    <x v="15"/>
    <s v="Blue Ice"/>
    <s v="7a"/>
    <s v="Austria"/>
    <s v="Zillertal -Monkey Island"/>
    <s v="La Vita e Bella"/>
    <n v="20"/>
    <s v="16-20"/>
    <s v="Chrissi"/>
    <s v="onsight"/>
    <n v="1"/>
    <s v="onsight"/>
    <n v="10"/>
  </r>
  <r>
    <d v="2025-04-27T00:00:00"/>
    <b v="1"/>
    <n v="27"/>
    <x v="1"/>
    <x v="15"/>
    <s v="Stubentiger"/>
    <s v="7a+"/>
    <s v="Austria"/>
    <s v="Zillertal -Monkey Island"/>
    <s v="La Vita e Bella"/>
    <n v="20"/>
    <s v="16-20"/>
    <s v="Chrissi"/>
    <s v="onsight"/>
    <n v="1"/>
    <s v="onsight"/>
    <n v="15"/>
  </r>
  <r>
    <d v="2025-04-27T00:00:00"/>
    <b v="1"/>
    <n v="27"/>
    <x v="1"/>
    <x v="15"/>
    <s v="Schuppen Flipp"/>
    <s v="7b"/>
    <s v="Austria"/>
    <s v="Zillertal -Monkey Island"/>
    <s v="La Vita e Bella"/>
    <n v="20"/>
    <s v="16-20"/>
    <s v="Chrissi"/>
    <n v="2"/>
    <n v="2"/>
    <s v="redpoint"/>
    <n v="25"/>
  </r>
  <r>
    <d v="2025-05-11T00:00:00"/>
    <b v="1"/>
    <n v="11"/>
    <x v="2"/>
    <x v="15"/>
    <s v="Oktan"/>
    <s v="7a"/>
    <s v="Austria"/>
    <s v="Achleiten"/>
    <s v="Hauptsektor links"/>
    <n v="10"/>
    <s v="0-10"/>
    <s v="Chrissi"/>
    <n v="2"/>
    <n v="2"/>
    <s v="redpoint"/>
    <n v="10"/>
  </r>
  <r>
    <d v="2025-05-11T00:00:00"/>
    <b v="1"/>
    <n v="11"/>
    <x v="2"/>
    <x v="15"/>
    <s v="Nirvana"/>
    <s v="7a"/>
    <s v="Austria"/>
    <s v="Achleiten"/>
    <s v="Hauptsektor links"/>
    <n v="10"/>
    <s v="0-10"/>
    <s v="Chrissi"/>
    <n v="2"/>
    <n v="2"/>
    <s v="redpoint"/>
    <n v="10"/>
  </r>
  <r>
    <d v="2025-05-24T00:00:00"/>
    <b v="1"/>
    <n v="24"/>
    <x v="2"/>
    <x v="15"/>
    <s v="Glücksgriff"/>
    <s v="7c"/>
    <s v="Austria"/>
    <s v="Berglsteinersee"/>
    <s v="Zentral"/>
    <n v="25"/>
    <s v="21-25"/>
    <s v="Chrissi"/>
    <n v="5"/>
    <n v="5"/>
    <s v="redpoint"/>
    <n v="60"/>
  </r>
  <r>
    <d v="2025-06-27T00:00:00"/>
    <b v="1"/>
    <n v="27"/>
    <x v="9"/>
    <x v="15"/>
    <s v="Fotznknecht"/>
    <s v="7c+"/>
    <s v="Austria"/>
    <s v="Silz"/>
    <s v="Guanacho"/>
    <n v="20"/>
    <s v="16-20"/>
    <s v="Christian"/>
    <n v="14"/>
    <n v="14"/>
    <s v="redpoint"/>
    <n v="80"/>
  </r>
  <r>
    <d v="2025-07-23T00:00:00"/>
    <b v="1"/>
    <n v="23"/>
    <x v="0"/>
    <x v="15"/>
    <s v="Coconut shake"/>
    <s v="7a"/>
    <s v="France"/>
    <s v="Ailefroide"/>
    <s v="La gorge"/>
    <n v="30"/>
    <s v="26-30"/>
    <s v="Chrissi"/>
    <n v="2"/>
    <n v="2"/>
    <s v="redpoint"/>
    <n v="10"/>
  </r>
  <r>
    <d v="2025-07-27T00:00:00"/>
    <b v="1"/>
    <n v="27"/>
    <x v="0"/>
    <x v="15"/>
    <s v="El fuego de la muerte"/>
    <s v="7a"/>
    <s v="France"/>
    <s v="Gorges du Tarn"/>
    <s v="Shadocks"/>
    <n v="18"/>
    <s v="16-20"/>
    <s v="Chrissi"/>
    <s v="onsight"/>
    <n v="1"/>
    <s v="onsight"/>
    <n v="10"/>
  </r>
  <r>
    <d v="2025-07-27T00:00:00"/>
    <b v="1"/>
    <n v="27"/>
    <x v="0"/>
    <x v="15"/>
    <s v="Maitre lardon"/>
    <s v="7a"/>
    <s v="France"/>
    <s v="Gorges du Tarn"/>
    <s v="Shadocks"/>
    <n v="22"/>
    <s v="21-25"/>
    <s v="Chrissi"/>
    <s v="onsight"/>
    <n v="1"/>
    <s v="onsight"/>
    <n v="10"/>
  </r>
  <r>
    <d v="2025-07-29T00:00:00"/>
    <b v="1"/>
    <n v="29"/>
    <x v="0"/>
    <x v="15"/>
    <s v="Farniente"/>
    <s v="7a"/>
    <s v="France"/>
    <s v="Gorges du Tarn"/>
    <s v="De que fas aqui?"/>
    <n v="27"/>
    <s v="26-30"/>
    <s v="Chrissi"/>
    <s v="onsight"/>
    <n v="1"/>
    <s v="onsight"/>
    <n v="10"/>
  </r>
  <r>
    <d v="2025-08-19T00:00:00"/>
    <b v="1"/>
    <n v="19"/>
    <x v="3"/>
    <x v="15"/>
    <s v="Butxiko"/>
    <s v="7b"/>
    <s v="Spain"/>
    <s v="Etxauri"/>
    <s v="Kiriako norte"/>
    <n v="30"/>
    <s v="26-30"/>
    <s v="Chrissi"/>
    <s v="onsight"/>
    <n v="1"/>
    <s v="onsight"/>
    <n v="25"/>
  </r>
  <r>
    <d v="2025-08-20T00:00:00"/>
    <b v="1"/>
    <n v="20"/>
    <x v="3"/>
    <x v="15"/>
    <s v="Master of puppets"/>
    <s v="7a"/>
    <s v="Spain"/>
    <s v="Etxauri"/>
    <s v="Gradas de Ciriza central"/>
    <n v="28"/>
    <s v="26-30"/>
    <s v="Chrissi"/>
    <n v="2"/>
    <n v="2"/>
    <s v="redpoint"/>
    <n v="10"/>
  </r>
  <r>
    <d v="2025-08-25T00:00:00"/>
    <b v="1"/>
    <n v="25"/>
    <x v="3"/>
    <x v="15"/>
    <s v="Reve de singe"/>
    <s v="7a"/>
    <s v="France"/>
    <s v="Dent de la Rancune"/>
    <s v="Nord"/>
    <n v="25"/>
    <s v="21-25"/>
    <s v="Chrissi"/>
    <n v="2"/>
    <n v="2"/>
    <s v="redpoint"/>
    <n v="10"/>
  </r>
  <r>
    <d v="2025-09-06T00:00:00"/>
    <b v="1"/>
    <n v="6"/>
    <x v="10"/>
    <x v="15"/>
    <s v="Think Pink"/>
    <s v="7a"/>
    <s v="Austria"/>
    <s v="Sautens"/>
    <s v="Rammelstein"/>
    <n v="11"/>
    <s v="11-15"/>
    <s v="Chrissi"/>
    <n v="2"/>
    <n v="2"/>
    <s v="redpoint"/>
    <n v="10"/>
  </r>
  <r>
    <d v="2025-09-06T00:00:00"/>
    <b v="1"/>
    <n v="6"/>
    <x v="10"/>
    <x v="15"/>
    <s v="Goldstück"/>
    <s v="7a"/>
    <s v="Austria"/>
    <s v="Sautens"/>
    <s v="Jonathan rechts"/>
    <n v="15"/>
    <s v="11-15"/>
    <s v="Chrissi"/>
    <s v="onsight"/>
    <n v="1"/>
    <s v="onsight"/>
    <n v="10"/>
  </r>
  <r>
    <d v="2025-10-18T00:00:00"/>
    <b v="1"/>
    <n v="18"/>
    <x v="11"/>
    <x v="15"/>
    <s v="Magnilie di cioccolato"/>
    <s v="7a+"/>
    <s v="Italy"/>
    <s v="Arco"/>
    <s v="Falegnameria"/>
    <n v="22"/>
    <s v="21-25"/>
    <s v="Christian"/>
    <n v="5"/>
    <n v="5"/>
    <s v="redpoint"/>
    <n v="15"/>
  </r>
  <r>
    <d v="2025-10-19T00:00:00"/>
    <b v="1"/>
    <n v="19"/>
    <x v="11"/>
    <x v="15"/>
    <s v="Orgasmatic L1"/>
    <s v="7a"/>
    <s v="Italy"/>
    <s v="Arco"/>
    <s v="Cavedine"/>
    <n v="18"/>
    <s v="16-20"/>
    <s v="Christian"/>
    <n v="2"/>
    <n v="2"/>
    <s v="redpoint"/>
    <n v="10"/>
  </r>
  <r>
    <d v="2025-10-19T00:00:00"/>
    <b v="1"/>
    <n v="19"/>
    <x v="11"/>
    <x v="15"/>
    <s v="Diaframma"/>
    <s v="7a"/>
    <s v="Italy"/>
    <s v="Arco"/>
    <s v="Cavedine"/>
    <n v="20"/>
    <s v="16-20"/>
    <s v="Christian"/>
    <n v="2"/>
    <n v="2"/>
    <s v="redpoint"/>
    <n v="10"/>
  </r>
  <r>
    <d v="2025-10-25T00:00:00"/>
    <b v="1"/>
    <n v="25"/>
    <x v="11"/>
    <x v="15"/>
    <s v="Vocheso"/>
    <s v="7b"/>
    <s v="Italy"/>
    <s v="Arco"/>
    <s v="Castel Madruzzo"/>
    <n v="30"/>
    <s v="26-30"/>
    <s v="Chrissi"/>
    <n v="2"/>
    <n v="2"/>
    <s v="redpoint"/>
    <n v="25"/>
  </r>
  <r>
    <d v="2025-10-25T00:00:00"/>
    <b v="1"/>
    <n v="25"/>
    <x v="11"/>
    <x v="15"/>
    <s v="Claudia"/>
    <s v="7a"/>
    <s v="Italy"/>
    <s v="Arco"/>
    <s v="Castel Madruzzo"/>
    <n v="30"/>
    <s v="26-30"/>
    <s v="Chrissi"/>
    <s v="onsight"/>
    <n v="1"/>
    <s v="onsight"/>
    <n v="10"/>
  </r>
  <r>
    <d v="2025-10-25T00:00:00"/>
    <b v="1"/>
    <n v="25"/>
    <x v="11"/>
    <x v="15"/>
    <s v="Adalpreto"/>
    <s v="7a"/>
    <s v="Italy"/>
    <s v="Arco"/>
    <s v="Castel Madruzzo"/>
    <n v="30"/>
    <s v="26-30"/>
    <s v="Chrissi"/>
    <n v="2"/>
    <n v="2"/>
    <s v="redpoint"/>
    <n v="10"/>
  </r>
  <r>
    <d v="2025-10-31T00:00:00"/>
    <b v="1"/>
    <n v="31"/>
    <x v="11"/>
    <x v="15"/>
    <s v="Madame Roquette"/>
    <s v="7a+"/>
    <s v="Italy"/>
    <s v="Arco"/>
    <s v="Bassilandia - Petra Marginis"/>
    <n v="27"/>
    <s v="26-30"/>
    <s v="Chrissi"/>
    <n v="2"/>
    <n v="2"/>
    <s v="redpoint"/>
    <n v="15"/>
  </r>
  <r>
    <d v="2025-10-31T00:00:00"/>
    <b v="1"/>
    <n v="31"/>
    <x v="11"/>
    <x v="15"/>
    <s v="Papillon extension"/>
    <s v="7a"/>
    <s v="Italy"/>
    <s v="Arco"/>
    <s v="Bassilandia - Petra Marginis"/>
    <n v="25"/>
    <s v="21-25"/>
    <s v="Chrissi"/>
    <n v="2"/>
    <n v="2"/>
    <s v="redpoint"/>
    <n v="10"/>
  </r>
  <r>
    <d v="2025-12-07T00:00:00"/>
    <b v="1"/>
    <n v="7"/>
    <x v="5"/>
    <x v="15"/>
    <s v="Il Mare Calmo"/>
    <s v="7a"/>
    <s v="Italy"/>
    <s v="Arco"/>
    <s v="Bassilandia"/>
    <n v="22"/>
    <s v="21-25"/>
    <s v="Chrissi"/>
    <n v="2"/>
    <n v="2"/>
    <s v="redpoint"/>
    <n v="10"/>
  </r>
  <r>
    <d v="2026-02-11T00:00:00"/>
    <b v="1"/>
    <n v="11"/>
    <x v="7"/>
    <x v="16"/>
    <s v="Cucciolo d'uomo"/>
    <s v="7a"/>
    <s v="Italy"/>
    <s v="Arco"/>
    <s v="Bassilandia"/>
    <n v="25"/>
    <s v="21-25"/>
    <s v="Chrissi"/>
    <n v="2"/>
    <n v="2"/>
    <s v="redpoint"/>
    <n v="10"/>
  </r>
  <r>
    <d v="2026-02-13T00:00:00"/>
    <b v="1"/>
    <n v="13"/>
    <x v="7"/>
    <x v="16"/>
    <s v="Extraterrestre"/>
    <s v="7a"/>
    <s v="Italy"/>
    <s v="Arco"/>
    <s v="Bassilandia"/>
    <n v="20"/>
    <s v="16-20"/>
    <s v="Chrissi"/>
    <n v="2"/>
    <n v="2"/>
    <s v="redpoint"/>
    <n v="10"/>
  </r>
  <r>
    <d v="2026-03-07T00:00:00"/>
    <b v="1"/>
    <n v="1"/>
    <x v="8"/>
    <x v="16"/>
    <s v="Kleopatra"/>
    <s v="7b+"/>
    <s v="Austria"/>
    <s v="Martinswand"/>
    <s v="Dschungelbuch Hauptteil"/>
    <n v="15"/>
    <s v="11-15"/>
    <s v="Chris Awe"/>
    <n v="5"/>
    <n v="5"/>
    <s v="redpoint"/>
    <n v="40"/>
  </r>
  <r>
    <d v="2026-03-22T00:00:00"/>
    <b v="1"/>
    <n v="22"/>
    <x v="8"/>
    <x v="16"/>
    <s v="Moonwalk"/>
    <s v="7a"/>
    <s v="Austria"/>
    <s v="Berglsteinersee"/>
    <s v="Zeck"/>
    <n v="15"/>
    <s v="11-15"/>
    <s v="Christian"/>
    <n v="2"/>
    <n v="2"/>
    <s v="redpoint"/>
    <n v="10"/>
  </r>
  <r>
    <d v="2026-03-29T00:00:00"/>
    <b v="1"/>
    <n v="29"/>
    <x v="8"/>
    <x v="16"/>
    <s v="Fridolín"/>
    <s v="7b"/>
    <s v="Spain"/>
    <s v="Siurana"/>
    <s v="Grau dels Masets Esquerra"/>
    <n v="25"/>
    <s v="21-25"/>
    <s v="Chrissi"/>
    <n v="2"/>
    <n v="2"/>
    <s v="redpoint"/>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E39BEC-9B7E-4736-83C2-77A67DE2F572}" name="Score per year" cacheId="73" applyNumberFormats="0" applyBorderFormats="0" applyFontFormats="0" applyPatternFormats="0" applyAlignmentFormats="0" applyWidthHeightFormats="1" dataCaption="Values" missingCaption="0" updatedVersion="8" minRefreshableVersion="3" useAutoFormatting="1" subtotalHiddenItems="1" itemPrintTitles="1" createdVersion="8" indent="0" showEmptyRow="1" showEmptyCol="1" outline="1" outlineData="1" multipleFieldFilters="0">
  <location ref="U4:V26" firstHeaderRow="1" firstDataRow="1" firstDataCol="1"/>
  <pivotFields count="2">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core per year" fld="1"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core per year"/>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ear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7F50DF-46A1-48BA-8A98-966A6EBFD095}" name="Count per month" cacheId="31" applyNumberFormats="0" applyBorderFormats="0" applyFontFormats="0" applyPatternFormats="0" applyAlignmentFormats="0" applyWidthHeightFormats="1" dataCaption="Values" errorCaption="0" showError="1" missingCaption="0" tag="7dd5ddc3-df85-4b68-ac69-85847583c709" updatedVersion="8" minRefreshableVersion="3" useAutoFormatting="1" subtotalHiddenItems="1" itemPrintTitles="1" createdVersion="8" indent="0" showEmptyRow="1" showEmptyCol="1" outline="1" outlineData="1" multipleFieldFilters="0" chartFormat="4">
  <location ref="F27:G40" firstHeaderRow="1" firstDataRow="1" firstDataCol="1"/>
  <pivotFields count="10">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Count per month"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month"/>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MONTHS]"/>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64391C-946B-456D-99CE-4A3336A8E1BB}" name="PivotTable3"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16:AM34" firstHeaderRow="1" firstDataRow="1" firstDataCol="1"/>
  <pivotFields count="2">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Count of Belayer" fld="1"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E063E9-D6AF-45AB-A3A6-85D172C304AD}" name="% of flash, onsight, redpoint" cacheId="46" applyNumberFormats="0" applyBorderFormats="0" applyFontFormats="0" applyPatternFormats="0" applyAlignmentFormats="0" applyWidthHeightFormats="1" dataCaption="Values" tag="ab1dea3c-0c36-415a-9a2b-781269620190" updatedVersion="8" minRefreshableVersion="3" useAutoFormatting="1" subtotalHiddenItems="1" itemPrintTitles="1" createdVersion="8" indent="0" outline="1" outlineData="1" multipleFieldFilters="0" chartFormat="5">
  <location ref="A43:B47" firstHeaderRow="1" firstDataRow="1" firstDataCol="1"/>
  <pivotFields count="1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 of flash, OS, RP" fld="1" subtotal="count" showDataAs="percentOfTotal" baseField="0" baseItem="0" numFmtId="165"/>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f flash, OS, RP"/>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493D59-E083-47DA-9D4D-1460B8EF9425}" name="% of flash, onsight, redpoint per grade" cacheId="52" applyNumberFormats="0" applyBorderFormats="0" applyFontFormats="0" applyPatternFormats="0" applyAlignmentFormats="0" applyWidthHeightFormats="1" dataCaption="Values" missingCaption="0" updatedVersion="8" minRefreshableVersion="3" visualTotals="0" useAutoFormatting="1" subtotalHiddenItems="1" rowGrandTotals="0" colGrandTotals="0" itemPrintTitles="1" createdVersion="8" indent="0" showEmptyRow="1" showEmptyCol="1" outline="1" outlineData="1" multipleFieldFilters="0" chartFormat="14">
  <location ref="A59:D66" firstHeaderRow="1" firstDataRow="2" firstDataCol="1"/>
  <pivotFields count="9">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3">
    <i>
      <x/>
    </i>
    <i>
      <x v="1"/>
    </i>
    <i>
      <x v="2"/>
    </i>
  </colItems>
  <dataFields count="1">
    <dataField name="% of flash and OS per grade" fld="1" subtotal="count" showDataAs="percentOfRow" baseField="0" baseItem="2" numFmtId="9"/>
  </dataFields>
  <formats count="1">
    <format dxfId="5">
      <pivotArea outline="0" collapsedLevelsAreSubtotals="1" fieldPosition="0"/>
    </format>
  </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6E9829-7944-4354-B2AD-AC6DA8FF29C1}" name="Average of Tries num. only excl. outliers" cacheId="49" applyNumberFormats="0" applyBorderFormats="0" applyFontFormats="0" applyPatternFormats="0" applyAlignmentFormats="0" applyWidthHeightFormats="1" dataCaption="Values" tag="b6bef618-5ee3-4033-bc9f-da0ad76b62c8" updatedVersion="8" minRefreshableVersion="3" useAutoFormatting="1" subtotalHiddenItems="1" itemPrintTitles="1" createdVersion="8" indent="0" outline="1" outlineData="1" multipleFieldFilters="0" chartFormat="4">
  <location ref="A50:B57" firstHeaderRow="1" firstDataRow="1" firstDataCol="1"/>
  <pivotFields count="9">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g Tries num. only excl. outliers" fld="1" subtotal="average" baseField="0" baseItem="0"/>
  </dataFields>
  <formats count="1">
    <format dxfId="6">
      <pivotArea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g Tries num. only excl. outli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E1BAAD-EE71-4690-8C7C-3D8BD3C5AED4}" name="Count per crag" cacheId="34" applyNumberFormats="0" applyBorderFormats="0" applyFontFormats="0" applyPatternFormats="0" applyAlignmentFormats="0" applyWidthHeightFormats="1" dataCaption="Values" tag="7775fffd-05a1-4d79-ab60-57ce118678dd" updatedVersion="8" minRefreshableVersion="3" visualTotals="0" useAutoFormatting="1" subtotalHiddenItems="1" itemPrintTitles="1" createdVersion="8" indent="0" outline="1" outlineData="1" multipleFieldFilters="0" chartFormat="6">
  <location ref="I4:J51" firstHeaderRow="1" firstDataRow="1" firstDataCol="1"/>
  <pivotFields count="9">
    <pivotField axis="axisRow" allDrilled="1" subtotalTop="0" showAll="0" sortType="descending" defaultSubtotal="0" defaultAttributeDrillState="1">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7">
    <i>
      <x v="40"/>
    </i>
    <i>
      <x v="4"/>
    </i>
    <i>
      <x v="21"/>
    </i>
    <i>
      <x v="11"/>
    </i>
    <i>
      <x v="27"/>
    </i>
    <i>
      <x v="18"/>
    </i>
    <i>
      <x v="17"/>
    </i>
    <i>
      <x v="3"/>
    </i>
    <i>
      <x v="26"/>
    </i>
    <i>
      <x v="16"/>
    </i>
    <i>
      <x v="39"/>
    </i>
    <i>
      <x v="25"/>
    </i>
    <i>
      <x v="36"/>
    </i>
    <i>
      <x v="30"/>
    </i>
    <i>
      <x v="34"/>
    </i>
    <i>
      <x v="37"/>
    </i>
    <i>
      <x v="45"/>
    </i>
    <i>
      <x v="43"/>
    </i>
    <i>
      <x v="6"/>
    </i>
    <i>
      <x v="20"/>
    </i>
    <i>
      <x v="32"/>
    </i>
    <i>
      <x v="14"/>
    </i>
    <i>
      <x v="44"/>
    </i>
    <i>
      <x v="29"/>
    </i>
    <i>
      <x v="41"/>
    </i>
    <i>
      <x v="23"/>
    </i>
    <i>
      <x/>
    </i>
    <i>
      <x v="38"/>
    </i>
    <i>
      <x v="31"/>
    </i>
    <i>
      <x v="22"/>
    </i>
    <i>
      <x v="1"/>
    </i>
    <i>
      <x v="5"/>
    </i>
    <i>
      <x v="24"/>
    </i>
    <i>
      <x v="8"/>
    </i>
    <i>
      <x v="15"/>
    </i>
    <i>
      <x v="19"/>
    </i>
    <i>
      <x v="12"/>
    </i>
    <i>
      <x v="33"/>
    </i>
    <i>
      <x v="13"/>
    </i>
    <i>
      <x v="9"/>
    </i>
    <i>
      <x v="42"/>
    </i>
    <i>
      <x v="35"/>
    </i>
    <i>
      <x v="28"/>
    </i>
    <i>
      <x v="10"/>
    </i>
    <i>
      <x v="7"/>
    </i>
    <i>
      <x v="2"/>
    </i>
    <i t="grand">
      <x/>
    </i>
  </rowItems>
  <colItems count="1">
    <i/>
  </colItems>
  <dataFields count="1">
    <dataField name="Count per crag" fld="1" subtotal="count"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cra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185487-D7BE-4B84-AFCC-7C3B48452CAC}" name="Count per year" cacheId="28" applyNumberFormats="0" applyBorderFormats="0" applyFontFormats="0" applyPatternFormats="0" applyAlignmentFormats="0" applyWidthHeightFormats="1" dataCaption="Values" missingCaption="0" tag="cb0df60a-b4f8-41ac-a10c-5197c46cb96e" updatedVersion="8" minRefreshableVersion="3" useAutoFormatting="1" subtotalHiddenItems="1" itemPrintTitles="1" createdVersion="8" indent="0" showEmptyRow="1" outline="1" outlineData="1" multipleFieldFilters="0" chartFormat="5">
  <location ref="F4:G26" firstHeaderRow="1" firstDataRow="1" firstDataCol="1"/>
  <pivotFields count="9">
    <pivotField dataField="1" subtotalTop="0" showAll="0" defaultSubtotal="0"/>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per year"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year"/>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BC98BF-9FE9-4BAE-977B-1E0A69F19EA2}" name="Distribution per height" cacheId="43" applyNumberFormats="0" applyBorderFormats="0" applyFontFormats="0" applyPatternFormats="0" applyAlignmentFormats="0" applyWidthHeightFormats="1" dataCaption="Values" tag="de2ba060-8a73-417f-8ee1-f86ab1119aee" updatedVersion="8" minRefreshableVersion="3" useAutoFormatting="1" subtotalHiddenItems="1" itemPrintTitles="1" createdVersion="8" indent="0" outline="1" outlineData="1" multipleFieldFilters="0" chartFormat="9">
  <location ref="R4:S12" firstHeaderRow="1" firstDataRow="1" firstDataCol="1"/>
  <pivotFields count="9">
    <pivotField dataField="1" subtotalTop="0" showAll="0" defaultSubtotal="0"/>
    <pivotField axis="axisRow" allDrilled="1" subtotalTop="0" showAll="0" sortType="ascending"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per height" fld="0"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heigh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5D1172-D381-46EB-B85D-E55F1A2CD34E}" name="Top10 Score per Belayer" cacheId="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U29:V40"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4"/>
    </i>
    <i>
      <x v="8"/>
    </i>
    <i>
      <x v="2"/>
    </i>
    <i>
      <x v="9"/>
    </i>
    <i>
      <x v="6"/>
    </i>
    <i>
      <x v="5"/>
    </i>
    <i>
      <x/>
    </i>
    <i>
      <x v="3"/>
    </i>
    <i>
      <x v="7"/>
    </i>
    <i t="grand">
      <x/>
    </i>
  </rowItems>
  <colItems count="1">
    <i/>
  </colItems>
  <dataFields count="1">
    <dataField name="Sum of Score" fld="1"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2">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2DAC74-2BE8-487E-8AB1-12657AD3BF7A}" name="Avg num. tries per grade &amp; height" cacheId="70" applyNumberFormats="0" applyBorderFormats="0" applyFontFormats="0" applyPatternFormats="0" applyAlignmentFormats="0" applyWidthHeightFormats="1" dataCaption="Values" grandTotalCaption="Total" updatedVersion="8" minRefreshableVersion="3" useAutoFormatting="1" subtotalHiddenItems="1" itemPrintTitles="1" createdVersion="8" indent="0" outline="1" outlineData="1" multipleFieldFilters="0" rowHeaderCaption="Rows" colHeaderCaption="Cols">
  <location ref="AA29:AI37" firstHeaderRow="1" firstDataRow="2" firstDataCol="1"/>
  <pivotFields count="3">
    <pivotField axis="axisCol"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8">
    <i>
      <x/>
    </i>
    <i>
      <x v="1"/>
    </i>
    <i>
      <x v="2"/>
    </i>
    <i>
      <x v="3"/>
    </i>
    <i>
      <x v="4"/>
    </i>
    <i>
      <x v="5"/>
    </i>
    <i>
      <x v="6"/>
    </i>
    <i t="grand">
      <x/>
    </i>
  </colItems>
  <dataFields count="1">
    <dataField name="Avg num. tries per grade &amp; height" fld="2" subtotal="average" baseField="1" baseItem="0" numFmtId="169"/>
  </dataFields>
  <formats count="1">
    <format dxfId="7">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g num. tries per grade &amp; heigh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D2683C3-689D-44D3-BBB0-36623980704B}" name="Count per grade" cacheId="40" applyNumberFormats="0" applyBorderFormats="0" applyFontFormats="0" applyPatternFormats="0" applyAlignmentFormats="0" applyWidthHeightFormats="1" dataCaption="Values" tag="a184007c-ae66-4377-82bd-2234bdf27ab1" updatedVersion="8" minRefreshableVersion="3" useAutoFormatting="1" subtotalHiddenItems="1" itemPrintTitles="1" createdVersion="8" indent="0" showEmptyRow="1" showEmptyCol="1" outline="1" outlineData="1" multipleFieldFilters="0" chartFormat="12">
  <location ref="A4:B11" firstHeaderRow="1" firstDataRow="1" firstDataCol="1"/>
  <pivotFields count="9">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per grade" fld="1" subtotal="count" baseField="0" baseItem="0"/>
  </dataFields>
  <chartFormats count="1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1" format="7">
      <pivotArea type="data" outline="0" fieldPosition="0">
        <references count="2">
          <reference field="4294967294" count="1" selected="0">
            <x v="0"/>
          </reference>
          <reference field="0" count="1" selected="0">
            <x v="5"/>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4"/>
          </reference>
        </references>
      </pivotArea>
    </chartFormat>
    <chartFormat chart="2" format="14">
      <pivotArea type="data" outline="0" fieldPosition="0">
        <references count="2">
          <reference field="4294967294" count="1" selected="0">
            <x v="0"/>
          </reference>
          <reference field="0" count="1" selected="0">
            <x v="5"/>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grad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894A69-AB97-4890-98C7-1F4FBCE4E20F}" name="Favorite Belayer last 12 months" cacheId="67" applyNumberFormats="0" applyBorderFormats="0" applyFontFormats="0" applyPatternFormats="0" applyAlignmentFormats="0" applyWidthHeightFormats="1" dataCaption="Values" missingCaption="0" updatedVersion="8" minRefreshableVersion="3" visualTotals="0" useAutoFormatting="1" subtotalHiddenItems="1" rowGrandTotals="0" colGrandTotals="0" itemPrintTitles="1" createdVersion="8" indent="0" showEmptyRow="1" showEmptyCol="1" outline="1" outlineData="1" multipleFieldFilters="0" chartFormat="3">
  <location ref="R24:S28" firstHeaderRow="1" firstDataRow="1" firstDataCol="1" rowPageCount="1" colPageCount="1"/>
  <pivotFields count="4">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s>
  <rowFields count="1">
    <field x="0"/>
  </rowFields>
  <rowItems count="4">
    <i>
      <x v="1"/>
    </i>
    <i>
      <x v="2"/>
    </i>
    <i>
      <x v="3"/>
    </i>
    <i>
      <x/>
    </i>
  </rowItems>
  <colItems count="1">
    <i/>
  </colItems>
  <pageFields count="1">
    <pageField fld="3" hier="5" name="[SportClimbing].[Date_filter].&amp;[True]" cap="True"/>
  </pageFields>
  <dataFields count="1">
    <dataField name="Count per Belayer" fld="1" subtotal="count" baseField="0" baseItem="0"/>
  </dataFields>
  <chartFormats count="1">
    <chartFormat chart="1" format="15"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multipleItemSelectionAllowed="1" dragToData="1">
      <members count="1" level="1">
        <member name="[SportClimbing].[Date_filter].&amp;[True]"/>
      </members>
    </pivotHierarchy>
    <pivotHierarchy dragToData="1"/>
    <pivotHierarchy dragToData="1"/>
    <pivotHierarchy multipleItemSelectionAllowed="1" dragToData="1">
      <members count="2" level="1">
        <member name="[SportClimbing].[Year].&amp;[2023]"/>
        <member name="[SportClimbing].[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Belay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7">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069F412-D0C8-4312-8E2F-9F2AB827AC65}" name="Count per country" cacheId="37" applyNumberFormats="0" applyBorderFormats="0" applyFontFormats="0" applyPatternFormats="0" applyAlignmentFormats="0" applyWidthHeightFormats="1" dataCaption="Values" tag="0f7bc240-192b-4515-a378-6001f0216c37" updatedVersion="8" minRefreshableVersion="3" useAutoFormatting="1" subtotalHiddenItems="1" itemPrintTitles="1" createdVersion="8" indent="0" showEmptyRow="1" showEmptyCol="1" outline="1" outlineData="1" multipleFieldFilters="0" chartFormat="6">
  <location ref="L19:M26" firstHeaderRow="1" firstDataRow="1" firstDataCol="1"/>
  <pivotFields count="1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5"/>
    </i>
    <i>
      <x/>
    </i>
    <i>
      <x v="3"/>
    </i>
    <i>
      <x v="1"/>
    </i>
    <i>
      <x v="4"/>
    </i>
    <i>
      <x v="2"/>
    </i>
    <i t="grand">
      <x/>
    </i>
  </rowItems>
  <colItems count="1">
    <i/>
  </colItems>
  <dataFields count="1">
    <dataField name="Count per country" fld="1" subtotal="count" baseField="0" baseItem="0"/>
  </dataFields>
  <chartFormats count="7">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2" format="11">
      <pivotArea type="data" outline="0" fieldPosition="0">
        <references count="2">
          <reference field="4294967294" count="1" selected="0">
            <x v="0"/>
          </reference>
          <reference field="0" count="1" selected="0">
            <x v="4"/>
          </reference>
        </references>
      </pivotArea>
    </chartFormat>
    <chartFormat chart="2" format="12">
      <pivotArea type="data" outline="0" fieldPosition="0">
        <references count="2">
          <reference field="4294967294" count="1" selected="0">
            <x v="0"/>
          </reference>
          <reference field="0" count="1" selected="0">
            <x v="5"/>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countr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8ACDC65-3EC3-4481-89FA-84F4DA2A5D80}" name="PivotTable2"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4:AM11"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Belayer" fld="1"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EA90E3B-7F05-45C6-B009-CB81E54F827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4:V139" firstHeaderRow="1" firstDataRow="1" firstDataCol="1"/>
  <pivotFields count="17">
    <pivotField numFmtId="168" showAll="0"/>
    <pivotField showAll="0"/>
    <pivotField showAll="0"/>
    <pivotField axis="axisRow" showAll="0">
      <items count="13">
        <item x="6"/>
        <item x="7"/>
        <item x="8"/>
        <item x="1"/>
        <item x="2"/>
        <item x="9"/>
        <item x="0"/>
        <item x="3"/>
        <item x="10"/>
        <item x="11"/>
        <item x="4"/>
        <item x="5"/>
        <item t="default"/>
      </items>
    </pivotField>
    <pivotField axis="axisRow" showAll="0">
      <items count="18">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4"/>
    <field x="3"/>
  </rowFields>
  <rowItems count="95">
    <i>
      <x/>
    </i>
    <i r="1">
      <x v="6"/>
    </i>
    <i>
      <x v="1"/>
    </i>
    <i r="1">
      <x v="6"/>
    </i>
    <i>
      <x v="2"/>
    </i>
    <i r="1">
      <x v="3"/>
    </i>
    <i r="1">
      <x v="4"/>
    </i>
    <i>
      <x v="3"/>
    </i>
    <i r="1">
      <x v="7"/>
    </i>
    <i>
      <x v="4"/>
    </i>
    <i r="1">
      <x v="3"/>
    </i>
    <i r="1">
      <x v="10"/>
    </i>
    <i r="1">
      <x v="11"/>
    </i>
    <i>
      <x v="5"/>
    </i>
    <i r="1">
      <x/>
    </i>
    <i r="1">
      <x v="1"/>
    </i>
    <i r="1">
      <x v="2"/>
    </i>
    <i r="1">
      <x v="3"/>
    </i>
    <i r="1">
      <x v="4"/>
    </i>
    <i>
      <x v="6"/>
    </i>
    <i r="1">
      <x v="5"/>
    </i>
    <i r="1">
      <x v="10"/>
    </i>
    <i>
      <x v="7"/>
    </i>
    <i r="1">
      <x v="3"/>
    </i>
    <i r="1">
      <x v="4"/>
    </i>
    <i r="1">
      <x v="5"/>
    </i>
    <i r="1">
      <x v="6"/>
    </i>
    <i r="1">
      <x v="7"/>
    </i>
    <i r="1">
      <x v="8"/>
    </i>
    <i r="1">
      <x v="9"/>
    </i>
    <i r="1">
      <x v="10"/>
    </i>
    <i r="1">
      <x v="11"/>
    </i>
    <i>
      <x v="8"/>
    </i>
    <i r="1">
      <x/>
    </i>
    <i r="1">
      <x v="1"/>
    </i>
    <i r="1">
      <x v="2"/>
    </i>
    <i r="1">
      <x v="3"/>
    </i>
    <i r="1">
      <x v="4"/>
    </i>
    <i r="1">
      <x v="5"/>
    </i>
    <i r="1">
      <x v="8"/>
    </i>
    <i r="1">
      <x v="10"/>
    </i>
    <i>
      <x v="9"/>
    </i>
    <i r="1">
      <x v="3"/>
    </i>
    <i r="1">
      <x v="8"/>
    </i>
    <i r="1">
      <x v="10"/>
    </i>
    <i>
      <x v="10"/>
    </i>
    <i r="1">
      <x v="7"/>
    </i>
    <i r="1">
      <x v="8"/>
    </i>
    <i r="1">
      <x v="9"/>
    </i>
    <i>
      <x v="11"/>
    </i>
    <i r="1">
      <x v="3"/>
    </i>
    <i r="1">
      <x v="4"/>
    </i>
    <i r="1">
      <x v="5"/>
    </i>
    <i r="1">
      <x v="10"/>
    </i>
    <i>
      <x v="12"/>
    </i>
    <i r="1">
      <x/>
    </i>
    <i r="1">
      <x v="1"/>
    </i>
    <i r="1">
      <x v="2"/>
    </i>
    <i r="1">
      <x v="4"/>
    </i>
    <i r="1">
      <x v="5"/>
    </i>
    <i r="1">
      <x v="6"/>
    </i>
    <i r="1">
      <x v="8"/>
    </i>
    <i r="1">
      <x v="9"/>
    </i>
    <i r="1">
      <x v="10"/>
    </i>
    <i>
      <x v="13"/>
    </i>
    <i r="1">
      <x v="1"/>
    </i>
    <i r="1">
      <x v="2"/>
    </i>
    <i r="1">
      <x v="4"/>
    </i>
    <i r="1">
      <x v="5"/>
    </i>
    <i r="1">
      <x v="6"/>
    </i>
    <i r="1">
      <x v="8"/>
    </i>
    <i r="1">
      <x v="9"/>
    </i>
    <i r="1">
      <x v="10"/>
    </i>
    <i>
      <x v="14"/>
    </i>
    <i r="1">
      <x/>
    </i>
    <i r="1">
      <x v="2"/>
    </i>
    <i r="1">
      <x v="3"/>
    </i>
    <i r="1">
      <x v="4"/>
    </i>
    <i r="1">
      <x v="8"/>
    </i>
    <i r="1">
      <x v="9"/>
    </i>
    <i r="1">
      <x v="10"/>
    </i>
    <i>
      <x v="15"/>
    </i>
    <i r="1">
      <x v="2"/>
    </i>
    <i r="1">
      <x v="3"/>
    </i>
    <i r="1">
      <x v="4"/>
    </i>
    <i r="1">
      <x v="5"/>
    </i>
    <i r="1">
      <x v="6"/>
    </i>
    <i r="1">
      <x v="7"/>
    </i>
    <i r="1">
      <x v="8"/>
    </i>
    <i r="1">
      <x v="9"/>
    </i>
    <i r="1">
      <x v="11"/>
    </i>
    <i>
      <x v="16"/>
    </i>
    <i r="1">
      <x v="1"/>
    </i>
    <i r="1">
      <x v="2"/>
    </i>
    <i t="grand">
      <x/>
    </i>
  </rowItems>
  <colItems count="1">
    <i/>
  </colItems>
  <dataFields count="1">
    <dataField name="Sum of Scor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D461478-45E1-46A8-BAF1-A78B55E57B6B}" name="Count per number of attempts" cacheId="55" applyNumberFormats="0" applyBorderFormats="0" applyFontFormats="0" applyPatternFormats="0" applyAlignmentFormats="0" applyWidthHeightFormats="1" dataCaption="Values" tag="339ec8ee-5db3-4392-9937-3fe0c7072333" updatedVersion="8" minRefreshableVersion="3" useAutoFormatting="1" subtotalHiddenItems="1" itemPrintTitles="1" createdVersion="8" indent="0" outline="1" outlineData="1" multipleFieldFilters="0" chartFormat="7">
  <location ref="A24:B40" firstHeaderRow="1" firstDataRow="1" firstDataCol="1"/>
  <pivotFields count="9">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6">
    <i>
      <x v="4"/>
    </i>
    <i>
      <x v="14"/>
    </i>
    <i>
      <x v="6"/>
    </i>
    <i>
      <x v="13"/>
    </i>
    <i>
      <x v="9"/>
    </i>
    <i>
      <x v="7"/>
    </i>
    <i>
      <x v="10"/>
    </i>
    <i>
      <x v="12"/>
    </i>
    <i>
      <x v="11"/>
    </i>
    <i>
      <x v="1"/>
    </i>
    <i>
      <x v="3"/>
    </i>
    <i>
      <x v="5"/>
    </i>
    <i>
      <x v="8"/>
    </i>
    <i>
      <x/>
    </i>
    <i>
      <x v="2"/>
    </i>
    <i t="grand">
      <x/>
    </i>
  </rowItems>
  <colItems count="1">
    <i/>
  </colItems>
  <dataFields count="1">
    <dataField name="Count per number of attempts"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number of attempt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7635E00-C4E9-4684-9284-60BF4B132C5C}" name="Favorite Belayer" cacheId="25" applyNumberFormats="0" applyBorderFormats="0" applyFontFormats="0" applyPatternFormats="0" applyAlignmentFormats="0" applyWidthHeightFormats="1" dataCaption="Values" tag="75b26e15-1250-4053-b299-fa9d58991114" updatedVersion="8" minRefreshableVersion="3" visualTotals="0" useAutoFormatting="1" subtotalHiddenItems="1" itemPrintTitles="1" createdVersion="8" indent="0" outline="1" outlineData="1" chartFormat="13">
  <location ref="O4:P15" firstHeaderRow="1" firstDataRow="1" firstDataCol="1"/>
  <pivotFields count="9">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2"/>
    </i>
    <i>
      <x v="5"/>
    </i>
    <i>
      <x v="8"/>
    </i>
    <i>
      <x v="7"/>
    </i>
    <i>
      <x v="1"/>
    </i>
    <i>
      <x v="6"/>
    </i>
    <i>
      <x v="9"/>
    </i>
    <i>
      <x v="3"/>
    </i>
    <i>
      <x v="4"/>
    </i>
    <i>
      <x/>
    </i>
    <i t="grand">
      <x/>
    </i>
  </rowItems>
  <colItems count="1">
    <i/>
  </colItems>
  <dataFields count="1">
    <dataField name="Count per belayer" fld="1" subtotal="count" baseField="0" baseItem="0"/>
  </dataFields>
  <chartFormats count="1">
    <chartFormat chart="2" format="8"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ends per belay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7">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number_of_tries" xr10:uid="{EE0836FE-5DCC-489C-A752-816322A94CE0}" sourceName="[SportClimbing].[Total number of tries]">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160794866">
      <levels count="2">
        <level uniqueName="[SportClimbing].[Total number of tries].[(All)]" sourceCaption="(All)" count="0"/>
        <level uniqueName="[SportClimbing].[Total number of tries].[Total number of tries]" sourceCaption="Total number of tries" count="15">
          <ranges>
            <range startItem="0">
              <i n="[SportClimbing].[Total number of tries].&amp;[1]" c="1"/>
              <i n="[SportClimbing].[Total number of tries].&amp;[10]" c="10"/>
              <i n="[SportClimbing].[Total number of tries].&amp;[12]" c="12"/>
              <i n="[SportClimbing].[Total number of tries].&amp;[14]" c="14"/>
              <i n="[SportClimbing].[Total number of tries].&amp;[2]" c="2"/>
              <i n="[SportClimbing].[Total number of tries].&amp;[24]" c="24"/>
              <i n="[SportClimbing].[Total number of tries].&amp;[3]" c="3"/>
              <i n="[SportClimbing].[Total number of tries].&amp;[4]" c="4"/>
              <i n="[SportClimbing].[Total number of tries].&amp;[40]" c="40"/>
              <i n="[SportClimbing].[Total number of tries].&amp;[5]" c="5"/>
              <i n="[SportClimbing].[Total number of tries].&amp;[6]" c="6"/>
              <i n="[SportClimbing].[Total number of tries].&amp;[7]" c="7"/>
              <i n="[SportClimbing].[Total number of tries].&amp;[8]" c="8"/>
              <i n="[SportClimbing].[Total number of tries].&amp;[flash]" c="flash"/>
              <i n="[SportClimbing].[Total number of tries].&amp;[onsight]" c="onsight"/>
            </range>
          </ranges>
        </level>
      </levels>
      <selections count="1">
        <selection n="[SportClimbing].[Total number of tries].[All]"/>
      </selections>
    </olap>
  </data>
  <extLst>
    <x:ext xmlns:x15="http://schemas.microsoft.com/office/spreadsheetml/2010/11/main" uri="{470722E0-AACD-4C17-9CDC-17EF765DBC7E}">
      <x15:slicerCacheHideItemsWithNoData count="1">
        <x15:slicerCacheOlapLevelName uniqueName="[SportClimbing].[Total number of tries].[Total number of tries]"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3ADBF717-C83E-4FF2-9F57-A109611EAA67}" sourceName="[SportClimbing].[Grade]">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160794866">
      <levels count="2">
        <level uniqueName="[SportClimbing].[Grade].[(All)]" sourceCaption="(All)" count="0"/>
        <level uniqueName="[SportClimbing].[Grade].[Grade]" sourceCaption="Grade" count="6">
          <ranges>
            <range startItem="0">
              <i n="[SportClimbing].[Grade].&amp;[7a]" c="7a"/>
              <i n="[SportClimbing].[Grade].&amp;[7a+]" c="7a+"/>
              <i n="[SportClimbing].[Grade].&amp;[7b]" c="7b"/>
              <i n="[SportClimbing].[Grade].&amp;[7b+]" c="7b+"/>
              <i n="[SportClimbing].[Grade].&amp;[7c]" c="7c"/>
              <i n="[SportClimbing].[Grade].&amp;[7c+]" c="7c+"/>
            </range>
          </ranges>
        </level>
      </levels>
      <selections count="1">
        <selection n="[SportClimbing].[Grade].[All]"/>
      </selections>
    </olap>
  </data>
  <extLst>
    <x:ext xmlns:x15="http://schemas.microsoft.com/office/spreadsheetml/2010/11/main" uri="{470722E0-AACD-4C17-9CDC-17EF765DBC7E}">
      <x15:slicerCacheHideItemsWithNoData count="1">
        <x15:slicerCacheOlapLevelName uniqueName="[SportClimbing].[Grade].[Grad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ag" xr10:uid="{57957EA0-0BAF-4904-9BB8-E48552AC0E2E}" sourceName="[SportClimbing].[Crag]">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160794866">
      <levels count="2">
        <level uniqueName="[SportClimbing].[Crag].[(All)]" sourceCaption="(All)" count="0"/>
        <level uniqueName="[SportClimbing].[Crag].[Crag]" sourceCaption="Crag" count="46">
          <ranges>
            <range startItem="0">
              <i n="[SportClimbing].[Crag].&amp;[Achleiten]" c="Achleiten"/>
              <i n="[SportClimbing].[Crag].&amp;[Ailefroide]" c="Ailefroide"/>
              <i n="[SportClimbing].[Crag].&amp;[Arboli]" c="Arboli"/>
              <i n="[SportClimbing].[Crag].&amp;[Arbolí]" c="Arbolí"/>
              <i n="[SportClimbing].[Crag].&amp;[Arco]" c="Arco"/>
              <i n="[SportClimbing].[Crag].&amp;[Atlantida]" c="Atlantida"/>
              <i n="[SportClimbing].[Crag].&amp;[Berglsteinersee]" c="Berglsteinersee"/>
              <i n="[SportClimbing].[Crag].&amp;[Bichlersee]" c="Bichlersee"/>
              <i n="[SportClimbing].[Crag].&amp;[Can Paulet]" c="Can Paulet"/>
              <i n="[SportClimbing].[Crag].&amp;[Carol]" c="Carol"/>
              <i n="[SportClimbing].[Crag].&amp;[Cavallers]" c="Cavallers"/>
              <i n="[SportClimbing].[Crag].&amp;[Chulilla]" c="Chulilla"/>
              <i n="[SportClimbing].[Crag].&amp;[Collegats]" c="Collegats"/>
              <i n="[SportClimbing].[Crag].&amp;[Dent de la Rancune]" c="Dent de la Rancune"/>
              <i n="[SportClimbing].[Crag].&amp;[Etxauri]" c="Etxauri"/>
              <i n="[SportClimbing].[Crag].&amp;[Fenda de Arrabida]" c="Fenda de Arrabida"/>
              <i n="[SportClimbing].[Crag].&amp;[Font Soleia]" c="Font Soleia"/>
              <i n="[SportClimbing].[Crag].&amp;[Garraf]" c="Garraf"/>
              <i n="[SportClimbing].[Crag].&amp;[Gelida]" c="Gelida"/>
              <i n="[SportClimbing].[Crag].&amp;[Gorges de la Cesse]" c="Gorges de la Cesse"/>
              <i n="[SportClimbing].[Crag].&amp;[Gorges du Tarn]" c="Gorges du Tarn"/>
              <i n="[SportClimbing].[Crag].&amp;[Grau dels matxos]" c="Grau dels matxos"/>
              <i n="[SportClimbing].[Crag].&amp;[Hundepension]" c="Hundepension"/>
              <i n="[SportClimbing].[Crag].&amp;[Le Coupeau]" c="Le Coupeau"/>
              <i n="[SportClimbing].[Crag].&amp;[Le Fayet]" c="Le Fayet"/>
              <i n="[SportClimbing].[Crag].&amp;[Mallorca]" c="Mallorca"/>
              <i n="[SportClimbing].[Crag].&amp;[Margalef]" c="Margalef"/>
              <i n="[SportClimbing].[Crag].&amp;[Martinswand]" c="Martinswand"/>
              <i n="[SportClimbing].[Crag].&amp;[Marxuquera]" c="Marxuquera"/>
              <i n="[SportClimbing].[Crag].&amp;[Masriudoms]" c="Masriudoms"/>
              <i n="[SportClimbing].[Crag].&amp;[Montserrat norte]" c="Montserrat norte"/>
              <i n="[SportClimbing].[Crag].&amp;[Montserrat sur]" c="Montserrat sur"/>
              <i n="[SportClimbing].[Crag].&amp;[Ötztal]" c="Ötztal"/>
              <i n="[SportClimbing].[Crag].&amp;[Penyes Aragonesas (Castellón)]" c="Penyes Aragonesas (Castellón)"/>
              <i n="[SportClimbing].[Crag].&amp;[Roc d'Anglars]" c="Roc d'Anglars"/>
              <i n="[SportClimbing].[Crag].&amp;[Roc de la Lluna]" c="Roc de la Lluna"/>
              <i n="[SportClimbing].[Crag].&amp;[Rodellar]" c="Rodellar"/>
              <i n="[SportClimbing].[Crag].&amp;[Sadernes]" c="Sadernes"/>
              <i n="[SportClimbing].[Crag].&amp;[Sautens]" c="Sautens"/>
              <i n="[SportClimbing].[Crag].&amp;[Silz]" c="Silz"/>
              <i n="[SportClimbing].[Crag].&amp;[Siurana]" c="Siurana"/>
              <i n="[SportClimbing].[Crag].&amp;[Starkenbach]" c="Starkenbach"/>
              <i n="[SportClimbing].[Crag].&amp;[Unterinn]" c="Unterinn"/>
              <i n="[SportClimbing].[Crag].&amp;[Zillertal - Astholz]" c="Zillertal - Astholz"/>
              <i n="[SportClimbing].[Crag].&amp;[Zillertal - Ewige Jagdgründe]" c="Zillertal - Ewige Jagdgründe"/>
              <i n="[SportClimbing].[Crag].&amp;[Zillertal -Monkey Island]" c="Zillertal -Monkey Island"/>
            </range>
          </ranges>
        </level>
      </levels>
      <selections count="1">
        <selection n="[SportClimbing].[Crag].[All]"/>
      </selections>
    </olap>
  </data>
  <extLst>
    <x:ext xmlns:x15="http://schemas.microsoft.com/office/spreadsheetml/2010/11/main" uri="{470722E0-AACD-4C17-9CDC-17EF765DBC7E}">
      <x15:slicerCacheHideItemsWithNoData count="1">
        <x15:slicerCacheOlapLevelName uniqueName="[SportClimbing].[Crag].[Crag]"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2C6E0E4A-8119-4FCD-81C7-2CEF328A1A3B}" sourceName="[Years].[YEARS]">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160794866">
      <levels count="2">
        <level uniqueName="[Years].[YEARS].[(All)]" sourceCaption="(All)" count="0"/>
        <level uniqueName="[Years].[YEARS].[YEARS]" sourceCaption="YEARS" count="21">
          <ranges>
            <range startItem="0">
              <i n="[Years].[YEARS].&amp;[2006]" c="2006"/>
              <i n="[Years].[YEARS].&amp;[2007]" c="2007"/>
              <i n="[Years].[YEARS].&amp;[2008]" c="2008"/>
              <i n="[Years].[YEARS].&amp;[2011]" c="2011"/>
              <i n="[Years].[YEARS].&amp;[2012]" c="2012"/>
              <i n="[Years].[YEARS].&amp;[2013]" c="2013"/>
              <i n="[Years].[YEARS].&amp;[2016]" c="2016"/>
              <i n="[Years].[YEARS].&amp;[2017]" c="2017"/>
              <i n="[Years].[YEARS].&amp;[2018]" c="2018"/>
              <i n="[Years].[YEARS].&amp;[2019]" c="2019"/>
              <i n="[Years].[YEARS].&amp;[2020]" c="2020"/>
              <i n="[Years].[YEARS].&amp;[2021]" c="2021"/>
              <i n="[Years].[YEARS].&amp;[2022]" c="2022"/>
              <i n="[Years].[YEARS].&amp;[2023]" c="2023"/>
              <i n="[Years].[YEARS].&amp;[2024]" c="2024"/>
              <i n="[Years].[YEARS].&amp;[2025]" c="2025"/>
              <i n="[Years].[YEARS].&amp;[2026]" c="2026"/>
              <i n="[Years].[YEARS].&amp;[2009]" c="2009" nd="1"/>
              <i n="[Years].[YEARS].&amp;[2010]" c="2010" nd="1"/>
              <i n="[Years].[YEARS].&amp;[2014]" c="2014" nd="1"/>
              <i n="[Years].[YEARS].&amp;[2015]" c="2015" nd="1"/>
            </range>
          </ranges>
        </level>
      </levels>
      <selections count="1">
        <selection n="[Years].[YEARS].[All]"/>
      </selections>
    </olap>
  </data>
  <extLst>
    <x:ext xmlns:x15="http://schemas.microsoft.com/office/spreadsheetml/2010/11/main" uri="{470722E0-AACD-4C17-9CDC-17EF765DBC7E}">
      <x15:slicerCacheHideItemsWithNoData count="1">
        <x15:slicerCacheOlapLevelName uniqueName="[Years].[YEARS].[YEARS]" count="4"/>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layer1" xr10:uid="{CE44DC9C-25BA-4852-A339-E86B221485AA}" sourceName="[SportClimbing].[Belayer]">
  <pivotTables>
    <pivotTable tabId="16" name="Count per number of attempts"/>
    <pivotTable tabId="16" name="Count per country"/>
    <pivotTable tabId="16" name="Count per crag"/>
    <pivotTable tabId="16" name="Count per month"/>
    <pivotTable tabId="16" name="Count per year"/>
    <pivotTable tabId="16" name="Favorite Belayer"/>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160794866">
      <levels count="2">
        <level uniqueName="[SportClimbing].[Belayer].[(All)]" sourceCaption="(All)" count="0"/>
        <level uniqueName="[SportClimbing].[Belayer].[Belayer]" sourceCaption="Belayer" count="53">
          <ranges>
            <range startItem="0">
              <i n="[SportClimbing].[Belayer].&amp;[Alexandre Marques]" c="Alexandre Marques"/>
              <i n="[SportClimbing].[Belayer].&amp;[Andres Villarroel]" c="Andres Villarroel"/>
              <i n="[SportClimbing].[Belayer].&amp;[Angel]" c="Angel"/>
              <i n="[SportClimbing].[Belayer].&amp;[Antonin]" c="Antonin"/>
              <i n="[SportClimbing].[Belayer].&amp;[Asier]" c="Asier"/>
              <i n="[SportClimbing].[Belayer].&amp;[Bernardo]" c="Bernardo"/>
              <i n="[SportClimbing].[Belayer].&amp;[Betka]" c="Betka"/>
              <i n="[SportClimbing].[Belayer].&amp;[Byron]" c="Byron"/>
              <i n="[SportClimbing].[Belayer].&amp;[Chris Awe]" c="Chris Awe"/>
              <i n="[SportClimbing].[Belayer].&amp;[Chris Knight]" c="Chris Knight"/>
              <i n="[SportClimbing].[Belayer].&amp;[Chrissi]" c="Chrissi"/>
              <i n="[SportClimbing].[Belayer].&amp;[Christian]" c="Christian"/>
              <i n="[SportClimbing].[Belayer].&amp;[Daniel Perez]" c="Daniel Perez"/>
              <i n="[SportClimbing].[Belayer].&amp;[Dave]" c="Dave"/>
              <i n="[SportClimbing].[Belayer].&amp;[David Valls]" c="David Valls"/>
              <i n="[SportClimbing].[Belayer].&amp;[Donald]" c="Donald"/>
              <i n="[SportClimbing].[Belayer].&amp;[Francesco]" c="Francesco"/>
              <i n="[SportClimbing].[Belayer].&amp;[Gabo]" c="Gabo"/>
              <i n="[SportClimbing].[Belayer].&amp;[Guhlm]" c="Guhlm"/>
              <i n="[SportClimbing].[Belayer].&amp;[Gustavo]" c="Gustavo"/>
              <i n="[SportClimbing].[Belayer].&amp;[Guy]" c="Guy"/>
              <i n="[SportClimbing].[Belayer].&amp;[Henry]" c="Henry"/>
              <i n="[SportClimbing].[Belayer].&amp;[Hervé]" c="Hervé"/>
              <i n="[SportClimbing].[Belayer].&amp;[Inti]" c="Inti"/>
              <i n="[SportClimbing].[Belayer].&amp;[Juan]" c="Juan"/>
              <i n="[SportClimbing].[Belayer].&amp;[Juman]" c="Juman"/>
              <i n="[SportClimbing].[Belayer].&amp;[Karla Mexicana]" c="Karla Mexicana"/>
              <i n="[SportClimbing].[Belayer].&amp;[Kat]" c="Kat"/>
              <i n="[SportClimbing].[Belayer].&amp;[Kathy]" c="Kathy"/>
              <i n="[SportClimbing].[Belayer].&amp;[Kati Golovina]" c="Kati Golovina"/>
              <i n="[SportClimbing].[Belayer].&amp;[Klaus Charfreitag]" c="Klaus Charfreitag"/>
              <i n="[SportClimbing].[Belayer].&amp;[Laila]" c="Laila"/>
              <i n="[SportClimbing].[Belayer].&amp;[Lena]" c="Lena"/>
              <i n="[SportClimbing].[Belayer].&amp;[Luca]" c="Luca"/>
              <i n="[SportClimbing].[Belayer].&amp;[Lydia]" c="Lydia"/>
              <i n="[SportClimbing].[Belayer].&amp;[Marc Ros]" c="Marc Ros"/>
              <i n="[SportClimbing].[Belayer].&amp;[Martyn]" c="Martyn"/>
              <i n="[SportClimbing].[Belayer].&amp;[Nadine]" c="Nadine"/>
              <i n="[SportClimbing].[Belayer].&amp;[Natasha]" c="Natasha"/>
              <i n="[SportClimbing].[Belayer].&amp;[Patrick]" c="Patrick"/>
              <i n="[SportClimbing].[Belayer].&amp;[Pelu]" c="Pelu"/>
              <i n="[SportClimbing].[Belayer].&amp;[Sean]" c="Sean"/>
              <i n="[SportClimbing].[Belayer].&amp;[Shyamal]" c="Shyamal"/>
              <i n="[SportClimbing].[Belayer].&amp;[Teddy]" c="Teddy"/>
              <i n="[SportClimbing].[Belayer].&amp;[Thomas Bur]" c="Thomas Bur"/>
              <i n="[SportClimbing].[Belayer].&amp;[Tibor]" c="Tibor"/>
              <i n="[SportClimbing].[Belayer].&amp;[Tieme]" c="Tieme"/>
              <i n="[SportClimbing].[Belayer].&amp;[Ulises]" c="Ulises"/>
              <i n="[SportClimbing].[Belayer].&amp;[Vittorio]" c="Vittorio"/>
              <i n="[SportClimbing].[Belayer].&amp;[water solo]" c="water solo"/>
              <i n="[SportClimbing].[Belayer].&amp;[Will]" c="Will"/>
              <i n="[SportClimbing].[Belayer].&amp;[Yoel]" c="Yoel"/>
              <i n="[SportClimbing].[Belayer].&amp;[Yun]" c="Yun"/>
            </range>
          </ranges>
        </level>
      </levels>
      <selections count="1">
        <selection n="[SportClimbing].[Belayer].[All]"/>
      </selections>
    </olap>
  </data>
  <extLst>
    <x:ext xmlns:x15="http://schemas.microsoft.com/office/spreadsheetml/2010/11/main" uri="{470722E0-AACD-4C17-9CDC-17EF765DBC7E}">
      <x15:slicerCacheHideItemsWithNoData count="1">
        <x15:slicerCacheOlapLevelName uniqueName="[SportClimbing].[Belayer].[Belayer]"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__m" xr10:uid="{D38D332B-CCF9-44BD-A0E1-616CF09F8F19}" sourceName="[SportClimbing].[Height (m)]">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s>
  <data>
    <olap pivotCacheId="160794866">
      <levels count="2">
        <level uniqueName="[SportClimbing].[Height (m)].[(All)]" sourceCaption="(All)" count="0"/>
        <level uniqueName="[SportClimbing].[Height (m)].[Height (m)]" sourceCaption="Height (m)" count="23">
          <ranges>
            <range startItem="0">
              <i n="[SportClimbing].[Height (m)].&amp;[8]" c="8"/>
              <i n="[SportClimbing].[Height (m)].&amp;[10]" c="10"/>
              <i n="[SportClimbing].[Height (m)].&amp;[11]" c="11"/>
              <i n="[SportClimbing].[Height (m)].&amp;[12]" c="12"/>
              <i n="[SportClimbing].[Height (m)].&amp;[13]" c="13"/>
              <i n="[SportClimbing].[Height (m)].&amp;[15]" c="15"/>
              <i n="[SportClimbing].[Height (m)].&amp;[16]" c="16"/>
              <i n="[SportClimbing].[Height (m)].&amp;[18]" c="18"/>
              <i n="[SportClimbing].[Height (m)].&amp;[19]" c="19"/>
              <i n="[SportClimbing].[Height (m)].&amp;[20]" c="20"/>
              <i n="[SportClimbing].[Height (m)].&amp;[22]" c="22"/>
              <i n="[SportClimbing].[Height (m)].&amp;[23]" c="23"/>
              <i n="[SportClimbing].[Height (m)].&amp;[24]" c="24"/>
              <i n="[SportClimbing].[Height (m)].&amp;[25]" c="25"/>
              <i n="[SportClimbing].[Height (m)].&amp;[26]" c="26"/>
              <i n="[SportClimbing].[Height (m)].&amp;[27]" c="27"/>
              <i n="[SportClimbing].[Height (m)].&amp;[28]" c="28"/>
              <i n="[SportClimbing].[Height (m)].&amp;[30]" c="30"/>
              <i n="[SportClimbing].[Height (m)].&amp;[32]" c="32"/>
              <i n="[SportClimbing].[Height (m)].&amp;[33]" c="33"/>
              <i n="[SportClimbing].[Height (m)].&amp;[35]" c="35"/>
              <i n="[SportClimbing].[Height (m)].&amp;[38]" c="38"/>
              <i n="[SportClimbing].[Height (m)].&amp;[40]" c="40"/>
            </range>
          </ranges>
        </level>
      </levels>
      <selections count="1">
        <selection n="[SportClimbing].[Height (m)].[All]"/>
      </selections>
    </olap>
  </data>
  <extLst>
    <x:ext xmlns:x15="http://schemas.microsoft.com/office/spreadsheetml/2010/11/main" uri="{470722E0-AACD-4C17-9CDC-17EF765DBC7E}">
      <x15:slicerCacheHideItemsWithNoData count="1">
        <x15:slicerCacheOlapLevelName uniqueName="[SportClimbing].[Height (m)].[Height (m)]" count="0"/>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2" xr10:uid="{C71B0650-46EA-4E6C-9312-E95775CF418B}" sourceName="[MONTHS].[MONTHS 2]">
  <pivotTables>
    <pivotTable tabId="16" name="% of flash, onsight, redpoint"/>
    <pivotTable tabId="16" name="Average of Tries num. only excl. outliers"/>
    <pivotTable tabId="16" name="Favorite Belayer"/>
    <pivotTable tabId="16" name="Count per country"/>
    <pivotTable tabId="16" name="Count per crag"/>
    <pivotTable tabId="16" name="Count per grade"/>
    <pivotTable tabId="16" name="Distribution per height"/>
    <pivotTable tabId="16" name="Count per month"/>
    <pivotTable tabId="16" name="Count per number of attempts"/>
    <pivotTable tabId="16" name="Count per year"/>
    <pivotTable tabId="16" name="% of flash, onsight, redpoint per grade"/>
  </pivotTables>
  <data>
    <olap pivotCacheId="160794866">
      <levels count="2">
        <level uniqueName="[MONTHS].[MONTHS 2].[(All)]" sourceCaption="(All)" count="0"/>
        <level uniqueName="[MONTHS].[MONTHS 2].[MONTHS 2]" sourceCaption="MONTHS 2" count="12">
          <ranges>
            <range startItem="0">
              <i n="[MONTHS].[MONTHS 2].&amp;[Jan]" c="Jan"/>
              <i n="[MONTHS].[MONTHS 2].&amp;[Feb]" c="Feb"/>
              <i n="[MONTHS].[MONTHS 2].&amp;[Mar]" c="Mar"/>
              <i n="[MONTHS].[MONTHS 2].&amp;[Apr]" c="Apr"/>
              <i n="[MONTHS].[MONTHS 2].&amp;[May]" c="May"/>
              <i n="[MONTHS].[MONTHS 2].&amp;[Jun]" c="Jun"/>
              <i n="[MONTHS].[MONTHS 2].&amp;[Jul]" c="Jul"/>
              <i n="[MONTHS].[MONTHS 2].&amp;[Aug]" c="Aug"/>
              <i n="[MONTHS].[MONTHS 2].&amp;[Sep]" c="Sep"/>
              <i n="[MONTHS].[MONTHS 2].&amp;[Oct]" c="Oct"/>
              <i n="[MONTHS].[MONTHS 2].&amp;[Nov]" c="Nov"/>
              <i n="[MONTHS].[MONTHS 2].&amp;[Dec]" c="Dec"/>
            </range>
          </ranges>
        </level>
      </levels>
      <selections count="1">
        <selection n="[MONTHS].[MONTHS 2].[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_range__m" xr10:uid="{3C1FCFFA-F8F4-417D-AECE-AFD813B9F293}" sourceName="[SportClimbing].[Height range (m)]">
  <pivotTables>
    <pivotTable tabId="16" name="% of flash, onsight, redpoint"/>
    <pivotTable tabId="16" name="Average of Tries num. only excl. outliers"/>
    <pivotTable tabId="16" name="Favorite Belayer"/>
    <pivotTable tabId="16" name="Count per country"/>
    <pivotTable tabId="16" name="Count per crag"/>
    <pivotTable tabId="16" name="Count per grade"/>
    <pivotTable tabId="16" name="Distribution per height"/>
    <pivotTable tabId="16" name="Count per month"/>
    <pivotTable tabId="16" name="Count per number of attempts"/>
    <pivotTable tabId="16" name="Count per year"/>
    <pivotTable tabId="16" name="% of flash, onsight, redpoint per grade"/>
  </pivotTables>
  <data>
    <olap pivotCacheId="160794866">
      <levels count="2">
        <level uniqueName="[SportClimbing].[Height range (m)].[(All)]" sourceCaption="(All)" count="0"/>
        <level uniqueName="[SportClimbing].[Height range (m)].[Height range (m)]" sourceCaption="Height range (m)" count="7">
          <ranges>
            <range startItem="0">
              <i n="[SportClimbing].[Height range (m)].&amp;[0-10]" c="0-10"/>
              <i n="[SportClimbing].[Height range (m)].&amp;[11-15]" c="11-15"/>
              <i n="[SportClimbing].[Height range (m)].&amp;[16-20]" c="16-20"/>
              <i n="[SportClimbing].[Height range (m)].&amp;[21-25]" c="21-25"/>
              <i n="[SportClimbing].[Height range (m)].&amp;[26-30]" c="26-30"/>
              <i n="[SportClimbing].[Height range (m)].&amp;[31-35]" c="31-35"/>
              <i n="[SportClimbing].[Height range (m)].&amp;[35+]" c="35+"/>
            </range>
          </ranges>
        </level>
      </levels>
      <selections count="1">
        <selection n="[SportClimbing].[Height range (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 - TRIES" xr10:uid="{DC031239-5696-4400-94A8-168247819DF2}" cache="Slicer_Total_number_of_tries" caption="Total number of tries" columnCount="4" level="1" style="SlicerStyleDark1" rowHeight="225425"/>
  <slicer name="SLICER - GRADE" xr10:uid="{C9D86EF3-DA22-4E79-9417-61ECB4BE31B2}" cache="Slicer_Grade" caption="Grade" columnCount="2" level="1" style="Grade" rowHeight="225425"/>
  <slicer name="SLICER - CRAG" xr10:uid="{57EE081A-5355-4C6F-AF2A-30C624F4D53F}" cache="Slicer_Crag" caption="Crag" columnCount="7" level="1" style="SlicerStyleDark2 2" rowHeight="225425"/>
  <slicer name="SLICER -YEAR" xr10:uid="{9C5CB6E8-0DB1-4CE8-B125-C3696FFEC8D3}" cache="Slicer_YEARS" caption="Year" columnCount="4" level="1" style="SlicerStyleDark6" rowHeight="225425"/>
  <slicer name="SLICER - PARTNER" xr10:uid="{6A73B54E-930C-4E8F-9CD2-F22A2152753F}" cache="Slicer_Belayer1" caption="Climbing partner" columnCount="5" level="1" style="Belayer" rowHeight="225425"/>
  <slicer name="SLICER - HEIGHT" xr10:uid="{1C541FAA-BC74-4DDB-A62D-1E2A3A72EDEC}" cache="Slicer_Height__m" caption="Height (m)" columnCount="5" level="1" style="SlicerStyleDark5" rowHeight="225425"/>
  <slicer name="SLICER - MONTH" xr10:uid="{12489FBE-ACFB-4A32-815A-D35FA83CBF83}" cache="Slicer_MONTHS_2" caption="Month" columnCount="3" level="1" style="Month" rowHeight="225425"/>
  <slicer name="SLICER - HEIGHT RANGE" xr10:uid="{3BB562B2-DE17-4E06-8C74-FA86DBD22199}" cache="Slicer_Height_range__m" caption="Height range (m)" columnCount="2" level="1" style="SlicerStyleDark5"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0000000}" name="SportClimbing" displayName="SportClimbing" ref="A1:Q227" totalsRowShown="0" headerRowDxfId="26" dataDxfId="25">
  <autoFilter ref="A1:Q227" xr:uid="{00000000-0009-0000-0100-00000B000000}"/>
  <tableColumns count="17">
    <tableColumn id="15" xr3:uid="{FE3DDA29-F15F-44B8-AEE9-6E7A12EB2621}" name="Date" dataDxfId="24">
      <calculatedColumnFormula>DATE(SportClimbing[[#This Row],[Year]],_xlfn.XLOOKUP(SportClimbing[[#This Row],[Month]],MONTHS[MONTHS 2],MONTHS[MONTHS 3]),SportClimbing[[#This Row],[Day]])</calculatedColumnFormula>
    </tableColumn>
    <tableColumn id="16" xr3:uid="{CD864414-533C-4B70-8D0E-C6C7958F5345}" name="Date_filter" dataDxfId="23">
      <calculatedColumnFormula>AND(SportClimbing[[#This Row],[Date]] &gt;= TODAY()-365, SportClimbing[[#This Row],[Date]] &lt;= TODAY())</calculatedColumnFormula>
    </tableColumn>
    <tableColumn id="1" xr3:uid="{00000000-0010-0000-0000-000001000000}" name="Day" dataDxfId="22"/>
    <tableColumn id="2" xr3:uid="{00000000-0010-0000-0000-000002000000}" name="Month" dataDxfId="21"/>
    <tableColumn id="3" xr3:uid="{00000000-0010-0000-0000-000003000000}" name="Year" dataDxfId="20"/>
    <tableColumn id="4" xr3:uid="{00000000-0010-0000-0000-000004000000}" name="Route name" dataDxfId="19"/>
    <tableColumn id="5" xr3:uid="{00000000-0010-0000-0000-000005000000}" name="Grade" dataDxfId="18"/>
    <tableColumn id="11" xr3:uid="{BFFEE807-DBDA-4F0E-AB51-6D193DCB058B}" name="Country" dataDxfId="17"/>
    <tableColumn id="6" xr3:uid="{00000000-0010-0000-0000-000006000000}" name="Crag" dataDxfId="16"/>
    <tableColumn id="7" xr3:uid="{00000000-0010-0000-0000-000007000000}" name="Sector" dataDxfId="15"/>
    <tableColumn id="8" xr3:uid="{00000000-0010-0000-0000-000008000000}" name="Height (m)" dataDxfId="14"/>
    <tableColumn id="12" xr3:uid="{81841973-0EB5-42FD-BFDD-2B7B229B7F5E}" name="Height range (m)" dataDxfId="13">
      <calculatedColumnFormula>IF(SportClimbing[[#This Row],[Height (m)]]&lt;11, "0-10", IF(SportClimbing[[#This Row],[Height (m)]]&lt;16, "11-15", IF(SportClimbing[[#This Row],[Height (m)]]&lt;21, "16-20", IF(SportClimbing[[#This Row],[Height (m)]]&lt;26, "21-25", IF(SportClimbing[[#This Row],[Height (m)]]&lt;31, "26-30", IF(SportClimbing[[#This Row],[Height (m)]]&lt;36, "31-35", "35+"))))))</calculatedColumnFormula>
    </tableColumn>
    <tableColumn id="9" xr3:uid="{00000000-0010-0000-0000-000009000000}" name="Belayer" dataDxfId="12"/>
    <tableColumn id="10" xr3:uid="{00000000-0010-0000-0000-00000A000000}" name="Total number of tries" dataDxfId="11"/>
    <tableColumn id="13" xr3:uid="{CFDCCC54-2F7A-4831-BA52-05C63F2A3A19}" name="Tries num. only excl. outliers" dataDxfId="10">
      <calculatedColumnFormula>IF(ISNUMBER(SportClimbing[[#This Row],[Total number of tries]])=TRUE, SportClimbing[[#This Row],[Total number of tries]], 1)</calculatedColumnFormula>
    </tableColumn>
    <tableColumn id="14" xr3:uid="{A0FF27BE-EC33-40AC-AEF4-B5788A5C4E1F}" name="onsight/flash/redpoint" dataDxfId="9">
      <calculatedColumnFormula>IF(ISNUMBER(SportClimbing[[#This Row],[Total number of tries]])=TRUE, "redpoint", SportClimbing[[#This Row],[Total number of tries]])</calculatedColumnFormula>
    </tableColumn>
    <tableColumn id="17" xr3:uid="{BD42760A-86CB-48E9-958C-2E58AD76AEA6}" name="Score" dataDxfId="8">
      <calculatedColumnFormula>_xlfn.XLOOKUP(SportClimbing[[#This Row],[Grade]],SCORE[GRADE],SCORE[SCORE],,)</calculatedColumnFormula>
    </tableColumn>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BDA1C8-67BC-46A4-B59F-88BB6F02F3A5}" name="YEARS" displayName="YEARS" ref="A1:A22" totalsRowShown="0">
  <autoFilter ref="A1:A22" xr:uid="{5DBDA1C8-67BC-46A4-B59F-88BB6F02F3A5}"/>
  <tableColumns count="1">
    <tableColumn id="1" xr3:uid="{94E9D351-C9E9-4065-813F-F63DB1439259}" name="YEAR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5CDF67-69C6-4F8E-8866-17A2301F4074}" name="MONTHS" displayName="MONTHS" ref="C1:E13" totalsRowShown="0">
  <autoFilter ref="C1:E13" xr:uid="{F65CDF67-69C6-4F8E-8866-17A2301F4074}"/>
  <tableColumns count="3">
    <tableColumn id="1" xr3:uid="{077EAEE1-3C25-4029-8A12-05952909279A}" name="MONTHS 1"/>
    <tableColumn id="2" xr3:uid="{48F14ADA-60D5-42F2-B026-D004D0FF61D3}" name="MONTHS 2"/>
    <tableColumn id="3" xr3:uid="{6220A5CE-1022-4C93-A397-A38BF650EDBE}" name="MONTHS 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E91DC0-84F5-47BE-B79E-2355DF0C3A3F}" name="GRADES" displayName="GRADES" ref="G1:G9" totalsRowShown="0">
  <autoFilter ref="G1:G9" xr:uid="{C5E91DC0-84F5-47BE-B79E-2355DF0C3A3F}"/>
  <tableColumns count="1">
    <tableColumn id="1" xr3:uid="{1476F114-40F1-4E3E-BADA-69DE0D8C9ED5}" name="GRAD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E27473-E8A2-44E6-8CC2-65EBEEE0731C}" name="SCORE" displayName="SCORE" ref="I1:J9" totalsRowShown="0">
  <autoFilter ref="I1:J9" xr:uid="{4EE27473-E8A2-44E6-8CC2-65EBEEE0731C}"/>
  <tableColumns count="2">
    <tableColumn id="1" xr3:uid="{EC5139E1-DD24-4F5D-89A5-32581CB085D3}" name="GRADE"/>
    <tableColumn id="2" xr3:uid="{750B5A90-0220-490A-91AE-566A38B25C6F}" name="SCORE"/>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vmlDrawing" Target="../drawings/vmlDrawing1.vml"/><Relationship Id="rId6" Type="http://schemas.openxmlformats.org/officeDocument/2006/relationships/comments" Target="../comments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59999389629810485"/>
  </sheetPr>
  <dimension ref="A1:Q227"/>
  <sheetViews>
    <sheetView showGridLines="0" zoomScaleNormal="100" workbookViewId="0">
      <pane ySplit="1" topLeftCell="A184" activePane="bottomLeft" state="frozen"/>
      <selection pane="bottomLeft" activeCell="K226" sqref="K226"/>
    </sheetView>
  </sheetViews>
  <sheetFormatPr defaultColWidth="11.5546875" defaultRowHeight="13.2" x14ac:dyDescent="0.25"/>
  <cols>
    <col min="1" max="1" width="11.5546875" style="21"/>
    <col min="2" max="2" width="11.5546875" style="21" customWidth="1"/>
    <col min="3" max="3" width="11" bestFit="1" customWidth="1"/>
    <col min="4" max="4" width="8.77734375" bestFit="1" customWidth="1"/>
    <col min="5" max="5" width="7.21875" bestFit="1" customWidth="1"/>
    <col min="6" max="6" width="34.5546875" bestFit="1" customWidth="1"/>
    <col min="7" max="7" width="8.5546875" bestFit="1" customWidth="1"/>
    <col min="8" max="8" width="10.77734375" bestFit="1" customWidth="1"/>
    <col min="9" max="9" width="27.77734375" bestFit="1" customWidth="1"/>
    <col min="10" max="10" width="29.21875" bestFit="1" customWidth="1"/>
    <col min="11" max="11" width="12.21875" bestFit="1" customWidth="1"/>
    <col min="12" max="12" width="18" bestFit="1" customWidth="1"/>
    <col min="13" max="13" width="17.44140625" bestFit="1" customWidth="1"/>
    <col min="14" max="14" width="22.44140625" bestFit="1" customWidth="1"/>
    <col min="15" max="15" width="30" bestFit="1" customWidth="1"/>
    <col min="16" max="16" width="23.21875" bestFit="1" customWidth="1"/>
  </cols>
  <sheetData>
    <row r="1" spans="1:17" x14ac:dyDescent="0.25">
      <c r="A1" s="21" t="s">
        <v>421</v>
      </c>
      <c r="B1" s="21" t="s">
        <v>422</v>
      </c>
      <c r="C1" t="s">
        <v>136</v>
      </c>
      <c r="D1" t="s">
        <v>137</v>
      </c>
      <c r="E1" t="s">
        <v>138</v>
      </c>
      <c r="F1" t="s">
        <v>139</v>
      </c>
      <c r="G1" t="s">
        <v>140</v>
      </c>
      <c r="H1" t="s">
        <v>260</v>
      </c>
      <c r="I1" t="s">
        <v>141</v>
      </c>
      <c r="J1" t="s">
        <v>142</v>
      </c>
      <c r="K1" t="s">
        <v>143</v>
      </c>
      <c r="L1" t="s">
        <v>378</v>
      </c>
      <c r="M1" t="s">
        <v>144</v>
      </c>
      <c r="N1" t="s">
        <v>145</v>
      </c>
      <c r="O1" s="24" t="s">
        <v>407</v>
      </c>
      <c r="P1" t="s">
        <v>403</v>
      </c>
      <c r="Q1" t="s">
        <v>438</v>
      </c>
    </row>
    <row r="2" spans="1:17" x14ac:dyDescent="0.25">
      <c r="A2" s="21">
        <f>DATE(SportClimbing[[#This Row],[Year]],_xlfn.XLOOKUP(SportClimbing[[#This Row],[Month]],MONTHS[MONTHS 2],MONTHS[MONTHS 3]),SportClimbing[[#This Row],[Day]])</f>
        <v>38913</v>
      </c>
      <c r="B2" s="21" t="b">
        <f ca="1">AND(SportClimbing[[#This Row],[Date]] &gt;= TODAY()-365, SportClimbing[[#This Row],[Date]] &lt;= TODAY())</f>
        <v>0</v>
      </c>
      <c r="C2">
        <v>15</v>
      </c>
      <c r="D2" t="s">
        <v>365</v>
      </c>
      <c r="E2">
        <v>2006</v>
      </c>
      <c r="F2" t="s">
        <v>2</v>
      </c>
      <c r="G2" t="s">
        <v>3</v>
      </c>
      <c r="H2" t="s">
        <v>261</v>
      </c>
      <c r="I2" t="s">
        <v>1</v>
      </c>
      <c r="J2" t="s">
        <v>4</v>
      </c>
      <c r="K2">
        <v>15</v>
      </c>
      <c r="L2" t="str">
        <f>IF(SportClimbing[[#This Row],[Height (m)]]&lt;11, "0-10", IF(SportClimbing[[#This Row],[Height (m)]]&lt;16, "11-15", IF(SportClimbing[[#This Row],[Height (m)]]&lt;21, "16-20", IF(SportClimbing[[#This Row],[Height (m)]]&lt;26, "21-25", IF(SportClimbing[[#This Row],[Height (m)]]&lt;31, "26-30", IF(SportClimbing[[#This Row],[Height (m)]]&lt;36, "31-35", "35+"))))))</f>
        <v>11-15</v>
      </c>
      <c r="M2" t="s">
        <v>10</v>
      </c>
      <c r="N2">
        <v>7</v>
      </c>
      <c r="O2">
        <f>IF(ISNUMBER(SportClimbing[[#This Row],[Total number of tries]])=TRUE, SportClimbing[[#This Row],[Total number of tries]], 1)</f>
        <v>7</v>
      </c>
      <c r="P2" t="str">
        <f>IF(ISNUMBER(SportClimbing[[#This Row],[Total number of tries]])=TRUE, "redpoint", SportClimbing[[#This Row],[Total number of tries]])</f>
        <v>redpoint</v>
      </c>
      <c r="Q2">
        <f>_xlfn.XLOOKUP(SportClimbing[[#This Row],[Grade]],SCORE[GRADE],SCORE[SCORE],,)</f>
        <v>10</v>
      </c>
    </row>
    <row r="3" spans="1:17" x14ac:dyDescent="0.25">
      <c r="A3" s="21">
        <f>DATE(SportClimbing[[#This Row],[Year]],_xlfn.XLOOKUP(SportClimbing[[#This Row],[Month]],MONTHS[MONTHS 2],MONTHS[MONTHS 3]),SportClimbing[[#This Row],[Day]])</f>
        <v>39285</v>
      </c>
      <c r="B3" s="21" t="b">
        <f ca="1">AND(SportClimbing[[#This Row],[Date]] &gt;= TODAY()-365, SportClimbing[[#This Row],[Date]] &lt;= TODAY())</f>
        <v>0</v>
      </c>
      <c r="C3">
        <v>22</v>
      </c>
      <c r="D3" t="s">
        <v>365</v>
      </c>
      <c r="E3">
        <v>2007</v>
      </c>
      <c r="F3" t="s">
        <v>5</v>
      </c>
      <c r="G3" t="s">
        <v>3</v>
      </c>
      <c r="H3" t="s">
        <v>261</v>
      </c>
      <c r="I3" t="s">
        <v>1</v>
      </c>
      <c r="J3" t="s">
        <v>4</v>
      </c>
      <c r="K3">
        <v>25</v>
      </c>
      <c r="L3" t="str">
        <f>IF(SportClimbing[[#This Row],[Height (m)]]&lt;11, "0-10", IF(SportClimbing[[#This Row],[Height (m)]]&lt;16, "11-15", IF(SportClimbing[[#This Row],[Height (m)]]&lt;21, "16-20", IF(SportClimbing[[#This Row],[Height (m)]]&lt;26, "21-25", IF(SportClimbing[[#This Row],[Height (m)]]&lt;31, "26-30", IF(SportClimbing[[#This Row],[Height (m)]]&lt;36, "31-35", "35+"))))))</f>
        <v>21-25</v>
      </c>
      <c r="M3" t="s">
        <v>6</v>
      </c>
      <c r="N3">
        <v>4</v>
      </c>
      <c r="O3">
        <f>IF(ISNUMBER(SportClimbing[[#This Row],[Total number of tries]])=TRUE, SportClimbing[[#This Row],[Total number of tries]], 1)</f>
        <v>4</v>
      </c>
      <c r="P3" t="str">
        <f>IF(ISNUMBER(SportClimbing[[#This Row],[Total number of tries]])=TRUE, "redpoint", SportClimbing[[#This Row],[Total number of tries]])</f>
        <v>redpoint</v>
      </c>
      <c r="Q3">
        <f>_xlfn.XLOOKUP(SportClimbing[[#This Row],[Grade]],SCORE[GRADE],SCORE[SCORE],,)</f>
        <v>10</v>
      </c>
    </row>
    <row r="4" spans="1:17" x14ac:dyDescent="0.25">
      <c r="A4" s="21">
        <f>DATE(SportClimbing[[#This Row],[Year]],_xlfn.XLOOKUP(SportClimbing[[#This Row],[Month]],MONTHS[MONTHS 2],MONTHS[MONTHS 3]),SportClimbing[[#This Row],[Day]])</f>
        <v>39557</v>
      </c>
      <c r="B4" s="21" t="b">
        <f ca="1">AND(SportClimbing[[#This Row],[Date]] &gt;= TODAY()-365, SportClimbing[[#This Row],[Date]] &lt;= TODAY())</f>
        <v>0</v>
      </c>
      <c r="C4">
        <v>19</v>
      </c>
      <c r="D4" t="s">
        <v>368</v>
      </c>
      <c r="E4">
        <v>2008</v>
      </c>
      <c r="F4" t="s">
        <v>7</v>
      </c>
      <c r="G4" t="s">
        <v>3</v>
      </c>
      <c r="H4" t="s">
        <v>261</v>
      </c>
      <c r="I4" t="s">
        <v>8</v>
      </c>
      <c r="J4" t="s">
        <v>9</v>
      </c>
      <c r="K4">
        <v>25</v>
      </c>
      <c r="L4" t="str">
        <f>IF(SportClimbing[[#This Row],[Height (m)]]&lt;11, "0-10", IF(SportClimbing[[#This Row],[Height (m)]]&lt;16, "11-15", IF(SportClimbing[[#This Row],[Height (m)]]&lt;21, "16-20", IF(SportClimbing[[#This Row],[Height (m)]]&lt;26, "21-25", IF(SportClimbing[[#This Row],[Height (m)]]&lt;31, "26-30", IF(SportClimbing[[#This Row],[Height (m)]]&lt;36, "31-35", "35+"))))))</f>
        <v>21-25</v>
      </c>
      <c r="M4" t="s">
        <v>10</v>
      </c>
      <c r="N4" t="s">
        <v>11</v>
      </c>
      <c r="O4">
        <f>IF(ISNUMBER(SportClimbing[[#This Row],[Total number of tries]])=TRUE, SportClimbing[[#This Row],[Total number of tries]], 1)</f>
        <v>1</v>
      </c>
      <c r="P4" t="str">
        <f>IF(ISNUMBER(SportClimbing[[#This Row],[Total number of tries]])=TRUE, "redpoint", SportClimbing[[#This Row],[Total number of tries]])</f>
        <v>flash</v>
      </c>
      <c r="Q4">
        <f>_xlfn.XLOOKUP(SportClimbing[[#This Row],[Grade]],SCORE[GRADE],SCORE[SCORE],,)</f>
        <v>10</v>
      </c>
    </row>
    <row r="5" spans="1:17" x14ac:dyDescent="0.25">
      <c r="A5" s="21">
        <f>DATE(SportClimbing[[#This Row],[Year]],_xlfn.XLOOKUP(SportClimbing[[#This Row],[Month]],MONTHS[MONTHS 2],MONTHS[MONTHS 3]),SportClimbing[[#This Row],[Day]])</f>
        <v>39571</v>
      </c>
      <c r="B5" s="21" t="b">
        <f ca="1">AND(SportClimbing[[#This Row],[Date]] &gt;= TODAY()-365, SportClimbing[[#This Row],[Date]] &lt;= TODAY())</f>
        <v>0</v>
      </c>
      <c r="C5">
        <v>3</v>
      </c>
      <c r="D5" t="s">
        <v>155</v>
      </c>
      <c r="E5">
        <v>2008</v>
      </c>
      <c r="F5" t="s">
        <v>225</v>
      </c>
      <c r="G5" t="s">
        <v>3</v>
      </c>
      <c r="H5" t="s">
        <v>261</v>
      </c>
      <c r="I5" t="s">
        <v>12</v>
      </c>
      <c r="J5" t="s">
        <v>0</v>
      </c>
      <c r="K5">
        <v>18</v>
      </c>
      <c r="L5" t="str">
        <f>IF(SportClimbing[[#This Row],[Height (m)]]&lt;11, "0-10", IF(SportClimbing[[#This Row],[Height (m)]]&lt;16, "11-15", IF(SportClimbing[[#This Row],[Height (m)]]&lt;21, "16-20", IF(SportClimbing[[#This Row],[Height (m)]]&lt;26, "21-25", IF(SportClimbing[[#This Row],[Height (m)]]&lt;31, "26-30", IF(SportClimbing[[#This Row],[Height (m)]]&lt;36, "31-35", "35+"))))))</f>
        <v>16-20</v>
      </c>
      <c r="M5" t="s">
        <v>13</v>
      </c>
      <c r="N5">
        <v>2</v>
      </c>
      <c r="O5">
        <f>IF(ISNUMBER(SportClimbing[[#This Row],[Total number of tries]])=TRUE, SportClimbing[[#This Row],[Total number of tries]], 1)</f>
        <v>2</v>
      </c>
      <c r="P5" t="str">
        <f>IF(ISNUMBER(SportClimbing[[#This Row],[Total number of tries]])=TRUE, "redpoint", SportClimbing[[#This Row],[Total number of tries]])</f>
        <v>redpoint</v>
      </c>
      <c r="Q5">
        <f>_xlfn.XLOOKUP(SportClimbing[[#This Row],[Grade]],SCORE[GRADE],SCORE[SCORE],,)</f>
        <v>10</v>
      </c>
    </row>
    <row r="6" spans="1:17" x14ac:dyDescent="0.25">
      <c r="A6" s="21">
        <f>DATE(SportClimbing[[#This Row],[Year]],_xlfn.XLOOKUP(SportClimbing[[#This Row],[Month]],MONTHS[MONTHS 2],MONTHS[MONTHS 3]),SportClimbing[[#This Row],[Day]])</f>
        <v>40761</v>
      </c>
      <c r="B6" s="21" t="b">
        <f ca="1">AND(SportClimbing[[#This Row],[Date]] &gt;= TODAY()-365, SportClimbing[[#This Row],[Date]] &lt;= TODAY())</f>
        <v>0</v>
      </c>
      <c r="C6">
        <v>6</v>
      </c>
      <c r="D6" t="s">
        <v>158</v>
      </c>
      <c r="E6">
        <v>2011</v>
      </c>
      <c r="F6" t="s">
        <v>14</v>
      </c>
      <c r="G6" t="s">
        <v>3</v>
      </c>
      <c r="H6" t="s">
        <v>262</v>
      </c>
      <c r="I6" t="s">
        <v>15</v>
      </c>
      <c r="J6" t="s">
        <v>16</v>
      </c>
      <c r="K6">
        <v>20</v>
      </c>
      <c r="L6" t="str">
        <f>IF(SportClimbing[[#This Row],[Height (m)]]&lt;11, "0-10", IF(SportClimbing[[#This Row],[Height (m)]]&lt;16, "11-15", IF(SportClimbing[[#This Row],[Height (m)]]&lt;21, "16-20", IF(SportClimbing[[#This Row],[Height (m)]]&lt;26, "21-25", IF(SportClimbing[[#This Row],[Height (m)]]&lt;31, "26-30", IF(SportClimbing[[#This Row],[Height (m)]]&lt;36, "31-35", "35+"))))))</f>
        <v>16-20</v>
      </c>
      <c r="M6" t="s">
        <v>17</v>
      </c>
      <c r="N6">
        <v>2</v>
      </c>
      <c r="O6">
        <f>IF(ISNUMBER(SportClimbing[[#This Row],[Total number of tries]])=TRUE, SportClimbing[[#This Row],[Total number of tries]], 1)</f>
        <v>2</v>
      </c>
      <c r="P6" t="str">
        <f>IF(ISNUMBER(SportClimbing[[#This Row],[Total number of tries]])=TRUE, "redpoint", SportClimbing[[#This Row],[Total number of tries]])</f>
        <v>redpoint</v>
      </c>
      <c r="Q6">
        <f>_xlfn.XLOOKUP(SportClimbing[[#This Row],[Grade]],SCORE[GRADE],SCORE[SCORE],,)</f>
        <v>10</v>
      </c>
    </row>
    <row r="7" spans="1:17" x14ac:dyDescent="0.25">
      <c r="A7" s="21">
        <f>DATE(SportClimbing[[#This Row],[Year]],_xlfn.XLOOKUP(SportClimbing[[#This Row],[Month]],MONTHS[MONTHS 2],MONTHS[MONTHS 3]),SportClimbing[[#This Row],[Day]])</f>
        <v>41007</v>
      </c>
      <c r="B7" s="21" t="b">
        <f ca="1">AND(SportClimbing[[#This Row],[Date]] &gt;= TODAY()-365, SportClimbing[[#This Row],[Date]] &lt;= TODAY())</f>
        <v>0</v>
      </c>
      <c r="C7">
        <v>8</v>
      </c>
      <c r="D7" t="s">
        <v>368</v>
      </c>
      <c r="E7">
        <v>2012</v>
      </c>
      <c r="F7" t="s">
        <v>118</v>
      </c>
      <c r="G7" t="s">
        <v>3</v>
      </c>
      <c r="H7" t="s">
        <v>262</v>
      </c>
      <c r="I7" t="s">
        <v>18</v>
      </c>
      <c r="J7" t="s">
        <v>19</v>
      </c>
      <c r="K7">
        <v>20</v>
      </c>
      <c r="L7" t="str">
        <f>IF(SportClimbing[[#This Row],[Height (m)]]&lt;11, "0-10", IF(SportClimbing[[#This Row],[Height (m)]]&lt;16, "11-15", IF(SportClimbing[[#This Row],[Height (m)]]&lt;21, "16-20", IF(SportClimbing[[#This Row],[Height (m)]]&lt;26, "21-25", IF(SportClimbing[[#This Row],[Height (m)]]&lt;31, "26-30", IF(SportClimbing[[#This Row],[Height (m)]]&lt;36, "31-35", "35+"))))))</f>
        <v>16-20</v>
      </c>
      <c r="M7" t="s">
        <v>146</v>
      </c>
      <c r="N7">
        <v>2</v>
      </c>
      <c r="O7">
        <f>IF(ISNUMBER(SportClimbing[[#This Row],[Total number of tries]])=TRUE, SportClimbing[[#This Row],[Total number of tries]], 1)</f>
        <v>2</v>
      </c>
      <c r="P7" t="str">
        <f>IF(ISNUMBER(SportClimbing[[#This Row],[Total number of tries]])=TRUE, "redpoint", SportClimbing[[#This Row],[Total number of tries]])</f>
        <v>redpoint</v>
      </c>
      <c r="Q7">
        <f>_xlfn.XLOOKUP(SportClimbing[[#This Row],[Grade]],SCORE[GRADE],SCORE[SCORE],,)</f>
        <v>10</v>
      </c>
    </row>
    <row r="8" spans="1:17" x14ac:dyDescent="0.25">
      <c r="A8" s="21">
        <f>DATE(SportClimbing[[#This Row],[Year]],_xlfn.XLOOKUP(SportClimbing[[#This Row],[Month]],MONTHS[MONTHS 2],MONTHS[MONTHS 3]),SportClimbing[[#This Row],[Day]])</f>
        <v>41234</v>
      </c>
      <c r="B8" s="21" t="b">
        <f ca="1">AND(SportClimbing[[#This Row],[Date]] &gt;= TODAY()-365, SportClimbing[[#This Row],[Date]] &lt;= TODAY())</f>
        <v>0</v>
      </c>
      <c r="C8">
        <v>21</v>
      </c>
      <c r="D8" t="s">
        <v>160</v>
      </c>
      <c r="E8">
        <v>2012</v>
      </c>
      <c r="F8" t="s">
        <v>20</v>
      </c>
      <c r="G8" t="s">
        <v>21</v>
      </c>
      <c r="H8" t="s">
        <v>262</v>
      </c>
      <c r="I8" t="s">
        <v>22</v>
      </c>
      <c r="J8" t="s">
        <v>23</v>
      </c>
      <c r="K8">
        <v>25</v>
      </c>
      <c r="L8" t="str">
        <f>IF(SportClimbing[[#This Row],[Height (m)]]&lt;11, "0-10", IF(SportClimbing[[#This Row],[Height (m)]]&lt;16, "11-15", IF(SportClimbing[[#This Row],[Height (m)]]&lt;21, "16-20", IF(SportClimbing[[#This Row],[Height (m)]]&lt;26, "21-25", IF(SportClimbing[[#This Row],[Height (m)]]&lt;31, "26-30", IF(SportClimbing[[#This Row],[Height (m)]]&lt;36, "31-35", "35+"))))))</f>
        <v>21-25</v>
      </c>
      <c r="M8" t="s">
        <v>24</v>
      </c>
      <c r="N8">
        <v>4</v>
      </c>
      <c r="O8">
        <f>IF(ISNUMBER(SportClimbing[[#This Row],[Total number of tries]])=TRUE, SportClimbing[[#This Row],[Total number of tries]], 1)</f>
        <v>4</v>
      </c>
      <c r="P8" t="str">
        <f>IF(ISNUMBER(SportClimbing[[#This Row],[Total number of tries]])=TRUE, "redpoint", SportClimbing[[#This Row],[Total number of tries]])</f>
        <v>redpoint</v>
      </c>
      <c r="Q8">
        <f>_xlfn.XLOOKUP(SportClimbing[[#This Row],[Grade]],SCORE[GRADE],SCORE[SCORE],,)</f>
        <v>15</v>
      </c>
    </row>
    <row r="9" spans="1:17" x14ac:dyDescent="0.25">
      <c r="A9" s="21">
        <f>DATE(SportClimbing[[#This Row],[Year]],_xlfn.XLOOKUP(SportClimbing[[#This Row],[Month]],MONTHS[MONTHS 2],MONTHS[MONTHS 3]),SportClimbing[[#This Row],[Day]])</f>
        <v>41264</v>
      </c>
      <c r="B9" s="21" t="b">
        <f ca="1">AND(SportClimbing[[#This Row],[Date]] &gt;= TODAY()-365, SportClimbing[[#This Row],[Date]] &lt;= TODAY())</f>
        <v>0</v>
      </c>
      <c r="C9">
        <v>21</v>
      </c>
      <c r="D9" t="s">
        <v>161</v>
      </c>
      <c r="E9">
        <v>2012</v>
      </c>
      <c r="F9" t="s">
        <v>28</v>
      </c>
      <c r="G9" t="s">
        <v>21</v>
      </c>
      <c r="H9" t="s">
        <v>262</v>
      </c>
      <c r="I9" t="s">
        <v>22</v>
      </c>
      <c r="J9" t="s">
        <v>23</v>
      </c>
      <c r="K9">
        <v>25</v>
      </c>
      <c r="L9" t="str">
        <f>IF(SportClimbing[[#This Row],[Height (m)]]&lt;11, "0-10", IF(SportClimbing[[#This Row],[Height (m)]]&lt;16, "11-15", IF(SportClimbing[[#This Row],[Height (m)]]&lt;21, "16-20", IF(SportClimbing[[#This Row],[Height (m)]]&lt;26, "21-25", IF(SportClimbing[[#This Row],[Height (m)]]&lt;31, "26-30", IF(SportClimbing[[#This Row],[Height (m)]]&lt;36, "31-35", "35+"))))))</f>
        <v>21-25</v>
      </c>
      <c r="M9" t="s">
        <v>146</v>
      </c>
      <c r="N9" t="s">
        <v>11</v>
      </c>
      <c r="O9">
        <f>IF(ISNUMBER(SportClimbing[[#This Row],[Total number of tries]])=TRUE, SportClimbing[[#This Row],[Total number of tries]], 1)</f>
        <v>1</v>
      </c>
      <c r="P9" t="str">
        <f>IF(ISNUMBER(SportClimbing[[#This Row],[Total number of tries]])=TRUE, "redpoint", SportClimbing[[#This Row],[Total number of tries]])</f>
        <v>flash</v>
      </c>
      <c r="Q9">
        <f>_xlfn.XLOOKUP(SportClimbing[[#This Row],[Grade]],SCORE[GRADE],SCORE[SCORE],,)</f>
        <v>15</v>
      </c>
    </row>
    <row r="10" spans="1:17" x14ac:dyDescent="0.25">
      <c r="A10" s="21">
        <f>DATE(SportClimbing[[#This Row],[Year]],_xlfn.XLOOKUP(SportClimbing[[#This Row],[Month]],MONTHS[MONTHS 2],MONTHS[MONTHS 3]),SportClimbing[[#This Row],[Day]])</f>
        <v>41295</v>
      </c>
      <c r="B10" s="21" t="b">
        <f ca="1">AND(SportClimbing[[#This Row],[Date]] &gt;= TODAY()-365, SportClimbing[[#This Row],[Date]] &lt;= TODAY())</f>
        <v>0</v>
      </c>
      <c r="C10">
        <v>21</v>
      </c>
      <c r="D10" t="s">
        <v>151</v>
      </c>
      <c r="E10">
        <v>2013</v>
      </c>
      <c r="F10" t="s">
        <v>30</v>
      </c>
      <c r="G10" t="s">
        <v>29</v>
      </c>
      <c r="H10" t="s">
        <v>262</v>
      </c>
      <c r="I10" t="s">
        <v>22</v>
      </c>
      <c r="J10" t="s">
        <v>23</v>
      </c>
      <c r="K10">
        <v>25</v>
      </c>
      <c r="L10" t="str">
        <f>IF(SportClimbing[[#This Row],[Height (m)]]&lt;11, "0-10", IF(SportClimbing[[#This Row],[Height (m)]]&lt;16, "11-15", IF(SportClimbing[[#This Row],[Height (m)]]&lt;21, "16-20", IF(SportClimbing[[#This Row],[Height (m)]]&lt;26, "21-25", IF(SportClimbing[[#This Row],[Height (m)]]&lt;31, "26-30", IF(SportClimbing[[#This Row],[Height (m)]]&lt;36, "31-35", "35+"))))))</f>
        <v>21-25</v>
      </c>
      <c r="M10" t="s">
        <v>146</v>
      </c>
      <c r="N10">
        <v>7</v>
      </c>
      <c r="O10">
        <f>IF(ISNUMBER(SportClimbing[[#This Row],[Total number of tries]])=TRUE, SportClimbing[[#This Row],[Total number of tries]], 1)</f>
        <v>7</v>
      </c>
      <c r="P10" t="str">
        <f>IF(ISNUMBER(SportClimbing[[#This Row],[Total number of tries]])=TRUE, "redpoint", SportClimbing[[#This Row],[Total number of tries]])</f>
        <v>redpoint</v>
      </c>
      <c r="Q10">
        <f>_xlfn.XLOOKUP(SportClimbing[[#This Row],[Grade]],SCORE[GRADE],SCORE[SCORE],,)</f>
        <v>25</v>
      </c>
    </row>
    <row r="11" spans="1:17" x14ac:dyDescent="0.25">
      <c r="A11" s="21">
        <f>DATE(SportClimbing[[#This Row],[Year]],_xlfn.XLOOKUP(SportClimbing[[#This Row],[Month]],MONTHS[MONTHS 2],MONTHS[MONTHS 3]),SportClimbing[[#This Row],[Day]])</f>
        <v>41306</v>
      </c>
      <c r="B11" s="21" t="b">
        <f ca="1">AND(SportClimbing[[#This Row],[Date]] &gt;= TODAY()-365, SportClimbing[[#This Row],[Date]] &lt;= TODAY())</f>
        <v>0</v>
      </c>
      <c r="C11">
        <v>1</v>
      </c>
      <c r="D11" t="s">
        <v>152</v>
      </c>
      <c r="E11">
        <v>2013</v>
      </c>
      <c r="F11" t="s">
        <v>33</v>
      </c>
      <c r="G11" t="s">
        <v>3</v>
      </c>
      <c r="H11" t="s">
        <v>262</v>
      </c>
      <c r="I11" t="s">
        <v>22</v>
      </c>
      <c r="J11" t="s">
        <v>23</v>
      </c>
      <c r="K11">
        <v>18</v>
      </c>
      <c r="L11" t="str">
        <f>IF(SportClimbing[[#This Row],[Height (m)]]&lt;11, "0-10", IF(SportClimbing[[#This Row],[Height (m)]]&lt;16, "11-15", IF(SportClimbing[[#This Row],[Height (m)]]&lt;21, "16-20", IF(SportClimbing[[#This Row],[Height (m)]]&lt;26, "21-25", IF(SportClimbing[[#This Row],[Height (m)]]&lt;31, "26-30", IF(SportClimbing[[#This Row],[Height (m)]]&lt;36, "31-35", "35+"))))))</f>
        <v>16-20</v>
      </c>
      <c r="M11" t="s">
        <v>34</v>
      </c>
      <c r="N11" t="s">
        <v>130</v>
      </c>
      <c r="O11">
        <f>IF(ISNUMBER(SportClimbing[[#This Row],[Total number of tries]])=TRUE, SportClimbing[[#This Row],[Total number of tries]], 1)</f>
        <v>1</v>
      </c>
      <c r="P11" t="str">
        <f>IF(ISNUMBER(SportClimbing[[#This Row],[Total number of tries]])=TRUE, "redpoint", SportClimbing[[#This Row],[Total number of tries]])</f>
        <v>onsight</v>
      </c>
      <c r="Q11">
        <f>_xlfn.XLOOKUP(SportClimbing[[#This Row],[Grade]],SCORE[GRADE],SCORE[SCORE],,)</f>
        <v>10</v>
      </c>
    </row>
    <row r="12" spans="1:17" x14ac:dyDescent="0.25">
      <c r="A12" s="21">
        <f>DATE(SportClimbing[[#This Row],[Year]],_xlfn.XLOOKUP(SportClimbing[[#This Row],[Month]],MONTHS[MONTHS 2],MONTHS[MONTHS 3]),SportClimbing[[#This Row],[Day]])</f>
        <v>41310</v>
      </c>
      <c r="B12" s="21" t="b">
        <f ca="1">AND(SportClimbing[[#This Row],[Date]] &gt;= TODAY()-365, SportClimbing[[#This Row],[Date]] &lt;= TODAY())</f>
        <v>0</v>
      </c>
      <c r="C12">
        <v>5</v>
      </c>
      <c r="D12" t="s">
        <v>152</v>
      </c>
      <c r="E12">
        <v>2013</v>
      </c>
      <c r="F12" t="s">
        <v>31</v>
      </c>
      <c r="G12" t="s">
        <v>3</v>
      </c>
      <c r="H12" t="s">
        <v>262</v>
      </c>
      <c r="I12" t="s">
        <v>25</v>
      </c>
      <c r="J12" t="s">
        <v>26</v>
      </c>
      <c r="K12">
        <v>12</v>
      </c>
      <c r="L12" t="str">
        <f>IF(SportClimbing[[#This Row],[Height (m)]]&lt;11, "0-10", IF(SportClimbing[[#This Row],[Height (m)]]&lt;16, "11-15", IF(SportClimbing[[#This Row],[Height (m)]]&lt;21, "16-20", IF(SportClimbing[[#This Row],[Height (m)]]&lt;26, "21-25", IF(SportClimbing[[#This Row],[Height (m)]]&lt;31, "26-30", IF(SportClimbing[[#This Row],[Height (m)]]&lt;36, "31-35", "35+"))))))</f>
        <v>11-15</v>
      </c>
      <c r="M12" t="s">
        <v>147</v>
      </c>
      <c r="N12">
        <v>12</v>
      </c>
      <c r="O12">
        <f>IF(ISNUMBER(SportClimbing[[#This Row],[Total number of tries]])=TRUE, SportClimbing[[#This Row],[Total number of tries]], 1)</f>
        <v>12</v>
      </c>
      <c r="P12" t="str">
        <f>IF(ISNUMBER(SportClimbing[[#This Row],[Total number of tries]])=TRUE, "redpoint", SportClimbing[[#This Row],[Total number of tries]])</f>
        <v>redpoint</v>
      </c>
      <c r="Q12">
        <f>_xlfn.XLOOKUP(SportClimbing[[#This Row],[Grade]],SCORE[GRADE],SCORE[SCORE],,)</f>
        <v>10</v>
      </c>
    </row>
    <row r="13" spans="1:17" x14ac:dyDescent="0.25">
      <c r="A13" s="21">
        <f>DATE(SportClimbing[[#This Row],[Year]],_xlfn.XLOOKUP(SportClimbing[[#This Row],[Month]],MONTHS[MONTHS 2],MONTHS[MONTHS 3]),SportClimbing[[#This Row],[Day]])</f>
        <v>41314</v>
      </c>
      <c r="B13" s="21" t="b">
        <f ca="1">AND(SportClimbing[[#This Row],[Date]] &gt;= TODAY()-365, SportClimbing[[#This Row],[Date]] &lt;= TODAY())</f>
        <v>0</v>
      </c>
      <c r="C13">
        <v>9</v>
      </c>
      <c r="D13" t="s">
        <v>152</v>
      </c>
      <c r="E13">
        <v>2013</v>
      </c>
      <c r="F13" t="s">
        <v>42</v>
      </c>
      <c r="G13" t="s">
        <v>32</v>
      </c>
      <c r="H13" t="s">
        <v>262</v>
      </c>
      <c r="I13" t="s">
        <v>25</v>
      </c>
      <c r="J13" t="s">
        <v>26</v>
      </c>
      <c r="K13">
        <v>25</v>
      </c>
      <c r="L13" t="str">
        <f>IF(SportClimbing[[#This Row],[Height (m)]]&lt;11, "0-10", IF(SportClimbing[[#This Row],[Height (m)]]&lt;16, "11-15", IF(SportClimbing[[#This Row],[Height (m)]]&lt;21, "16-20", IF(SportClimbing[[#This Row],[Height (m)]]&lt;26, "21-25", IF(SportClimbing[[#This Row],[Height (m)]]&lt;31, "26-30", IF(SportClimbing[[#This Row],[Height (m)]]&lt;36, "31-35", "35+"))))))</f>
        <v>21-25</v>
      </c>
      <c r="M13" t="s">
        <v>147</v>
      </c>
      <c r="N13">
        <v>2</v>
      </c>
      <c r="O13">
        <f>IF(ISNUMBER(SportClimbing[[#This Row],[Total number of tries]])=TRUE, SportClimbing[[#This Row],[Total number of tries]], 1)</f>
        <v>2</v>
      </c>
      <c r="P13" t="str">
        <f>IF(ISNUMBER(SportClimbing[[#This Row],[Total number of tries]])=TRUE, "redpoint", SportClimbing[[#This Row],[Total number of tries]])</f>
        <v>redpoint</v>
      </c>
      <c r="Q13">
        <f>_xlfn.XLOOKUP(SportClimbing[[#This Row],[Grade]],SCORE[GRADE],SCORE[SCORE],,)</f>
        <v>40</v>
      </c>
    </row>
    <row r="14" spans="1:17" x14ac:dyDescent="0.25">
      <c r="A14" s="21">
        <f>DATE(SportClimbing[[#This Row],[Year]],_xlfn.XLOOKUP(SportClimbing[[#This Row],[Month]],MONTHS[MONTHS 2],MONTHS[MONTHS 3]),SportClimbing[[#This Row],[Day]])</f>
        <v>41331</v>
      </c>
      <c r="B14" s="21" t="b">
        <f ca="1">AND(SportClimbing[[#This Row],[Date]] &gt;= TODAY()-365, SportClimbing[[#This Row],[Date]] &lt;= TODAY())</f>
        <v>0</v>
      </c>
      <c r="C14">
        <v>26</v>
      </c>
      <c r="D14" t="s">
        <v>152</v>
      </c>
      <c r="E14">
        <v>2013</v>
      </c>
      <c r="F14" t="s">
        <v>36</v>
      </c>
      <c r="G14" t="s">
        <v>21</v>
      </c>
      <c r="H14" t="s">
        <v>262</v>
      </c>
      <c r="I14" t="s">
        <v>22</v>
      </c>
      <c r="J14" t="s">
        <v>23</v>
      </c>
      <c r="K14">
        <v>20</v>
      </c>
      <c r="L14" t="str">
        <f>IF(SportClimbing[[#This Row],[Height (m)]]&lt;11, "0-10", IF(SportClimbing[[#This Row],[Height (m)]]&lt;16, "11-15", IF(SportClimbing[[#This Row],[Height (m)]]&lt;21, "16-20", IF(SportClimbing[[#This Row],[Height (m)]]&lt;26, "21-25", IF(SportClimbing[[#This Row],[Height (m)]]&lt;31, "26-30", IF(SportClimbing[[#This Row],[Height (m)]]&lt;36, "31-35", "35+"))))))</f>
        <v>16-20</v>
      </c>
      <c r="M14" t="s">
        <v>37</v>
      </c>
      <c r="N14" t="s">
        <v>11</v>
      </c>
      <c r="O14">
        <f>IF(ISNUMBER(SportClimbing[[#This Row],[Total number of tries]])=TRUE, SportClimbing[[#This Row],[Total number of tries]], 1)</f>
        <v>1</v>
      </c>
      <c r="P14" t="str">
        <f>IF(ISNUMBER(SportClimbing[[#This Row],[Total number of tries]])=TRUE, "redpoint", SportClimbing[[#This Row],[Total number of tries]])</f>
        <v>flash</v>
      </c>
      <c r="Q14">
        <f>_xlfn.XLOOKUP(SportClimbing[[#This Row],[Grade]],SCORE[GRADE],SCORE[SCORE],,)</f>
        <v>15</v>
      </c>
    </row>
    <row r="15" spans="1:17" x14ac:dyDescent="0.25">
      <c r="A15" s="21">
        <f>DATE(SportClimbing[[#This Row],[Year]],_xlfn.XLOOKUP(SportClimbing[[#This Row],[Month]],MONTHS[MONTHS 2],MONTHS[MONTHS 3]),SportClimbing[[#This Row],[Day]])</f>
        <v>41331</v>
      </c>
      <c r="B15" s="21" t="b">
        <f ca="1">AND(SportClimbing[[#This Row],[Date]] &gt;= TODAY()-365, SportClimbing[[#This Row],[Date]] &lt;= TODAY())</f>
        <v>0</v>
      </c>
      <c r="C15">
        <v>26</v>
      </c>
      <c r="D15" t="s">
        <v>152</v>
      </c>
      <c r="E15">
        <v>2013</v>
      </c>
      <c r="F15" t="s">
        <v>35</v>
      </c>
      <c r="G15" t="s">
        <v>3</v>
      </c>
      <c r="H15" t="s">
        <v>262</v>
      </c>
      <c r="I15" t="s">
        <v>22</v>
      </c>
      <c r="J15" t="s">
        <v>23</v>
      </c>
      <c r="K15">
        <v>20</v>
      </c>
      <c r="L15" t="str">
        <f>IF(SportClimbing[[#This Row],[Height (m)]]&lt;11, "0-10", IF(SportClimbing[[#This Row],[Height (m)]]&lt;16, "11-15", IF(SportClimbing[[#This Row],[Height (m)]]&lt;21, "16-20", IF(SportClimbing[[#This Row],[Height (m)]]&lt;26, "21-25", IF(SportClimbing[[#This Row],[Height (m)]]&lt;31, "26-30", IF(SportClimbing[[#This Row],[Height (m)]]&lt;36, "31-35", "35+"))))))</f>
        <v>16-20</v>
      </c>
      <c r="M15" t="s">
        <v>24</v>
      </c>
      <c r="N15" t="s">
        <v>130</v>
      </c>
      <c r="O15">
        <f>IF(ISNUMBER(SportClimbing[[#This Row],[Total number of tries]])=TRUE, SportClimbing[[#This Row],[Total number of tries]], 1)</f>
        <v>1</v>
      </c>
      <c r="P15" t="str">
        <f>IF(ISNUMBER(SportClimbing[[#This Row],[Total number of tries]])=TRUE, "redpoint", SportClimbing[[#This Row],[Total number of tries]])</f>
        <v>onsight</v>
      </c>
      <c r="Q15">
        <f>_xlfn.XLOOKUP(SportClimbing[[#This Row],[Grade]],SCORE[GRADE],SCORE[SCORE],,)</f>
        <v>10</v>
      </c>
    </row>
    <row r="16" spans="1:17" x14ac:dyDescent="0.25">
      <c r="A16" s="21">
        <f>DATE(SportClimbing[[#This Row],[Year]],_xlfn.XLOOKUP(SportClimbing[[#This Row],[Month]],MONTHS[MONTHS 2],MONTHS[MONTHS 3]),SportClimbing[[#This Row],[Day]])</f>
        <v>41342</v>
      </c>
      <c r="B16" s="21" t="b">
        <f ca="1">AND(SportClimbing[[#This Row],[Date]] &gt;= TODAY()-365, SportClimbing[[#This Row],[Date]] &lt;= TODAY())</f>
        <v>0</v>
      </c>
      <c r="C16">
        <v>9</v>
      </c>
      <c r="D16" t="s">
        <v>367</v>
      </c>
      <c r="E16">
        <v>2013</v>
      </c>
      <c r="F16" t="s">
        <v>40</v>
      </c>
      <c r="G16" t="s">
        <v>21</v>
      </c>
      <c r="H16" t="s">
        <v>262</v>
      </c>
      <c r="I16" t="s">
        <v>22</v>
      </c>
      <c r="J16" t="s">
        <v>23</v>
      </c>
      <c r="K16">
        <v>20</v>
      </c>
      <c r="L16" t="str">
        <f>IF(SportClimbing[[#This Row],[Height (m)]]&lt;11, "0-10", IF(SportClimbing[[#This Row],[Height (m)]]&lt;16, "11-15", IF(SportClimbing[[#This Row],[Height (m)]]&lt;21, "16-20", IF(SportClimbing[[#This Row],[Height (m)]]&lt;26, "21-25", IF(SportClimbing[[#This Row],[Height (m)]]&lt;31, "26-30", IF(SportClimbing[[#This Row],[Height (m)]]&lt;36, "31-35", "35+"))))))</f>
        <v>16-20</v>
      </c>
      <c r="M16" t="s">
        <v>38</v>
      </c>
      <c r="N16">
        <v>2</v>
      </c>
      <c r="O16">
        <f>IF(ISNUMBER(SportClimbing[[#This Row],[Total number of tries]])=TRUE, SportClimbing[[#This Row],[Total number of tries]], 1)</f>
        <v>2</v>
      </c>
      <c r="P16" t="str">
        <f>IF(ISNUMBER(SportClimbing[[#This Row],[Total number of tries]])=TRUE, "redpoint", SportClimbing[[#This Row],[Total number of tries]])</f>
        <v>redpoint</v>
      </c>
      <c r="Q16">
        <f>_xlfn.XLOOKUP(SportClimbing[[#This Row],[Grade]],SCORE[GRADE],SCORE[SCORE],,)</f>
        <v>15</v>
      </c>
    </row>
    <row r="17" spans="1:17" x14ac:dyDescent="0.25">
      <c r="A17" s="21">
        <f>DATE(SportClimbing[[#This Row],[Year]],_xlfn.XLOOKUP(SportClimbing[[#This Row],[Month]],MONTHS[MONTHS 2],MONTHS[MONTHS 3]),SportClimbing[[#This Row],[Day]])</f>
        <v>41342</v>
      </c>
      <c r="B17" s="21" t="b">
        <f ca="1">AND(SportClimbing[[#This Row],[Date]] &gt;= TODAY()-365, SportClimbing[[#This Row],[Date]] &lt;= TODAY())</f>
        <v>0</v>
      </c>
      <c r="C17">
        <v>9</v>
      </c>
      <c r="D17" t="s">
        <v>367</v>
      </c>
      <c r="E17">
        <v>2013</v>
      </c>
      <c r="F17" t="s">
        <v>39</v>
      </c>
      <c r="G17" t="s">
        <v>3</v>
      </c>
      <c r="H17" t="s">
        <v>262</v>
      </c>
      <c r="I17" t="s">
        <v>22</v>
      </c>
      <c r="J17" t="s">
        <v>23</v>
      </c>
      <c r="K17">
        <v>20</v>
      </c>
      <c r="L17" t="str">
        <f>IF(SportClimbing[[#This Row],[Height (m)]]&lt;11, "0-10", IF(SportClimbing[[#This Row],[Height (m)]]&lt;16, "11-15", IF(SportClimbing[[#This Row],[Height (m)]]&lt;21, "16-20", IF(SportClimbing[[#This Row],[Height (m)]]&lt;26, "21-25", IF(SportClimbing[[#This Row],[Height (m)]]&lt;31, "26-30", IF(SportClimbing[[#This Row],[Height (m)]]&lt;36, "31-35", "35+"))))))</f>
        <v>16-20</v>
      </c>
      <c r="M17" t="s">
        <v>38</v>
      </c>
      <c r="N17">
        <v>2</v>
      </c>
      <c r="O17">
        <f>IF(ISNUMBER(SportClimbing[[#This Row],[Total number of tries]])=TRUE, SportClimbing[[#This Row],[Total number of tries]], 1)</f>
        <v>2</v>
      </c>
      <c r="P17" t="str">
        <f>IF(ISNUMBER(SportClimbing[[#This Row],[Total number of tries]])=TRUE, "redpoint", SportClimbing[[#This Row],[Total number of tries]])</f>
        <v>redpoint</v>
      </c>
      <c r="Q17">
        <f>_xlfn.XLOOKUP(SportClimbing[[#This Row],[Grade]],SCORE[GRADE],SCORE[SCORE],,)</f>
        <v>10</v>
      </c>
    </row>
    <row r="18" spans="1:17" x14ac:dyDescent="0.25">
      <c r="A18" s="21">
        <f>DATE(SportClimbing[[#This Row],[Year]],_xlfn.XLOOKUP(SportClimbing[[#This Row],[Month]],MONTHS[MONTHS 2],MONTHS[MONTHS 3]),SportClimbing[[#This Row],[Day]])</f>
        <v>41354</v>
      </c>
      <c r="B18" s="21" t="b">
        <f ca="1">AND(SportClimbing[[#This Row],[Date]] &gt;= TODAY()-365, SportClimbing[[#This Row],[Date]] &lt;= TODAY())</f>
        <v>0</v>
      </c>
      <c r="C18">
        <v>21</v>
      </c>
      <c r="D18" t="s">
        <v>367</v>
      </c>
      <c r="E18">
        <v>2013</v>
      </c>
      <c r="F18" t="s">
        <v>41</v>
      </c>
      <c r="G18" t="s">
        <v>32</v>
      </c>
      <c r="H18" t="s">
        <v>262</v>
      </c>
      <c r="I18" t="s">
        <v>25</v>
      </c>
      <c r="J18" t="s">
        <v>26</v>
      </c>
      <c r="K18">
        <v>18</v>
      </c>
      <c r="L18" t="str">
        <f>IF(SportClimbing[[#This Row],[Height (m)]]&lt;11, "0-10", IF(SportClimbing[[#This Row],[Height (m)]]&lt;16, "11-15", IF(SportClimbing[[#This Row],[Height (m)]]&lt;21, "16-20", IF(SportClimbing[[#This Row],[Height (m)]]&lt;26, "21-25", IF(SportClimbing[[#This Row],[Height (m)]]&lt;31, "26-30", IF(SportClimbing[[#This Row],[Height (m)]]&lt;36, "31-35", "35+"))))))</f>
        <v>16-20</v>
      </c>
      <c r="M18" t="s">
        <v>147</v>
      </c>
      <c r="N18">
        <v>8</v>
      </c>
      <c r="O18">
        <f>IF(ISNUMBER(SportClimbing[[#This Row],[Total number of tries]])=TRUE, SportClimbing[[#This Row],[Total number of tries]], 1)</f>
        <v>8</v>
      </c>
      <c r="P18" t="str">
        <f>IF(ISNUMBER(SportClimbing[[#This Row],[Total number of tries]])=TRUE, "redpoint", SportClimbing[[#This Row],[Total number of tries]])</f>
        <v>redpoint</v>
      </c>
      <c r="Q18">
        <f>_xlfn.XLOOKUP(SportClimbing[[#This Row],[Grade]],SCORE[GRADE],SCORE[SCORE],,)</f>
        <v>40</v>
      </c>
    </row>
    <row r="19" spans="1:17" x14ac:dyDescent="0.25">
      <c r="A19" s="21">
        <f>DATE(SportClimbing[[#This Row],[Year]],_xlfn.XLOOKUP(SportClimbing[[#This Row],[Month]],MONTHS[MONTHS 2],MONTHS[MONTHS 3]),SportClimbing[[#This Row],[Day]])</f>
        <v>41374</v>
      </c>
      <c r="B19" s="21" t="b">
        <f ca="1">AND(SportClimbing[[#This Row],[Date]] &gt;= TODAY()-365, SportClimbing[[#This Row],[Date]] &lt;= TODAY())</f>
        <v>0</v>
      </c>
      <c r="C19">
        <v>10</v>
      </c>
      <c r="D19" t="s">
        <v>368</v>
      </c>
      <c r="E19">
        <v>2013</v>
      </c>
      <c r="F19" t="s">
        <v>54</v>
      </c>
      <c r="G19" t="s">
        <v>32</v>
      </c>
      <c r="H19" t="s">
        <v>262</v>
      </c>
      <c r="I19" t="s">
        <v>25</v>
      </c>
      <c r="J19" t="s">
        <v>26</v>
      </c>
      <c r="K19">
        <v>25</v>
      </c>
      <c r="L19" t="str">
        <f>IF(SportClimbing[[#This Row],[Height (m)]]&lt;11, "0-10", IF(SportClimbing[[#This Row],[Height (m)]]&lt;16, "11-15", IF(SportClimbing[[#This Row],[Height (m)]]&lt;21, "16-20", IF(SportClimbing[[#This Row],[Height (m)]]&lt;26, "21-25", IF(SportClimbing[[#This Row],[Height (m)]]&lt;31, "26-30", IF(SportClimbing[[#This Row],[Height (m)]]&lt;36, "31-35", "35+"))))))</f>
        <v>21-25</v>
      </c>
      <c r="M19" t="s">
        <v>148</v>
      </c>
      <c r="N19">
        <v>14</v>
      </c>
      <c r="O19">
        <f>IF(ISNUMBER(SportClimbing[[#This Row],[Total number of tries]])=TRUE, SportClimbing[[#This Row],[Total number of tries]], 1)</f>
        <v>14</v>
      </c>
      <c r="P19" t="str">
        <f>IF(ISNUMBER(SportClimbing[[#This Row],[Total number of tries]])=TRUE, "redpoint", SportClimbing[[#This Row],[Total number of tries]])</f>
        <v>redpoint</v>
      </c>
      <c r="Q19">
        <f>_xlfn.XLOOKUP(SportClimbing[[#This Row],[Grade]],SCORE[GRADE],SCORE[SCORE],,)</f>
        <v>40</v>
      </c>
    </row>
    <row r="20" spans="1:17" x14ac:dyDescent="0.25">
      <c r="A20" s="21">
        <f>DATE(SportClimbing[[#This Row],[Year]],_xlfn.XLOOKUP(SportClimbing[[#This Row],[Month]],MONTHS[MONTHS 2],MONTHS[MONTHS 3]),SportClimbing[[#This Row],[Day]])</f>
        <v>41377</v>
      </c>
      <c r="B20" s="21" t="b">
        <f ca="1">AND(SportClimbing[[#This Row],[Date]] &gt;= TODAY()-365, SportClimbing[[#This Row],[Date]] &lt;= TODAY())</f>
        <v>0</v>
      </c>
      <c r="C20">
        <v>13</v>
      </c>
      <c r="D20" t="s">
        <v>368</v>
      </c>
      <c r="E20">
        <v>2013</v>
      </c>
      <c r="F20" t="s">
        <v>45</v>
      </c>
      <c r="G20" t="s">
        <v>3</v>
      </c>
      <c r="H20" t="s">
        <v>262</v>
      </c>
      <c r="I20" t="s">
        <v>43</v>
      </c>
      <c r="J20" t="s">
        <v>91</v>
      </c>
      <c r="K20">
        <v>30</v>
      </c>
      <c r="L20" t="str">
        <f>IF(SportClimbing[[#This Row],[Height (m)]]&lt;11, "0-10", IF(SportClimbing[[#This Row],[Height (m)]]&lt;16, "11-15", IF(SportClimbing[[#This Row],[Height (m)]]&lt;21, "16-20", IF(SportClimbing[[#This Row],[Height (m)]]&lt;26, "21-25", IF(SportClimbing[[#This Row],[Height (m)]]&lt;31, "26-30", IF(SportClimbing[[#This Row],[Height (m)]]&lt;36, "31-35", "35+"))))))</f>
        <v>26-30</v>
      </c>
      <c r="M20" t="s">
        <v>218</v>
      </c>
      <c r="N20" t="s">
        <v>130</v>
      </c>
      <c r="O20">
        <f>IF(ISNUMBER(SportClimbing[[#This Row],[Total number of tries]])=TRUE, SportClimbing[[#This Row],[Total number of tries]], 1)</f>
        <v>1</v>
      </c>
      <c r="P20" t="str">
        <f>IF(ISNUMBER(SportClimbing[[#This Row],[Total number of tries]])=TRUE, "redpoint", SportClimbing[[#This Row],[Total number of tries]])</f>
        <v>onsight</v>
      </c>
      <c r="Q20">
        <f>_xlfn.XLOOKUP(SportClimbing[[#This Row],[Grade]],SCORE[GRADE],SCORE[SCORE],,)</f>
        <v>10</v>
      </c>
    </row>
    <row r="21" spans="1:17" x14ac:dyDescent="0.25">
      <c r="A21" s="21">
        <f>DATE(SportClimbing[[#This Row],[Year]],_xlfn.XLOOKUP(SportClimbing[[#This Row],[Month]],MONTHS[MONTHS 2],MONTHS[MONTHS 3]),SportClimbing[[#This Row],[Day]])</f>
        <v>41377</v>
      </c>
      <c r="B21" s="21" t="b">
        <f ca="1">AND(SportClimbing[[#This Row],[Date]] &gt;= TODAY()-365, SportClimbing[[#This Row],[Date]] &lt;= TODAY())</f>
        <v>0</v>
      </c>
      <c r="C21">
        <v>13</v>
      </c>
      <c r="D21" t="s">
        <v>368</v>
      </c>
      <c r="E21">
        <v>2013</v>
      </c>
      <c r="F21" t="s">
        <v>46</v>
      </c>
      <c r="G21" t="s">
        <v>3</v>
      </c>
      <c r="H21" t="s">
        <v>262</v>
      </c>
      <c r="I21" t="s">
        <v>43</v>
      </c>
      <c r="J21" t="s">
        <v>91</v>
      </c>
      <c r="K21">
        <v>30</v>
      </c>
      <c r="L21" t="str">
        <f>IF(SportClimbing[[#This Row],[Height (m)]]&lt;11, "0-10", IF(SportClimbing[[#This Row],[Height (m)]]&lt;16, "11-15", IF(SportClimbing[[#This Row],[Height (m)]]&lt;21, "16-20", IF(SportClimbing[[#This Row],[Height (m)]]&lt;26, "21-25", IF(SportClimbing[[#This Row],[Height (m)]]&lt;31, "26-30", IF(SportClimbing[[#This Row],[Height (m)]]&lt;36, "31-35", "35+"))))))</f>
        <v>26-30</v>
      </c>
      <c r="M21" t="s">
        <v>52</v>
      </c>
      <c r="N21" t="s">
        <v>130</v>
      </c>
      <c r="O21">
        <f>IF(ISNUMBER(SportClimbing[[#This Row],[Total number of tries]])=TRUE, SportClimbing[[#This Row],[Total number of tries]], 1)</f>
        <v>1</v>
      </c>
      <c r="P21" t="str">
        <f>IF(ISNUMBER(SportClimbing[[#This Row],[Total number of tries]])=TRUE, "redpoint", SportClimbing[[#This Row],[Total number of tries]])</f>
        <v>onsight</v>
      </c>
      <c r="Q21">
        <f>_xlfn.XLOOKUP(SportClimbing[[#This Row],[Grade]],SCORE[GRADE],SCORE[SCORE],,)</f>
        <v>10</v>
      </c>
    </row>
    <row r="22" spans="1:17" x14ac:dyDescent="0.25">
      <c r="A22" s="21">
        <f>DATE(SportClimbing[[#This Row],[Year]],_xlfn.XLOOKUP(SportClimbing[[#This Row],[Month]],MONTHS[MONTHS 2],MONTHS[MONTHS 3]),SportClimbing[[#This Row],[Day]])</f>
        <v>41377</v>
      </c>
      <c r="B22" s="21" t="b">
        <f ca="1">AND(SportClimbing[[#This Row],[Date]] &gt;= TODAY()-365, SportClimbing[[#This Row],[Date]] &lt;= TODAY())</f>
        <v>0</v>
      </c>
      <c r="C22">
        <v>13</v>
      </c>
      <c r="D22" t="s">
        <v>368</v>
      </c>
      <c r="E22">
        <v>2013</v>
      </c>
      <c r="F22" t="s">
        <v>197</v>
      </c>
      <c r="G22" t="s">
        <v>3</v>
      </c>
      <c r="H22" t="s">
        <v>262</v>
      </c>
      <c r="I22" t="s">
        <v>43</v>
      </c>
      <c r="J22" t="s">
        <v>91</v>
      </c>
      <c r="K22">
        <v>25</v>
      </c>
      <c r="L22" t="str">
        <f>IF(SportClimbing[[#This Row],[Height (m)]]&lt;11, "0-10", IF(SportClimbing[[#This Row],[Height (m)]]&lt;16, "11-15", IF(SportClimbing[[#This Row],[Height (m)]]&lt;21, "16-20", IF(SportClimbing[[#This Row],[Height (m)]]&lt;26, "21-25", IF(SportClimbing[[#This Row],[Height (m)]]&lt;31, "26-30", IF(SportClimbing[[#This Row],[Height (m)]]&lt;36, "31-35", "35+"))))))</f>
        <v>21-25</v>
      </c>
      <c r="M22" t="s">
        <v>146</v>
      </c>
      <c r="N22">
        <v>2</v>
      </c>
      <c r="O22">
        <f>IF(ISNUMBER(SportClimbing[[#This Row],[Total number of tries]])=TRUE, SportClimbing[[#This Row],[Total number of tries]], 1)</f>
        <v>2</v>
      </c>
      <c r="P22" t="str">
        <f>IF(ISNUMBER(SportClimbing[[#This Row],[Total number of tries]])=TRUE, "redpoint", SportClimbing[[#This Row],[Total number of tries]])</f>
        <v>redpoint</v>
      </c>
      <c r="Q22">
        <f>_xlfn.XLOOKUP(SportClimbing[[#This Row],[Grade]],SCORE[GRADE],SCORE[SCORE],,)</f>
        <v>10</v>
      </c>
    </row>
    <row r="23" spans="1:17" x14ac:dyDescent="0.25">
      <c r="A23" s="21">
        <f>DATE(SportClimbing[[#This Row],[Year]],_xlfn.XLOOKUP(SportClimbing[[#This Row],[Month]],MONTHS[MONTHS 2],MONTHS[MONTHS 3]),SportClimbing[[#This Row],[Day]])</f>
        <v>41381</v>
      </c>
      <c r="B23" s="21" t="b">
        <f ca="1">AND(SportClimbing[[#This Row],[Date]] &gt;= TODAY()-365, SportClimbing[[#This Row],[Date]] &lt;= TODAY())</f>
        <v>0</v>
      </c>
      <c r="C23">
        <v>17</v>
      </c>
      <c r="D23" t="s">
        <v>368</v>
      </c>
      <c r="E23">
        <v>2013</v>
      </c>
      <c r="F23" t="s">
        <v>47</v>
      </c>
      <c r="G23" t="s">
        <v>32</v>
      </c>
      <c r="H23" t="s">
        <v>262</v>
      </c>
      <c r="I23" t="s">
        <v>22</v>
      </c>
      <c r="J23" t="s">
        <v>23</v>
      </c>
      <c r="K23">
        <v>20</v>
      </c>
      <c r="L23" t="str">
        <f>IF(SportClimbing[[#This Row],[Height (m)]]&lt;11, "0-10", IF(SportClimbing[[#This Row],[Height (m)]]&lt;16, "11-15", IF(SportClimbing[[#This Row],[Height (m)]]&lt;21, "16-20", IF(SportClimbing[[#This Row],[Height (m)]]&lt;26, "21-25", IF(SportClimbing[[#This Row],[Height (m)]]&lt;31, "26-30", IF(SportClimbing[[#This Row],[Height (m)]]&lt;36, "31-35", "35+"))))))</f>
        <v>16-20</v>
      </c>
      <c r="M23" t="s">
        <v>146</v>
      </c>
      <c r="N23">
        <v>2</v>
      </c>
      <c r="O23">
        <f>IF(ISNUMBER(SportClimbing[[#This Row],[Total number of tries]])=TRUE, SportClimbing[[#This Row],[Total number of tries]], 1)</f>
        <v>2</v>
      </c>
      <c r="P23" t="str">
        <f>IF(ISNUMBER(SportClimbing[[#This Row],[Total number of tries]])=TRUE, "redpoint", SportClimbing[[#This Row],[Total number of tries]])</f>
        <v>redpoint</v>
      </c>
      <c r="Q23">
        <f>_xlfn.XLOOKUP(SportClimbing[[#This Row],[Grade]],SCORE[GRADE],SCORE[SCORE],,)</f>
        <v>40</v>
      </c>
    </row>
    <row r="24" spans="1:17" x14ac:dyDescent="0.25">
      <c r="A24" s="21">
        <f>DATE(SportClimbing[[#This Row],[Year]],_xlfn.XLOOKUP(SportClimbing[[#This Row],[Month]],MONTHS[MONTHS 2],MONTHS[MONTHS 3]),SportClimbing[[#This Row],[Day]])</f>
        <v>41398</v>
      </c>
      <c r="B24" s="21" t="b">
        <f ca="1">AND(SportClimbing[[#This Row],[Date]] &gt;= TODAY()-365, SportClimbing[[#This Row],[Date]] &lt;= TODAY())</f>
        <v>0</v>
      </c>
      <c r="C24">
        <v>4</v>
      </c>
      <c r="D24" t="s">
        <v>155</v>
      </c>
      <c r="E24">
        <v>2013</v>
      </c>
      <c r="F24" t="s">
        <v>48</v>
      </c>
      <c r="G24" t="s">
        <v>32</v>
      </c>
      <c r="H24" t="s">
        <v>262</v>
      </c>
      <c r="I24" t="s">
        <v>49</v>
      </c>
      <c r="J24" t="s">
        <v>50</v>
      </c>
      <c r="K24">
        <v>22</v>
      </c>
      <c r="L24" t="str">
        <f>IF(SportClimbing[[#This Row],[Height (m)]]&lt;11, "0-10", IF(SportClimbing[[#This Row],[Height (m)]]&lt;16, "11-15", IF(SportClimbing[[#This Row],[Height (m)]]&lt;21, "16-20", IF(SportClimbing[[#This Row],[Height (m)]]&lt;26, "21-25", IF(SportClimbing[[#This Row],[Height (m)]]&lt;31, "26-30", IF(SportClimbing[[#This Row],[Height (m)]]&lt;36, "31-35", "35+"))))))</f>
        <v>21-25</v>
      </c>
      <c r="M24" t="s">
        <v>148</v>
      </c>
      <c r="N24">
        <v>10</v>
      </c>
      <c r="O24">
        <f>IF(ISNUMBER(SportClimbing[[#This Row],[Total number of tries]])=TRUE, SportClimbing[[#This Row],[Total number of tries]], 1)</f>
        <v>10</v>
      </c>
      <c r="P24" t="str">
        <f>IF(ISNUMBER(SportClimbing[[#This Row],[Total number of tries]])=TRUE, "redpoint", SportClimbing[[#This Row],[Total number of tries]])</f>
        <v>redpoint</v>
      </c>
      <c r="Q24">
        <f>_xlfn.XLOOKUP(SportClimbing[[#This Row],[Grade]],SCORE[GRADE],SCORE[SCORE],,)</f>
        <v>40</v>
      </c>
    </row>
    <row r="25" spans="1:17" x14ac:dyDescent="0.25">
      <c r="A25" s="21">
        <f>DATE(SportClimbing[[#This Row],[Year]],_xlfn.XLOOKUP(SportClimbing[[#This Row],[Month]],MONTHS[MONTHS 2],MONTHS[MONTHS 3]),SportClimbing[[#This Row],[Day]])</f>
        <v>41423</v>
      </c>
      <c r="B25" s="21" t="b">
        <f ca="1">AND(SportClimbing[[#This Row],[Date]] &gt;= TODAY()-365, SportClimbing[[#This Row],[Date]] &lt;= TODAY())</f>
        <v>0</v>
      </c>
      <c r="C25">
        <v>29</v>
      </c>
      <c r="D25" t="s">
        <v>155</v>
      </c>
      <c r="E25">
        <v>2013</v>
      </c>
      <c r="F25" t="s">
        <v>51</v>
      </c>
      <c r="G25" t="s">
        <v>3</v>
      </c>
      <c r="H25" t="s">
        <v>262</v>
      </c>
      <c r="I25" t="s">
        <v>49</v>
      </c>
      <c r="J25" t="s">
        <v>50</v>
      </c>
      <c r="K25">
        <v>18</v>
      </c>
      <c r="L25" t="str">
        <f>IF(SportClimbing[[#This Row],[Height (m)]]&lt;11, "0-10", IF(SportClimbing[[#This Row],[Height (m)]]&lt;16, "11-15", IF(SportClimbing[[#This Row],[Height (m)]]&lt;21, "16-20", IF(SportClimbing[[#This Row],[Height (m)]]&lt;26, "21-25", IF(SportClimbing[[#This Row],[Height (m)]]&lt;31, "26-30", IF(SportClimbing[[#This Row],[Height (m)]]&lt;36, "31-35", "35+"))))))</f>
        <v>16-20</v>
      </c>
      <c r="M25" t="s">
        <v>148</v>
      </c>
      <c r="N25">
        <v>2</v>
      </c>
      <c r="O25">
        <f>IF(ISNUMBER(SportClimbing[[#This Row],[Total number of tries]])=TRUE, SportClimbing[[#This Row],[Total number of tries]], 1)</f>
        <v>2</v>
      </c>
      <c r="P25" t="str">
        <f>IF(ISNUMBER(SportClimbing[[#This Row],[Total number of tries]])=TRUE, "redpoint", SportClimbing[[#This Row],[Total number of tries]])</f>
        <v>redpoint</v>
      </c>
      <c r="Q25">
        <f>_xlfn.XLOOKUP(SportClimbing[[#This Row],[Grade]],SCORE[GRADE],SCORE[SCORE],,)</f>
        <v>10</v>
      </c>
    </row>
    <row r="26" spans="1:17" x14ac:dyDescent="0.25">
      <c r="A26" s="21">
        <f>DATE(SportClimbing[[#This Row],[Year]],_xlfn.XLOOKUP(SportClimbing[[#This Row],[Month]],MONTHS[MONTHS 2],MONTHS[MONTHS 3]),SportClimbing[[#This Row],[Day]])</f>
        <v>42534</v>
      </c>
      <c r="B26" s="21" t="b">
        <f ca="1">AND(SportClimbing[[#This Row],[Date]] &gt;= TODAY()-365, SportClimbing[[#This Row],[Date]] &lt;= TODAY())</f>
        <v>0</v>
      </c>
      <c r="C26">
        <v>13</v>
      </c>
      <c r="D26" t="s">
        <v>366</v>
      </c>
      <c r="E26">
        <v>2016</v>
      </c>
      <c r="F26" t="s">
        <v>88</v>
      </c>
      <c r="G26" t="s">
        <v>3</v>
      </c>
      <c r="H26" t="s">
        <v>262</v>
      </c>
      <c r="I26" t="s">
        <v>25</v>
      </c>
      <c r="J26" t="s">
        <v>86</v>
      </c>
      <c r="K26">
        <v>15</v>
      </c>
      <c r="L26" t="str">
        <f>IF(SportClimbing[[#This Row],[Height (m)]]&lt;11, "0-10", IF(SportClimbing[[#This Row],[Height (m)]]&lt;16, "11-15", IF(SportClimbing[[#This Row],[Height (m)]]&lt;21, "16-20", IF(SportClimbing[[#This Row],[Height (m)]]&lt;26, "21-25", IF(SportClimbing[[#This Row],[Height (m)]]&lt;31, "26-30", IF(SportClimbing[[#This Row],[Height (m)]]&lt;36, "31-35", "35+"))))))</f>
        <v>11-15</v>
      </c>
      <c r="M26" t="s">
        <v>87</v>
      </c>
      <c r="N26">
        <v>2</v>
      </c>
      <c r="O26">
        <f>IF(ISNUMBER(SportClimbing[[#This Row],[Total number of tries]])=TRUE, SportClimbing[[#This Row],[Total number of tries]], 1)</f>
        <v>2</v>
      </c>
      <c r="P26" t="str">
        <f>IF(ISNUMBER(SportClimbing[[#This Row],[Total number of tries]])=TRUE, "redpoint", SportClimbing[[#This Row],[Total number of tries]])</f>
        <v>redpoint</v>
      </c>
      <c r="Q26">
        <f>_xlfn.XLOOKUP(SportClimbing[[#This Row],[Grade]],SCORE[GRADE],SCORE[SCORE],,)</f>
        <v>10</v>
      </c>
    </row>
    <row r="27" spans="1:17" x14ac:dyDescent="0.25">
      <c r="A27" s="21">
        <f>DATE(SportClimbing[[#This Row],[Year]],_xlfn.XLOOKUP(SportClimbing[[#This Row],[Month]],MONTHS[MONTHS 2],MONTHS[MONTHS 3]),SportClimbing[[#This Row],[Day]])</f>
        <v>42686</v>
      </c>
      <c r="B27" s="21" t="b">
        <f ca="1">AND(SportClimbing[[#This Row],[Date]] &gt;= TODAY()-365, SportClimbing[[#This Row],[Date]] &lt;= TODAY())</f>
        <v>0</v>
      </c>
      <c r="C27">
        <v>12</v>
      </c>
      <c r="D27" t="s">
        <v>160</v>
      </c>
      <c r="E27">
        <v>2016</v>
      </c>
      <c r="F27" t="s">
        <v>62</v>
      </c>
      <c r="G27" t="s">
        <v>3</v>
      </c>
      <c r="H27" t="s">
        <v>262</v>
      </c>
      <c r="I27" t="s">
        <v>43</v>
      </c>
      <c r="J27" t="s">
        <v>238</v>
      </c>
      <c r="K27">
        <v>25</v>
      </c>
      <c r="L27" t="str">
        <f>IF(SportClimbing[[#This Row],[Height (m)]]&lt;11, "0-10", IF(SportClimbing[[#This Row],[Height (m)]]&lt;16, "11-15", IF(SportClimbing[[#This Row],[Height (m)]]&lt;21, "16-20", IF(SportClimbing[[#This Row],[Height (m)]]&lt;26, "21-25", IF(SportClimbing[[#This Row],[Height (m)]]&lt;31, "26-30", IF(SportClimbing[[#This Row],[Height (m)]]&lt;36, "31-35", "35+"))))))</f>
        <v>21-25</v>
      </c>
      <c r="M27" t="s">
        <v>150</v>
      </c>
      <c r="N27" t="s">
        <v>11</v>
      </c>
      <c r="O27">
        <f>IF(ISNUMBER(SportClimbing[[#This Row],[Total number of tries]])=TRUE, SportClimbing[[#This Row],[Total number of tries]], 1)</f>
        <v>1</v>
      </c>
      <c r="P27" t="str">
        <f>IF(ISNUMBER(SportClimbing[[#This Row],[Total number of tries]])=TRUE, "redpoint", SportClimbing[[#This Row],[Total number of tries]])</f>
        <v>flash</v>
      </c>
      <c r="Q27">
        <f>_xlfn.XLOOKUP(SportClimbing[[#This Row],[Grade]],SCORE[GRADE],SCORE[SCORE],,)</f>
        <v>10</v>
      </c>
    </row>
    <row r="28" spans="1:17" x14ac:dyDescent="0.25">
      <c r="A28" s="21">
        <f>DATE(SportClimbing[[#This Row],[Year]],_xlfn.XLOOKUP(SportClimbing[[#This Row],[Month]],MONTHS[MONTHS 2],MONTHS[MONTHS 3]),SportClimbing[[#This Row],[Day]])</f>
        <v>42827</v>
      </c>
      <c r="B28" s="21" t="b">
        <f ca="1">AND(SportClimbing[[#This Row],[Date]] &gt;= TODAY()-365, SportClimbing[[#This Row],[Date]] &lt;= TODAY())</f>
        <v>0</v>
      </c>
      <c r="C28">
        <v>2</v>
      </c>
      <c r="D28" t="s">
        <v>368</v>
      </c>
      <c r="E28">
        <v>2017</v>
      </c>
      <c r="F28" t="s">
        <v>64</v>
      </c>
      <c r="G28" t="s">
        <v>3</v>
      </c>
      <c r="H28" t="s">
        <v>262</v>
      </c>
      <c r="I28" t="s">
        <v>43</v>
      </c>
      <c r="J28" t="s">
        <v>63</v>
      </c>
      <c r="K28">
        <v>20</v>
      </c>
      <c r="L28" t="str">
        <f>IF(SportClimbing[[#This Row],[Height (m)]]&lt;11, "0-10", IF(SportClimbing[[#This Row],[Height (m)]]&lt;16, "11-15", IF(SportClimbing[[#This Row],[Height (m)]]&lt;21, "16-20", IF(SportClimbing[[#This Row],[Height (m)]]&lt;26, "21-25", IF(SportClimbing[[#This Row],[Height (m)]]&lt;31, "26-30", IF(SportClimbing[[#This Row],[Height (m)]]&lt;36, "31-35", "35+"))))))</f>
        <v>16-20</v>
      </c>
      <c r="M28" t="s">
        <v>53</v>
      </c>
      <c r="N28">
        <v>2</v>
      </c>
      <c r="O28">
        <f>IF(ISNUMBER(SportClimbing[[#This Row],[Total number of tries]])=TRUE, SportClimbing[[#This Row],[Total number of tries]], 1)</f>
        <v>2</v>
      </c>
      <c r="P28" t="str">
        <f>IF(ISNUMBER(SportClimbing[[#This Row],[Total number of tries]])=TRUE, "redpoint", SportClimbing[[#This Row],[Total number of tries]])</f>
        <v>redpoint</v>
      </c>
      <c r="Q28">
        <f>_xlfn.XLOOKUP(SportClimbing[[#This Row],[Grade]],SCORE[GRADE],SCORE[SCORE],,)</f>
        <v>10</v>
      </c>
    </row>
    <row r="29" spans="1:17" x14ac:dyDescent="0.25">
      <c r="A29" s="21">
        <f>DATE(SportClimbing[[#This Row],[Year]],_xlfn.XLOOKUP(SportClimbing[[#This Row],[Month]],MONTHS[MONTHS 2],MONTHS[MONTHS 3]),SportClimbing[[#This Row],[Day]])</f>
        <v>42838</v>
      </c>
      <c r="B29" s="21" t="b">
        <f ca="1">AND(SportClimbing[[#This Row],[Date]] &gt;= TODAY()-365, SportClimbing[[#This Row],[Date]] &lt;= TODAY())</f>
        <v>0</v>
      </c>
      <c r="C29">
        <v>13</v>
      </c>
      <c r="D29" t="s">
        <v>368</v>
      </c>
      <c r="E29">
        <v>2017</v>
      </c>
      <c r="F29" t="s">
        <v>58</v>
      </c>
      <c r="G29" t="s">
        <v>21</v>
      </c>
      <c r="H29" t="s">
        <v>262</v>
      </c>
      <c r="I29" t="s">
        <v>15</v>
      </c>
      <c r="J29" t="s">
        <v>59</v>
      </c>
      <c r="K29">
        <v>20</v>
      </c>
      <c r="L29" t="str">
        <f>IF(SportClimbing[[#This Row],[Height (m)]]&lt;11, "0-10", IF(SportClimbing[[#This Row],[Height (m)]]&lt;16, "11-15", IF(SportClimbing[[#This Row],[Height (m)]]&lt;21, "16-20", IF(SportClimbing[[#This Row],[Height (m)]]&lt;26, "21-25", IF(SportClimbing[[#This Row],[Height (m)]]&lt;31, "26-30", IF(SportClimbing[[#This Row],[Height (m)]]&lt;36, "31-35", "35+"))))))</f>
        <v>16-20</v>
      </c>
      <c r="M29" t="s">
        <v>131</v>
      </c>
      <c r="N29">
        <v>3</v>
      </c>
      <c r="O29">
        <f>IF(ISNUMBER(SportClimbing[[#This Row],[Total number of tries]])=TRUE, SportClimbing[[#This Row],[Total number of tries]], 1)</f>
        <v>3</v>
      </c>
      <c r="P29" t="str">
        <f>IF(ISNUMBER(SportClimbing[[#This Row],[Total number of tries]])=TRUE, "redpoint", SportClimbing[[#This Row],[Total number of tries]])</f>
        <v>redpoint</v>
      </c>
      <c r="Q29">
        <f>_xlfn.XLOOKUP(SportClimbing[[#This Row],[Grade]],SCORE[GRADE],SCORE[SCORE],,)</f>
        <v>15</v>
      </c>
    </row>
    <row r="30" spans="1:17" x14ac:dyDescent="0.25">
      <c r="A30" s="21">
        <f>DATE(SportClimbing[[#This Row],[Year]],_xlfn.XLOOKUP(SportClimbing[[#This Row],[Month]],MONTHS[MONTHS 2],MONTHS[MONTHS 3]),SportClimbing[[#This Row],[Day]])</f>
        <v>42840</v>
      </c>
      <c r="B30" s="21" t="b">
        <f ca="1">AND(SportClimbing[[#This Row],[Date]] &gt;= TODAY()-365, SportClimbing[[#This Row],[Date]] &lt;= TODAY())</f>
        <v>0</v>
      </c>
      <c r="C30">
        <v>15</v>
      </c>
      <c r="D30" t="s">
        <v>368</v>
      </c>
      <c r="E30">
        <v>2017</v>
      </c>
      <c r="F30" t="s">
        <v>27</v>
      </c>
      <c r="G30" t="s">
        <v>3</v>
      </c>
      <c r="H30" t="s">
        <v>262</v>
      </c>
      <c r="I30" t="s">
        <v>15</v>
      </c>
      <c r="J30" t="s">
        <v>55</v>
      </c>
      <c r="K30">
        <v>25</v>
      </c>
      <c r="L30" t="str">
        <f>IF(SportClimbing[[#This Row],[Height (m)]]&lt;11, "0-10", IF(SportClimbing[[#This Row],[Height (m)]]&lt;16, "11-15", IF(SportClimbing[[#This Row],[Height (m)]]&lt;21, "16-20", IF(SportClimbing[[#This Row],[Height (m)]]&lt;26, "21-25", IF(SportClimbing[[#This Row],[Height (m)]]&lt;31, "26-30", IF(SportClimbing[[#This Row],[Height (m)]]&lt;36, "31-35", "35+"))))))</f>
        <v>21-25</v>
      </c>
      <c r="M30" t="s">
        <v>133</v>
      </c>
      <c r="N30">
        <v>8</v>
      </c>
      <c r="O30">
        <f>IF(ISNUMBER(SportClimbing[[#This Row],[Total number of tries]])=TRUE, SportClimbing[[#This Row],[Total number of tries]], 1)</f>
        <v>8</v>
      </c>
      <c r="P30" t="str">
        <f>IF(ISNUMBER(SportClimbing[[#This Row],[Total number of tries]])=TRUE, "redpoint", SportClimbing[[#This Row],[Total number of tries]])</f>
        <v>redpoint</v>
      </c>
      <c r="Q30">
        <f>_xlfn.XLOOKUP(SportClimbing[[#This Row],[Grade]],SCORE[GRADE],SCORE[SCORE],,)</f>
        <v>10</v>
      </c>
    </row>
    <row r="31" spans="1:17" x14ac:dyDescent="0.25">
      <c r="A31" s="21">
        <f>DATE(SportClimbing[[#This Row],[Year]],_xlfn.XLOOKUP(SportClimbing[[#This Row],[Month]],MONTHS[MONTHS 2],MONTHS[MONTHS 3]),SportClimbing[[#This Row],[Day]])</f>
        <v>42874</v>
      </c>
      <c r="B31" s="21" t="b">
        <f ca="1">AND(SportClimbing[[#This Row],[Date]] &gt;= TODAY()-365, SportClimbing[[#This Row],[Date]] &lt;= TODAY())</f>
        <v>0</v>
      </c>
      <c r="C31">
        <v>19</v>
      </c>
      <c r="D31" t="s">
        <v>155</v>
      </c>
      <c r="E31">
        <v>2017</v>
      </c>
      <c r="F31" t="s">
        <v>56</v>
      </c>
      <c r="G31" t="s">
        <v>3</v>
      </c>
      <c r="H31" t="s">
        <v>262</v>
      </c>
      <c r="I31" t="s">
        <v>71</v>
      </c>
      <c r="J31" t="s">
        <v>57</v>
      </c>
      <c r="K31">
        <v>32</v>
      </c>
      <c r="L31" t="str">
        <f>IF(SportClimbing[[#This Row],[Height (m)]]&lt;11, "0-10", IF(SportClimbing[[#This Row],[Height (m)]]&lt;16, "11-15", IF(SportClimbing[[#This Row],[Height (m)]]&lt;21, "16-20", IF(SportClimbing[[#This Row],[Height (m)]]&lt;26, "21-25", IF(SportClimbing[[#This Row],[Height (m)]]&lt;31, "26-30", IF(SportClimbing[[#This Row],[Height (m)]]&lt;36, "31-35", "35+"))))))</f>
        <v>31-35</v>
      </c>
      <c r="M31" t="s">
        <v>34</v>
      </c>
      <c r="N31" t="s">
        <v>130</v>
      </c>
      <c r="O31">
        <f>IF(ISNUMBER(SportClimbing[[#This Row],[Total number of tries]])=TRUE, SportClimbing[[#This Row],[Total number of tries]], 1)</f>
        <v>1</v>
      </c>
      <c r="P31" t="str">
        <f>IF(ISNUMBER(SportClimbing[[#This Row],[Total number of tries]])=TRUE, "redpoint", SportClimbing[[#This Row],[Total number of tries]])</f>
        <v>onsight</v>
      </c>
      <c r="Q31">
        <f>_xlfn.XLOOKUP(SportClimbing[[#This Row],[Grade]],SCORE[GRADE],SCORE[SCORE],,)</f>
        <v>10</v>
      </c>
    </row>
    <row r="32" spans="1:17" x14ac:dyDescent="0.25">
      <c r="A32" s="21">
        <f>DATE(SportClimbing[[#This Row],[Year]],_xlfn.XLOOKUP(SportClimbing[[#This Row],[Month]],MONTHS[MONTHS 2],MONTHS[MONTHS 3]),SportClimbing[[#This Row],[Day]])</f>
        <v>42893</v>
      </c>
      <c r="B32" s="21" t="b">
        <f ca="1">AND(SportClimbing[[#This Row],[Date]] &gt;= TODAY()-365, SportClimbing[[#This Row],[Date]] &lt;= TODAY())</f>
        <v>0</v>
      </c>
      <c r="C32">
        <v>7</v>
      </c>
      <c r="D32" t="s">
        <v>366</v>
      </c>
      <c r="E32">
        <v>2017</v>
      </c>
      <c r="F32" t="s">
        <v>60</v>
      </c>
      <c r="G32" t="s">
        <v>3</v>
      </c>
      <c r="H32" t="s">
        <v>262</v>
      </c>
      <c r="I32" t="s">
        <v>43</v>
      </c>
      <c r="J32" t="s">
        <v>61</v>
      </c>
      <c r="K32">
        <v>25</v>
      </c>
      <c r="L32" t="str">
        <f>IF(SportClimbing[[#This Row],[Height (m)]]&lt;11, "0-10", IF(SportClimbing[[#This Row],[Height (m)]]&lt;16, "11-15", IF(SportClimbing[[#This Row],[Height (m)]]&lt;21, "16-20", IF(SportClimbing[[#This Row],[Height (m)]]&lt;26, "21-25", IF(SportClimbing[[#This Row],[Height (m)]]&lt;31, "26-30", IF(SportClimbing[[#This Row],[Height (m)]]&lt;36, "31-35", "35+"))))))</f>
        <v>21-25</v>
      </c>
      <c r="M32" t="s">
        <v>131</v>
      </c>
      <c r="N32">
        <v>3</v>
      </c>
      <c r="O32">
        <f>IF(ISNUMBER(SportClimbing[[#This Row],[Total number of tries]])=TRUE, SportClimbing[[#This Row],[Total number of tries]], 1)</f>
        <v>3</v>
      </c>
      <c r="P32" t="str">
        <f>IF(ISNUMBER(SportClimbing[[#This Row],[Total number of tries]])=TRUE, "redpoint", SportClimbing[[#This Row],[Total number of tries]])</f>
        <v>redpoint</v>
      </c>
      <c r="Q32">
        <f>_xlfn.XLOOKUP(SportClimbing[[#This Row],[Grade]],SCORE[GRADE],SCORE[SCORE],,)</f>
        <v>10</v>
      </c>
    </row>
    <row r="33" spans="1:17" x14ac:dyDescent="0.25">
      <c r="A33" s="21">
        <f>DATE(SportClimbing[[#This Row],[Year]],_xlfn.XLOOKUP(SportClimbing[[#This Row],[Month]],MONTHS[MONTHS 2],MONTHS[MONTHS 3]),SportClimbing[[#This Row],[Day]])</f>
        <v>42906</v>
      </c>
      <c r="B33" s="21" t="b">
        <f ca="1">AND(SportClimbing[[#This Row],[Date]] &gt;= TODAY()-365, SportClimbing[[#This Row],[Date]] &lt;= TODAY())</f>
        <v>0</v>
      </c>
      <c r="C33">
        <v>20</v>
      </c>
      <c r="D33" t="s">
        <v>366</v>
      </c>
      <c r="E33">
        <v>2017</v>
      </c>
      <c r="F33" t="s">
        <v>65</v>
      </c>
      <c r="G33" t="s">
        <v>3</v>
      </c>
      <c r="H33" t="s">
        <v>262</v>
      </c>
      <c r="I33" t="s">
        <v>49</v>
      </c>
      <c r="J33" t="s">
        <v>66</v>
      </c>
      <c r="K33">
        <v>25</v>
      </c>
      <c r="L33" t="str">
        <f>IF(SportClimbing[[#This Row],[Height (m)]]&lt;11, "0-10", IF(SportClimbing[[#This Row],[Height (m)]]&lt;16, "11-15", IF(SportClimbing[[#This Row],[Height (m)]]&lt;21, "16-20", IF(SportClimbing[[#This Row],[Height (m)]]&lt;26, "21-25", IF(SportClimbing[[#This Row],[Height (m)]]&lt;31, "26-30", IF(SportClimbing[[#This Row],[Height (m)]]&lt;36, "31-35", "35+"))))))</f>
        <v>21-25</v>
      </c>
      <c r="M33" t="s">
        <v>149</v>
      </c>
      <c r="N33" t="s">
        <v>130</v>
      </c>
      <c r="O33">
        <f>IF(ISNUMBER(SportClimbing[[#This Row],[Total number of tries]])=TRUE, SportClimbing[[#This Row],[Total number of tries]], 1)</f>
        <v>1</v>
      </c>
      <c r="P33" t="str">
        <f>IF(ISNUMBER(SportClimbing[[#This Row],[Total number of tries]])=TRUE, "redpoint", SportClimbing[[#This Row],[Total number of tries]])</f>
        <v>onsight</v>
      </c>
      <c r="Q33">
        <f>_xlfn.XLOOKUP(SportClimbing[[#This Row],[Grade]],SCORE[GRADE],SCORE[SCORE],,)</f>
        <v>10</v>
      </c>
    </row>
    <row r="34" spans="1:17" x14ac:dyDescent="0.25">
      <c r="A34" s="21">
        <f>DATE(SportClimbing[[#This Row],[Year]],_xlfn.XLOOKUP(SportClimbing[[#This Row],[Month]],MONTHS[MONTHS 2],MONTHS[MONTHS 3]),SportClimbing[[#This Row],[Day]])</f>
        <v>42906</v>
      </c>
      <c r="B34" s="21" t="b">
        <f ca="1">AND(SportClimbing[[#This Row],[Date]] &gt;= TODAY()-365, SportClimbing[[#This Row],[Date]] &lt;= TODAY())</f>
        <v>0</v>
      </c>
      <c r="C34">
        <v>20</v>
      </c>
      <c r="D34" t="s">
        <v>366</v>
      </c>
      <c r="E34">
        <v>2017</v>
      </c>
      <c r="F34" t="s">
        <v>67</v>
      </c>
      <c r="G34" t="s">
        <v>21</v>
      </c>
      <c r="H34" t="s">
        <v>262</v>
      </c>
      <c r="I34" t="s">
        <v>49</v>
      </c>
      <c r="J34" t="s">
        <v>66</v>
      </c>
      <c r="K34">
        <v>25</v>
      </c>
      <c r="L34" t="str">
        <f>IF(SportClimbing[[#This Row],[Height (m)]]&lt;11, "0-10", IF(SportClimbing[[#This Row],[Height (m)]]&lt;16, "11-15", IF(SportClimbing[[#This Row],[Height (m)]]&lt;21, "16-20", IF(SportClimbing[[#This Row],[Height (m)]]&lt;26, "21-25", IF(SportClimbing[[#This Row],[Height (m)]]&lt;31, "26-30", IF(SportClimbing[[#This Row],[Height (m)]]&lt;36, "31-35", "35+"))))))</f>
        <v>21-25</v>
      </c>
      <c r="M34" t="s">
        <v>149</v>
      </c>
      <c r="N34" t="s">
        <v>130</v>
      </c>
      <c r="O34">
        <f>IF(ISNUMBER(SportClimbing[[#This Row],[Total number of tries]])=TRUE, SportClimbing[[#This Row],[Total number of tries]], 1)</f>
        <v>1</v>
      </c>
      <c r="P34" t="str">
        <f>IF(ISNUMBER(SportClimbing[[#This Row],[Total number of tries]])=TRUE, "redpoint", SportClimbing[[#This Row],[Total number of tries]])</f>
        <v>onsight</v>
      </c>
      <c r="Q34">
        <f>_xlfn.XLOOKUP(SportClimbing[[#This Row],[Grade]],SCORE[GRADE],SCORE[SCORE],,)</f>
        <v>15</v>
      </c>
    </row>
    <row r="35" spans="1:17" x14ac:dyDescent="0.25">
      <c r="A35" s="21">
        <f>DATE(SportClimbing[[#This Row],[Year]],_xlfn.XLOOKUP(SportClimbing[[#This Row],[Month]],MONTHS[MONTHS 2],MONTHS[MONTHS 3]),SportClimbing[[#This Row],[Day]])</f>
        <v>42924</v>
      </c>
      <c r="B35" s="21" t="b">
        <f ca="1">AND(SportClimbing[[#This Row],[Date]] &gt;= TODAY()-365, SportClimbing[[#This Row],[Date]] &lt;= TODAY())</f>
        <v>0</v>
      </c>
      <c r="C35">
        <v>8</v>
      </c>
      <c r="D35" t="s">
        <v>365</v>
      </c>
      <c r="E35">
        <v>2017</v>
      </c>
      <c r="F35" t="s">
        <v>73</v>
      </c>
      <c r="G35" t="s">
        <v>29</v>
      </c>
      <c r="H35" t="s">
        <v>262</v>
      </c>
      <c r="I35" t="s">
        <v>72</v>
      </c>
      <c r="J35" t="s">
        <v>74</v>
      </c>
      <c r="K35">
        <v>35</v>
      </c>
      <c r="L35" t="str">
        <f>IF(SportClimbing[[#This Row],[Height (m)]]&lt;11, "0-10", IF(SportClimbing[[#This Row],[Height (m)]]&lt;16, "11-15", IF(SportClimbing[[#This Row],[Height (m)]]&lt;21, "16-20", IF(SportClimbing[[#This Row],[Height (m)]]&lt;26, "21-25", IF(SportClimbing[[#This Row],[Height (m)]]&lt;31, "26-30", IF(SportClimbing[[#This Row],[Height (m)]]&lt;36, "31-35", "35+"))))))</f>
        <v>31-35</v>
      </c>
      <c r="M35" t="s">
        <v>131</v>
      </c>
      <c r="N35">
        <v>2</v>
      </c>
      <c r="O35">
        <f>IF(ISNUMBER(SportClimbing[[#This Row],[Total number of tries]])=TRUE, SportClimbing[[#This Row],[Total number of tries]], 1)</f>
        <v>2</v>
      </c>
      <c r="P35" t="str">
        <f>IF(ISNUMBER(SportClimbing[[#This Row],[Total number of tries]])=TRUE, "redpoint", SportClimbing[[#This Row],[Total number of tries]])</f>
        <v>redpoint</v>
      </c>
      <c r="Q35">
        <f>_xlfn.XLOOKUP(SportClimbing[[#This Row],[Grade]],SCORE[GRADE],SCORE[SCORE],,)</f>
        <v>25</v>
      </c>
    </row>
    <row r="36" spans="1:17" x14ac:dyDescent="0.25">
      <c r="A36" s="21">
        <f>DATE(SportClimbing[[#This Row],[Year]],_xlfn.XLOOKUP(SportClimbing[[#This Row],[Month]],MONTHS[MONTHS 2],MONTHS[MONTHS 3]),SportClimbing[[#This Row],[Day]])</f>
        <v>42959</v>
      </c>
      <c r="B36" s="21" t="b">
        <f ca="1">AND(SportClimbing[[#This Row],[Date]] &gt;= TODAY()-365, SportClimbing[[#This Row],[Date]] &lt;= TODAY())</f>
        <v>0</v>
      </c>
      <c r="C36">
        <v>12</v>
      </c>
      <c r="D36" t="s">
        <v>158</v>
      </c>
      <c r="E36">
        <v>2017</v>
      </c>
      <c r="F36" t="s">
        <v>90</v>
      </c>
      <c r="G36" t="s">
        <v>3</v>
      </c>
      <c r="H36" t="s">
        <v>262</v>
      </c>
      <c r="I36" t="s">
        <v>43</v>
      </c>
      <c r="J36" t="s">
        <v>44</v>
      </c>
      <c r="K36">
        <v>30</v>
      </c>
      <c r="L36" t="str">
        <f>IF(SportClimbing[[#This Row],[Height (m)]]&lt;11, "0-10", IF(SportClimbing[[#This Row],[Height (m)]]&lt;16, "11-15", IF(SportClimbing[[#This Row],[Height (m)]]&lt;21, "16-20", IF(SportClimbing[[#This Row],[Height (m)]]&lt;26, "21-25", IF(SportClimbing[[#This Row],[Height (m)]]&lt;31, "26-30", IF(SportClimbing[[#This Row],[Height (m)]]&lt;36, "31-35", "35+"))))))</f>
        <v>26-30</v>
      </c>
      <c r="M36" t="s">
        <v>89</v>
      </c>
      <c r="N36" t="s">
        <v>130</v>
      </c>
      <c r="O36">
        <f>IF(ISNUMBER(SportClimbing[[#This Row],[Total number of tries]])=TRUE, SportClimbing[[#This Row],[Total number of tries]], 1)</f>
        <v>1</v>
      </c>
      <c r="P36" t="str">
        <f>IF(ISNUMBER(SportClimbing[[#This Row],[Total number of tries]])=TRUE, "redpoint", SportClimbing[[#This Row],[Total number of tries]])</f>
        <v>onsight</v>
      </c>
      <c r="Q36">
        <f>_xlfn.XLOOKUP(SportClimbing[[#This Row],[Grade]],SCORE[GRADE],SCORE[SCORE],,)</f>
        <v>10</v>
      </c>
    </row>
    <row r="37" spans="1:17" x14ac:dyDescent="0.25">
      <c r="A37" s="21">
        <f>DATE(SportClimbing[[#This Row],[Year]],_xlfn.XLOOKUP(SportClimbing[[#This Row],[Month]],MONTHS[MONTHS 2],MONTHS[MONTHS 3]),SportClimbing[[#This Row],[Day]])</f>
        <v>42980</v>
      </c>
      <c r="B37" s="21" t="b">
        <f ca="1">AND(SportClimbing[[#This Row],[Date]] &gt;= TODAY()-365, SportClimbing[[#This Row],[Date]] &lt;= TODAY())</f>
        <v>0</v>
      </c>
      <c r="C37">
        <v>2</v>
      </c>
      <c r="D37" t="s">
        <v>159</v>
      </c>
      <c r="E37">
        <v>2017</v>
      </c>
      <c r="F37" t="s">
        <v>75</v>
      </c>
      <c r="G37" t="s">
        <v>3</v>
      </c>
      <c r="H37" t="s">
        <v>262</v>
      </c>
      <c r="I37" t="s">
        <v>76</v>
      </c>
      <c r="J37" t="s">
        <v>92</v>
      </c>
      <c r="K37">
        <v>25</v>
      </c>
      <c r="L37" t="str">
        <f>IF(SportClimbing[[#This Row],[Height (m)]]&lt;11, "0-10", IF(SportClimbing[[#This Row],[Height (m)]]&lt;16, "11-15", IF(SportClimbing[[#This Row],[Height (m)]]&lt;21, "16-20", IF(SportClimbing[[#This Row],[Height (m)]]&lt;26, "21-25", IF(SportClimbing[[#This Row],[Height (m)]]&lt;31, "26-30", IF(SportClimbing[[#This Row],[Height (m)]]&lt;36, "31-35", "35+"))))))</f>
        <v>21-25</v>
      </c>
      <c r="M37" t="s">
        <v>133</v>
      </c>
      <c r="N37">
        <v>3</v>
      </c>
      <c r="O37">
        <f>IF(ISNUMBER(SportClimbing[[#This Row],[Total number of tries]])=TRUE, SportClimbing[[#This Row],[Total number of tries]], 1)</f>
        <v>3</v>
      </c>
      <c r="P37" t="str">
        <f>IF(ISNUMBER(SportClimbing[[#This Row],[Total number of tries]])=TRUE, "redpoint", SportClimbing[[#This Row],[Total number of tries]])</f>
        <v>redpoint</v>
      </c>
      <c r="Q37">
        <f>_xlfn.XLOOKUP(SportClimbing[[#This Row],[Grade]],SCORE[GRADE],SCORE[SCORE],,)</f>
        <v>10</v>
      </c>
    </row>
    <row r="38" spans="1:17" x14ac:dyDescent="0.25">
      <c r="A38" s="21">
        <f>DATE(SportClimbing[[#This Row],[Year]],_xlfn.XLOOKUP(SportClimbing[[#This Row],[Month]],MONTHS[MONTHS 2],MONTHS[MONTHS 3]),SportClimbing[[#This Row],[Day]])</f>
        <v>42991</v>
      </c>
      <c r="B38" s="21" t="b">
        <f ca="1">AND(SportClimbing[[#This Row],[Date]] &gt;= TODAY()-365, SportClimbing[[#This Row],[Date]] &lt;= TODAY())</f>
        <v>0</v>
      </c>
      <c r="C38">
        <v>13</v>
      </c>
      <c r="D38" t="s">
        <v>159</v>
      </c>
      <c r="E38">
        <v>2017</v>
      </c>
      <c r="F38" t="s">
        <v>82</v>
      </c>
      <c r="G38" t="s">
        <v>21</v>
      </c>
      <c r="H38" t="s">
        <v>262</v>
      </c>
      <c r="I38" t="s">
        <v>77</v>
      </c>
      <c r="J38" t="s">
        <v>78</v>
      </c>
      <c r="K38">
        <v>10</v>
      </c>
      <c r="L38" t="str">
        <f>IF(SportClimbing[[#This Row],[Height (m)]]&lt;11, "0-10", IF(SportClimbing[[#This Row],[Height (m)]]&lt;16, "11-15", IF(SportClimbing[[#This Row],[Height (m)]]&lt;21, "16-20", IF(SportClimbing[[#This Row],[Height (m)]]&lt;26, "21-25", IF(SportClimbing[[#This Row],[Height (m)]]&lt;31, "26-30", IF(SportClimbing[[#This Row],[Height (m)]]&lt;36, "31-35", "35+"))))))</f>
        <v>0-10</v>
      </c>
      <c r="M38" t="s">
        <v>83</v>
      </c>
      <c r="N38" t="s">
        <v>130</v>
      </c>
      <c r="O38">
        <f>IF(ISNUMBER(SportClimbing[[#This Row],[Total number of tries]])=TRUE, SportClimbing[[#This Row],[Total number of tries]], 1)</f>
        <v>1</v>
      </c>
      <c r="P38" t="str">
        <f>IF(ISNUMBER(SportClimbing[[#This Row],[Total number of tries]])=TRUE, "redpoint", SportClimbing[[#This Row],[Total number of tries]])</f>
        <v>onsight</v>
      </c>
      <c r="Q38">
        <f>_xlfn.XLOOKUP(SportClimbing[[#This Row],[Grade]],SCORE[GRADE],SCORE[SCORE],,)</f>
        <v>15</v>
      </c>
    </row>
    <row r="39" spans="1:17" x14ac:dyDescent="0.25">
      <c r="A39" s="21">
        <f>DATE(SportClimbing[[#This Row],[Year]],_xlfn.XLOOKUP(SportClimbing[[#This Row],[Month]],MONTHS[MONTHS 2],MONTHS[MONTHS 3]),SportClimbing[[#This Row],[Day]])</f>
        <v>42991</v>
      </c>
      <c r="B39" s="21" t="b">
        <f ca="1">AND(SportClimbing[[#This Row],[Date]] &gt;= TODAY()-365, SportClimbing[[#This Row],[Date]] &lt;= TODAY())</f>
        <v>0</v>
      </c>
      <c r="C39">
        <v>13</v>
      </c>
      <c r="D39" t="s">
        <v>159</v>
      </c>
      <c r="E39">
        <v>2017</v>
      </c>
      <c r="F39" t="s">
        <v>81</v>
      </c>
      <c r="G39" t="s">
        <v>3</v>
      </c>
      <c r="H39" t="s">
        <v>262</v>
      </c>
      <c r="I39" t="s">
        <v>77</v>
      </c>
      <c r="J39" t="s">
        <v>79</v>
      </c>
      <c r="K39">
        <v>10</v>
      </c>
      <c r="L39" t="str">
        <f>IF(SportClimbing[[#This Row],[Height (m)]]&lt;11, "0-10", IF(SportClimbing[[#This Row],[Height (m)]]&lt;16, "11-15", IF(SportClimbing[[#This Row],[Height (m)]]&lt;21, "16-20", IF(SportClimbing[[#This Row],[Height (m)]]&lt;26, "21-25", IF(SportClimbing[[#This Row],[Height (m)]]&lt;31, "26-30", IF(SportClimbing[[#This Row],[Height (m)]]&lt;36, "31-35", "35+"))))))</f>
        <v>0-10</v>
      </c>
      <c r="M39" t="s">
        <v>83</v>
      </c>
      <c r="N39" t="s">
        <v>130</v>
      </c>
      <c r="O39">
        <f>IF(ISNUMBER(SportClimbing[[#This Row],[Total number of tries]])=TRUE, SportClimbing[[#This Row],[Total number of tries]], 1)</f>
        <v>1</v>
      </c>
      <c r="P39" t="str">
        <f>IF(ISNUMBER(SportClimbing[[#This Row],[Total number of tries]])=TRUE, "redpoint", SportClimbing[[#This Row],[Total number of tries]])</f>
        <v>onsight</v>
      </c>
      <c r="Q39">
        <f>_xlfn.XLOOKUP(SportClimbing[[#This Row],[Grade]],SCORE[GRADE],SCORE[SCORE],,)</f>
        <v>10</v>
      </c>
    </row>
    <row r="40" spans="1:17" x14ac:dyDescent="0.25">
      <c r="A40" s="21">
        <f>DATE(SportClimbing[[#This Row],[Year]],_xlfn.XLOOKUP(SportClimbing[[#This Row],[Month]],MONTHS[MONTHS 2],MONTHS[MONTHS 3]),SportClimbing[[#This Row],[Day]])</f>
        <v>42991</v>
      </c>
      <c r="B40" s="21" t="b">
        <f ca="1">AND(SportClimbing[[#This Row],[Date]] &gt;= TODAY()-365, SportClimbing[[#This Row],[Date]] &lt;= TODAY())</f>
        <v>0</v>
      </c>
      <c r="C40">
        <v>13</v>
      </c>
      <c r="D40" t="s">
        <v>159</v>
      </c>
      <c r="E40">
        <v>2017</v>
      </c>
      <c r="F40" t="s">
        <v>80</v>
      </c>
      <c r="G40" t="s">
        <v>21</v>
      </c>
      <c r="H40" t="s">
        <v>262</v>
      </c>
      <c r="I40" t="s">
        <v>77</v>
      </c>
      <c r="J40" t="s">
        <v>79</v>
      </c>
      <c r="K40">
        <v>12</v>
      </c>
      <c r="L40" t="str">
        <f>IF(SportClimbing[[#This Row],[Height (m)]]&lt;11, "0-10", IF(SportClimbing[[#This Row],[Height (m)]]&lt;16, "11-15", IF(SportClimbing[[#This Row],[Height (m)]]&lt;21, "16-20", IF(SportClimbing[[#This Row],[Height (m)]]&lt;26, "21-25", IF(SportClimbing[[#This Row],[Height (m)]]&lt;31, "26-30", IF(SportClimbing[[#This Row],[Height (m)]]&lt;36, "31-35", "35+"))))))</f>
        <v>11-15</v>
      </c>
      <c r="M40" t="s">
        <v>83</v>
      </c>
      <c r="N40">
        <v>2</v>
      </c>
      <c r="O40">
        <f>IF(ISNUMBER(SportClimbing[[#This Row],[Total number of tries]])=TRUE, SportClimbing[[#This Row],[Total number of tries]], 1)</f>
        <v>2</v>
      </c>
      <c r="P40" t="str">
        <f>IF(ISNUMBER(SportClimbing[[#This Row],[Total number of tries]])=TRUE, "redpoint", SportClimbing[[#This Row],[Total number of tries]])</f>
        <v>redpoint</v>
      </c>
      <c r="Q40">
        <f>_xlfn.XLOOKUP(SportClimbing[[#This Row],[Grade]],SCORE[GRADE],SCORE[SCORE],,)</f>
        <v>15</v>
      </c>
    </row>
    <row r="41" spans="1:17" x14ac:dyDescent="0.25">
      <c r="A41" s="21">
        <f>DATE(SportClimbing[[#This Row],[Year]],_xlfn.XLOOKUP(SportClimbing[[#This Row],[Month]],MONTHS[MONTHS 2],MONTHS[MONTHS 3]),SportClimbing[[#This Row],[Day]])</f>
        <v>43001</v>
      </c>
      <c r="B41" s="21" t="b">
        <f ca="1">AND(SportClimbing[[#This Row],[Date]] &gt;= TODAY()-365, SportClimbing[[#This Row],[Date]] &lt;= TODAY())</f>
        <v>0</v>
      </c>
      <c r="C41">
        <v>23</v>
      </c>
      <c r="D41" t="s">
        <v>159</v>
      </c>
      <c r="E41">
        <v>2017</v>
      </c>
      <c r="F41" t="s">
        <v>84</v>
      </c>
      <c r="G41" t="s">
        <v>21</v>
      </c>
      <c r="H41" t="s">
        <v>262</v>
      </c>
      <c r="I41" t="s">
        <v>49</v>
      </c>
      <c r="J41" t="s">
        <v>66</v>
      </c>
      <c r="K41">
        <v>25</v>
      </c>
      <c r="L41" t="str">
        <f>IF(SportClimbing[[#This Row],[Height (m)]]&lt;11, "0-10", IF(SportClimbing[[#This Row],[Height (m)]]&lt;16, "11-15", IF(SportClimbing[[#This Row],[Height (m)]]&lt;21, "16-20", IF(SportClimbing[[#This Row],[Height (m)]]&lt;26, "21-25", IF(SportClimbing[[#This Row],[Height (m)]]&lt;31, "26-30", IF(SportClimbing[[#This Row],[Height (m)]]&lt;36, "31-35", "35+"))))))</f>
        <v>21-25</v>
      </c>
      <c r="M41" t="s">
        <v>132</v>
      </c>
      <c r="N41" t="s">
        <v>130</v>
      </c>
      <c r="O41">
        <f>IF(ISNUMBER(SportClimbing[[#This Row],[Total number of tries]])=TRUE, SportClimbing[[#This Row],[Total number of tries]], 1)</f>
        <v>1</v>
      </c>
      <c r="P41" t="str">
        <f>IF(ISNUMBER(SportClimbing[[#This Row],[Total number of tries]])=TRUE, "redpoint", SportClimbing[[#This Row],[Total number of tries]])</f>
        <v>onsight</v>
      </c>
      <c r="Q41">
        <f>_xlfn.XLOOKUP(SportClimbing[[#This Row],[Grade]],SCORE[GRADE],SCORE[SCORE],,)</f>
        <v>15</v>
      </c>
    </row>
    <row r="42" spans="1:17" x14ac:dyDescent="0.25">
      <c r="A42" s="21">
        <f>DATE(SportClimbing[[#This Row],[Year]],_xlfn.XLOOKUP(SportClimbing[[#This Row],[Month]],MONTHS[MONTHS 2],MONTHS[MONTHS 3]),SportClimbing[[#This Row],[Day]])</f>
        <v>43003</v>
      </c>
      <c r="B42" s="21" t="b">
        <f ca="1">AND(SportClimbing[[#This Row],[Date]] &gt;= TODAY()-365, SportClimbing[[#This Row],[Date]] &lt;= TODAY())</f>
        <v>0</v>
      </c>
      <c r="C42">
        <v>25</v>
      </c>
      <c r="D42" t="s">
        <v>159</v>
      </c>
      <c r="E42">
        <v>2017</v>
      </c>
      <c r="F42" t="s">
        <v>85</v>
      </c>
      <c r="G42" t="s">
        <v>21</v>
      </c>
      <c r="H42" t="s">
        <v>262</v>
      </c>
      <c r="I42" t="s">
        <v>25</v>
      </c>
      <c r="J42" t="s">
        <v>86</v>
      </c>
      <c r="K42">
        <v>20</v>
      </c>
      <c r="L42" t="str">
        <f>IF(SportClimbing[[#This Row],[Height (m)]]&lt;11, "0-10", IF(SportClimbing[[#This Row],[Height (m)]]&lt;16, "11-15", IF(SportClimbing[[#This Row],[Height (m)]]&lt;21, "16-20", IF(SportClimbing[[#This Row],[Height (m)]]&lt;26, "21-25", IF(SportClimbing[[#This Row],[Height (m)]]&lt;31, "26-30", IF(SportClimbing[[#This Row],[Height (m)]]&lt;36, "31-35", "35+"))))))</f>
        <v>16-20</v>
      </c>
      <c r="M42" t="s">
        <v>132</v>
      </c>
      <c r="N42">
        <v>5</v>
      </c>
      <c r="O42">
        <f>IF(ISNUMBER(SportClimbing[[#This Row],[Total number of tries]])=TRUE, SportClimbing[[#This Row],[Total number of tries]], 1)</f>
        <v>5</v>
      </c>
      <c r="P42" t="str">
        <f>IF(ISNUMBER(SportClimbing[[#This Row],[Total number of tries]])=TRUE, "redpoint", SportClimbing[[#This Row],[Total number of tries]])</f>
        <v>redpoint</v>
      </c>
      <c r="Q42">
        <f>_xlfn.XLOOKUP(SportClimbing[[#This Row],[Grade]],SCORE[GRADE],SCORE[SCORE],,)</f>
        <v>15</v>
      </c>
    </row>
    <row r="43" spans="1:17" x14ac:dyDescent="0.25">
      <c r="A43" s="21">
        <f>DATE(SportClimbing[[#This Row],[Year]],_xlfn.XLOOKUP(SportClimbing[[#This Row],[Month]],MONTHS[MONTHS 2],MONTHS[MONTHS 3]),SportClimbing[[#This Row],[Day]])</f>
        <v>43022</v>
      </c>
      <c r="B43" s="21" t="b">
        <f ca="1">AND(SportClimbing[[#This Row],[Date]] &gt;= TODAY()-365, SportClimbing[[#This Row],[Date]] &lt;= TODAY())</f>
        <v>0</v>
      </c>
      <c r="C43">
        <v>14</v>
      </c>
      <c r="D43" t="s">
        <v>162</v>
      </c>
      <c r="E43">
        <v>2017</v>
      </c>
      <c r="F43" t="s">
        <v>99</v>
      </c>
      <c r="G43" t="s">
        <v>21</v>
      </c>
      <c r="H43" t="s">
        <v>262</v>
      </c>
      <c r="I43" t="s">
        <v>43</v>
      </c>
      <c r="J43" t="s">
        <v>91</v>
      </c>
      <c r="K43">
        <v>30</v>
      </c>
      <c r="L43" t="str">
        <f>IF(SportClimbing[[#This Row],[Height (m)]]&lt;11, "0-10", IF(SportClimbing[[#This Row],[Height (m)]]&lt;16, "11-15", IF(SportClimbing[[#This Row],[Height (m)]]&lt;21, "16-20", IF(SportClimbing[[#This Row],[Height (m)]]&lt;26, "21-25", IF(SportClimbing[[#This Row],[Height (m)]]&lt;31, "26-30", IF(SportClimbing[[#This Row],[Height (m)]]&lt;36, "31-35", "35+"))))))</f>
        <v>26-30</v>
      </c>
      <c r="M43" t="s">
        <v>133</v>
      </c>
      <c r="N43">
        <v>3</v>
      </c>
      <c r="O43">
        <f>IF(ISNUMBER(SportClimbing[[#This Row],[Total number of tries]])=TRUE, SportClimbing[[#This Row],[Total number of tries]], 1)</f>
        <v>3</v>
      </c>
      <c r="P43" t="str">
        <f>IF(ISNUMBER(SportClimbing[[#This Row],[Total number of tries]])=TRUE, "redpoint", SportClimbing[[#This Row],[Total number of tries]])</f>
        <v>redpoint</v>
      </c>
      <c r="Q43">
        <f>_xlfn.XLOOKUP(SportClimbing[[#This Row],[Grade]],SCORE[GRADE],SCORE[SCORE],,)</f>
        <v>15</v>
      </c>
    </row>
    <row r="44" spans="1:17" x14ac:dyDescent="0.25">
      <c r="A44" s="21">
        <f>DATE(SportClimbing[[#This Row],[Year]],_xlfn.XLOOKUP(SportClimbing[[#This Row],[Month]],MONTHS[MONTHS 2],MONTHS[MONTHS 3]),SportClimbing[[#This Row],[Day]])</f>
        <v>43023</v>
      </c>
      <c r="B44" s="21" t="b">
        <f ca="1">AND(SportClimbing[[#This Row],[Date]] &gt;= TODAY()-365, SportClimbing[[#This Row],[Date]] &lt;= TODAY())</f>
        <v>0</v>
      </c>
      <c r="C44">
        <v>15</v>
      </c>
      <c r="D44" t="s">
        <v>162</v>
      </c>
      <c r="E44">
        <v>2017</v>
      </c>
      <c r="F44" t="s">
        <v>98</v>
      </c>
      <c r="G44" t="s">
        <v>21</v>
      </c>
      <c r="H44" t="s">
        <v>262</v>
      </c>
      <c r="I44" t="s">
        <v>43</v>
      </c>
      <c r="J44" t="s">
        <v>44</v>
      </c>
      <c r="K44">
        <v>25</v>
      </c>
      <c r="L44" t="str">
        <f>IF(SportClimbing[[#This Row],[Height (m)]]&lt;11, "0-10", IF(SportClimbing[[#This Row],[Height (m)]]&lt;16, "11-15", IF(SportClimbing[[#This Row],[Height (m)]]&lt;21, "16-20", IF(SportClimbing[[#This Row],[Height (m)]]&lt;26, "21-25", IF(SportClimbing[[#This Row],[Height (m)]]&lt;31, "26-30", IF(SportClimbing[[#This Row],[Height (m)]]&lt;36, "31-35", "35+"))))))</f>
        <v>21-25</v>
      </c>
      <c r="M44" t="s">
        <v>17</v>
      </c>
      <c r="N44">
        <v>2</v>
      </c>
      <c r="O44">
        <f>IF(ISNUMBER(SportClimbing[[#This Row],[Total number of tries]])=TRUE, SportClimbing[[#This Row],[Total number of tries]], 1)</f>
        <v>2</v>
      </c>
      <c r="P44" t="str">
        <f>IF(ISNUMBER(SportClimbing[[#This Row],[Total number of tries]])=TRUE, "redpoint", SportClimbing[[#This Row],[Total number of tries]])</f>
        <v>redpoint</v>
      </c>
      <c r="Q44">
        <f>_xlfn.XLOOKUP(SportClimbing[[#This Row],[Grade]],SCORE[GRADE],SCORE[SCORE],,)</f>
        <v>15</v>
      </c>
    </row>
    <row r="45" spans="1:17" x14ac:dyDescent="0.25">
      <c r="A45" s="21">
        <f>DATE(SportClimbing[[#This Row],[Year]],_xlfn.XLOOKUP(SportClimbing[[#This Row],[Month]],MONTHS[MONTHS 2],MONTHS[MONTHS 3]),SportClimbing[[#This Row],[Day]])</f>
        <v>43029</v>
      </c>
      <c r="B45" s="21" t="b">
        <f ca="1">AND(SportClimbing[[#This Row],[Date]] &gt;= TODAY()-365, SportClimbing[[#This Row],[Date]] &lt;= TODAY())</f>
        <v>0</v>
      </c>
      <c r="C45">
        <v>21</v>
      </c>
      <c r="D45" t="s">
        <v>162</v>
      </c>
      <c r="E45">
        <v>2017</v>
      </c>
      <c r="F45" t="s">
        <v>95</v>
      </c>
      <c r="G45" t="s">
        <v>21</v>
      </c>
      <c r="H45" t="s">
        <v>262</v>
      </c>
      <c r="I45" t="s">
        <v>43</v>
      </c>
      <c r="J45" t="s">
        <v>94</v>
      </c>
      <c r="K45">
        <v>25</v>
      </c>
      <c r="L45" t="str">
        <f>IF(SportClimbing[[#This Row],[Height (m)]]&lt;11, "0-10", IF(SportClimbing[[#This Row],[Height (m)]]&lt;16, "11-15", IF(SportClimbing[[#This Row],[Height (m)]]&lt;21, "16-20", IF(SportClimbing[[#This Row],[Height (m)]]&lt;26, "21-25", IF(SportClimbing[[#This Row],[Height (m)]]&lt;31, "26-30", IF(SportClimbing[[#This Row],[Height (m)]]&lt;36, "31-35", "35+"))))))</f>
        <v>21-25</v>
      </c>
      <c r="M45" t="s">
        <v>53</v>
      </c>
      <c r="N45" t="s">
        <v>130</v>
      </c>
      <c r="O45">
        <f>IF(ISNUMBER(SportClimbing[[#This Row],[Total number of tries]])=TRUE, SportClimbing[[#This Row],[Total number of tries]], 1)</f>
        <v>1</v>
      </c>
      <c r="P45" t="str">
        <f>IF(ISNUMBER(SportClimbing[[#This Row],[Total number of tries]])=TRUE, "redpoint", SportClimbing[[#This Row],[Total number of tries]])</f>
        <v>onsight</v>
      </c>
      <c r="Q45">
        <f>_xlfn.XLOOKUP(SportClimbing[[#This Row],[Grade]],SCORE[GRADE],SCORE[SCORE],,)</f>
        <v>15</v>
      </c>
    </row>
    <row r="46" spans="1:17" x14ac:dyDescent="0.25">
      <c r="A46" s="21">
        <f>DATE(SportClimbing[[#This Row],[Year]],_xlfn.XLOOKUP(SportClimbing[[#This Row],[Month]],MONTHS[MONTHS 2],MONTHS[MONTHS 3]),SportClimbing[[#This Row],[Day]])</f>
        <v>43029</v>
      </c>
      <c r="B46" s="21" t="b">
        <f ca="1">AND(SportClimbing[[#This Row],[Date]] &gt;= TODAY()-365, SportClimbing[[#This Row],[Date]] &lt;= TODAY())</f>
        <v>0</v>
      </c>
      <c r="C46">
        <v>21</v>
      </c>
      <c r="D46" t="s">
        <v>162</v>
      </c>
      <c r="E46">
        <v>2017</v>
      </c>
      <c r="F46" t="s">
        <v>97</v>
      </c>
      <c r="G46" t="s">
        <v>21</v>
      </c>
      <c r="H46" t="s">
        <v>262</v>
      </c>
      <c r="I46" t="s">
        <v>43</v>
      </c>
      <c r="J46" t="s">
        <v>91</v>
      </c>
      <c r="K46">
        <v>28</v>
      </c>
      <c r="L46" t="str">
        <f>IF(SportClimbing[[#This Row],[Height (m)]]&lt;11, "0-10", IF(SportClimbing[[#This Row],[Height (m)]]&lt;16, "11-15", IF(SportClimbing[[#This Row],[Height (m)]]&lt;21, "16-20", IF(SportClimbing[[#This Row],[Height (m)]]&lt;26, "21-25", IF(SportClimbing[[#This Row],[Height (m)]]&lt;31, "26-30", IF(SportClimbing[[#This Row],[Height (m)]]&lt;36, "31-35", "35+"))))))</f>
        <v>26-30</v>
      </c>
      <c r="M46" t="s">
        <v>53</v>
      </c>
      <c r="N46">
        <v>3</v>
      </c>
      <c r="O46">
        <f>IF(ISNUMBER(SportClimbing[[#This Row],[Total number of tries]])=TRUE, SportClimbing[[#This Row],[Total number of tries]], 1)</f>
        <v>3</v>
      </c>
      <c r="P46" t="str">
        <f>IF(ISNUMBER(SportClimbing[[#This Row],[Total number of tries]])=TRUE, "redpoint", SportClimbing[[#This Row],[Total number of tries]])</f>
        <v>redpoint</v>
      </c>
      <c r="Q46">
        <f>_xlfn.XLOOKUP(SportClimbing[[#This Row],[Grade]],SCORE[GRADE],SCORE[SCORE],,)</f>
        <v>15</v>
      </c>
    </row>
    <row r="47" spans="1:17" x14ac:dyDescent="0.25">
      <c r="A47" s="21">
        <f>DATE(SportClimbing[[#This Row],[Year]],_xlfn.XLOOKUP(SportClimbing[[#This Row],[Month]],MONTHS[MONTHS 2],MONTHS[MONTHS 3]),SportClimbing[[#This Row],[Day]])</f>
        <v>43030</v>
      </c>
      <c r="B47" s="21" t="b">
        <f ca="1">AND(SportClimbing[[#This Row],[Date]] &gt;= TODAY()-365, SportClimbing[[#This Row],[Date]] &lt;= TODAY())</f>
        <v>0</v>
      </c>
      <c r="C47">
        <v>22</v>
      </c>
      <c r="D47" t="s">
        <v>162</v>
      </c>
      <c r="E47">
        <v>2017</v>
      </c>
      <c r="F47" t="s">
        <v>96</v>
      </c>
      <c r="G47" t="s">
        <v>3</v>
      </c>
      <c r="H47" t="s">
        <v>262</v>
      </c>
      <c r="I47" t="s">
        <v>43</v>
      </c>
      <c r="J47" t="s">
        <v>93</v>
      </c>
      <c r="K47">
        <v>30</v>
      </c>
      <c r="L47" t="str">
        <f>IF(SportClimbing[[#This Row],[Height (m)]]&lt;11, "0-10", IF(SportClimbing[[#This Row],[Height (m)]]&lt;16, "11-15", IF(SportClimbing[[#This Row],[Height (m)]]&lt;21, "16-20", IF(SportClimbing[[#This Row],[Height (m)]]&lt;26, "21-25", IF(SportClimbing[[#This Row],[Height (m)]]&lt;31, "26-30", IF(SportClimbing[[#This Row],[Height (m)]]&lt;36, "31-35", "35+"))))))</f>
        <v>26-30</v>
      </c>
      <c r="M47" t="s">
        <v>53</v>
      </c>
      <c r="N47" t="s">
        <v>130</v>
      </c>
      <c r="O47">
        <f>IF(ISNUMBER(SportClimbing[[#This Row],[Total number of tries]])=TRUE, SportClimbing[[#This Row],[Total number of tries]], 1)</f>
        <v>1</v>
      </c>
      <c r="P47" t="str">
        <f>IF(ISNUMBER(SportClimbing[[#This Row],[Total number of tries]])=TRUE, "redpoint", SportClimbing[[#This Row],[Total number of tries]])</f>
        <v>onsight</v>
      </c>
      <c r="Q47">
        <f>_xlfn.XLOOKUP(SportClimbing[[#This Row],[Grade]],SCORE[GRADE],SCORE[SCORE],,)</f>
        <v>10</v>
      </c>
    </row>
    <row r="48" spans="1:17" x14ac:dyDescent="0.25">
      <c r="A48" s="21">
        <f>DATE(SportClimbing[[#This Row],[Year]],_xlfn.XLOOKUP(SportClimbing[[#This Row],[Month]],MONTHS[MONTHS 2],MONTHS[MONTHS 3]),SportClimbing[[#This Row],[Day]])</f>
        <v>43036</v>
      </c>
      <c r="B48" s="21" t="b">
        <f ca="1">AND(SportClimbing[[#This Row],[Date]] &gt;= TODAY()-365, SportClimbing[[#This Row],[Date]] &lt;= TODAY())</f>
        <v>0</v>
      </c>
      <c r="C48">
        <v>28</v>
      </c>
      <c r="D48" t="s">
        <v>162</v>
      </c>
      <c r="E48">
        <v>2017</v>
      </c>
      <c r="F48" t="s">
        <v>101</v>
      </c>
      <c r="G48" t="s">
        <v>3</v>
      </c>
      <c r="H48" t="s">
        <v>262</v>
      </c>
      <c r="I48" t="s">
        <v>100</v>
      </c>
      <c r="J48" t="s">
        <v>213</v>
      </c>
      <c r="K48">
        <v>25</v>
      </c>
      <c r="L48" t="str">
        <f>IF(SportClimbing[[#This Row],[Height (m)]]&lt;11, "0-10", IF(SportClimbing[[#This Row],[Height (m)]]&lt;16, "11-15", IF(SportClimbing[[#This Row],[Height (m)]]&lt;21, "16-20", IF(SportClimbing[[#This Row],[Height (m)]]&lt;26, "21-25", IF(SportClimbing[[#This Row],[Height (m)]]&lt;31, "26-30", IF(SportClimbing[[#This Row],[Height (m)]]&lt;36, "31-35", "35+"))))))</f>
        <v>21-25</v>
      </c>
      <c r="M48" t="s">
        <v>132</v>
      </c>
      <c r="N48">
        <v>2</v>
      </c>
      <c r="O48">
        <f>IF(ISNUMBER(SportClimbing[[#This Row],[Total number of tries]])=TRUE, SportClimbing[[#This Row],[Total number of tries]], 1)</f>
        <v>2</v>
      </c>
      <c r="P48" t="str">
        <f>IF(ISNUMBER(SportClimbing[[#This Row],[Total number of tries]])=TRUE, "redpoint", SportClimbing[[#This Row],[Total number of tries]])</f>
        <v>redpoint</v>
      </c>
      <c r="Q48">
        <f>_xlfn.XLOOKUP(SportClimbing[[#This Row],[Grade]],SCORE[GRADE],SCORE[SCORE],,)</f>
        <v>10</v>
      </c>
    </row>
    <row r="49" spans="1:17" x14ac:dyDescent="0.25">
      <c r="A49" s="21">
        <f>DATE(SportClimbing[[#This Row],[Year]],_xlfn.XLOOKUP(SportClimbing[[#This Row],[Month]],MONTHS[MONTHS 2],MONTHS[MONTHS 3]),SportClimbing[[#This Row],[Day]])</f>
        <v>43036</v>
      </c>
      <c r="B49" s="21" t="b">
        <f ca="1">AND(SportClimbing[[#This Row],[Date]] &gt;= TODAY()-365, SportClimbing[[#This Row],[Date]] &lt;= TODAY())</f>
        <v>0</v>
      </c>
      <c r="C49">
        <v>28</v>
      </c>
      <c r="D49" t="s">
        <v>162</v>
      </c>
      <c r="E49">
        <v>2017</v>
      </c>
      <c r="F49" t="s">
        <v>102</v>
      </c>
      <c r="G49" t="s">
        <v>3</v>
      </c>
      <c r="H49" t="s">
        <v>262</v>
      </c>
      <c r="I49" t="s">
        <v>100</v>
      </c>
      <c r="J49" t="s">
        <v>214</v>
      </c>
      <c r="K49">
        <v>25</v>
      </c>
      <c r="L49" t="str">
        <f>IF(SportClimbing[[#This Row],[Height (m)]]&lt;11, "0-10", IF(SportClimbing[[#This Row],[Height (m)]]&lt;16, "11-15", IF(SportClimbing[[#This Row],[Height (m)]]&lt;21, "16-20", IF(SportClimbing[[#This Row],[Height (m)]]&lt;26, "21-25", IF(SportClimbing[[#This Row],[Height (m)]]&lt;31, "26-30", IF(SportClimbing[[#This Row],[Height (m)]]&lt;36, "31-35", "35+"))))))</f>
        <v>21-25</v>
      </c>
      <c r="M49" t="s">
        <v>132</v>
      </c>
      <c r="N49">
        <v>4</v>
      </c>
      <c r="O49">
        <f>IF(ISNUMBER(SportClimbing[[#This Row],[Total number of tries]])=TRUE, SportClimbing[[#This Row],[Total number of tries]], 1)</f>
        <v>4</v>
      </c>
      <c r="P49" t="str">
        <f>IF(ISNUMBER(SportClimbing[[#This Row],[Total number of tries]])=TRUE, "redpoint", SportClimbing[[#This Row],[Total number of tries]])</f>
        <v>redpoint</v>
      </c>
      <c r="Q49">
        <f>_xlfn.XLOOKUP(SportClimbing[[#This Row],[Grade]],SCORE[GRADE],SCORE[SCORE],,)</f>
        <v>10</v>
      </c>
    </row>
    <row r="50" spans="1:17" x14ac:dyDescent="0.25">
      <c r="A50" s="21">
        <f>DATE(SportClimbing[[#This Row],[Year]],_xlfn.XLOOKUP(SportClimbing[[#This Row],[Month]],MONTHS[MONTHS 2],MONTHS[MONTHS 3]),SportClimbing[[#This Row],[Day]])</f>
        <v>43043</v>
      </c>
      <c r="B50" s="21" t="b">
        <f ca="1">AND(SportClimbing[[#This Row],[Date]] &gt;= TODAY()-365, SportClimbing[[#This Row],[Date]] &lt;= TODAY())</f>
        <v>0</v>
      </c>
      <c r="C50">
        <v>4</v>
      </c>
      <c r="D50" t="s">
        <v>160</v>
      </c>
      <c r="E50">
        <v>2017</v>
      </c>
      <c r="F50" t="s">
        <v>103</v>
      </c>
      <c r="G50" t="s">
        <v>29</v>
      </c>
      <c r="H50" t="s">
        <v>262</v>
      </c>
      <c r="I50" t="s">
        <v>22</v>
      </c>
      <c r="J50" t="s">
        <v>23</v>
      </c>
      <c r="K50">
        <v>25</v>
      </c>
      <c r="L50" t="str">
        <f>IF(SportClimbing[[#This Row],[Height (m)]]&lt;11, "0-10", IF(SportClimbing[[#This Row],[Height (m)]]&lt;16, "11-15", IF(SportClimbing[[#This Row],[Height (m)]]&lt;21, "16-20", IF(SportClimbing[[#This Row],[Height (m)]]&lt;26, "21-25", IF(SportClimbing[[#This Row],[Height (m)]]&lt;31, "26-30", IF(SportClimbing[[#This Row],[Height (m)]]&lt;36, "31-35", "35+"))))))</f>
        <v>21-25</v>
      </c>
      <c r="M50" t="s">
        <v>104</v>
      </c>
      <c r="N50">
        <v>6</v>
      </c>
      <c r="O50">
        <f>IF(ISNUMBER(SportClimbing[[#This Row],[Total number of tries]])=TRUE, SportClimbing[[#This Row],[Total number of tries]], 1)</f>
        <v>6</v>
      </c>
      <c r="P50" t="str">
        <f>IF(ISNUMBER(SportClimbing[[#This Row],[Total number of tries]])=TRUE, "redpoint", SportClimbing[[#This Row],[Total number of tries]])</f>
        <v>redpoint</v>
      </c>
      <c r="Q50">
        <f>_xlfn.XLOOKUP(SportClimbing[[#This Row],[Grade]],SCORE[GRADE],SCORE[SCORE],,)</f>
        <v>25</v>
      </c>
    </row>
    <row r="51" spans="1:17" x14ac:dyDescent="0.25">
      <c r="A51" s="21">
        <f>DATE(SportClimbing[[#This Row],[Year]],_xlfn.XLOOKUP(SportClimbing[[#This Row],[Month]],MONTHS[MONTHS 2],MONTHS[MONTHS 3]),SportClimbing[[#This Row],[Day]])</f>
        <v>43077</v>
      </c>
      <c r="B51" s="21" t="b">
        <f ca="1">AND(SportClimbing[[#This Row],[Date]] &gt;= TODAY()-365, SportClimbing[[#This Row],[Date]] &lt;= TODAY())</f>
        <v>0</v>
      </c>
      <c r="C51">
        <v>8</v>
      </c>
      <c r="D51" t="s">
        <v>161</v>
      </c>
      <c r="E51">
        <v>2017</v>
      </c>
      <c r="F51" t="s">
        <v>109</v>
      </c>
      <c r="G51" t="s">
        <v>21</v>
      </c>
      <c r="H51" t="s">
        <v>262</v>
      </c>
      <c r="I51" t="s">
        <v>43</v>
      </c>
      <c r="J51" t="s">
        <v>226</v>
      </c>
      <c r="K51">
        <v>25</v>
      </c>
      <c r="L51" t="str">
        <f>IF(SportClimbing[[#This Row],[Height (m)]]&lt;11, "0-10", IF(SportClimbing[[#This Row],[Height (m)]]&lt;16, "11-15", IF(SportClimbing[[#This Row],[Height (m)]]&lt;21, "16-20", IF(SportClimbing[[#This Row],[Height (m)]]&lt;26, "21-25", IF(SportClimbing[[#This Row],[Height (m)]]&lt;31, "26-30", IF(SportClimbing[[#This Row],[Height (m)]]&lt;36, "31-35", "35+"))))))</f>
        <v>21-25</v>
      </c>
      <c r="M51" t="s">
        <v>131</v>
      </c>
      <c r="N51">
        <v>2</v>
      </c>
      <c r="O51">
        <f>IF(ISNUMBER(SportClimbing[[#This Row],[Total number of tries]])=TRUE, SportClimbing[[#This Row],[Total number of tries]], 1)</f>
        <v>2</v>
      </c>
      <c r="P51" t="str">
        <f>IF(ISNUMBER(SportClimbing[[#This Row],[Total number of tries]])=TRUE, "redpoint", SportClimbing[[#This Row],[Total number of tries]])</f>
        <v>redpoint</v>
      </c>
      <c r="Q51">
        <f>_xlfn.XLOOKUP(SportClimbing[[#This Row],[Grade]],SCORE[GRADE],SCORE[SCORE],,)</f>
        <v>15</v>
      </c>
    </row>
    <row r="52" spans="1:17" x14ac:dyDescent="0.25">
      <c r="A52" s="21">
        <f>DATE(SportClimbing[[#This Row],[Year]],_xlfn.XLOOKUP(SportClimbing[[#This Row],[Month]],MONTHS[MONTHS 2],MONTHS[MONTHS 3]),SportClimbing[[#This Row],[Day]])</f>
        <v>43078</v>
      </c>
      <c r="B52" s="21" t="b">
        <f ca="1">AND(SportClimbing[[#This Row],[Date]] &gt;= TODAY()-365, SportClimbing[[#This Row],[Date]] &lt;= TODAY())</f>
        <v>0</v>
      </c>
      <c r="C52">
        <v>9</v>
      </c>
      <c r="D52" t="s">
        <v>161</v>
      </c>
      <c r="E52">
        <v>2017</v>
      </c>
      <c r="F52" t="s">
        <v>108</v>
      </c>
      <c r="G52" t="s">
        <v>3</v>
      </c>
      <c r="H52" t="s">
        <v>262</v>
      </c>
      <c r="I52" t="s">
        <v>105</v>
      </c>
      <c r="J52" t="s">
        <v>117</v>
      </c>
      <c r="K52">
        <v>20</v>
      </c>
      <c r="L52" t="str">
        <f>IF(SportClimbing[[#This Row],[Height (m)]]&lt;11, "0-10", IF(SportClimbing[[#This Row],[Height (m)]]&lt;16, "11-15", IF(SportClimbing[[#This Row],[Height (m)]]&lt;21, "16-20", IF(SportClimbing[[#This Row],[Height (m)]]&lt;26, "21-25", IF(SportClimbing[[#This Row],[Height (m)]]&lt;31, "26-30", IF(SportClimbing[[#This Row],[Height (m)]]&lt;36, "31-35", "35+"))))))</f>
        <v>16-20</v>
      </c>
      <c r="M52" t="s">
        <v>38</v>
      </c>
      <c r="N52" t="s">
        <v>11</v>
      </c>
      <c r="O52">
        <f>IF(ISNUMBER(SportClimbing[[#This Row],[Total number of tries]])=TRUE, SportClimbing[[#This Row],[Total number of tries]], 1)</f>
        <v>1</v>
      </c>
      <c r="P52" t="str">
        <f>IF(ISNUMBER(SportClimbing[[#This Row],[Total number of tries]])=TRUE, "redpoint", SportClimbing[[#This Row],[Total number of tries]])</f>
        <v>flash</v>
      </c>
      <c r="Q52">
        <f>_xlfn.XLOOKUP(SportClimbing[[#This Row],[Grade]],SCORE[GRADE],SCORE[SCORE],,)</f>
        <v>10</v>
      </c>
    </row>
    <row r="53" spans="1:17" x14ac:dyDescent="0.25">
      <c r="A53" s="21">
        <f>DATE(SportClimbing[[#This Row],[Year]],_xlfn.XLOOKUP(SportClimbing[[#This Row],[Month]],MONTHS[MONTHS 2],MONTHS[MONTHS 3]),SportClimbing[[#This Row],[Day]])</f>
        <v>43079</v>
      </c>
      <c r="B53" s="21" t="b">
        <f ca="1">AND(SportClimbing[[#This Row],[Date]] &gt;= TODAY()-365, SportClimbing[[#This Row],[Date]] &lt;= TODAY())</f>
        <v>0</v>
      </c>
      <c r="C53">
        <v>10</v>
      </c>
      <c r="D53" t="s">
        <v>161</v>
      </c>
      <c r="E53">
        <v>2017</v>
      </c>
      <c r="F53" t="s">
        <v>107</v>
      </c>
      <c r="G53" t="s">
        <v>21</v>
      </c>
      <c r="H53" t="s">
        <v>262</v>
      </c>
      <c r="I53" t="s">
        <v>43</v>
      </c>
      <c r="J53" t="s">
        <v>106</v>
      </c>
      <c r="K53">
        <v>20</v>
      </c>
      <c r="L53" t="str">
        <f>IF(SportClimbing[[#This Row],[Height (m)]]&lt;11, "0-10", IF(SportClimbing[[#This Row],[Height (m)]]&lt;16, "11-15", IF(SportClimbing[[#This Row],[Height (m)]]&lt;21, "16-20", IF(SportClimbing[[#This Row],[Height (m)]]&lt;26, "21-25", IF(SportClimbing[[#This Row],[Height (m)]]&lt;31, "26-30", IF(SportClimbing[[#This Row],[Height (m)]]&lt;36, "31-35", "35+"))))))</f>
        <v>16-20</v>
      </c>
      <c r="M53" t="s">
        <v>122</v>
      </c>
      <c r="N53">
        <v>3</v>
      </c>
      <c r="O53">
        <f>IF(ISNUMBER(SportClimbing[[#This Row],[Total number of tries]])=TRUE, SportClimbing[[#This Row],[Total number of tries]], 1)</f>
        <v>3</v>
      </c>
      <c r="P53" t="str">
        <f>IF(ISNUMBER(SportClimbing[[#This Row],[Total number of tries]])=TRUE, "redpoint", SportClimbing[[#This Row],[Total number of tries]])</f>
        <v>redpoint</v>
      </c>
      <c r="Q53">
        <f>_xlfn.XLOOKUP(SportClimbing[[#This Row],[Grade]],SCORE[GRADE],SCORE[SCORE],,)</f>
        <v>15</v>
      </c>
    </row>
    <row r="54" spans="1:17" x14ac:dyDescent="0.25">
      <c r="A54" s="21">
        <f>DATE(SportClimbing[[#This Row],[Year]],_xlfn.XLOOKUP(SportClimbing[[#This Row],[Month]],MONTHS[MONTHS 2],MONTHS[MONTHS 3]),SportClimbing[[#This Row],[Day]])</f>
        <v>43085</v>
      </c>
      <c r="B54" s="21" t="b">
        <f ca="1">AND(SportClimbing[[#This Row],[Date]] &gt;= TODAY()-365, SportClimbing[[#This Row],[Date]] &lt;= TODAY())</f>
        <v>0</v>
      </c>
      <c r="C54">
        <v>16</v>
      </c>
      <c r="D54" t="s">
        <v>161</v>
      </c>
      <c r="E54">
        <v>2017</v>
      </c>
      <c r="F54" t="s">
        <v>112</v>
      </c>
      <c r="G54" t="s">
        <v>3</v>
      </c>
      <c r="H54" t="s">
        <v>262</v>
      </c>
      <c r="I54" t="s">
        <v>105</v>
      </c>
      <c r="J54" t="s">
        <v>110</v>
      </c>
      <c r="K54">
        <v>30</v>
      </c>
      <c r="L54" t="str">
        <f>IF(SportClimbing[[#This Row],[Height (m)]]&lt;11, "0-10", IF(SportClimbing[[#This Row],[Height (m)]]&lt;16, "11-15", IF(SportClimbing[[#This Row],[Height (m)]]&lt;21, "16-20", IF(SportClimbing[[#This Row],[Height (m)]]&lt;26, "21-25", IF(SportClimbing[[#This Row],[Height (m)]]&lt;31, "26-30", IF(SportClimbing[[#This Row],[Height (m)]]&lt;36, "31-35", "35+"))))))</f>
        <v>26-30</v>
      </c>
      <c r="M54" t="s">
        <v>111</v>
      </c>
      <c r="N54" t="s">
        <v>130</v>
      </c>
      <c r="O54">
        <f>IF(ISNUMBER(SportClimbing[[#This Row],[Total number of tries]])=TRUE, SportClimbing[[#This Row],[Total number of tries]], 1)</f>
        <v>1</v>
      </c>
      <c r="P54" t="str">
        <f>IF(ISNUMBER(SportClimbing[[#This Row],[Total number of tries]])=TRUE, "redpoint", SportClimbing[[#This Row],[Total number of tries]])</f>
        <v>onsight</v>
      </c>
      <c r="Q54">
        <f>_xlfn.XLOOKUP(SportClimbing[[#This Row],[Grade]],SCORE[GRADE],SCORE[SCORE],,)</f>
        <v>10</v>
      </c>
    </row>
    <row r="55" spans="1:17" x14ac:dyDescent="0.25">
      <c r="A55" s="21">
        <f>DATE(SportClimbing[[#This Row],[Year]],_xlfn.XLOOKUP(SportClimbing[[#This Row],[Month]],MONTHS[MONTHS 2],MONTHS[MONTHS 3]),SportClimbing[[#This Row],[Day]])</f>
        <v>43086</v>
      </c>
      <c r="B55" s="21" t="b">
        <f ca="1">AND(SportClimbing[[#This Row],[Date]] &gt;= TODAY()-365, SportClimbing[[#This Row],[Date]] &lt;= TODAY())</f>
        <v>0</v>
      </c>
      <c r="C55">
        <v>17</v>
      </c>
      <c r="D55" t="s">
        <v>161</v>
      </c>
      <c r="E55">
        <v>2017</v>
      </c>
      <c r="F55" t="s">
        <v>113</v>
      </c>
      <c r="G55" t="s">
        <v>29</v>
      </c>
      <c r="H55" t="s">
        <v>262</v>
      </c>
      <c r="I55" t="s">
        <v>105</v>
      </c>
      <c r="J55" t="s">
        <v>110</v>
      </c>
      <c r="K55">
        <v>30</v>
      </c>
      <c r="L55" t="str">
        <f>IF(SportClimbing[[#This Row],[Height (m)]]&lt;11, "0-10", IF(SportClimbing[[#This Row],[Height (m)]]&lt;16, "11-15", IF(SportClimbing[[#This Row],[Height (m)]]&lt;21, "16-20", IF(SportClimbing[[#This Row],[Height (m)]]&lt;26, "21-25", IF(SportClimbing[[#This Row],[Height (m)]]&lt;31, "26-30", IF(SportClimbing[[#This Row],[Height (m)]]&lt;36, "31-35", "35+"))))))</f>
        <v>26-30</v>
      </c>
      <c r="M55" t="s">
        <v>111</v>
      </c>
      <c r="N55">
        <v>2</v>
      </c>
      <c r="O55">
        <f>IF(ISNUMBER(SportClimbing[[#This Row],[Total number of tries]])=TRUE, SportClimbing[[#This Row],[Total number of tries]], 1)</f>
        <v>2</v>
      </c>
      <c r="P55" t="str">
        <f>IF(ISNUMBER(SportClimbing[[#This Row],[Total number of tries]])=TRUE, "redpoint", SportClimbing[[#This Row],[Total number of tries]])</f>
        <v>redpoint</v>
      </c>
      <c r="Q55">
        <f>_xlfn.XLOOKUP(SportClimbing[[#This Row],[Grade]],SCORE[GRADE],SCORE[SCORE],,)</f>
        <v>25</v>
      </c>
    </row>
    <row r="56" spans="1:17" x14ac:dyDescent="0.25">
      <c r="A56" s="21">
        <f>DATE(SportClimbing[[#This Row],[Year]],_xlfn.XLOOKUP(SportClimbing[[#This Row],[Month]],MONTHS[MONTHS 2],MONTHS[MONTHS 3]),SportClimbing[[#This Row],[Day]])</f>
        <v>43099</v>
      </c>
      <c r="B56" s="21" t="b">
        <f ca="1">AND(SportClimbing[[#This Row],[Date]] &gt;= TODAY()-365, SportClimbing[[#This Row],[Date]] &lt;= TODAY())</f>
        <v>0</v>
      </c>
      <c r="C56">
        <v>30</v>
      </c>
      <c r="D56" t="s">
        <v>161</v>
      </c>
      <c r="E56">
        <v>2017</v>
      </c>
      <c r="F56" t="s">
        <v>116</v>
      </c>
      <c r="G56" t="s">
        <v>32</v>
      </c>
      <c r="H56" t="s">
        <v>262</v>
      </c>
      <c r="I56" t="s">
        <v>43</v>
      </c>
      <c r="J56" t="s">
        <v>115</v>
      </c>
      <c r="K56">
        <v>38</v>
      </c>
      <c r="L56" t="str">
        <f>IF(SportClimbing[[#This Row],[Height (m)]]&lt;11, "0-10", IF(SportClimbing[[#This Row],[Height (m)]]&lt;16, "11-15", IF(SportClimbing[[#This Row],[Height (m)]]&lt;21, "16-20", IF(SportClimbing[[#This Row],[Height (m)]]&lt;26, "21-25", IF(SportClimbing[[#This Row],[Height (m)]]&lt;31, "26-30", IF(SportClimbing[[#This Row],[Height (m)]]&lt;36, "31-35", "35+"))))))</f>
        <v>35+</v>
      </c>
      <c r="M56" t="s">
        <v>131</v>
      </c>
      <c r="N56" t="s">
        <v>130</v>
      </c>
      <c r="O56">
        <f>IF(ISNUMBER(SportClimbing[[#This Row],[Total number of tries]])=TRUE, SportClimbing[[#This Row],[Total number of tries]], 1)</f>
        <v>1</v>
      </c>
      <c r="P56" t="str">
        <f>IF(ISNUMBER(SportClimbing[[#This Row],[Total number of tries]])=TRUE, "redpoint", SportClimbing[[#This Row],[Total number of tries]])</f>
        <v>onsight</v>
      </c>
      <c r="Q56">
        <f>_xlfn.XLOOKUP(SportClimbing[[#This Row],[Grade]],SCORE[GRADE],SCORE[SCORE],,)</f>
        <v>40</v>
      </c>
    </row>
    <row r="57" spans="1:17" x14ac:dyDescent="0.25">
      <c r="A57" s="21">
        <f>DATE(SportClimbing[[#This Row],[Year]],_xlfn.XLOOKUP(SportClimbing[[#This Row],[Month]],MONTHS[MONTHS 2],MONTHS[MONTHS 3]),SportClimbing[[#This Row],[Day]])</f>
        <v>43100</v>
      </c>
      <c r="B57" s="21" t="b">
        <f ca="1">AND(SportClimbing[[#This Row],[Date]] &gt;= TODAY()-365, SportClimbing[[#This Row],[Date]] &lt;= TODAY())</f>
        <v>0</v>
      </c>
      <c r="C57">
        <v>31</v>
      </c>
      <c r="D57" t="s">
        <v>161</v>
      </c>
      <c r="E57">
        <v>2017</v>
      </c>
      <c r="F57" t="s">
        <v>198</v>
      </c>
      <c r="G57" t="s">
        <v>3</v>
      </c>
      <c r="H57" t="s">
        <v>262</v>
      </c>
      <c r="I57" t="s">
        <v>105</v>
      </c>
      <c r="J57" t="s">
        <v>114</v>
      </c>
      <c r="K57">
        <v>20</v>
      </c>
      <c r="L57" t="str">
        <f>IF(SportClimbing[[#This Row],[Height (m)]]&lt;11, "0-10", IF(SportClimbing[[#This Row],[Height (m)]]&lt;16, "11-15", IF(SportClimbing[[#This Row],[Height (m)]]&lt;21, "16-20", IF(SportClimbing[[#This Row],[Height (m)]]&lt;26, "21-25", IF(SportClimbing[[#This Row],[Height (m)]]&lt;31, "26-30", IF(SportClimbing[[#This Row],[Height (m)]]&lt;36, "31-35", "35+"))))))</f>
        <v>16-20</v>
      </c>
      <c r="M57" t="s">
        <v>131</v>
      </c>
      <c r="N57" t="s">
        <v>130</v>
      </c>
      <c r="O57">
        <f>IF(ISNUMBER(SportClimbing[[#This Row],[Total number of tries]])=TRUE, SportClimbing[[#This Row],[Total number of tries]], 1)</f>
        <v>1</v>
      </c>
      <c r="P57" t="str">
        <f>IF(ISNUMBER(SportClimbing[[#This Row],[Total number of tries]])=TRUE, "redpoint", SportClimbing[[#This Row],[Total number of tries]])</f>
        <v>onsight</v>
      </c>
      <c r="Q57">
        <f>_xlfn.XLOOKUP(SportClimbing[[#This Row],[Grade]],SCORE[GRADE],SCORE[SCORE],,)</f>
        <v>10</v>
      </c>
    </row>
    <row r="58" spans="1:17" x14ac:dyDescent="0.25">
      <c r="A58" s="21">
        <f>DATE(SportClimbing[[#This Row],[Year]],_xlfn.XLOOKUP(SportClimbing[[#This Row],[Month]],MONTHS[MONTHS 2],MONTHS[MONTHS 3]),SportClimbing[[#This Row],[Day]])</f>
        <v>43100</v>
      </c>
      <c r="B58" s="21" t="b">
        <f ca="1">AND(SportClimbing[[#This Row],[Date]] &gt;= TODAY()-365, SportClimbing[[#This Row],[Date]] &lt;= TODAY())</f>
        <v>0</v>
      </c>
      <c r="C58">
        <v>31</v>
      </c>
      <c r="D58" t="s">
        <v>161</v>
      </c>
      <c r="E58">
        <v>2017</v>
      </c>
      <c r="F58" t="s">
        <v>244</v>
      </c>
      <c r="G58" t="s">
        <v>21</v>
      </c>
      <c r="H58" t="s">
        <v>262</v>
      </c>
      <c r="I58" t="s">
        <v>105</v>
      </c>
      <c r="J58" t="s">
        <v>114</v>
      </c>
      <c r="K58">
        <v>25</v>
      </c>
      <c r="L58" t="str">
        <f>IF(SportClimbing[[#This Row],[Height (m)]]&lt;11, "0-10", IF(SportClimbing[[#This Row],[Height (m)]]&lt;16, "11-15", IF(SportClimbing[[#This Row],[Height (m)]]&lt;21, "16-20", IF(SportClimbing[[#This Row],[Height (m)]]&lt;26, "21-25", IF(SportClimbing[[#This Row],[Height (m)]]&lt;31, "26-30", IF(SportClimbing[[#This Row],[Height (m)]]&lt;36, "31-35", "35+"))))))</f>
        <v>21-25</v>
      </c>
      <c r="M58" t="s">
        <v>131</v>
      </c>
      <c r="N58">
        <v>2</v>
      </c>
      <c r="O58">
        <f>IF(ISNUMBER(SportClimbing[[#This Row],[Total number of tries]])=TRUE, SportClimbing[[#This Row],[Total number of tries]], 1)</f>
        <v>2</v>
      </c>
      <c r="P58" t="str">
        <f>IF(ISNUMBER(SportClimbing[[#This Row],[Total number of tries]])=TRUE, "redpoint", SportClimbing[[#This Row],[Total number of tries]])</f>
        <v>redpoint</v>
      </c>
      <c r="Q58">
        <f>_xlfn.XLOOKUP(SportClimbing[[#This Row],[Grade]],SCORE[GRADE],SCORE[SCORE],,)</f>
        <v>15</v>
      </c>
    </row>
    <row r="59" spans="1:17" x14ac:dyDescent="0.25">
      <c r="A59" s="21">
        <f>DATE(SportClimbing[[#This Row],[Year]],_xlfn.XLOOKUP(SportClimbing[[#This Row],[Month]],MONTHS[MONTHS 2],MONTHS[MONTHS 3]),SportClimbing[[#This Row],[Day]])</f>
        <v>43105</v>
      </c>
      <c r="B59" s="21" t="b">
        <f ca="1">AND(SportClimbing[[#This Row],[Date]] &gt;= TODAY()-365, SportClimbing[[#This Row],[Date]] &lt;= TODAY())</f>
        <v>0</v>
      </c>
      <c r="C59">
        <v>5</v>
      </c>
      <c r="D59" t="s">
        <v>151</v>
      </c>
      <c r="E59">
        <v>2018</v>
      </c>
      <c r="F59" t="s">
        <v>119</v>
      </c>
      <c r="G59" t="s">
        <v>29</v>
      </c>
      <c r="H59" t="s">
        <v>262</v>
      </c>
      <c r="I59" t="s">
        <v>25</v>
      </c>
      <c r="J59" t="s">
        <v>26</v>
      </c>
      <c r="K59">
        <v>20</v>
      </c>
      <c r="L59" t="str">
        <f>IF(SportClimbing[[#This Row],[Height (m)]]&lt;11, "0-10", IF(SportClimbing[[#This Row],[Height (m)]]&lt;16, "11-15", IF(SportClimbing[[#This Row],[Height (m)]]&lt;21, "16-20", IF(SportClimbing[[#This Row],[Height (m)]]&lt;26, "21-25", IF(SportClimbing[[#This Row],[Height (m)]]&lt;31, "26-30", IF(SportClimbing[[#This Row],[Height (m)]]&lt;36, "31-35", "35+"))))))</f>
        <v>16-20</v>
      </c>
      <c r="M59" t="s">
        <v>120</v>
      </c>
      <c r="N59">
        <v>2</v>
      </c>
      <c r="O59">
        <f>IF(ISNUMBER(SportClimbing[[#This Row],[Total number of tries]])=TRUE, SportClimbing[[#This Row],[Total number of tries]], 1)</f>
        <v>2</v>
      </c>
      <c r="P59" t="str">
        <f>IF(ISNUMBER(SportClimbing[[#This Row],[Total number of tries]])=TRUE, "redpoint", SportClimbing[[#This Row],[Total number of tries]])</f>
        <v>redpoint</v>
      </c>
      <c r="Q59">
        <f>_xlfn.XLOOKUP(SportClimbing[[#This Row],[Grade]],SCORE[GRADE],SCORE[SCORE],,)</f>
        <v>25</v>
      </c>
    </row>
    <row r="60" spans="1:17" x14ac:dyDescent="0.25">
      <c r="A60" s="21">
        <f>DATE(SportClimbing[[#This Row],[Year]],_xlfn.XLOOKUP(SportClimbing[[#This Row],[Month]],MONTHS[MONTHS 2],MONTHS[MONTHS 3]),SportClimbing[[#This Row],[Day]])</f>
        <v>43127</v>
      </c>
      <c r="B60" s="21" t="b">
        <f ca="1">AND(SportClimbing[[#This Row],[Date]] &gt;= TODAY()-365, SportClimbing[[#This Row],[Date]] &lt;= TODAY())</f>
        <v>0</v>
      </c>
      <c r="C60">
        <v>27</v>
      </c>
      <c r="D60" t="s">
        <v>151</v>
      </c>
      <c r="E60">
        <v>2018</v>
      </c>
      <c r="F60" t="s">
        <v>121</v>
      </c>
      <c r="G60" t="s">
        <v>32</v>
      </c>
      <c r="H60" t="s">
        <v>262</v>
      </c>
      <c r="I60" t="s">
        <v>22</v>
      </c>
      <c r="J60" t="s">
        <v>23</v>
      </c>
      <c r="K60">
        <v>25</v>
      </c>
      <c r="L60" t="str">
        <f>IF(SportClimbing[[#This Row],[Height (m)]]&lt;11, "0-10", IF(SportClimbing[[#This Row],[Height (m)]]&lt;16, "11-15", IF(SportClimbing[[#This Row],[Height (m)]]&lt;21, "16-20", IF(SportClimbing[[#This Row],[Height (m)]]&lt;26, "21-25", IF(SportClimbing[[#This Row],[Height (m)]]&lt;31, "26-30", IF(SportClimbing[[#This Row],[Height (m)]]&lt;36, "31-35", "35+"))))))</f>
        <v>21-25</v>
      </c>
      <c r="M60" t="s">
        <v>131</v>
      </c>
      <c r="N60">
        <v>10</v>
      </c>
      <c r="O60">
        <f>IF(ISNUMBER(SportClimbing[[#This Row],[Total number of tries]])=TRUE, SportClimbing[[#This Row],[Total number of tries]], 1)</f>
        <v>10</v>
      </c>
      <c r="P60" t="str">
        <f>IF(ISNUMBER(SportClimbing[[#This Row],[Total number of tries]])=TRUE, "redpoint", SportClimbing[[#This Row],[Total number of tries]])</f>
        <v>redpoint</v>
      </c>
      <c r="Q60">
        <f>_xlfn.XLOOKUP(SportClimbing[[#This Row],[Grade]],SCORE[GRADE],SCORE[SCORE],,)</f>
        <v>40</v>
      </c>
    </row>
    <row r="61" spans="1:17" x14ac:dyDescent="0.25">
      <c r="A61" s="21">
        <f>DATE(SportClimbing[[#This Row],[Year]],_xlfn.XLOOKUP(SportClimbing[[#This Row],[Month]],MONTHS[MONTHS 2],MONTHS[MONTHS 3]),SportClimbing[[#This Row],[Day]])</f>
        <v>43134</v>
      </c>
      <c r="B61" s="21" t="b">
        <f ca="1">AND(SportClimbing[[#This Row],[Date]] &gt;= TODAY()-365, SportClimbing[[#This Row],[Date]] &lt;= TODAY())</f>
        <v>0</v>
      </c>
      <c r="C61">
        <v>3</v>
      </c>
      <c r="D61" t="s">
        <v>152</v>
      </c>
      <c r="E61">
        <v>2018</v>
      </c>
      <c r="F61" t="s">
        <v>125</v>
      </c>
      <c r="G61" t="s">
        <v>29</v>
      </c>
      <c r="H61" t="s">
        <v>262</v>
      </c>
      <c r="I61" t="s">
        <v>123</v>
      </c>
      <c r="J61" t="s">
        <v>124</v>
      </c>
      <c r="K61">
        <v>12</v>
      </c>
      <c r="L61" t="str">
        <f>IF(SportClimbing[[#This Row],[Height (m)]]&lt;11, "0-10", IF(SportClimbing[[#This Row],[Height (m)]]&lt;16, "11-15", IF(SportClimbing[[#This Row],[Height (m)]]&lt;21, "16-20", IF(SportClimbing[[#This Row],[Height (m)]]&lt;26, "21-25", IF(SportClimbing[[#This Row],[Height (m)]]&lt;31, "26-30", IF(SportClimbing[[#This Row],[Height (m)]]&lt;36, "31-35", "35+"))))))</f>
        <v>11-15</v>
      </c>
      <c r="M61" t="s">
        <v>131</v>
      </c>
      <c r="N61">
        <v>3</v>
      </c>
      <c r="O61">
        <f>IF(ISNUMBER(SportClimbing[[#This Row],[Total number of tries]])=TRUE, SportClimbing[[#This Row],[Total number of tries]], 1)</f>
        <v>3</v>
      </c>
      <c r="P61" t="str">
        <f>IF(ISNUMBER(SportClimbing[[#This Row],[Total number of tries]])=TRUE, "redpoint", SportClimbing[[#This Row],[Total number of tries]])</f>
        <v>redpoint</v>
      </c>
      <c r="Q61">
        <f>_xlfn.XLOOKUP(SportClimbing[[#This Row],[Grade]],SCORE[GRADE],SCORE[SCORE],,)</f>
        <v>25</v>
      </c>
    </row>
    <row r="62" spans="1:17" x14ac:dyDescent="0.25">
      <c r="A62" s="21">
        <f>DATE(SportClimbing[[#This Row],[Year]],_xlfn.XLOOKUP(SportClimbing[[#This Row],[Month]],MONTHS[MONTHS 2],MONTHS[MONTHS 3]),SportClimbing[[#This Row],[Day]])</f>
        <v>43153</v>
      </c>
      <c r="B62" s="21" t="b">
        <f ca="1">AND(SportClimbing[[#This Row],[Date]] &gt;= TODAY()-365, SportClimbing[[#This Row],[Date]] &lt;= TODAY())</f>
        <v>0</v>
      </c>
      <c r="C62">
        <v>22</v>
      </c>
      <c r="D62" t="s">
        <v>152</v>
      </c>
      <c r="E62">
        <v>2018</v>
      </c>
      <c r="F62" t="s">
        <v>134</v>
      </c>
      <c r="G62" t="s">
        <v>29</v>
      </c>
      <c r="H62" t="s">
        <v>262</v>
      </c>
      <c r="I62" t="s">
        <v>126</v>
      </c>
      <c r="J62" t="s">
        <v>127</v>
      </c>
      <c r="K62">
        <v>32</v>
      </c>
      <c r="L62" t="str">
        <f>IF(SportClimbing[[#This Row],[Height (m)]]&lt;11, "0-10", IF(SportClimbing[[#This Row],[Height (m)]]&lt;16, "11-15", IF(SportClimbing[[#This Row],[Height (m)]]&lt;21, "16-20", IF(SportClimbing[[#This Row],[Height (m)]]&lt;26, "21-25", IF(SportClimbing[[#This Row],[Height (m)]]&lt;31, "26-30", IF(SportClimbing[[#This Row],[Height (m)]]&lt;36, "31-35", "35+"))))))</f>
        <v>31-35</v>
      </c>
      <c r="M62" t="s">
        <v>120</v>
      </c>
      <c r="N62" t="s">
        <v>11</v>
      </c>
      <c r="O62">
        <f>IF(ISNUMBER(SportClimbing[[#This Row],[Total number of tries]])=TRUE, SportClimbing[[#This Row],[Total number of tries]], 1)</f>
        <v>1</v>
      </c>
      <c r="P62" t="str">
        <f>IF(ISNUMBER(SportClimbing[[#This Row],[Total number of tries]])=TRUE, "redpoint", SportClimbing[[#This Row],[Total number of tries]])</f>
        <v>flash</v>
      </c>
      <c r="Q62">
        <f>_xlfn.XLOOKUP(SportClimbing[[#This Row],[Grade]],SCORE[GRADE],SCORE[SCORE],,)</f>
        <v>25</v>
      </c>
    </row>
    <row r="63" spans="1:17" x14ac:dyDescent="0.25">
      <c r="A63" s="21">
        <f>DATE(SportClimbing[[#This Row],[Year]],_xlfn.XLOOKUP(SportClimbing[[#This Row],[Month]],MONTHS[MONTHS 2],MONTHS[MONTHS 3]),SportClimbing[[#This Row],[Day]])</f>
        <v>43154</v>
      </c>
      <c r="B63" s="21" t="b">
        <f ca="1">AND(SportClimbing[[#This Row],[Date]] &gt;= TODAY()-365, SportClimbing[[#This Row],[Date]] &lt;= TODAY())</f>
        <v>0</v>
      </c>
      <c r="C63">
        <v>23</v>
      </c>
      <c r="D63" t="s">
        <v>152</v>
      </c>
      <c r="E63">
        <v>2018</v>
      </c>
      <c r="F63" t="s">
        <v>135</v>
      </c>
      <c r="G63" t="s">
        <v>29</v>
      </c>
      <c r="H63" t="s">
        <v>262</v>
      </c>
      <c r="I63" t="s">
        <v>126</v>
      </c>
      <c r="J63" t="s">
        <v>128</v>
      </c>
      <c r="K63">
        <v>32</v>
      </c>
      <c r="L63" t="str">
        <f>IF(SportClimbing[[#This Row],[Height (m)]]&lt;11, "0-10", IF(SportClimbing[[#This Row],[Height (m)]]&lt;16, "11-15", IF(SportClimbing[[#This Row],[Height (m)]]&lt;21, "16-20", IF(SportClimbing[[#This Row],[Height (m)]]&lt;26, "21-25", IF(SportClimbing[[#This Row],[Height (m)]]&lt;31, "26-30", IF(SportClimbing[[#This Row],[Height (m)]]&lt;36, "31-35", "35+"))))))</f>
        <v>31-35</v>
      </c>
      <c r="M63" t="s">
        <v>120</v>
      </c>
      <c r="N63">
        <v>2</v>
      </c>
      <c r="O63">
        <f>IF(ISNUMBER(SportClimbing[[#This Row],[Total number of tries]])=TRUE, SportClimbing[[#This Row],[Total number of tries]], 1)</f>
        <v>2</v>
      </c>
      <c r="P63" t="str">
        <f>IF(ISNUMBER(SportClimbing[[#This Row],[Total number of tries]])=TRUE, "redpoint", SportClimbing[[#This Row],[Total number of tries]])</f>
        <v>redpoint</v>
      </c>
      <c r="Q63">
        <f>_xlfn.XLOOKUP(SportClimbing[[#This Row],[Grade]],SCORE[GRADE],SCORE[SCORE],,)</f>
        <v>25</v>
      </c>
    </row>
    <row r="64" spans="1:17" x14ac:dyDescent="0.25">
      <c r="A64" s="21">
        <f>DATE(SportClimbing[[#This Row],[Year]],_xlfn.XLOOKUP(SportClimbing[[#This Row],[Month]],MONTHS[MONTHS 2],MONTHS[MONTHS 3]),SportClimbing[[#This Row],[Day]])</f>
        <v>43155</v>
      </c>
      <c r="B64" s="21" t="b">
        <f ca="1">AND(SportClimbing[[#This Row],[Date]] &gt;= TODAY()-365, SportClimbing[[#This Row],[Date]] &lt;= TODAY())</f>
        <v>0</v>
      </c>
      <c r="C64">
        <v>24</v>
      </c>
      <c r="D64" t="s">
        <v>152</v>
      </c>
      <c r="E64">
        <v>2018</v>
      </c>
      <c r="F64" t="s">
        <v>244</v>
      </c>
      <c r="G64" t="s">
        <v>3</v>
      </c>
      <c r="H64" t="s">
        <v>262</v>
      </c>
      <c r="I64" t="s">
        <v>126</v>
      </c>
      <c r="J64" t="s">
        <v>129</v>
      </c>
      <c r="K64">
        <v>32</v>
      </c>
      <c r="L64" t="str">
        <f>IF(SportClimbing[[#This Row],[Height (m)]]&lt;11, "0-10", IF(SportClimbing[[#This Row],[Height (m)]]&lt;16, "11-15", IF(SportClimbing[[#This Row],[Height (m)]]&lt;21, "16-20", IF(SportClimbing[[#This Row],[Height (m)]]&lt;26, "21-25", IF(SportClimbing[[#This Row],[Height (m)]]&lt;31, "26-30", IF(SportClimbing[[#This Row],[Height (m)]]&lt;36, "31-35", "35+"))))))</f>
        <v>31-35</v>
      </c>
      <c r="M64" t="s">
        <v>120</v>
      </c>
      <c r="N64" t="s">
        <v>130</v>
      </c>
      <c r="O64">
        <f>IF(ISNUMBER(SportClimbing[[#This Row],[Total number of tries]])=TRUE, SportClimbing[[#This Row],[Total number of tries]], 1)</f>
        <v>1</v>
      </c>
      <c r="P64" t="str">
        <f>IF(ISNUMBER(SportClimbing[[#This Row],[Total number of tries]])=TRUE, "redpoint", SportClimbing[[#This Row],[Total number of tries]])</f>
        <v>onsight</v>
      </c>
      <c r="Q64">
        <f>_xlfn.XLOOKUP(SportClimbing[[#This Row],[Grade]],SCORE[GRADE],SCORE[SCORE],,)</f>
        <v>10</v>
      </c>
    </row>
    <row r="65" spans="1:17" x14ac:dyDescent="0.25">
      <c r="A65" s="21">
        <f>DATE(SportClimbing[[#This Row],[Year]],_xlfn.XLOOKUP(SportClimbing[[#This Row],[Month]],MONTHS[MONTHS 2],MONTHS[MONTHS 3]),SportClimbing[[#This Row],[Day]])</f>
        <v>43177</v>
      </c>
      <c r="B65" s="21" t="b">
        <f ca="1">AND(SportClimbing[[#This Row],[Date]] &gt;= TODAY()-365, SportClimbing[[#This Row],[Date]] &lt;= TODAY())</f>
        <v>0</v>
      </c>
      <c r="C65">
        <v>18</v>
      </c>
      <c r="D65" t="s">
        <v>367</v>
      </c>
      <c r="E65">
        <v>2018</v>
      </c>
      <c r="F65" t="s">
        <v>174</v>
      </c>
      <c r="G65" t="s">
        <v>3</v>
      </c>
      <c r="H65" t="s">
        <v>262</v>
      </c>
      <c r="I65" t="s">
        <v>68</v>
      </c>
      <c r="J65" t="s">
        <v>173</v>
      </c>
      <c r="K65">
        <v>18</v>
      </c>
      <c r="L65" t="str">
        <f>IF(SportClimbing[[#This Row],[Height (m)]]&lt;11, "0-10", IF(SportClimbing[[#This Row],[Height (m)]]&lt;16, "11-15", IF(SportClimbing[[#This Row],[Height (m)]]&lt;21, "16-20", IF(SportClimbing[[#This Row],[Height (m)]]&lt;26, "21-25", IF(SportClimbing[[#This Row],[Height (m)]]&lt;31, "26-30", IF(SportClimbing[[#This Row],[Height (m)]]&lt;36, "31-35", "35+"))))))</f>
        <v>16-20</v>
      </c>
      <c r="M65" t="s">
        <v>164</v>
      </c>
      <c r="N65">
        <v>2</v>
      </c>
      <c r="O65">
        <f>IF(ISNUMBER(SportClimbing[[#This Row],[Total number of tries]])=TRUE, SportClimbing[[#This Row],[Total number of tries]], 1)</f>
        <v>2</v>
      </c>
      <c r="P65" t="str">
        <f>IF(ISNUMBER(SportClimbing[[#This Row],[Total number of tries]])=TRUE, "redpoint", SportClimbing[[#This Row],[Total number of tries]])</f>
        <v>redpoint</v>
      </c>
      <c r="Q65">
        <f>_xlfn.XLOOKUP(SportClimbing[[#This Row],[Grade]],SCORE[GRADE],SCORE[SCORE],,)</f>
        <v>10</v>
      </c>
    </row>
    <row r="66" spans="1:17" x14ac:dyDescent="0.25">
      <c r="A66" s="21">
        <f>DATE(SportClimbing[[#This Row],[Year]],_xlfn.XLOOKUP(SportClimbing[[#This Row],[Month]],MONTHS[MONTHS 2],MONTHS[MONTHS 3]),SportClimbing[[#This Row],[Day]])</f>
        <v>43189</v>
      </c>
      <c r="B66" s="21" t="b">
        <f ca="1">AND(SportClimbing[[#This Row],[Date]] &gt;= TODAY()-365, SportClimbing[[#This Row],[Date]] &lt;= TODAY())</f>
        <v>0</v>
      </c>
      <c r="C66">
        <v>30</v>
      </c>
      <c r="D66" t="s">
        <v>367</v>
      </c>
      <c r="E66">
        <v>2018</v>
      </c>
      <c r="F66" t="s">
        <v>165</v>
      </c>
      <c r="G66" t="s">
        <v>69</v>
      </c>
      <c r="H66" t="s">
        <v>262</v>
      </c>
      <c r="I66" t="s">
        <v>126</v>
      </c>
      <c r="J66" t="s">
        <v>127</v>
      </c>
      <c r="K66">
        <v>20</v>
      </c>
      <c r="L66" t="str">
        <f>IF(SportClimbing[[#This Row],[Height (m)]]&lt;11, "0-10", IF(SportClimbing[[#This Row],[Height (m)]]&lt;16, "11-15", IF(SportClimbing[[#This Row],[Height (m)]]&lt;21, "16-20", IF(SportClimbing[[#This Row],[Height (m)]]&lt;26, "21-25", IF(SportClimbing[[#This Row],[Height (m)]]&lt;31, "26-30", IF(SportClimbing[[#This Row],[Height (m)]]&lt;36, "31-35", "35+"))))))</f>
        <v>16-20</v>
      </c>
      <c r="M66" t="s">
        <v>132</v>
      </c>
      <c r="N66">
        <v>5</v>
      </c>
      <c r="O66">
        <f>IF(ISNUMBER(SportClimbing[[#This Row],[Total number of tries]])=TRUE, SportClimbing[[#This Row],[Total number of tries]], 1)</f>
        <v>5</v>
      </c>
      <c r="P66" t="str">
        <f>IF(ISNUMBER(SportClimbing[[#This Row],[Total number of tries]])=TRUE, "redpoint", SportClimbing[[#This Row],[Total number of tries]])</f>
        <v>redpoint</v>
      </c>
      <c r="Q66">
        <f>_xlfn.XLOOKUP(SportClimbing[[#This Row],[Grade]],SCORE[GRADE],SCORE[SCORE],,)</f>
        <v>60</v>
      </c>
    </row>
    <row r="67" spans="1:17" x14ac:dyDescent="0.25">
      <c r="A67" s="21">
        <f>DATE(SportClimbing[[#This Row],[Year]],_xlfn.XLOOKUP(SportClimbing[[#This Row],[Month]],MONTHS[MONTHS 2],MONTHS[MONTHS 3]),SportClimbing[[#This Row],[Day]])</f>
        <v>43190</v>
      </c>
      <c r="B67" s="21" t="b">
        <f ca="1">AND(SportClimbing[[#This Row],[Date]] &gt;= TODAY()-365, SportClimbing[[#This Row],[Date]] &lt;= TODAY())</f>
        <v>0</v>
      </c>
      <c r="C67">
        <v>31</v>
      </c>
      <c r="D67" t="s">
        <v>367</v>
      </c>
      <c r="E67">
        <v>2018</v>
      </c>
      <c r="F67" t="s">
        <v>167</v>
      </c>
      <c r="G67" t="s">
        <v>21</v>
      </c>
      <c r="H67" t="s">
        <v>262</v>
      </c>
      <c r="I67" t="s">
        <v>126</v>
      </c>
      <c r="J67" t="s">
        <v>264</v>
      </c>
      <c r="K67">
        <v>18</v>
      </c>
      <c r="L67" t="str">
        <f>IF(SportClimbing[[#This Row],[Height (m)]]&lt;11, "0-10", IF(SportClimbing[[#This Row],[Height (m)]]&lt;16, "11-15", IF(SportClimbing[[#This Row],[Height (m)]]&lt;21, "16-20", IF(SportClimbing[[#This Row],[Height (m)]]&lt;26, "21-25", IF(SportClimbing[[#This Row],[Height (m)]]&lt;31, "26-30", IF(SportClimbing[[#This Row],[Height (m)]]&lt;36, "31-35", "35+"))))))</f>
        <v>16-20</v>
      </c>
      <c r="M67" t="s">
        <v>132</v>
      </c>
      <c r="N67">
        <v>2</v>
      </c>
      <c r="O67">
        <f>IF(ISNUMBER(SportClimbing[[#This Row],[Total number of tries]])=TRUE, SportClimbing[[#This Row],[Total number of tries]], 1)</f>
        <v>2</v>
      </c>
      <c r="P67" t="str">
        <f>IF(ISNUMBER(SportClimbing[[#This Row],[Total number of tries]])=TRUE, "redpoint", SportClimbing[[#This Row],[Total number of tries]])</f>
        <v>redpoint</v>
      </c>
      <c r="Q67">
        <f>_xlfn.XLOOKUP(SportClimbing[[#This Row],[Grade]],SCORE[GRADE],SCORE[SCORE],,)</f>
        <v>15</v>
      </c>
    </row>
    <row r="68" spans="1:17" x14ac:dyDescent="0.25">
      <c r="A68" s="21">
        <f>DATE(SportClimbing[[#This Row],[Year]],_xlfn.XLOOKUP(SportClimbing[[#This Row],[Month]],MONTHS[MONTHS 2],MONTHS[MONTHS 3]),SportClimbing[[#This Row],[Day]])</f>
        <v>43191</v>
      </c>
      <c r="B68" s="21" t="b">
        <f ca="1">AND(SportClimbing[[#This Row],[Date]] &gt;= TODAY()-365, SportClimbing[[#This Row],[Date]] &lt;= TODAY())</f>
        <v>0</v>
      </c>
      <c r="C68">
        <v>1</v>
      </c>
      <c r="D68" t="s">
        <v>368</v>
      </c>
      <c r="E68">
        <v>2018</v>
      </c>
      <c r="F68" t="s">
        <v>244</v>
      </c>
      <c r="G68" t="s">
        <v>32</v>
      </c>
      <c r="H68" t="s">
        <v>262</v>
      </c>
      <c r="I68" t="s">
        <v>126</v>
      </c>
      <c r="J68" t="s">
        <v>166</v>
      </c>
      <c r="K68">
        <v>30</v>
      </c>
      <c r="L68" t="str">
        <f>IF(SportClimbing[[#This Row],[Height (m)]]&lt;11, "0-10", IF(SportClimbing[[#This Row],[Height (m)]]&lt;16, "11-15", IF(SportClimbing[[#This Row],[Height (m)]]&lt;21, "16-20", IF(SportClimbing[[#This Row],[Height (m)]]&lt;26, "21-25", IF(SportClimbing[[#This Row],[Height (m)]]&lt;31, "26-30", IF(SportClimbing[[#This Row],[Height (m)]]&lt;36, "31-35", "35+"))))))</f>
        <v>26-30</v>
      </c>
      <c r="M68" t="s">
        <v>164</v>
      </c>
      <c r="N68">
        <v>2</v>
      </c>
      <c r="O68">
        <f>IF(ISNUMBER(SportClimbing[[#This Row],[Total number of tries]])=TRUE, SportClimbing[[#This Row],[Total number of tries]], 1)</f>
        <v>2</v>
      </c>
      <c r="P68" t="str">
        <f>IF(ISNUMBER(SportClimbing[[#This Row],[Total number of tries]])=TRUE, "redpoint", SportClimbing[[#This Row],[Total number of tries]])</f>
        <v>redpoint</v>
      </c>
      <c r="Q68">
        <f>_xlfn.XLOOKUP(SportClimbing[[#This Row],[Grade]],SCORE[GRADE],SCORE[SCORE],,)</f>
        <v>40</v>
      </c>
    </row>
    <row r="69" spans="1:17" x14ac:dyDescent="0.25">
      <c r="A69" s="21">
        <f>DATE(SportClimbing[[#This Row],[Year]],_xlfn.XLOOKUP(SportClimbing[[#This Row],[Month]],MONTHS[MONTHS 2],MONTHS[MONTHS 3]),SportClimbing[[#This Row],[Day]])</f>
        <v>43192</v>
      </c>
      <c r="B69" s="21" t="b">
        <f ca="1">AND(SportClimbing[[#This Row],[Date]] &gt;= TODAY()-365, SportClimbing[[#This Row],[Date]] &lt;= TODAY())</f>
        <v>0</v>
      </c>
      <c r="C69">
        <v>2</v>
      </c>
      <c r="D69" t="s">
        <v>368</v>
      </c>
      <c r="E69">
        <v>2018</v>
      </c>
      <c r="F69" t="s">
        <v>244</v>
      </c>
      <c r="G69" t="s">
        <v>29</v>
      </c>
      <c r="H69" t="s">
        <v>262</v>
      </c>
      <c r="I69" t="s">
        <v>126</v>
      </c>
      <c r="J69" t="s">
        <v>168</v>
      </c>
      <c r="K69">
        <v>30</v>
      </c>
      <c r="L69" t="str">
        <f>IF(SportClimbing[[#This Row],[Height (m)]]&lt;11, "0-10", IF(SportClimbing[[#This Row],[Height (m)]]&lt;16, "11-15", IF(SportClimbing[[#This Row],[Height (m)]]&lt;21, "16-20", IF(SportClimbing[[#This Row],[Height (m)]]&lt;26, "21-25", IF(SportClimbing[[#This Row],[Height (m)]]&lt;31, "26-30", IF(SportClimbing[[#This Row],[Height (m)]]&lt;36, "31-35", "35+"))))))</f>
        <v>26-30</v>
      </c>
      <c r="M69" t="s">
        <v>132</v>
      </c>
      <c r="N69">
        <v>4</v>
      </c>
      <c r="O69">
        <f>IF(ISNUMBER(SportClimbing[[#This Row],[Total number of tries]])=TRUE, SportClimbing[[#This Row],[Total number of tries]], 1)</f>
        <v>4</v>
      </c>
      <c r="P69" t="str">
        <f>IF(ISNUMBER(SportClimbing[[#This Row],[Total number of tries]])=TRUE, "redpoint", SportClimbing[[#This Row],[Total number of tries]])</f>
        <v>redpoint</v>
      </c>
      <c r="Q69">
        <f>_xlfn.XLOOKUP(SportClimbing[[#This Row],[Grade]],SCORE[GRADE],SCORE[SCORE],,)</f>
        <v>25</v>
      </c>
    </row>
    <row r="70" spans="1:17" x14ac:dyDescent="0.25">
      <c r="A70" s="21">
        <f>DATE(SportClimbing[[#This Row],[Year]],_xlfn.XLOOKUP(SportClimbing[[#This Row],[Month]],MONTHS[MONTHS 2],MONTHS[MONTHS 3]),SportClimbing[[#This Row],[Day]])</f>
        <v>43208</v>
      </c>
      <c r="B70" s="21" t="b">
        <f ca="1">AND(SportClimbing[[#This Row],[Date]] &gt;= TODAY()-365, SportClimbing[[#This Row],[Date]] &lt;= TODAY())</f>
        <v>0</v>
      </c>
      <c r="C70">
        <v>18</v>
      </c>
      <c r="D70" t="s">
        <v>368</v>
      </c>
      <c r="E70">
        <v>2018</v>
      </c>
      <c r="F70" t="s">
        <v>258</v>
      </c>
      <c r="G70" t="s">
        <v>29</v>
      </c>
      <c r="H70" t="s">
        <v>262</v>
      </c>
      <c r="I70" t="s">
        <v>105</v>
      </c>
      <c r="J70" t="s">
        <v>283</v>
      </c>
      <c r="K70">
        <v>25</v>
      </c>
      <c r="L70" t="str">
        <f>IF(SportClimbing[[#This Row],[Height (m)]]&lt;11, "0-10", IF(SportClimbing[[#This Row],[Height (m)]]&lt;16, "11-15", IF(SportClimbing[[#This Row],[Height (m)]]&lt;21, "16-20", IF(SportClimbing[[#This Row],[Height (m)]]&lt;26, "21-25", IF(SportClimbing[[#This Row],[Height (m)]]&lt;31, "26-30", IF(SportClimbing[[#This Row],[Height (m)]]&lt;36, "31-35", "35+"))))))</f>
        <v>21-25</v>
      </c>
      <c r="M70" t="s">
        <v>169</v>
      </c>
      <c r="N70">
        <v>2</v>
      </c>
      <c r="O70">
        <f>IF(ISNUMBER(SportClimbing[[#This Row],[Total number of tries]])=TRUE, SportClimbing[[#This Row],[Total number of tries]], 1)</f>
        <v>2</v>
      </c>
      <c r="P70" t="str">
        <f>IF(ISNUMBER(SportClimbing[[#This Row],[Total number of tries]])=TRUE, "redpoint", SportClimbing[[#This Row],[Total number of tries]])</f>
        <v>redpoint</v>
      </c>
      <c r="Q70">
        <f>_xlfn.XLOOKUP(SportClimbing[[#This Row],[Grade]],SCORE[GRADE],SCORE[SCORE],,)</f>
        <v>25</v>
      </c>
    </row>
    <row r="71" spans="1:17" x14ac:dyDescent="0.25">
      <c r="A71" s="21">
        <f>DATE(SportClimbing[[#This Row],[Year]],_xlfn.XLOOKUP(SportClimbing[[#This Row],[Month]],MONTHS[MONTHS 2],MONTHS[MONTHS 3]),SportClimbing[[#This Row],[Day]])</f>
        <v>43210</v>
      </c>
      <c r="B71" s="21" t="b">
        <f ca="1">AND(SportClimbing[[#This Row],[Date]] &gt;= TODAY()-365, SportClimbing[[#This Row],[Date]] &lt;= TODAY())</f>
        <v>0</v>
      </c>
      <c r="C71">
        <v>20</v>
      </c>
      <c r="D71" t="s">
        <v>368</v>
      </c>
      <c r="E71">
        <v>2018</v>
      </c>
      <c r="F71" t="s">
        <v>170</v>
      </c>
      <c r="G71" t="s">
        <v>3</v>
      </c>
      <c r="H71" t="s">
        <v>262</v>
      </c>
      <c r="I71" t="s">
        <v>43</v>
      </c>
      <c r="J71" t="s">
        <v>61</v>
      </c>
      <c r="K71">
        <v>35</v>
      </c>
      <c r="L71" t="str">
        <f>IF(SportClimbing[[#This Row],[Height (m)]]&lt;11, "0-10", IF(SportClimbing[[#This Row],[Height (m)]]&lt;16, "11-15", IF(SportClimbing[[#This Row],[Height (m)]]&lt;21, "16-20", IF(SportClimbing[[#This Row],[Height (m)]]&lt;26, "21-25", IF(SportClimbing[[#This Row],[Height (m)]]&lt;31, "26-30", IF(SportClimbing[[#This Row],[Height (m)]]&lt;36, "31-35", "35+"))))))</f>
        <v>31-35</v>
      </c>
      <c r="M71" t="s">
        <v>171</v>
      </c>
      <c r="N71" t="s">
        <v>130</v>
      </c>
      <c r="O71">
        <f>IF(ISNUMBER(SportClimbing[[#This Row],[Total number of tries]])=TRUE, SportClimbing[[#This Row],[Total number of tries]], 1)</f>
        <v>1</v>
      </c>
      <c r="P71" t="str">
        <f>IF(ISNUMBER(SportClimbing[[#This Row],[Total number of tries]])=TRUE, "redpoint", SportClimbing[[#This Row],[Total number of tries]])</f>
        <v>onsight</v>
      </c>
      <c r="Q71">
        <f>_xlfn.XLOOKUP(SportClimbing[[#This Row],[Grade]],SCORE[GRADE],SCORE[SCORE],,)</f>
        <v>10</v>
      </c>
    </row>
    <row r="72" spans="1:17" x14ac:dyDescent="0.25">
      <c r="A72" s="21">
        <f>DATE(SportClimbing[[#This Row],[Year]],_xlfn.XLOOKUP(SportClimbing[[#This Row],[Month]],MONTHS[MONTHS 2],MONTHS[MONTHS 3]),SportClimbing[[#This Row],[Day]])</f>
        <v>43212</v>
      </c>
      <c r="B72" s="21" t="b">
        <f ca="1">AND(SportClimbing[[#This Row],[Date]] &gt;= TODAY()-365, SportClimbing[[#This Row],[Date]] &lt;= TODAY())</f>
        <v>0</v>
      </c>
      <c r="C72">
        <v>22</v>
      </c>
      <c r="D72" t="s">
        <v>368</v>
      </c>
      <c r="E72">
        <v>2018</v>
      </c>
      <c r="F72" t="s">
        <v>172</v>
      </c>
      <c r="G72" t="s">
        <v>21</v>
      </c>
      <c r="H72" t="s">
        <v>262</v>
      </c>
      <c r="I72" t="s">
        <v>43</v>
      </c>
      <c r="J72" t="s">
        <v>201</v>
      </c>
      <c r="K72">
        <v>35</v>
      </c>
      <c r="L72" t="str">
        <f>IF(SportClimbing[[#This Row],[Height (m)]]&lt;11, "0-10", IF(SportClimbing[[#This Row],[Height (m)]]&lt;16, "11-15", IF(SportClimbing[[#This Row],[Height (m)]]&lt;21, "16-20", IF(SportClimbing[[#This Row],[Height (m)]]&lt;26, "21-25", IF(SportClimbing[[#This Row],[Height (m)]]&lt;31, "26-30", IF(SportClimbing[[#This Row],[Height (m)]]&lt;36, "31-35", "35+"))))))</f>
        <v>31-35</v>
      </c>
      <c r="M72" t="s">
        <v>53</v>
      </c>
      <c r="N72" t="s">
        <v>130</v>
      </c>
      <c r="O72">
        <f>IF(ISNUMBER(SportClimbing[[#This Row],[Total number of tries]])=TRUE, SportClimbing[[#This Row],[Total number of tries]], 1)</f>
        <v>1</v>
      </c>
      <c r="P72" t="str">
        <f>IF(ISNUMBER(SportClimbing[[#This Row],[Total number of tries]])=TRUE, "redpoint", SportClimbing[[#This Row],[Total number of tries]])</f>
        <v>onsight</v>
      </c>
      <c r="Q72">
        <f>_xlfn.XLOOKUP(SportClimbing[[#This Row],[Grade]],SCORE[GRADE],SCORE[SCORE],,)</f>
        <v>15</v>
      </c>
    </row>
    <row r="73" spans="1:17" x14ac:dyDescent="0.25">
      <c r="A73" s="21">
        <f>DATE(SportClimbing[[#This Row],[Year]],_xlfn.XLOOKUP(SportClimbing[[#This Row],[Month]],MONTHS[MONTHS 2],MONTHS[MONTHS 3]),SportClimbing[[#This Row],[Day]])</f>
        <v>43218</v>
      </c>
      <c r="B73" s="21" t="b">
        <f ca="1">AND(SportClimbing[[#This Row],[Date]] &gt;= TODAY()-365, SportClimbing[[#This Row],[Date]] &lt;= TODAY())</f>
        <v>0</v>
      </c>
      <c r="C73">
        <v>28</v>
      </c>
      <c r="D73" t="s">
        <v>368</v>
      </c>
      <c r="E73">
        <v>2018</v>
      </c>
      <c r="F73" t="s">
        <v>178</v>
      </c>
      <c r="G73" t="s">
        <v>3</v>
      </c>
      <c r="H73" t="s">
        <v>262</v>
      </c>
      <c r="I73" t="s">
        <v>68</v>
      </c>
      <c r="J73" t="s">
        <v>180</v>
      </c>
      <c r="K73">
        <v>25</v>
      </c>
      <c r="L73" t="str">
        <f>IF(SportClimbing[[#This Row],[Height (m)]]&lt;11, "0-10", IF(SportClimbing[[#This Row],[Height (m)]]&lt;16, "11-15", IF(SportClimbing[[#This Row],[Height (m)]]&lt;21, "16-20", IF(SportClimbing[[#This Row],[Height (m)]]&lt;26, "21-25", IF(SportClimbing[[#This Row],[Height (m)]]&lt;31, "26-30", IF(SportClimbing[[#This Row],[Height (m)]]&lt;36, "31-35", "35+"))))))</f>
        <v>21-25</v>
      </c>
      <c r="M73" t="s">
        <v>164</v>
      </c>
      <c r="N73" t="s">
        <v>130</v>
      </c>
      <c r="O73">
        <f>IF(ISNUMBER(SportClimbing[[#This Row],[Total number of tries]])=TRUE, SportClimbing[[#This Row],[Total number of tries]], 1)</f>
        <v>1</v>
      </c>
      <c r="P73" t="str">
        <f>IF(ISNUMBER(SportClimbing[[#This Row],[Total number of tries]])=TRUE, "redpoint", SportClimbing[[#This Row],[Total number of tries]])</f>
        <v>onsight</v>
      </c>
      <c r="Q73">
        <f>_xlfn.XLOOKUP(SportClimbing[[#This Row],[Grade]],SCORE[GRADE],SCORE[SCORE],,)</f>
        <v>10</v>
      </c>
    </row>
    <row r="74" spans="1:17" x14ac:dyDescent="0.25">
      <c r="A74" s="21">
        <f>DATE(SportClimbing[[#This Row],[Year]],_xlfn.XLOOKUP(SportClimbing[[#This Row],[Month]],MONTHS[MONTHS 2],MONTHS[MONTHS 3]),SportClimbing[[#This Row],[Day]])</f>
        <v>43218</v>
      </c>
      <c r="B74" s="21" t="b">
        <f ca="1">AND(SportClimbing[[#This Row],[Date]] &gt;= TODAY()-365, SportClimbing[[#This Row],[Date]] &lt;= TODAY())</f>
        <v>0</v>
      </c>
      <c r="C74">
        <v>28</v>
      </c>
      <c r="D74" t="s">
        <v>368</v>
      </c>
      <c r="E74">
        <v>2018</v>
      </c>
      <c r="F74" t="s">
        <v>179</v>
      </c>
      <c r="G74" t="s">
        <v>21</v>
      </c>
      <c r="H74" t="s">
        <v>262</v>
      </c>
      <c r="I74" t="s">
        <v>68</v>
      </c>
      <c r="J74" t="s">
        <v>180</v>
      </c>
      <c r="K74">
        <v>25</v>
      </c>
      <c r="L74" t="str">
        <f>IF(SportClimbing[[#This Row],[Height (m)]]&lt;11, "0-10", IF(SportClimbing[[#This Row],[Height (m)]]&lt;16, "11-15", IF(SportClimbing[[#This Row],[Height (m)]]&lt;21, "16-20", IF(SportClimbing[[#This Row],[Height (m)]]&lt;26, "21-25", IF(SportClimbing[[#This Row],[Height (m)]]&lt;31, "26-30", IF(SportClimbing[[#This Row],[Height (m)]]&lt;36, "31-35", "35+"))))))</f>
        <v>21-25</v>
      </c>
      <c r="M74" t="s">
        <v>164</v>
      </c>
      <c r="N74">
        <v>2</v>
      </c>
      <c r="O74">
        <f>IF(ISNUMBER(SportClimbing[[#This Row],[Total number of tries]])=TRUE, SportClimbing[[#This Row],[Total number of tries]], 1)</f>
        <v>2</v>
      </c>
      <c r="P74" t="str">
        <f>IF(ISNUMBER(SportClimbing[[#This Row],[Total number of tries]])=TRUE, "redpoint", SportClimbing[[#This Row],[Total number of tries]])</f>
        <v>redpoint</v>
      </c>
      <c r="Q74">
        <f>_xlfn.XLOOKUP(SportClimbing[[#This Row],[Grade]],SCORE[GRADE],SCORE[SCORE],,)</f>
        <v>15</v>
      </c>
    </row>
    <row r="75" spans="1:17" x14ac:dyDescent="0.25">
      <c r="A75" s="21">
        <f>DATE(SportClimbing[[#This Row],[Year]],_xlfn.XLOOKUP(SportClimbing[[#This Row],[Month]],MONTHS[MONTHS 2],MONTHS[MONTHS 3]),SportClimbing[[#This Row],[Day]])</f>
        <v>43219</v>
      </c>
      <c r="B75" s="21" t="b">
        <f ca="1">AND(SportClimbing[[#This Row],[Date]] &gt;= TODAY()-365, SportClimbing[[#This Row],[Date]] &lt;= TODAY())</f>
        <v>0</v>
      </c>
      <c r="C75">
        <v>29</v>
      </c>
      <c r="D75" t="s">
        <v>368</v>
      </c>
      <c r="E75">
        <v>2018</v>
      </c>
      <c r="F75" t="s">
        <v>176</v>
      </c>
      <c r="G75" t="s">
        <v>3</v>
      </c>
      <c r="H75" t="s">
        <v>262</v>
      </c>
      <c r="I75" t="s">
        <v>68</v>
      </c>
      <c r="J75" t="s">
        <v>175</v>
      </c>
      <c r="K75">
        <v>30</v>
      </c>
      <c r="L75" t="str">
        <f>IF(SportClimbing[[#This Row],[Height (m)]]&lt;11, "0-10", IF(SportClimbing[[#This Row],[Height (m)]]&lt;16, "11-15", IF(SportClimbing[[#This Row],[Height (m)]]&lt;21, "16-20", IF(SportClimbing[[#This Row],[Height (m)]]&lt;26, "21-25", IF(SportClimbing[[#This Row],[Height (m)]]&lt;31, "26-30", IF(SportClimbing[[#This Row],[Height (m)]]&lt;36, "31-35", "35+"))))))</f>
        <v>26-30</v>
      </c>
      <c r="M75" t="s">
        <v>169</v>
      </c>
      <c r="N75" t="s">
        <v>130</v>
      </c>
      <c r="O75">
        <f>IF(ISNUMBER(SportClimbing[[#This Row],[Total number of tries]])=TRUE, SportClimbing[[#This Row],[Total number of tries]], 1)</f>
        <v>1</v>
      </c>
      <c r="P75" t="str">
        <f>IF(ISNUMBER(SportClimbing[[#This Row],[Total number of tries]])=TRUE, "redpoint", SportClimbing[[#This Row],[Total number of tries]])</f>
        <v>onsight</v>
      </c>
      <c r="Q75">
        <f>_xlfn.XLOOKUP(SportClimbing[[#This Row],[Grade]],SCORE[GRADE],SCORE[SCORE],,)</f>
        <v>10</v>
      </c>
    </row>
    <row r="76" spans="1:17" x14ac:dyDescent="0.25">
      <c r="A76" s="21">
        <f>DATE(SportClimbing[[#This Row],[Year]],_xlfn.XLOOKUP(SportClimbing[[#This Row],[Month]],MONTHS[MONTHS 2],MONTHS[MONTHS 3]),SportClimbing[[#This Row],[Day]])</f>
        <v>43219</v>
      </c>
      <c r="B76" s="21" t="b">
        <f ca="1">AND(SportClimbing[[#This Row],[Date]] &gt;= TODAY()-365, SportClimbing[[#This Row],[Date]] &lt;= TODAY())</f>
        <v>0</v>
      </c>
      <c r="C76">
        <v>29</v>
      </c>
      <c r="D76" t="s">
        <v>368</v>
      </c>
      <c r="E76">
        <v>2018</v>
      </c>
      <c r="F76" t="s">
        <v>177</v>
      </c>
      <c r="G76" t="s">
        <v>29</v>
      </c>
      <c r="H76" t="s">
        <v>262</v>
      </c>
      <c r="I76" t="s">
        <v>68</v>
      </c>
      <c r="J76" t="s">
        <v>175</v>
      </c>
      <c r="K76">
        <v>10</v>
      </c>
      <c r="L76" t="str">
        <f>IF(SportClimbing[[#This Row],[Height (m)]]&lt;11, "0-10", IF(SportClimbing[[#This Row],[Height (m)]]&lt;16, "11-15", IF(SportClimbing[[#This Row],[Height (m)]]&lt;21, "16-20", IF(SportClimbing[[#This Row],[Height (m)]]&lt;26, "21-25", IF(SportClimbing[[#This Row],[Height (m)]]&lt;31, "26-30", IF(SportClimbing[[#This Row],[Height (m)]]&lt;36, "31-35", "35+"))))))</f>
        <v>0-10</v>
      </c>
      <c r="M76" t="s">
        <v>164</v>
      </c>
      <c r="N76">
        <v>3</v>
      </c>
      <c r="O76">
        <f>IF(ISNUMBER(SportClimbing[[#This Row],[Total number of tries]])=TRUE, SportClimbing[[#This Row],[Total number of tries]], 1)</f>
        <v>3</v>
      </c>
      <c r="P76" t="str">
        <f>IF(ISNUMBER(SportClimbing[[#This Row],[Total number of tries]])=TRUE, "redpoint", SportClimbing[[#This Row],[Total number of tries]])</f>
        <v>redpoint</v>
      </c>
      <c r="Q76">
        <f>_xlfn.XLOOKUP(SportClimbing[[#This Row],[Grade]],SCORE[GRADE],SCORE[SCORE],,)</f>
        <v>25</v>
      </c>
    </row>
    <row r="77" spans="1:17" x14ac:dyDescent="0.25">
      <c r="A77" s="21">
        <f>DATE(SportClimbing[[#This Row],[Year]],_xlfn.XLOOKUP(SportClimbing[[#This Row],[Month]],MONTHS[MONTHS 2],MONTHS[MONTHS 3]),SportClimbing[[#This Row],[Day]])</f>
        <v>43246</v>
      </c>
      <c r="B77" s="21" t="b">
        <f ca="1">AND(SportClimbing[[#This Row],[Date]] &gt;= TODAY()-365, SportClimbing[[#This Row],[Date]] &lt;= TODAY())</f>
        <v>0</v>
      </c>
      <c r="C77">
        <v>26</v>
      </c>
      <c r="D77" t="s">
        <v>155</v>
      </c>
      <c r="E77">
        <v>2018</v>
      </c>
      <c r="F77" t="s">
        <v>182</v>
      </c>
      <c r="G77" t="s">
        <v>3</v>
      </c>
      <c r="H77" t="s">
        <v>262</v>
      </c>
      <c r="I77" t="s">
        <v>76</v>
      </c>
      <c r="J77" t="s">
        <v>183</v>
      </c>
      <c r="K77">
        <v>25</v>
      </c>
      <c r="L77" t="str">
        <f>IF(SportClimbing[[#This Row],[Height (m)]]&lt;11, "0-10", IF(SportClimbing[[#This Row],[Height (m)]]&lt;16, "11-15", IF(SportClimbing[[#This Row],[Height (m)]]&lt;21, "16-20", IF(SportClimbing[[#This Row],[Height (m)]]&lt;26, "21-25", IF(SportClimbing[[#This Row],[Height (m)]]&lt;31, "26-30", IF(SportClimbing[[#This Row],[Height (m)]]&lt;36, "31-35", "35+"))))))</f>
        <v>21-25</v>
      </c>
      <c r="M77" t="s">
        <v>133</v>
      </c>
      <c r="N77" t="s">
        <v>130</v>
      </c>
      <c r="O77">
        <f>IF(ISNUMBER(SportClimbing[[#This Row],[Total number of tries]])=TRUE, SportClimbing[[#This Row],[Total number of tries]], 1)</f>
        <v>1</v>
      </c>
      <c r="P77" t="str">
        <f>IF(ISNUMBER(SportClimbing[[#This Row],[Total number of tries]])=TRUE, "redpoint", SportClimbing[[#This Row],[Total number of tries]])</f>
        <v>onsight</v>
      </c>
      <c r="Q77">
        <f>_xlfn.XLOOKUP(SportClimbing[[#This Row],[Grade]],SCORE[GRADE],SCORE[SCORE],,)</f>
        <v>10</v>
      </c>
    </row>
    <row r="78" spans="1:17" x14ac:dyDescent="0.25">
      <c r="A78" s="21">
        <f>DATE(SportClimbing[[#This Row],[Year]],_xlfn.XLOOKUP(SportClimbing[[#This Row],[Month]],MONTHS[MONTHS 2],MONTHS[MONTHS 3]),SportClimbing[[#This Row],[Day]])</f>
        <v>43246</v>
      </c>
      <c r="B78" s="21" t="b">
        <f ca="1">AND(SportClimbing[[#This Row],[Date]] &gt;= TODAY()-365, SportClimbing[[#This Row],[Date]] &lt;= TODAY())</f>
        <v>0</v>
      </c>
      <c r="C78">
        <v>26</v>
      </c>
      <c r="D78" t="s">
        <v>155</v>
      </c>
      <c r="E78">
        <v>2018</v>
      </c>
      <c r="F78" t="s">
        <v>181</v>
      </c>
      <c r="G78" t="s">
        <v>21</v>
      </c>
      <c r="H78" t="s">
        <v>262</v>
      </c>
      <c r="I78" t="s">
        <v>76</v>
      </c>
      <c r="J78" t="s">
        <v>183</v>
      </c>
      <c r="K78">
        <v>25</v>
      </c>
      <c r="L78" t="str">
        <f>IF(SportClimbing[[#This Row],[Height (m)]]&lt;11, "0-10", IF(SportClimbing[[#This Row],[Height (m)]]&lt;16, "11-15", IF(SportClimbing[[#This Row],[Height (m)]]&lt;21, "16-20", IF(SportClimbing[[#This Row],[Height (m)]]&lt;26, "21-25", IF(SportClimbing[[#This Row],[Height (m)]]&lt;31, "26-30", IF(SportClimbing[[#This Row],[Height (m)]]&lt;36, "31-35", "35+"))))))</f>
        <v>21-25</v>
      </c>
      <c r="M78" t="s">
        <v>133</v>
      </c>
      <c r="N78" t="s">
        <v>130</v>
      </c>
      <c r="O78">
        <f>IF(ISNUMBER(SportClimbing[[#This Row],[Total number of tries]])=TRUE, SportClimbing[[#This Row],[Total number of tries]], 1)</f>
        <v>1</v>
      </c>
      <c r="P78" t="str">
        <f>IF(ISNUMBER(SportClimbing[[#This Row],[Total number of tries]])=TRUE, "redpoint", SportClimbing[[#This Row],[Total number of tries]])</f>
        <v>onsight</v>
      </c>
      <c r="Q78">
        <f>_xlfn.XLOOKUP(SportClimbing[[#This Row],[Grade]],SCORE[GRADE],SCORE[SCORE],,)</f>
        <v>15</v>
      </c>
    </row>
    <row r="79" spans="1:17" x14ac:dyDescent="0.25">
      <c r="A79" s="21">
        <f>DATE(SportClimbing[[#This Row],[Year]],_xlfn.XLOOKUP(SportClimbing[[#This Row],[Month]],MONTHS[MONTHS 2],MONTHS[MONTHS 3]),SportClimbing[[#This Row],[Day]])</f>
        <v>43261</v>
      </c>
      <c r="B79" s="21" t="b">
        <f ca="1">AND(SportClimbing[[#This Row],[Date]] &gt;= TODAY()-365, SportClimbing[[#This Row],[Date]] &lt;= TODAY())</f>
        <v>0</v>
      </c>
      <c r="C79">
        <v>10</v>
      </c>
      <c r="D79" t="s">
        <v>366</v>
      </c>
      <c r="E79">
        <v>2018</v>
      </c>
      <c r="F79" t="s">
        <v>185</v>
      </c>
      <c r="G79" t="s">
        <v>21</v>
      </c>
      <c r="H79" t="s">
        <v>262</v>
      </c>
      <c r="I79" t="s">
        <v>70</v>
      </c>
      <c r="J79" t="s">
        <v>184</v>
      </c>
      <c r="K79">
        <v>12</v>
      </c>
      <c r="L79" t="str">
        <f>IF(SportClimbing[[#This Row],[Height (m)]]&lt;11, "0-10", IF(SportClimbing[[#This Row],[Height (m)]]&lt;16, "11-15", IF(SportClimbing[[#This Row],[Height (m)]]&lt;21, "16-20", IF(SportClimbing[[#This Row],[Height (m)]]&lt;26, "21-25", IF(SportClimbing[[#This Row],[Height (m)]]&lt;31, "26-30", IF(SportClimbing[[#This Row],[Height (m)]]&lt;36, "31-35", "35+"))))))</f>
        <v>11-15</v>
      </c>
      <c r="M79" t="s">
        <v>164</v>
      </c>
      <c r="N79" t="s">
        <v>11</v>
      </c>
      <c r="O79">
        <f>IF(ISNUMBER(SportClimbing[[#This Row],[Total number of tries]])=TRUE, SportClimbing[[#This Row],[Total number of tries]], 1)</f>
        <v>1</v>
      </c>
      <c r="P79" t="str">
        <f>IF(ISNUMBER(SportClimbing[[#This Row],[Total number of tries]])=TRUE, "redpoint", SportClimbing[[#This Row],[Total number of tries]])</f>
        <v>flash</v>
      </c>
      <c r="Q79">
        <f>_xlfn.XLOOKUP(SportClimbing[[#This Row],[Grade]],SCORE[GRADE],SCORE[SCORE],,)</f>
        <v>15</v>
      </c>
    </row>
    <row r="80" spans="1:17" x14ac:dyDescent="0.25">
      <c r="A80" s="21">
        <f>DATE(SportClimbing[[#This Row],[Year]],_xlfn.XLOOKUP(SportClimbing[[#This Row],[Month]],MONTHS[MONTHS 2],MONTHS[MONTHS 3]),SportClimbing[[#This Row],[Day]])</f>
        <v>43275</v>
      </c>
      <c r="B80" s="21" t="b">
        <f ca="1">AND(SportClimbing[[#This Row],[Date]] &gt;= TODAY()-365, SportClimbing[[#This Row],[Date]] &lt;= TODAY())</f>
        <v>0</v>
      </c>
      <c r="C80">
        <v>24</v>
      </c>
      <c r="D80" t="s">
        <v>366</v>
      </c>
      <c r="E80">
        <v>2018</v>
      </c>
      <c r="F80" t="s">
        <v>188</v>
      </c>
      <c r="G80" t="s">
        <v>21</v>
      </c>
      <c r="H80" t="s">
        <v>262</v>
      </c>
      <c r="I80" t="s">
        <v>186</v>
      </c>
      <c r="J80" t="s">
        <v>187</v>
      </c>
      <c r="K80">
        <v>25</v>
      </c>
      <c r="L80" t="str">
        <f>IF(SportClimbing[[#This Row],[Height (m)]]&lt;11, "0-10", IF(SportClimbing[[#This Row],[Height (m)]]&lt;16, "11-15", IF(SportClimbing[[#This Row],[Height (m)]]&lt;21, "16-20", IF(SportClimbing[[#This Row],[Height (m)]]&lt;26, "21-25", IF(SportClimbing[[#This Row],[Height (m)]]&lt;31, "26-30", IF(SportClimbing[[#This Row],[Height (m)]]&lt;36, "31-35", "35+"))))))</f>
        <v>21-25</v>
      </c>
      <c r="M80" t="s">
        <v>164</v>
      </c>
      <c r="N80">
        <v>2</v>
      </c>
      <c r="O80">
        <f>IF(ISNUMBER(SportClimbing[[#This Row],[Total number of tries]])=TRUE, SportClimbing[[#This Row],[Total number of tries]], 1)</f>
        <v>2</v>
      </c>
      <c r="P80" t="str">
        <f>IF(ISNUMBER(SportClimbing[[#This Row],[Total number of tries]])=TRUE, "redpoint", SportClimbing[[#This Row],[Total number of tries]])</f>
        <v>redpoint</v>
      </c>
      <c r="Q80">
        <f>_xlfn.XLOOKUP(SportClimbing[[#This Row],[Grade]],SCORE[GRADE],SCORE[SCORE],,)</f>
        <v>15</v>
      </c>
    </row>
    <row r="81" spans="1:17" x14ac:dyDescent="0.25">
      <c r="A81" s="21">
        <f>DATE(SportClimbing[[#This Row],[Year]],_xlfn.XLOOKUP(SportClimbing[[#This Row],[Month]],MONTHS[MONTHS 2],MONTHS[MONTHS 3]),SportClimbing[[#This Row],[Day]])</f>
        <v>43353</v>
      </c>
      <c r="B81" s="21" t="b">
        <f ca="1">AND(SportClimbing[[#This Row],[Date]] &gt;= TODAY()-365, SportClimbing[[#This Row],[Date]] &lt;= TODAY())</f>
        <v>0</v>
      </c>
      <c r="C81">
        <v>10</v>
      </c>
      <c r="D81" t="s">
        <v>159</v>
      </c>
      <c r="E81">
        <v>2018</v>
      </c>
      <c r="F81" t="s">
        <v>189</v>
      </c>
      <c r="G81" t="s">
        <v>3</v>
      </c>
      <c r="H81" t="s">
        <v>262</v>
      </c>
      <c r="I81" t="s">
        <v>77</v>
      </c>
      <c r="J81" t="s">
        <v>256</v>
      </c>
      <c r="K81">
        <v>12</v>
      </c>
      <c r="L81" t="str">
        <f>IF(SportClimbing[[#This Row],[Height (m)]]&lt;11, "0-10", IF(SportClimbing[[#This Row],[Height (m)]]&lt;16, "11-15", IF(SportClimbing[[#This Row],[Height (m)]]&lt;21, "16-20", IF(SportClimbing[[#This Row],[Height (m)]]&lt;26, "21-25", IF(SportClimbing[[#This Row],[Height (m)]]&lt;31, "26-30", IF(SportClimbing[[#This Row],[Height (m)]]&lt;36, "31-35", "35+"))))))</f>
        <v>11-15</v>
      </c>
      <c r="M81" t="s">
        <v>83</v>
      </c>
      <c r="N81">
        <v>2</v>
      </c>
      <c r="O81">
        <f>IF(ISNUMBER(SportClimbing[[#This Row],[Total number of tries]])=TRUE, SportClimbing[[#This Row],[Total number of tries]], 1)</f>
        <v>2</v>
      </c>
      <c r="P81" t="str">
        <f>IF(ISNUMBER(SportClimbing[[#This Row],[Total number of tries]])=TRUE, "redpoint", SportClimbing[[#This Row],[Total number of tries]])</f>
        <v>redpoint</v>
      </c>
      <c r="Q81">
        <f>_xlfn.XLOOKUP(SportClimbing[[#This Row],[Grade]],SCORE[GRADE],SCORE[SCORE],,)</f>
        <v>10</v>
      </c>
    </row>
    <row r="82" spans="1:17" x14ac:dyDescent="0.25">
      <c r="A82" s="21">
        <f>DATE(SportClimbing[[#This Row],[Year]],_xlfn.XLOOKUP(SportClimbing[[#This Row],[Month]],MONTHS[MONTHS 2],MONTHS[MONTHS 3]),SportClimbing[[#This Row],[Day]])</f>
        <v>43407</v>
      </c>
      <c r="B82" s="21" t="b">
        <f ca="1">AND(SportClimbing[[#This Row],[Date]] &gt;= TODAY()-365, SportClimbing[[#This Row],[Date]] &lt;= TODAY())</f>
        <v>0</v>
      </c>
      <c r="C82">
        <v>3</v>
      </c>
      <c r="D82" t="s">
        <v>160</v>
      </c>
      <c r="E82">
        <v>2018</v>
      </c>
      <c r="F82" t="s">
        <v>192</v>
      </c>
      <c r="G82" t="s">
        <v>3</v>
      </c>
      <c r="H82" t="s">
        <v>262</v>
      </c>
      <c r="I82" t="s">
        <v>43</v>
      </c>
      <c r="J82" t="s">
        <v>190</v>
      </c>
      <c r="K82">
        <v>22</v>
      </c>
      <c r="L82" t="str">
        <f>IF(SportClimbing[[#This Row],[Height (m)]]&lt;11, "0-10", IF(SportClimbing[[#This Row],[Height (m)]]&lt;16, "11-15", IF(SportClimbing[[#This Row],[Height (m)]]&lt;21, "16-20", IF(SportClimbing[[#This Row],[Height (m)]]&lt;26, "21-25", IF(SportClimbing[[#This Row],[Height (m)]]&lt;31, "26-30", IF(SportClimbing[[#This Row],[Height (m)]]&lt;36, "31-35", "35+"))))))</f>
        <v>21-25</v>
      </c>
      <c r="M82" t="s">
        <v>104</v>
      </c>
      <c r="N82" t="s">
        <v>130</v>
      </c>
      <c r="O82">
        <f>IF(ISNUMBER(SportClimbing[[#This Row],[Total number of tries]])=TRUE, SportClimbing[[#This Row],[Total number of tries]], 1)</f>
        <v>1</v>
      </c>
      <c r="P82" t="str">
        <f>IF(ISNUMBER(SportClimbing[[#This Row],[Total number of tries]])=TRUE, "redpoint", SportClimbing[[#This Row],[Total number of tries]])</f>
        <v>onsight</v>
      </c>
      <c r="Q82">
        <f>_xlfn.XLOOKUP(SportClimbing[[#This Row],[Grade]],SCORE[GRADE],SCORE[SCORE],,)</f>
        <v>10</v>
      </c>
    </row>
    <row r="83" spans="1:17" x14ac:dyDescent="0.25">
      <c r="A83" s="21">
        <f>DATE(SportClimbing[[#This Row],[Year]],_xlfn.XLOOKUP(SportClimbing[[#This Row],[Month]],MONTHS[MONTHS 2],MONTHS[MONTHS 3]),SportClimbing[[#This Row],[Day]])</f>
        <v>43407</v>
      </c>
      <c r="B83" s="21" t="b">
        <f ca="1">AND(SportClimbing[[#This Row],[Date]] &gt;= TODAY()-365, SportClimbing[[#This Row],[Date]] &lt;= TODAY())</f>
        <v>0</v>
      </c>
      <c r="C83">
        <v>3</v>
      </c>
      <c r="D83" t="s">
        <v>160</v>
      </c>
      <c r="E83">
        <v>2018</v>
      </c>
      <c r="F83" t="s">
        <v>191</v>
      </c>
      <c r="G83" t="s">
        <v>21</v>
      </c>
      <c r="H83" t="s">
        <v>262</v>
      </c>
      <c r="I83" t="s">
        <v>43</v>
      </c>
      <c r="J83" t="s">
        <v>190</v>
      </c>
      <c r="K83">
        <v>25</v>
      </c>
      <c r="L83" t="str">
        <f>IF(SportClimbing[[#This Row],[Height (m)]]&lt;11, "0-10", IF(SportClimbing[[#This Row],[Height (m)]]&lt;16, "11-15", IF(SportClimbing[[#This Row],[Height (m)]]&lt;21, "16-20", IF(SportClimbing[[#This Row],[Height (m)]]&lt;26, "21-25", IF(SportClimbing[[#This Row],[Height (m)]]&lt;31, "26-30", IF(SportClimbing[[#This Row],[Height (m)]]&lt;36, "31-35", "35+"))))))</f>
        <v>21-25</v>
      </c>
      <c r="M83" t="s">
        <v>104</v>
      </c>
      <c r="N83">
        <v>2</v>
      </c>
      <c r="O83">
        <f>IF(ISNUMBER(SportClimbing[[#This Row],[Total number of tries]])=TRUE, SportClimbing[[#This Row],[Total number of tries]], 1)</f>
        <v>2</v>
      </c>
      <c r="P83" t="str">
        <f>IF(ISNUMBER(SportClimbing[[#This Row],[Total number of tries]])=TRUE, "redpoint", SportClimbing[[#This Row],[Total number of tries]])</f>
        <v>redpoint</v>
      </c>
      <c r="Q83">
        <f>_xlfn.XLOOKUP(SportClimbing[[#This Row],[Grade]],SCORE[GRADE],SCORE[SCORE],,)</f>
        <v>15</v>
      </c>
    </row>
    <row r="84" spans="1:17" x14ac:dyDescent="0.25">
      <c r="A84" s="21">
        <f>DATE(SportClimbing[[#This Row],[Year]],_xlfn.XLOOKUP(SportClimbing[[#This Row],[Month]],MONTHS[MONTHS 2],MONTHS[MONTHS 3]),SportClimbing[[#This Row],[Day]])</f>
        <v>43560</v>
      </c>
      <c r="B84" s="21" t="b">
        <f ca="1">AND(SportClimbing[[#This Row],[Date]] &gt;= TODAY()-365, SportClimbing[[#This Row],[Date]] &lt;= TODAY())</f>
        <v>0</v>
      </c>
      <c r="C84">
        <v>5</v>
      </c>
      <c r="D84" t="s">
        <v>368</v>
      </c>
      <c r="E84">
        <v>2019</v>
      </c>
      <c r="F84" t="s">
        <v>196</v>
      </c>
      <c r="G84" t="s">
        <v>3</v>
      </c>
      <c r="H84" t="s">
        <v>262</v>
      </c>
      <c r="I84" t="s">
        <v>43</v>
      </c>
      <c r="J84" t="s">
        <v>193</v>
      </c>
      <c r="K84">
        <v>30</v>
      </c>
      <c r="L84" t="str">
        <f>IF(SportClimbing[[#This Row],[Height (m)]]&lt;11, "0-10", IF(SportClimbing[[#This Row],[Height (m)]]&lt;16, "11-15", IF(SportClimbing[[#This Row],[Height (m)]]&lt;21, "16-20", IF(SportClimbing[[#This Row],[Height (m)]]&lt;26, "21-25", IF(SportClimbing[[#This Row],[Height (m)]]&lt;31, "26-30", IF(SportClimbing[[#This Row],[Height (m)]]&lt;36, "31-35", "35+"))))))</f>
        <v>26-30</v>
      </c>
      <c r="M84" t="s">
        <v>132</v>
      </c>
      <c r="N84">
        <v>2</v>
      </c>
      <c r="O84">
        <f>IF(ISNUMBER(SportClimbing[[#This Row],[Total number of tries]])=TRUE, SportClimbing[[#This Row],[Total number of tries]], 1)</f>
        <v>2</v>
      </c>
      <c r="P84" t="str">
        <f>IF(ISNUMBER(SportClimbing[[#This Row],[Total number of tries]])=TRUE, "redpoint", SportClimbing[[#This Row],[Total number of tries]])</f>
        <v>redpoint</v>
      </c>
      <c r="Q84">
        <f>_xlfn.XLOOKUP(SportClimbing[[#This Row],[Grade]],SCORE[GRADE],SCORE[SCORE],,)</f>
        <v>10</v>
      </c>
    </row>
    <row r="85" spans="1:17" x14ac:dyDescent="0.25">
      <c r="A85" s="21">
        <f>DATE(SportClimbing[[#This Row],[Year]],_xlfn.XLOOKUP(SportClimbing[[#This Row],[Month]],MONTHS[MONTHS 2],MONTHS[MONTHS 3]),SportClimbing[[#This Row],[Day]])</f>
        <v>43561</v>
      </c>
      <c r="B85" s="21" t="b">
        <f ca="1">AND(SportClimbing[[#This Row],[Date]] &gt;= TODAY()-365, SportClimbing[[#This Row],[Date]] &lt;= TODAY())</f>
        <v>0</v>
      </c>
      <c r="C85">
        <v>6</v>
      </c>
      <c r="D85" t="s">
        <v>368</v>
      </c>
      <c r="E85">
        <v>2019</v>
      </c>
      <c r="F85" t="s">
        <v>195</v>
      </c>
      <c r="G85" t="s">
        <v>3</v>
      </c>
      <c r="H85" t="s">
        <v>262</v>
      </c>
      <c r="I85" t="s">
        <v>43</v>
      </c>
      <c r="J85" t="s">
        <v>194</v>
      </c>
      <c r="K85">
        <v>13</v>
      </c>
      <c r="L85" t="str">
        <f>IF(SportClimbing[[#This Row],[Height (m)]]&lt;11, "0-10", IF(SportClimbing[[#This Row],[Height (m)]]&lt;16, "11-15", IF(SportClimbing[[#This Row],[Height (m)]]&lt;21, "16-20", IF(SportClimbing[[#This Row],[Height (m)]]&lt;26, "21-25", IF(SportClimbing[[#This Row],[Height (m)]]&lt;31, "26-30", IF(SportClimbing[[#This Row],[Height (m)]]&lt;36, "31-35", "35+"))))))</f>
        <v>11-15</v>
      </c>
      <c r="M85" t="s">
        <v>132</v>
      </c>
      <c r="N85">
        <v>2</v>
      </c>
      <c r="O85">
        <f>IF(ISNUMBER(SportClimbing[[#This Row],[Total number of tries]])=TRUE, SportClimbing[[#This Row],[Total number of tries]], 1)</f>
        <v>2</v>
      </c>
      <c r="P85" t="str">
        <f>IF(ISNUMBER(SportClimbing[[#This Row],[Total number of tries]])=TRUE, "redpoint", SportClimbing[[#This Row],[Total number of tries]])</f>
        <v>redpoint</v>
      </c>
      <c r="Q85">
        <f>_xlfn.XLOOKUP(SportClimbing[[#This Row],[Grade]],SCORE[GRADE],SCORE[SCORE],,)</f>
        <v>10</v>
      </c>
    </row>
    <row r="86" spans="1:17" x14ac:dyDescent="0.25">
      <c r="A86" s="21">
        <f>DATE(SportClimbing[[#This Row],[Year]],_xlfn.XLOOKUP(SportClimbing[[#This Row],[Month]],MONTHS[MONTHS 2],MONTHS[MONTHS 3]),SportClimbing[[#This Row],[Day]])</f>
        <v>43569</v>
      </c>
      <c r="B86" s="21" t="b">
        <f ca="1">AND(SportClimbing[[#This Row],[Date]] &gt;= TODAY()-365, SportClimbing[[#This Row],[Date]] &lt;= TODAY())</f>
        <v>0</v>
      </c>
      <c r="C86">
        <v>14</v>
      </c>
      <c r="D86" t="s">
        <v>368</v>
      </c>
      <c r="E86">
        <v>2019</v>
      </c>
      <c r="F86" t="s">
        <v>199</v>
      </c>
      <c r="G86" t="s">
        <v>21</v>
      </c>
      <c r="H86" t="s">
        <v>262</v>
      </c>
      <c r="I86" t="s">
        <v>70</v>
      </c>
      <c r="J86" t="s">
        <v>200</v>
      </c>
      <c r="K86">
        <v>25</v>
      </c>
      <c r="L86" t="str">
        <f>IF(SportClimbing[[#This Row],[Height (m)]]&lt;11, "0-10", IF(SportClimbing[[#This Row],[Height (m)]]&lt;16, "11-15", IF(SportClimbing[[#This Row],[Height (m)]]&lt;21, "16-20", IF(SportClimbing[[#This Row],[Height (m)]]&lt;26, "21-25", IF(SportClimbing[[#This Row],[Height (m)]]&lt;31, "26-30", IF(SportClimbing[[#This Row],[Height (m)]]&lt;36, "31-35", "35+"))))))</f>
        <v>21-25</v>
      </c>
      <c r="M86" t="s">
        <v>133</v>
      </c>
      <c r="N86" t="s">
        <v>11</v>
      </c>
      <c r="O86">
        <f>IF(ISNUMBER(SportClimbing[[#This Row],[Total number of tries]])=TRUE, SportClimbing[[#This Row],[Total number of tries]], 1)</f>
        <v>1</v>
      </c>
      <c r="P86" t="str">
        <f>IF(ISNUMBER(SportClimbing[[#This Row],[Total number of tries]])=TRUE, "redpoint", SportClimbing[[#This Row],[Total number of tries]])</f>
        <v>flash</v>
      </c>
      <c r="Q86">
        <f>_xlfn.XLOOKUP(SportClimbing[[#This Row],[Grade]],SCORE[GRADE],SCORE[SCORE],,)</f>
        <v>15</v>
      </c>
    </row>
    <row r="87" spans="1:17" x14ac:dyDescent="0.25">
      <c r="A87" s="21">
        <f>DATE(SportClimbing[[#This Row],[Year]],_xlfn.XLOOKUP(SportClimbing[[#This Row],[Month]],MONTHS[MONTHS 2],MONTHS[MONTHS 3]),SportClimbing[[#This Row],[Day]])</f>
        <v>43730</v>
      </c>
      <c r="B87" s="21" t="b">
        <f ca="1">AND(SportClimbing[[#This Row],[Date]] &gt;= TODAY()-365, SportClimbing[[#This Row],[Date]] &lt;= TODAY())</f>
        <v>0</v>
      </c>
      <c r="C87">
        <v>22</v>
      </c>
      <c r="D87" t="s">
        <v>159</v>
      </c>
      <c r="E87">
        <v>2019</v>
      </c>
      <c r="F87" t="s">
        <v>204</v>
      </c>
      <c r="G87" t="s">
        <v>21</v>
      </c>
      <c r="H87" t="s">
        <v>262</v>
      </c>
      <c r="I87" t="s">
        <v>70</v>
      </c>
      <c r="J87" t="s">
        <v>202</v>
      </c>
      <c r="K87">
        <v>20</v>
      </c>
      <c r="L87" t="str">
        <f>IF(SportClimbing[[#This Row],[Height (m)]]&lt;11, "0-10", IF(SportClimbing[[#This Row],[Height (m)]]&lt;16, "11-15", IF(SportClimbing[[#This Row],[Height (m)]]&lt;21, "16-20", IF(SportClimbing[[#This Row],[Height (m)]]&lt;26, "21-25", IF(SportClimbing[[#This Row],[Height (m)]]&lt;31, "26-30", IF(SportClimbing[[#This Row],[Height (m)]]&lt;36, "31-35", "35+"))))))</f>
        <v>16-20</v>
      </c>
      <c r="M87" t="s">
        <v>203</v>
      </c>
      <c r="N87">
        <v>2</v>
      </c>
      <c r="O87">
        <f>IF(ISNUMBER(SportClimbing[[#This Row],[Total number of tries]])=TRUE, SportClimbing[[#This Row],[Total number of tries]], 1)</f>
        <v>2</v>
      </c>
      <c r="P87" t="str">
        <f>IF(ISNUMBER(SportClimbing[[#This Row],[Total number of tries]])=TRUE, "redpoint", SportClimbing[[#This Row],[Total number of tries]])</f>
        <v>redpoint</v>
      </c>
      <c r="Q87">
        <f>_xlfn.XLOOKUP(SportClimbing[[#This Row],[Grade]],SCORE[GRADE],SCORE[SCORE],,)</f>
        <v>15</v>
      </c>
    </row>
    <row r="88" spans="1:17" x14ac:dyDescent="0.25">
      <c r="A88" s="21">
        <f>DATE(SportClimbing[[#This Row],[Year]],_xlfn.XLOOKUP(SportClimbing[[#This Row],[Month]],MONTHS[MONTHS 2],MONTHS[MONTHS 3]),SportClimbing[[#This Row],[Day]])</f>
        <v>43770</v>
      </c>
      <c r="B88" s="21" t="b">
        <f ca="1">AND(SportClimbing[[#This Row],[Date]] &gt;= TODAY()-365, SportClimbing[[#This Row],[Date]] &lt;= TODAY())</f>
        <v>0</v>
      </c>
      <c r="C88">
        <v>1</v>
      </c>
      <c r="D88" t="s">
        <v>160</v>
      </c>
      <c r="E88">
        <v>2019</v>
      </c>
      <c r="F88" t="s">
        <v>205</v>
      </c>
      <c r="G88" t="s">
        <v>29</v>
      </c>
      <c r="H88" t="s">
        <v>262</v>
      </c>
      <c r="I88" t="s">
        <v>43</v>
      </c>
      <c r="J88" t="s">
        <v>201</v>
      </c>
      <c r="K88">
        <v>30</v>
      </c>
      <c r="L88" t="str">
        <f>IF(SportClimbing[[#This Row],[Height (m)]]&lt;11, "0-10", IF(SportClimbing[[#This Row],[Height (m)]]&lt;16, "11-15", IF(SportClimbing[[#This Row],[Height (m)]]&lt;21, "16-20", IF(SportClimbing[[#This Row],[Height (m)]]&lt;26, "21-25", IF(SportClimbing[[#This Row],[Height (m)]]&lt;31, "26-30", IF(SportClimbing[[#This Row],[Height (m)]]&lt;36, "31-35", "35+"))))))</f>
        <v>26-30</v>
      </c>
      <c r="M88" t="s">
        <v>132</v>
      </c>
      <c r="N88">
        <v>3</v>
      </c>
      <c r="O88">
        <f>IF(ISNUMBER(SportClimbing[[#This Row],[Total number of tries]])=TRUE, SportClimbing[[#This Row],[Total number of tries]], 1)</f>
        <v>3</v>
      </c>
      <c r="P88" t="str">
        <f>IF(ISNUMBER(SportClimbing[[#This Row],[Total number of tries]])=TRUE, "redpoint", SportClimbing[[#This Row],[Total number of tries]])</f>
        <v>redpoint</v>
      </c>
      <c r="Q88">
        <f>_xlfn.XLOOKUP(SportClimbing[[#This Row],[Grade]],SCORE[GRADE],SCORE[SCORE],,)</f>
        <v>25</v>
      </c>
    </row>
    <row r="89" spans="1:17" x14ac:dyDescent="0.25">
      <c r="A89" s="21">
        <f>DATE(SportClimbing[[#This Row],[Year]],_xlfn.XLOOKUP(SportClimbing[[#This Row],[Month]],MONTHS[MONTHS 2],MONTHS[MONTHS 3]),SportClimbing[[#This Row],[Day]])</f>
        <v>43771</v>
      </c>
      <c r="B89" s="21" t="b">
        <f ca="1">AND(SportClimbing[[#This Row],[Date]] &gt;= TODAY()-365, SportClimbing[[#This Row],[Date]] &lt;= TODAY())</f>
        <v>0</v>
      </c>
      <c r="C89">
        <v>2</v>
      </c>
      <c r="D89" t="s">
        <v>160</v>
      </c>
      <c r="E89">
        <v>2019</v>
      </c>
      <c r="F89" t="s">
        <v>207</v>
      </c>
      <c r="G89" t="s">
        <v>3</v>
      </c>
      <c r="H89" t="s">
        <v>262</v>
      </c>
      <c r="I89" t="s">
        <v>43</v>
      </c>
      <c r="J89" t="s">
        <v>206</v>
      </c>
      <c r="K89">
        <v>30</v>
      </c>
      <c r="L89" t="str">
        <f>IF(SportClimbing[[#This Row],[Height (m)]]&lt;11, "0-10", IF(SportClimbing[[#This Row],[Height (m)]]&lt;16, "11-15", IF(SportClimbing[[#This Row],[Height (m)]]&lt;21, "16-20", IF(SportClimbing[[#This Row],[Height (m)]]&lt;26, "21-25", IF(SportClimbing[[#This Row],[Height (m)]]&lt;31, "26-30", IF(SportClimbing[[#This Row],[Height (m)]]&lt;36, "31-35", "35+"))))))</f>
        <v>26-30</v>
      </c>
      <c r="M89" t="s">
        <v>133</v>
      </c>
      <c r="N89">
        <v>2</v>
      </c>
      <c r="O89">
        <f>IF(ISNUMBER(SportClimbing[[#This Row],[Total number of tries]])=TRUE, SportClimbing[[#This Row],[Total number of tries]], 1)</f>
        <v>2</v>
      </c>
      <c r="P89" t="str">
        <f>IF(ISNUMBER(SportClimbing[[#This Row],[Total number of tries]])=TRUE, "redpoint", SportClimbing[[#This Row],[Total number of tries]])</f>
        <v>redpoint</v>
      </c>
      <c r="Q89">
        <f>_xlfn.XLOOKUP(SportClimbing[[#This Row],[Grade]],SCORE[GRADE],SCORE[SCORE],,)</f>
        <v>10</v>
      </c>
    </row>
    <row r="90" spans="1:17" x14ac:dyDescent="0.25">
      <c r="A90" s="21">
        <f>DATE(SportClimbing[[#This Row],[Year]],_xlfn.XLOOKUP(SportClimbing[[#This Row],[Month]],MONTHS[MONTHS 2],MONTHS[MONTHS 3]),SportClimbing[[#This Row],[Day]])</f>
        <v>43785</v>
      </c>
      <c r="B90" s="21" t="b">
        <f ca="1">AND(SportClimbing[[#This Row],[Date]] &gt;= TODAY()-365, SportClimbing[[#This Row],[Date]] &lt;= TODAY())</f>
        <v>0</v>
      </c>
      <c r="C90">
        <v>16</v>
      </c>
      <c r="D90" t="s">
        <v>160</v>
      </c>
      <c r="E90">
        <v>2019</v>
      </c>
      <c r="F90" t="s">
        <v>209</v>
      </c>
      <c r="G90" t="s">
        <v>29</v>
      </c>
      <c r="H90" t="s">
        <v>262</v>
      </c>
      <c r="I90" t="s">
        <v>68</v>
      </c>
      <c r="J90" t="s">
        <v>173</v>
      </c>
      <c r="K90">
        <v>20</v>
      </c>
      <c r="L90" t="str">
        <f>IF(SportClimbing[[#This Row],[Height (m)]]&lt;11, "0-10", IF(SportClimbing[[#This Row],[Height (m)]]&lt;16, "11-15", IF(SportClimbing[[#This Row],[Height (m)]]&lt;21, "16-20", IF(SportClimbing[[#This Row],[Height (m)]]&lt;26, "21-25", IF(SportClimbing[[#This Row],[Height (m)]]&lt;31, "26-30", IF(SportClimbing[[#This Row],[Height (m)]]&lt;36, "31-35", "35+"))))))</f>
        <v>16-20</v>
      </c>
      <c r="M90" t="s">
        <v>208</v>
      </c>
      <c r="N90">
        <v>2</v>
      </c>
      <c r="O90">
        <f>IF(ISNUMBER(SportClimbing[[#This Row],[Total number of tries]])=TRUE, SportClimbing[[#This Row],[Total number of tries]], 1)</f>
        <v>2</v>
      </c>
      <c r="P90" t="str">
        <f>IF(ISNUMBER(SportClimbing[[#This Row],[Total number of tries]])=TRUE, "redpoint", SportClimbing[[#This Row],[Total number of tries]])</f>
        <v>redpoint</v>
      </c>
      <c r="Q90">
        <f>_xlfn.XLOOKUP(SportClimbing[[#This Row],[Grade]],SCORE[GRADE],SCORE[SCORE],,)</f>
        <v>25</v>
      </c>
    </row>
    <row r="91" spans="1:17" x14ac:dyDescent="0.25">
      <c r="A91" s="21">
        <f>DATE(SportClimbing[[#This Row],[Year]],_xlfn.XLOOKUP(SportClimbing[[#This Row],[Month]],MONTHS[MONTHS 2],MONTHS[MONTHS 3]),SportClimbing[[#This Row],[Day]])</f>
        <v>44067</v>
      </c>
      <c r="B91" s="21" t="b">
        <f ca="1">AND(SportClimbing[[#This Row],[Date]] &gt;= TODAY()-365, SportClimbing[[#This Row],[Date]] &lt;= TODAY())</f>
        <v>0</v>
      </c>
      <c r="C91">
        <v>24</v>
      </c>
      <c r="D91" t="s">
        <v>158</v>
      </c>
      <c r="E91">
        <v>2020</v>
      </c>
      <c r="F91" t="s">
        <v>210</v>
      </c>
      <c r="G91" t="s">
        <v>21</v>
      </c>
      <c r="H91" t="s">
        <v>262</v>
      </c>
      <c r="I91" t="s">
        <v>43</v>
      </c>
      <c r="J91" t="s">
        <v>201</v>
      </c>
      <c r="K91">
        <v>35</v>
      </c>
      <c r="L91" t="str">
        <f>IF(SportClimbing[[#This Row],[Height (m)]]&lt;11, "0-10", IF(SportClimbing[[#This Row],[Height (m)]]&lt;16, "11-15", IF(SportClimbing[[#This Row],[Height (m)]]&lt;21, "16-20", IF(SportClimbing[[#This Row],[Height (m)]]&lt;26, "21-25", IF(SportClimbing[[#This Row],[Height (m)]]&lt;31, "26-30", IF(SportClimbing[[#This Row],[Height (m)]]&lt;36, "31-35", "35+"))))))</f>
        <v>31-35</v>
      </c>
      <c r="M91" t="s">
        <v>211</v>
      </c>
      <c r="N91">
        <v>2</v>
      </c>
      <c r="O91">
        <f>IF(ISNUMBER(SportClimbing[[#This Row],[Total number of tries]])=TRUE, SportClimbing[[#This Row],[Total number of tries]], 1)</f>
        <v>2</v>
      </c>
      <c r="P91" t="str">
        <f>IF(ISNUMBER(SportClimbing[[#This Row],[Total number of tries]])=TRUE, "redpoint", SportClimbing[[#This Row],[Total number of tries]])</f>
        <v>redpoint</v>
      </c>
      <c r="Q91">
        <f>_xlfn.XLOOKUP(SportClimbing[[#This Row],[Grade]],SCORE[GRADE],SCORE[SCORE],,)</f>
        <v>15</v>
      </c>
    </row>
    <row r="92" spans="1:17" x14ac:dyDescent="0.25">
      <c r="A92" s="21">
        <f>DATE(SportClimbing[[#This Row],[Year]],_xlfn.XLOOKUP(SportClimbing[[#This Row],[Month]],MONTHS[MONTHS 2],MONTHS[MONTHS 3]),SportClimbing[[#This Row],[Day]])</f>
        <v>44070</v>
      </c>
      <c r="B92" s="21" t="b">
        <f ca="1">AND(SportClimbing[[#This Row],[Date]] &gt;= TODAY()-365, SportClimbing[[#This Row],[Date]] &lt;= TODAY())</f>
        <v>0</v>
      </c>
      <c r="C92">
        <v>27</v>
      </c>
      <c r="D92" t="s">
        <v>158</v>
      </c>
      <c r="E92">
        <v>2020</v>
      </c>
      <c r="F92" t="s">
        <v>212</v>
      </c>
      <c r="G92" t="s">
        <v>29</v>
      </c>
      <c r="H92" t="s">
        <v>262</v>
      </c>
      <c r="I92" t="s">
        <v>43</v>
      </c>
      <c r="J92" t="s">
        <v>91</v>
      </c>
      <c r="K92">
        <v>22</v>
      </c>
      <c r="L92" t="str">
        <f>IF(SportClimbing[[#This Row],[Height (m)]]&lt;11, "0-10", IF(SportClimbing[[#This Row],[Height (m)]]&lt;16, "11-15", IF(SportClimbing[[#This Row],[Height (m)]]&lt;21, "16-20", IF(SportClimbing[[#This Row],[Height (m)]]&lt;26, "21-25", IF(SportClimbing[[#This Row],[Height (m)]]&lt;31, "26-30", IF(SportClimbing[[#This Row],[Height (m)]]&lt;36, "31-35", "35+"))))))</f>
        <v>21-25</v>
      </c>
      <c r="M92" t="s">
        <v>208</v>
      </c>
      <c r="N92">
        <v>6</v>
      </c>
      <c r="O92">
        <f>IF(ISNUMBER(SportClimbing[[#This Row],[Total number of tries]])=TRUE, SportClimbing[[#This Row],[Total number of tries]], 1)</f>
        <v>6</v>
      </c>
      <c r="P92" t="str">
        <f>IF(ISNUMBER(SportClimbing[[#This Row],[Total number of tries]])=TRUE, "redpoint", SportClimbing[[#This Row],[Total number of tries]])</f>
        <v>redpoint</v>
      </c>
      <c r="Q92">
        <f>_xlfn.XLOOKUP(SportClimbing[[#This Row],[Grade]],SCORE[GRADE],SCORE[SCORE],,)</f>
        <v>25</v>
      </c>
    </row>
    <row r="93" spans="1:17" x14ac:dyDescent="0.25">
      <c r="A93" s="21">
        <f>DATE(SportClimbing[[#This Row],[Year]],_xlfn.XLOOKUP(SportClimbing[[#This Row],[Month]],MONTHS[MONTHS 2],MONTHS[MONTHS 3]),SportClimbing[[#This Row],[Day]])</f>
        <v>44094</v>
      </c>
      <c r="B93" s="21" t="b">
        <f ca="1">AND(SportClimbing[[#This Row],[Date]] &gt;= TODAY()-365, SportClimbing[[#This Row],[Date]] &lt;= TODAY())</f>
        <v>0</v>
      </c>
      <c r="C93">
        <v>20</v>
      </c>
      <c r="D93" t="s">
        <v>159</v>
      </c>
      <c r="E93">
        <v>2020</v>
      </c>
      <c r="F93" t="s">
        <v>215</v>
      </c>
      <c r="G93" t="s">
        <v>21</v>
      </c>
      <c r="H93" t="s">
        <v>262</v>
      </c>
      <c r="I93" t="s">
        <v>100</v>
      </c>
      <c r="J93" t="s">
        <v>213</v>
      </c>
      <c r="K93">
        <v>25</v>
      </c>
      <c r="L93" t="str">
        <f>IF(SportClimbing[[#This Row],[Height (m)]]&lt;11, "0-10", IF(SportClimbing[[#This Row],[Height (m)]]&lt;16, "11-15", IF(SportClimbing[[#This Row],[Height (m)]]&lt;21, "16-20", IF(SportClimbing[[#This Row],[Height (m)]]&lt;26, "21-25", IF(SportClimbing[[#This Row],[Height (m)]]&lt;31, "26-30", IF(SportClimbing[[#This Row],[Height (m)]]&lt;36, "31-35", "35+"))))))</f>
        <v>21-25</v>
      </c>
      <c r="M93" t="s">
        <v>132</v>
      </c>
      <c r="N93" t="s">
        <v>11</v>
      </c>
      <c r="O93">
        <f>IF(ISNUMBER(SportClimbing[[#This Row],[Total number of tries]])=TRUE, SportClimbing[[#This Row],[Total number of tries]], 1)</f>
        <v>1</v>
      </c>
      <c r="P93" t="str">
        <f>IF(ISNUMBER(SportClimbing[[#This Row],[Total number of tries]])=TRUE, "redpoint", SportClimbing[[#This Row],[Total number of tries]])</f>
        <v>flash</v>
      </c>
      <c r="Q93">
        <f>_xlfn.XLOOKUP(SportClimbing[[#This Row],[Grade]],SCORE[GRADE],SCORE[SCORE],,)</f>
        <v>15</v>
      </c>
    </row>
    <row r="94" spans="1:17" x14ac:dyDescent="0.25">
      <c r="A94" s="21">
        <f>DATE(SportClimbing[[#This Row],[Year]],_xlfn.XLOOKUP(SportClimbing[[#This Row],[Month]],MONTHS[MONTHS 2],MONTHS[MONTHS 3]),SportClimbing[[#This Row],[Day]])</f>
        <v>44098</v>
      </c>
      <c r="B94" s="21" t="b">
        <f ca="1">AND(SportClimbing[[#This Row],[Date]] &gt;= TODAY()-365, SportClimbing[[#This Row],[Date]] &lt;= TODAY())</f>
        <v>0</v>
      </c>
      <c r="C94">
        <v>24</v>
      </c>
      <c r="D94" t="s">
        <v>159</v>
      </c>
      <c r="E94">
        <v>2020</v>
      </c>
      <c r="F94" t="s">
        <v>216</v>
      </c>
      <c r="G94" t="s">
        <v>32</v>
      </c>
      <c r="H94" t="s">
        <v>262</v>
      </c>
      <c r="I94" t="s">
        <v>100</v>
      </c>
      <c r="J94" t="s">
        <v>213</v>
      </c>
      <c r="K94">
        <v>25</v>
      </c>
      <c r="L94" t="str">
        <f>IF(SportClimbing[[#This Row],[Height (m)]]&lt;11, "0-10", IF(SportClimbing[[#This Row],[Height (m)]]&lt;16, "11-15", IF(SportClimbing[[#This Row],[Height (m)]]&lt;21, "16-20", IF(SportClimbing[[#This Row],[Height (m)]]&lt;26, "21-25", IF(SportClimbing[[#This Row],[Height (m)]]&lt;31, "26-30", IF(SportClimbing[[#This Row],[Height (m)]]&lt;36, "31-35", "35+"))))))</f>
        <v>21-25</v>
      </c>
      <c r="M94" t="s">
        <v>132</v>
      </c>
      <c r="N94">
        <v>4</v>
      </c>
      <c r="O94">
        <f>IF(ISNUMBER(SportClimbing[[#This Row],[Total number of tries]])=TRUE, SportClimbing[[#This Row],[Total number of tries]], 1)</f>
        <v>4</v>
      </c>
      <c r="P94" t="str">
        <f>IF(ISNUMBER(SportClimbing[[#This Row],[Total number of tries]])=TRUE, "redpoint", SportClimbing[[#This Row],[Total number of tries]])</f>
        <v>redpoint</v>
      </c>
      <c r="Q94">
        <f>_xlfn.XLOOKUP(SportClimbing[[#This Row],[Grade]],SCORE[GRADE],SCORE[SCORE],,)</f>
        <v>40</v>
      </c>
    </row>
    <row r="95" spans="1:17" x14ac:dyDescent="0.25">
      <c r="A95" s="21">
        <f>DATE(SportClimbing[[#This Row],[Year]],_xlfn.XLOOKUP(SportClimbing[[#This Row],[Month]],MONTHS[MONTHS 2],MONTHS[MONTHS 3]),SportClimbing[[#This Row],[Day]])</f>
        <v>44098</v>
      </c>
      <c r="B95" s="21" t="b">
        <f ca="1">AND(SportClimbing[[#This Row],[Date]] &gt;= TODAY()-365, SportClimbing[[#This Row],[Date]] &lt;= TODAY())</f>
        <v>0</v>
      </c>
      <c r="C95">
        <v>24</v>
      </c>
      <c r="D95" t="s">
        <v>159</v>
      </c>
      <c r="E95">
        <v>2020</v>
      </c>
      <c r="F95" t="s">
        <v>217</v>
      </c>
      <c r="G95" t="s">
        <v>3</v>
      </c>
      <c r="H95" t="s">
        <v>262</v>
      </c>
      <c r="I95" t="s">
        <v>100</v>
      </c>
      <c r="J95" t="s">
        <v>213</v>
      </c>
      <c r="K95">
        <v>25</v>
      </c>
      <c r="L95" t="str">
        <f>IF(SportClimbing[[#This Row],[Height (m)]]&lt;11, "0-10", IF(SportClimbing[[#This Row],[Height (m)]]&lt;16, "11-15", IF(SportClimbing[[#This Row],[Height (m)]]&lt;21, "16-20", IF(SportClimbing[[#This Row],[Height (m)]]&lt;26, "21-25", IF(SportClimbing[[#This Row],[Height (m)]]&lt;31, "26-30", IF(SportClimbing[[#This Row],[Height (m)]]&lt;36, "31-35", "35+"))))))</f>
        <v>21-25</v>
      </c>
      <c r="M95" t="s">
        <v>218</v>
      </c>
      <c r="N95" t="s">
        <v>11</v>
      </c>
      <c r="O95">
        <f>IF(ISNUMBER(SportClimbing[[#This Row],[Total number of tries]])=TRUE, SportClimbing[[#This Row],[Total number of tries]], 1)</f>
        <v>1</v>
      </c>
      <c r="P95" t="str">
        <f>IF(ISNUMBER(SportClimbing[[#This Row],[Total number of tries]])=TRUE, "redpoint", SportClimbing[[#This Row],[Total number of tries]])</f>
        <v>flash</v>
      </c>
      <c r="Q95">
        <f>_xlfn.XLOOKUP(SportClimbing[[#This Row],[Grade]],SCORE[GRADE],SCORE[SCORE],,)</f>
        <v>10</v>
      </c>
    </row>
    <row r="96" spans="1:17" x14ac:dyDescent="0.25">
      <c r="A96" s="21">
        <f>DATE(SportClimbing[[#This Row],[Year]],_xlfn.XLOOKUP(SportClimbing[[#This Row],[Month]],MONTHS[MONTHS 2],MONTHS[MONTHS 3]),SportClimbing[[#This Row],[Day]])</f>
        <v>44100</v>
      </c>
      <c r="B96" s="21" t="b">
        <f ca="1">AND(SportClimbing[[#This Row],[Date]] &gt;= TODAY()-365, SportClimbing[[#This Row],[Date]] &lt;= TODAY())</f>
        <v>0</v>
      </c>
      <c r="C96">
        <v>26</v>
      </c>
      <c r="D96" t="s">
        <v>159</v>
      </c>
      <c r="E96">
        <v>2020</v>
      </c>
      <c r="F96" t="s">
        <v>219</v>
      </c>
      <c r="G96" t="s">
        <v>21</v>
      </c>
      <c r="H96" t="s">
        <v>262</v>
      </c>
      <c r="I96" t="s">
        <v>100</v>
      </c>
      <c r="J96" t="s">
        <v>220</v>
      </c>
      <c r="K96">
        <v>25</v>
      </c>
      <c r="L96" t="str">
        <f>IF(SportClimbing[[#This Row],[Height (m)]]&lt;11, "0-10", IF(SportClimbing[[#This Row],[Height (m)]]&lt;16, "11-15", IF(SportClimbing[[#This Row],[Height (m)]]&lt;21, "16-20", IF(SportClimbing[[#This Row],[Height (m)]]&lt;26, "21-25", IF(SportClimbing[[#This Row],[Height (m)]]&lt;31, "26-30", IF(SportClimbing[[#This Row],[Height (m)]]&lt;36, "31-35", "35+"))))))</f>
        <v>21-25</v>
      </c>
      <c r="M96" t="s">
        <v>171</v>
      </c>
      <c r="N96" t="s">
        <v>130</v>
      </c>
      <c r="O96">
        <f>IF(ISNUMBER(SportClimbing[[#This Row],[Total number of tries]])=TRUE, SportClimbing[[#This Row],[Total number of tries]], 1)</f>
        <v>1</v>
      </c>
      <c r="P96" t="str">
        <f>IF(ISNUMBER(SportClimbing[[#This Row],[Total number of tries]])=TRUE, "redpoint", SportClimbing[[#This Row],[Total number of tries]])</f>
        <v>onsight</v>
      </c>
      <c r="Q96">
        <f>_xlfn.XLOOKUP(SportClimbing[[#This Row],[Grade]],SCORE[GRADE],SCORE[SCORE],,)</f>
        <v>15</v>
      </c>
    </row>
    <row r="97" spans="1:17" x14ac:dyDescent="0.25">
      <c r="A97" s="21">
        <f>DATE(SportClimbing[[#This Row],[Year]],_xlfn.XLOOKUP(SportClimbing[[#This Row],[Month]],MONTHS[MONTHS 2],MONTHS[MONTHS 3]),SportClimbing[[#This Row],[Day]])</f>
        <v>44121</v>
      </c>
      <c r="B97" s="21" t="b">
        <f ca="1">AND(SportClimbing[[#This Row],[Date]] &gt;= TODAY()-365, SportClimbing[[#This Row],[Date]] &lt;= TODAY())</f>
        <v>0</v>
      </c>
      <c r="C97">
        <v>17</v>
      </c>
      <c r="D97" t="s">
        <v>162</v>
      </c>
      <c r="E97">
        <v>2020</v>
      </c>
      <c r="F97" t="s">
        <v>223</v>
      </c>
      <c r="G97" t="s">
        <v>3</v>
      </c>
      <c r="H97" t="s">
        <v>262</v>
      </c>
      <c r="I97" t="s">
        <v>43</v>
      </c>
      <c r="J97" t="s">
        <v>224</v>
      </c>
      <c r="K97">
        <v>20</v>
      </c>
      <c r="L97" t="str">
        <f>IF(SportClimbing[[#This Row],[Height (m)]]&lt;11, "0-10", IF(SportClimbing[[#This Row],[Height (m)]]&lt;16, "11-15", IF(SportClimbing[[#This Row],[Height (m)]]&lt;21, "16-20", IF(SportClimbing[[#This Row],[Height (m)]]&lt;26, "21-25", IF(SportClimbing[[#This Row],[Height (m)]]&lt;31, "26-30", IF(SportClimbing[[#This Row],[Height (m)]]&lt;36, "31-35", "35+"))))))</f>
        <v>16-20</v>
      </c>
      <c r="M97" t="s">
        <v>132</v>
      </c>
      <c r="N97" t="s">
        <v>130</v>
      </c>
      <c r="O97">
        <f>IF(ISNUMBER(SportClimbing[[#This Row],[Total number of tries]])=TRUE, SportClimbing[[#This Row],[Total number of tries]], 1)</f>
        <v>1</v>
      </c>
      <c r="P97" t="str">
        <f>IF(ISNUMBER(SportClimbing[[#This Row],[Total number of tries]])=TRUE, "redpoint", SportClimbing[[#This Row],[Total number of tries]])</f>
        <v>onsight</v>
      </c>
      <c r="Q97">
        <f>_xlfn.XLOOKUP(SportClimbing[[#This Row],[Grade]],SCORE[GRADE],SCORE[SCORE],,)</f>
        <v>10</v>
      </c>
    </row>
    <row r="98" spans="1:17" x14ac:dyDescent="0.25">
      <c r="A98" s="21">
        <f>DATE(SportClimbing[[#This Row],[Year]],_xlfn.XLOOKUP(SportClimbing[[#This Row],[Month]],MONTHS[MONTHS 2],MONTHS[MONTHS 3]),SportClimbing[[#This Row],[Day]])</f>
        <v>44122</v>
      </c>
      <c r="B98" s="21" t="b">
        <f ca="1">AND(SportClimbing[[#This Row],[Date]] &gt;= TODAY()-365, SportClimbing[[#This Row],[Date]] &lt;= TODAY())</f>
        <v>0</v>
      </c>
      <c r="C98">
        <v>18</v>
      </c>
      <c r="D98" t="s">
        <v>162</v>
      </c>
      <c r="E98">
        <v>2020</v>
      </c>
      <c r="F98" t="s">
        <v>221</v>
      </c>
      <c r="G98" t="s">
        <v>32</v>
      </c>
      <c r="H98" t="s">
        <v>262</v>
      </c>
      <c r="I98" t="s">
        <v>43</v>
      </c>
      <c r="J98" t="s">
        <v>222</v>
      </c>
      <c r="K98">
        <v>28</v>
      </c>
      <c r="L98" t="str">
        <f>IF(SportClimbing[[#This Row],[Height (m)]]&lt;11, "0-10", IF(SportClimbing[[#This Row],[Height (m)]]&lt;16, "11-15", IF(SportClimbing[[#This Row],[Height (m)]]&lt;21, "16-20", IF(SportClimbing[[#This Row],[Height (m)]]&lt;26, "21-25", IF(SportClimbing[[#This Row],[Height (m)]]&lt;31, "26-30", IF(SportClimbing[[#This Row],[Height (m)]]&lt;36, "31-35", "35+"))))))</f>
        <v>26-30</v>
      </c>
      <c r="M98" t="s">
        <v>133</v>
      </c>
      <c r="N98">
        <v>4</v>
      </c>
      <c r="O98">
        <f>IF(ISNUMBER(SportClimbing[[#This Row],[Total number of tries]])=TRUE, SportClimbing[[#This Row],[Total number of tries]], 1)</f>
        <v>4</v>
      </c>
      <c r="P98" t="str">
        <f>IF(ISNUMBER(SportClimbing[[#This Row],[Total number of tries]])=TRUE, "redpoint", SportClimbing[[#This Row],[Total number of tries]])</f>
        <v>redpoint</v>
      </c>
      <c r="Q98">
        <f>_xlfn.XLOOKUP(SportClimbing[[#This Row],[Grade]],SCORE[GRADE],SCORE[SCORE],,)</f>
        <v>40</v>
      </c>
    </row>
    <row r="99" spans="1:17" x14ac:dyDescent="0.25">
      <c r="A99" s="21">
        <f>DATE(SportClimbing[[#This Row],[Year]],_xlfn.XLOOKUP(SportClimbing[[#This Row],[Month]],MONTHS[MONTHS 2],MONTHS[MONTHS 3]),SportClimbing[[#This Row],[Day]])</f>
        <v>44128</v>
      </c>
      <c r="B99" s="21" t="b">
        <f ca="1">AND(SportClimbing[[#This Row],[Date]] &gt;= TODAY()-365, SportClimbing[[#This Row],[Date]] &lt;= TODAY())</f>
        <v>0</v>
      </c>
      <c r="C99">
        <v>24</v>
      </c>
      <c r="D99" t="s">
        <v>162</v>
      </c>
      <c r="E99">
        <v>2020</v>
      </c>
      <c r="F99" t="s">
        <v>244</v>
      </c>
      <c r="G99" t="s">
        <v>3</v>
      </c>
      <c r="H99" t="s">
        <v>262</v>
      </c>
      <c r="I99" t="s">
        <v>43</v>
      </c>
      <c r="J99" t="s">
        <v>91</v>
      </c>
      <c r="K99">
        <v>30</v>
      </c>
      <c r="L99" t="str">
        <f>IF(SportClimbing[[#This Row],[Height (m)]]&lt;11, "0-10", IF(SportClimbing[[#This Row],[Height (m)]]&lt;16, "11-15", IF(SportClimbing[[#This Row],[Height (m)]]&lt;21, "16-20", IF(SportClimbing[[#This Row],[Height (m)]]&lt;26, "21-25", IF(SportClimbing[[#This Row],[Height (m)]]&lt;31, "26-30", IF(SportClimbing[[#This Row],[Height (m)]]&lt;36, "31-35", "35+"))))))</f>
        <v>26-30</v>
      </c>
      <c r="M99" t="s">
        <v>208</v>
      </c>
      <c r="N99">
        <v>2</v>
      </c>
      <c r="O99">
        <f>IF(ISNUMBER(SportClimbing[[#This Row],[Total number of tries]])=TRUE, SportClimbing[[#This Row],[Total number of tries]], 1)</f>
        <v>2</v>
      </c>
      <c r="P99" t="str">
        <f>IF(ISNUMBER(SportClimbing[[#This Row],[Total number of tries]])=TRUE, "redpoint", SportClimbing[[#This Row],[Total number of tries]])</f>
        <v>redpoint</v>
      </c>
      <c r="Q99">
        <f>_xlfn.XLOOKUP(SportClimbing[[#This Row],[Grade]],SCORE[GRADE],SCORE[SCORE],,)</f>
        <v>10</v>
      </c>
    </row>
    <row r="100" spans="1:17" x14ac:dyDescent="0.25">
      <c r="A100" s="21">
        <f>DATE(SportClimbing[[#This Row],[Year]],_xlfn.XLOOKUP(SportClimbing[[#This Row],[Month]],MONTHS[MONTHS 2],MONTHS[MONTHS 3]),SportClimbing[[#This Row],[Day]])</f>
        <v>44129</v>
      </c>
      <c r="B100" s="21" t="b">
        <f ca="1">AND(SportClimbing[[#This Row],[Date]] &gt;= TODAY()-365, SportClimbing[[#This Row],[Date]] &lt;= TODAY())</f>
        <v>0</v>
      </c>
      <c r="C100">
        <v>25</v>
      </c>
      <c r="D100" t="s">
        <v>162</v>
      </c>
      <c r="E100">
        <v>2020</v>
      </c>
      <c r="F100" t="s">
        <v>227</v>
      </c>
      <c r="G100" t="s">
        <v>3</v>
      </c>
      <c r="H100" t="s">
        <v>262</v>
      </c>
      <c r="I100" t="s">
        <v>43</v>
      </c>
      <c r="J100" t="s">
        <v>226</v>
      </c>
      <c r="K100">
        <v>30</v>
      </c>
      <c r="L100" t="str">
        <f>IF(SportClimbing[[#This Row],[Height (m)]]&lt;11, "0-10", IF(SportClimbing[[#This Row],[Height (m)]]&lt;16, "11-15", IF(SportClimbing[[#This Row],[Height (m)]]&lt;21, "16-20", IF(SportClimbing[[#This Row],[Height (m)]]&lt;26, "21-25", IF(SportClimbing[[#This Row],[Height (m)]]&lt;31, "26-30", IF(SportClimbing[[#This Row],[Height (m)]]&lt;36, "31-35", "35+"))))))</f>
        <v>26-30</v>
      </c>
      <c r="M100" t="s">
        <v>171</v>
      </c>
      <c r="N100" t="s">
        <v>130</v>
      </c>
      <c r="O100">
        <f>IF(ISNUMBER(SportClimbing[[#This Row],[Total number of tries]])=TRUE, SportClimbing[[#This Row],[Total number of tries]], 1)</f>
        <v>1</v>
      </c>
      <c r="P100" t="str">
        <f>IF(ISNUMBER(SportClimbing[[#This Row],[Total number of tries]])=TRUE, "redpoint", SportClimbing[[#This Row],[Total number of tries]])</f>
        <v>onsight</v>
      </c>
      <c r="Q100">
        <f>_xlfn.XLOOKUP(SportClimbing[[#This Row],[Grade]],SCORE[GRADE],SCORE[SCORE],,)</f>
        <v>10</v>
      </c>
    </row>
    <row r="101" spans="1:17" x14ac:dyDescent="0.25">
      <c r="A101" s="21">
        <f>DATE(SportClimbing[[#This Row],[Year]],_xlfn.XLOOKUP(SportClimbing[[#This Row],[Month]],MONTHS[MONTHS 2],MONTHS[MONTHS 3]),SportClimbing[[#This Row],[Day]])</f>
        <v>44308</v>
      </c>
      <c r="B101" s="21" t="b">
        <f ca="1">AND(SportClimbing[[#This Row],[Date]] &gt;= TODAY()-365, SportClimbing[[#This Row],[Date]] &lt;= TODAY())</f>
        <v>0</v>
      </c>
      <c r="C101">
        <v>22</v>
      </c>
      <c r="D101" t="s">
        <v>368</v>
      </c>
      <c r="E101">
        <v>2021</v>
      </c>
      <c r="F101" t="s">
        <v>234</v>
      </c>
      <c r="G101" t="s">
        <v>3</v>
      </c>
      <c r="H101" t="s">
        <v>262</v>
      </c>
      <c r="I101" t="s">
        <v>43</v>
      </c>
      <c r="J101" t="s">
        <v>228</v>
      </c>
      <c r="K101">
        <v>18</v>
      </c>
      <c r="L101" t="str">
        <f>IF(SportClimbing[[#This Row],[Height (m)]]&lt;11, "0-10", IF(SportClimbing[[#This Row],[Height (m)]]&lt;16, "11-15", IF(SportClimbing[[#This Row],[Height (m)]]&lt;21, "16-20", IF(SportClimbing[[#This Row],[Height (m)]]&lt;26, "21-25", IF(SportClimbing[[#This Row],[Height (m)]]&lt;31, "26-30", IF(SportClimbing[[#This Row],[Height (m)]]&lt;36, "31-35", "35+"))))))</f>
        <v>16-20</v>
      </c>
      <c r="M101" t="s">
        <v>230</v>
      </c>
      <c r="N101" t="s">
        <v>130</v>
      </c>
      <c r="O101">
        <f>IF(ISNUMBER(SportClimbing[[#This Row],[Total number of tries]])=TRUE, SportClimbing[[#This Row],[Total number of tries]], 1)</f>
        <v>1</v>
      </c>
      <c r="P101" t="str">
        <f>IF(ISNUMBER(SportClimbing[[#This Row],[Total number of tries]])=TRUE, "redpoint", SportClimbing[[#This Row],[Total number of tries]])</f>
        <v>onsight</v>
      </c>
      <c r="Q101">
        <f>_xlfn.XLOOKUP(SportClimbing[[#This Row],[Grade]],SCORE[GRADE],SCORE[SCORE],,)</f>
        <v>10</v>
      </c>
    </row>
    <row r="102" spans="1:17" x14ac:dyDescent="0.25">
      <c r="A102" s="21">
        <f>DATE(SportClimbing[[#This Row],[Year]],_xlfn.XLOOKUP(SportClimbing[[#This Row],[Month]],MONTHS[MONTHS 2],MONTHS[MONTHS 3]),SportClimbing[[#This Row],[Day]])</f>
        <v>44309</v>
      </c>
      <c r="B102" s="21" t="b">
        <f ca="1">AND(SportClimbing[[#This Row],[Date]] &gt;= TODAY()-365, SportClimbing[[#This Row],[Date]] &lt;= TODAY())</f>
        <v>0</v>
      </c>
      <c r="C102">
        <v>23</v>
      </c>
      <c r="D102" t="s">
        <v>368</v>
      </c>
      <c r="E102">
        <v>2021</v>
      </c>
      <c r="F102" t="s">
        <v>235</v>
      </c>
      <c r="G102" t="s">
        <v>21</v>
      </c>
      <c r="H102" t="s">
        <v>262</v>
      </c>
      <c r="I102" t="s">
        <v>43</v>
      </c>
      <c r="J102" t="s">
        <v>94</v>
      </c>
      <c r="K102">
        <v>40</v>
      </c>
      <c r="L102" t="str">
        <f>IF(SportClimbing[[#This Row],[Height (m)]]&lt;11, "0-10", IF(SportClimbing[[#This Row],[Height (m)]]&lt;16, "11-15", IF(SportClimbing[[#This Row],[Height (m)]]&lt;21, "16-20", IF(SportClimbing[[#This Row],[Height (m)]]&lt;26, "21-25", IF(SportClimbing[[#This Row],[Height (m)]]&lt;31, "26-30", IF(SportClimbing[[#This Row],[Height (m)]]&lt;36, "31-35", "35+"))))))</f>
        <v>35+</v>
      </c>
      <c r="M102" t="s">
        <v>231</v>
      </c>
      <c r="N102" t="s">
        <v>130</v>
      </c>
      <c r="O102">
        <f>IF(ISNUMBER(SportClimbing[[#This Row],[Total number of tries]])=TRUE, SportClimbing[[#This Row],[Total number of tries]], 1)</f>
        <v>1</v>
      </c>
      <c r="P102" t="str">
        <f>IF(ISNUMBER(SportClimbing[[#This Row],[Total number of tries]])=TRUE, "redpoint", SportClimbing[[#This Row],[Total number of tries]])</f>
        <v>onsight</v>
      </c>
      <c r="Q102">
        <f>_xlfn.XLOOKUP(SportClimbing[[#This Row],[Grade]],SCORE[GRADE],SCORE[SCORE],,)</f>
        <v>15</v>
      </c>
    </row>
    <row r="103" spans="1:17" x14ac:dyDescent="0.25">
      <c r="A103" s="21">
        <f>DATE(SportClimbing[[#This Row],[Year]],_xlfn.XLOOKUP(SportClimbing[[#This Row],[Month]],MONTHS[MONTHS 2],MONTHS[MONTHS 3]),SportClimbing[[#This Row],[Day]])</f>
        <v>44310</v>
      </c>
      <c r="B103" s="21" t="b">
        <f ca="1">AND(SportClimbing[[#This Row],[Date]] &gt;= TODAY()-365, SportClimbing[[#This Row],[Date]] &lt;= TODAY())</f>
        <v>0</v>
      </c>
      <c r="C103">
        <v>24</v>
      </c>
      <c r="D103" t="s">
        <v>368</v>
      </c>
      <c r="E103">
        <v>2021</v>
      </c>
      <c r="F103" t="s">
        <v>236</v>
      </c>
      <c r="G103" t="s">
        <v>3</v>
      </c>
      <c r="H103" t="s">
        <v>262</v>
      </c>
      <c r="I103" t="s">
        <v>43</v>
      </c>
      <c r="J103" t="s">
        <v>229</v>
      </c>
      <c r="K103">
        <v>15</v>
      </c>
      <c r="L103" t="str">
        <f>IF(SportClimbing[[#This Row],[Height (m)]]&lt;11, "0-10", IF(SportClimbing[[#This Row],[Height (m)]]&lt;16, "11-15", IF(SportClimbing[[#This Row],[Height (m)]]&lt;21, "16-20", IF(SportClimbing[[#This Row],[Height (m)]]&lt;26, "21-25", IF(SportClimbing[[#This Row],[Height (m)]]&lt;31, "26-30", IF(SportClimbing[[#This Row],[Height (m)]]&lt;36, "31-35", "35+"))))))</f>
        <v>11-15</v>
      </c>
      <c r="M103" t="s">
        <v>231</v>
      </c>
      <c r="N103">
        <v>2</v>
      </c>
      <c r="O103">
        <f>IF(ISNUMBER(SportClimbing[[#This Row],[Total number of tries]])=TRUE, SportClimbing[[#This Row],[Total number of tries]], 1)</f>
        <v>2</v>
      </c>
      <c r="P103" t="str">
        <f>IF(ISNUMBER(SportClimbing[[#This Row],[Total number of tries]])=TRUE, "redpoint", SportClimbing[[#This Row],[Total number of tries]])</f>
        <v>redpoint</v>
      </c>
      <c r="Q103">
        <f>_xlfn.XLOOKUP(SportClimbing[[#This Row],[Grade]],SCORE[GRADE],SCORE[SCORE],,)</f>
        <v>10</v>
      </c>
    </row>
    <row r="104" spans="1:17" x14ac:dyDescent="0.25">
      <c r="A104" s="21">
        <f>DATE(SportClimbing[[#This Row],[Year]],_xlfn.XLOOKUP(SportClimbing[[#This Row],[Month]],MONTHS[MONTHS 2],MONTHS[MONTHS 3]),SportClimbing[[#This Row],[Day]])</f>
        <v>44322</v>
      </c>
      <c r="B104" s="21" t="b">
        <f ca="1">AND(SportClimbing[[#This Row],[Date]] &gt;= TODAY()-365, SportClimbing[[#This Row],[Date]] &lt;= TODAY())</f>
        <v>0</v>
      </c>
      <c r="C104">
        <v>6</v>
      </c>
      <c r="D104" t="s">
        <v>155</v>
      </c>
      <c r="E104">
        <v>2021</v>
      </c>
      <c r="F104" t="s">
        <v>237</v>
      </c>
      <c r="G104" t="s">
        <v>3</v>
      </c>
      <c r="H104" t="s">
        <v>262</v>
      </c>
      <c r="I104" t="s">
        <v>100</v>
      </c>
      <c r="J104" t="s">
        <v>220</v>
      </c>
      <c r="K104">
        <v>20</v>
      </c>
      <c r="L104" t="str">
        <f>IF(SportClimbing[[#This Row],[Height (m)]]&lt;11, "0-10", IF(SportClimbing[[#This Row],[Height (m)]]&lt;16, "11-15", IF(SportClimbing[[#This Row],[Height (m)]]&lt;21, "16-20", IF(SportClimbing[[#This Row],[Height (m)]]&lt;26, "21-25", IF(SportClimbing[[#This Row],[Height (m)]]&lt;31, "26-30", IF(SportClimbing[[#This Row],[Height (m)]]&lt;36, "31-35", "35+"))))))</f>
        <v>16-20</v>
      </c>
      <c r="M104" t="s">
        <v>132</v>
      </c>
      <c r="N104" t="s">
        <v>130</v>
      </c>
      <c r="O104">
        <f>IF(ISNUMBER(SportClimbing[[#This Row],[Total number of tries]])=TRUE, SportClimbing[[#This Row],[Total number of tries]], 1)</f>
        <v>1</v>
      </c>
      <c r="P104" t="str">
        <f>IF(ISNUMBER(SportClimbing[[#This Row],[Total number of tries]])=TRUE, "redpoint", SportClimbing[[#This Row],[Total number of tries]])</f>
        <v>onsight</v>
      </c>
      <c r="Q104">
        <f>_xlfn.XLOOKUP(SportClimbing[[#This Row],[Grade]],SCORE[GRADE],SCORE[SCORE],,)</f>
        <v>10</v>
      </c>
    </row>
    <row r="105" spans="1:17" x14ac:dyDescent="0.25">
      <c r="A105" s="21">
        <f>DATE(SportClimbing[[#This Row],[Year]],_xlfn.XLOOKUP(SportClimbing[[#This Row],[Month]],MONTHS[MONTHS 2],MONTHS[MONTHS 3]),SportClimbing[[#This Row],[Day]])</f>
        <v>44330</v>
      </c>
      <c r="B105" s="21" t="b">
        <f ca="1">AND(SportClimbing[[#This Row],[Date]] &gt;= TODAY()-365, SportClimbing[[#This Row],[Date]] &lt;= TODAY())</f>
        <v>0</v>
      </c>
      <c r="C105">
        <v>14</v>
      </c>
      <c r="D105" t="s">
        <v>155</v>
      </c>
      <c r="E105">
        <v>2021</v>
      </c>
      <c r="F105" t="s">
        <v>239</v>
      </c>
      <c r="G105" t="s">
        <v>3</v>
      </c>
      <c r="H105" t="s">
        <v>262</v>
      </c>
      <c r="I105" t="s">
        <v>43</v>
      </c>
      <c r="J105" t="s">
        <v>238</v>
      </c>
      <c r="K105">
        <v>25</v>
      </c>
      <c r="L105" t="str">
        <f>IF(SportClimbing[[#This Row],[Height (m)]]&lt;11, "0-10", IF(SportClimbing[[#This Row],[Height (m)]]&lt;16, "11-15", IF(SportClimbing[[#This Row],[Height (m)]]&lt;21, "16-20", IF(SportClimbing[[#This Row],[Height (m)]]&lt;26, "21-25", IF(SportClimbing[[#This Row],[Height (m)]]&lt;31, "26-30", IF(SportClimbing[[#This Row],[Height (m)]]&lt;36, "31-35", "35+"))))))</f>
        <v>21-25</v>
      </c>
      <c r="M105" t="s">
        <v>231</v>
      </c>
      <c r="N105">
        <v>4</v>
      </c>
      <c r="O105">
        <f>IF(ISNUMBER(SportClimbing[[#This Row],[Total number of tries]])=TRUE, SportClimbing[[#This Row],[Total number of tries]], 1)</f>
        <v>4</v>
      </c>
      <c r="P105" t="str">
        <f>IF(ISNUMBER(SportClimbing[[#This Row],[Total number of tries]])=TRUE, "redpoint", SportClimbing[[#This Row],[Total number of tries]])</f>
        <v>redpoint</v>
      </c>
      <c r="Q105">
        <f>_xlfn.XLOOKUP(SportClimbing[[#This Row],[Grade]],SCORE[GRADE],SCORE[SCORE],,)</f>
        <v>10</v>
      </c>
    </row>
    <row r="106" spans="1:17" x14ac:dyDescent="0.25">
      <c r="A106" s="21">
        <f>DATE(SportClimbing[[#This Row],[Year]],_xlfn.XLOOKUP(SportClimbing[[#This Row],[Month]],MONTHS[MONTHS 2],MONTHS[MONTHS 3]),SportClimbing[[#This Row],[Day]])</f>
        <v>44335</v>
      </c>
      <c r="B106" s="21" t="b">
        <f ca="1">AND(SportClimbing[[#This Row],[Date]] &gt;= TODAY()-365, SportClimbing[[#This Row],[Date]] &lt;= TODAY())</f>
        <v>0</v>
      </c>
      <c r="C106">
        <v>19</v>
      </c>
      <c r="D106" t="s">
        <v>155</v>
      </c>
      <c r="E106">
        <v>2021</v>
      </c>
      <c r="F106" t="s">
        <v>240</v>
      </c>
      <c r="G106" t="s">
        <v>3</v>
      </c>
      <c r="H106" t="s">
        <v>262</v>
      </c>
      <c r="I106" t="s">
        <v>100</v>
      </c>
      <c r="J106" t="s">
        <v>243</v>
      </c>
      <c r="K106">
        <v>20</v>
      </c>
      <c r="L106" t="str">
        <f>IF(SportClimbing[[#This Row],[Height (m)]]&lt;11, "0-10", IF(SportClimbing[[#This Row],[Height (m)]]&lt;16, "11-15", IF(SportClimbing[[#This Row],[Height (m)]]&lt;21, "16-20", IF(SportClimbing[[#This Row],[Height (m)]]&lt;26, "21-25", IF(SportClimbing[[#This Row],[Height (m)]]&lt;31, "26-30", IF(SportClimbing[[#This Row],[Height (m)]]&lt;36, "31-35", "35+"))))))</f>
        <v>16-20</v>
      </c>
      <c r="M106" t="s">
        <v>231</v>
      </c>
      <c r="N106" t="s">
        <v>11</v>
      </c>
      <c r="O106">
        <f>IF(ISNUMBER(SportClimbing[[#This Row],[Total number of tries]])=TRUE, SportClimbing[[#This Row],[Total number of tries]], 1)</f>
        <v>1</v>
      </c>
      <c r="P106" t="str">
        <f>IF(ISNUMBER(SportClimbing[[#This Row],[Total number of tries]])=TRUE, "redpoint", SportClimbing[[#This Row],[Total number of tries]])</f>
        <v>flash</v>
      </c>
      <c r="Q106">
        <f>_xlfn.XLOOKUP(SportClimbing[[#This Row],[Grade]],SCORE[GRADE],SCORE[SCORE],,)</f>
        <v>10</v>
      </c>
    </row>
    <row r="107" spans="1:17" x14ac:dyDescent="0.25">
      <c r="A107" s="21">
        <f>DATE(SportClimbing[[#This Row],[Year]],_xlfn.XLOOKUP(SportClimbing[[#This Row],[Month]],MONTHS[MONTHS 2],MONTHS[MONTHS 3]),SportClimbing[[#This Row],[Day]])</f>
        <v>44336</v>
      </c>
      <c r="B107" s="21" t="b">
        <f ca="1">AND(SportClimbing[[#This Row],[Date]] &gt;= TODAY()-365, SportClimbing[[#This Row],[Date]] &lt;= TODAY())</f>
        <v>0</v>
      </c>
      <c r="C107">
        <v>20</v>
      </c>
      <c r="D107" t="s">
        <v>155</v>
      </c>
      <c r="E107">
        <v>2021</v>
      </c>
      <c r="F107" t="s">
        <v>241</v>
      </c>
      <c r="G107" t="s">
        <v>29</v>
      </c>
      <c r="H107" t="s">
        <v>262</v>
      </c>
      <c r="I107" t="s">
        <v>100</v>
      </c>
      <c r="J107" t="s">
        <v>242</v>
      </c>
      <c r="K107">
        <v>20</v>
      </c>
      <c r="L107" t="str">
        <f>IF(SportClimbing[[#This Row],[Height (m)]]&lt;11, "0-10", IF(SportClimbing[[#This Row],[Height (m)]]&lt;16, "11-15", IF(SportClimbing[[#This Row],[Height (m)]]&lt;21, "16-20", IF(SportClimbing[[#This Row],[Height (m)]]&lt;26, "21-25", IF(SportClimbing[[#This Row],[Height (m)]]&lt;31, "26-30", IF(SportClimbing[[#This Row],[Height (m)]]&lt;36, "31-35", "35+"))))))</f>
        <v>16-20</v>
      </c>
      <c r="M107" t="s">
        <v>132</v>
      </c>
      <c r="N107">
        <v>5</v>
      </c>
      <c r="O107">
        <f>IF(ISNUMBER(SportClimbing[[#This Row],[Total number of tries]])=TRUE, SportClimbing[[#This Row],[Total number of tries]], 1)</f>
        <v>5</v>
      </c>
      <c r="P107" t="str">
        <f>IF(ISNUMBER(SportClimbing[[#This Row],[Total number of tries]])=TRUE, "redpoint", SportClimbing[[#This Row],[Total number of tries]])</f>
        <v>redpoint</v>
      </c>
      <c r="Q107">
        <f>_xlfn.XLOOKUP(SportClimbing[[#This Row],[Grade]],SCORE[GRADE],SCORE[SCORE],,)</f>
        <v>25</v>
      </c>
    </row>
    <row r="108" spans="1:17" x14ac:dyDescent="0.25">
      <c r="A108" s="21">
        <f>DATE(SportClimbing[[#This Row],[Year]],_xlfn.XLOOKUP(SportClimbing[[#This Row],[Month]],MONTHS[MONTHS 2],MONTHS[MONTHS 3]),SportClimbing[[#This Row],[Day]])</f>
        <v>44343</v>
      </c>
      <c r="B108" s="21" t="b">
        <f ca="1">AND(SportClimbing[[#This Row],[Date]] &gt;= TODAY()-365, SportClimbing[[#This Row],[Date]] &lt;= TODAY())</f>
        <v>0</v>
      </c>
      <c r="C108">
        <v>27</v>
      </c>
      <c r="D108" t="s">
        <v>155</v>
      </c>
      <c r="E108">
        <v>2021</v>
      </c>
      <c r="F108" t="s">
        <v>245</v>
      </c>
      <c r="G108" t="s">
        <v>29</v>
      </c>
      <c r="H108" t="s">
        <v>262</v>
      </c>
      <c r="I108" t="s">
        <v>100</v>
      </c>
      <c r="J108" t="s">
        <v>242</v>
      </c>
      <c r="K108">
        <v>16</v>
      </c>
      <c r="L108" t="str">
        <f>IF(SportClimbing[[#This Row],[Height (m)]]&lt;11, "0-10", IF(SportClimbing[[#This Row],[Height (m)]]&lt;16, "11-15", IF(SportClimbing[[#This Row],[Height (m)]]&lt;21, "16-20", IF(SportClimbing[[#This Row],[Height (m)]]&lt;26, "21-25", IF(SportClimbing[[#This Row],[Height (m)]]&lt;31, "26-30", IF(SportClimbing[[#This Row],[Height (m)]]&lt;36, "31-35", "35+"))))))</f>
        <v>16-20</v>
      </c>
      <c r="M108" t="s">
        <v>132</v>
      </c>
      <c r="N108">
        <v>6</v>
      </c>
      <c r="O108">
        <f>IF(ISNUMBER(SportClimbing[[#This Row],[Total number of tries]])=TRUE, SportClimbing[[#This Row],[Total number of tries]], 1)</f>
        <v>6</v>
      </c>
      <c r="P108" t="str">
        <f>IF(ISNUMBER(SportClimbing[[#This Row],[Total number of tries]])=TRUE, "redpoint", SportClimbing[[#This Row],[Total number of tries]])</f>
        <v>redpoint</v>
      </c>
      <c r="Q108">
        <f>_xlfn.XLOOKUP(SportClimbing[[#This Row],[Grade]],SCORE[GRADE],SCORE[SCORE],,)</f>
        <v>25</v>
      </c>
    </row>
    <row r="109" spans="1:17" x14ac:dyDescent="0.25">
      <c r="A109" s="21">
        <f>DATE(SportClimbing[[#This Row],[Year]],_xlfn.XLOOKUP(SportClimbing[[#This Row],[Month]],MONTHS[MONTHS 2],MONTHS[MONTHS 3]),SportClimbing[[#This Row],[Day]])</f>
        <v>44345</v>
      </c>
      <c r="B109" s="21" t="b">
        <f ca="1">AND(SportClimbing[[#This Row],[Date]] &gt;= TODAY()-365, SportClimbing[[#This Row],[Date]] &lt;= TODAY())</f>
        <v>0</v>
      </c>
      <c r="C109">
        <v>29</v>
      </c>
      <c r="D109" t="s">
        <v>155</v>
      </c>
      <c r="E109">
        <v>2021</v>
      </c>
      <c r="F109" t="s">
        <v>246</v>
      </c>
      <c r="G109" t="s">
        <v>3</v>
      </c>
      <c r="H109" t="s">
        <v>262</v>
      </c>
      <c r="I109" t="s">
        <v>43</v>
      </c>
      <c r="J109" t="s">
        <v>91</v>
      </c>
      <c r="K109">
        <v>20</v>
      </c>
      <c r="L109" t="str">
        <f>IF(SportClimbing[[#This Row],[Height (m)]]&lt;11, "0-10", IF(SportClimbing[[#This Row],[Height (m)]]&lt;16, "11-15", IF(SportClimbing[[#This Row],[Height (m)]]&lt;21, "16-20", IF(SportClimbing[[#This Row],[Height (m)]]&lt;26, "21-25", IF(SportClimbing[[#This Row],[Height (m)]]&lt;31, "26-30", IF(SportClimbing[[#This Row],[Height (m)]]&lt;36, "31-35", "35+"))))))</f>
        <v>16-20</v>
      </c>
      <c r="M109" t="s">
        <v>104</v>
      </c>
      <c r="N109" t="s">
        <v>130</v>
      </c>
      <c r="O109">
        <f>IF(ISNUMBER(SportClimbing[[#This Row],[Total number of tries]])=TRUE, SportClimbing[[#This Row],[Total number of tries]], 1)</f>
        <v>1</v>
      </c>
      <c r="P109" t="str">
        <f>IF(ISNUMBER(SportClimbing[[#This Row],[Total number of tries]])=TRUE, "redpoint", SportClimbing[[#This Row],[Total number of tries]])</f>
        <v>onsight</v>
      </c>
      <c r="Q109">
        <f>_xlfn.XLOOKUP(SportClimbing[[#This Row],[Grade]],SCORE[GRADE],SCORE[SCORE],,)</f>
        <v>10</v>
      </c>
    </row>
    <row r="110" spans="1:17" x14ac:dyDescent="0.25">
      <c r="A110" s="21">
        <f>DATE(SportClimbing[[#This Row],[Year]],_xlfn.XLOOKUP(SportClimbing[[#This Row],[Month]],MONTHS[MONTHS 2],MONTHS[MONTHS 3]),SportClimbing[[#This Row],[Day]])</f>
        <v>44346</v>
      </c>
      <c r="B110" s="21" t="b">
        <f ca="1">AND(SportClimbing[[#This Row],[Date]] &gt;= TODAY()-365, SportClimbing[[#This Row],[Date]] &lt;= TODAY())</f>
        <v>0</v>
      </c>
      <c r="C110">
        <v>30</v>
      </c>
      <c r="D110" t="s">
        <v>155</v>
      </c>
      <c r="E110">
        <v>2021</v>
      </c>
      <c r="F110" t="s">
        <v>247</v>
      </c>
      <c r="G110" t="s">
        <v>21</v>
      </c>
      <c r="H110" t="s">
        <v>262</v>
      </c>
      <c r="I110" t="s">
        <v>43</v>
      </c>
      <c r="J110" t="s">
        <v>44</v>
      </c>
      <c r="K110">
        <v>25</v>
      </c>
      <c r="L110" t="str">
        <f>IF(SportClimbing[[#This Row],[Height (m)]]&lt;11, "0-10", IF(SportClimbing[[#This Row],[Height (m)]]&lt;16, "11-15", IF(SportClimbing[[#This Row],[Height (m)]]&lt;21, "16-20", IF(SportClimbing[[#This Row],[Height (m)]]&lt;26, "21-25", IF(SportClimbing[[#This Row],[Height (m)]]&lt;31, "26-30", IF(SportClimbing[[#This Row],[Height (m)]]&lt;36, "31-35", "35+"))))))</f>
        <v>21-25</v>
      </c>
      <c r="M110" t="s">
        <v>104</v>
      </c>
      <c r="N110">
        <v>2</v>
      </c>
      <c r="O110">
        <f>IF(ISNUMBER(SportClimbing[[#This Row],[Total number of tries]])=TRUE, SportClimbing[[#This Row],[Total number of tries]], 1)</f>
        <v>2</v>
      </c>
      <c r="P110" t="str">
        <f>IF(ISNUMBER(SportClimbing[[#This Row],[Total number of tries]])=TRUE, "redpoint", SportClimbing[[#This Row],[Total number of tries]])</f>
        <v>redpoint</v>
      </c>
      <c r="Q110">
        <f>_xlfn.XLOOKUP(SportClimbing[[#This Row],[Grade]],SCORE[GRADE],SCORE[SCORE],,)</f>
        <v>15</v>
      </c>
    </row>
    <row r="111" spans="1:17" x14ac:dyDescent="0.25">
      <c r="A111" s="21">
        <f>DATE(SportClimbing[[#This Row],[Year]],_xlfn.XLOOKUP(SportClimbing[[#This Row],[Month]],MONTHS[MONTHS 2],MONTHS[MONTHS 3]),SportClimbing[[#This Row],[Day]])</f>
        <v>44349</v>
      </c>
      <c r="B111" s="21" t="b">
        <f ca="1">AND(SportClimbing[[#This Row],[Date]] &gt;= TODAY()-365, SportClimbing[[#This Row],[Date]] &lt;= TODAY())</f>
        <v>0</v>
      </c>
      <c r="C111">
        <v>2</v>
      </c>
      <c r="D111" t="s">
        <v>366</v>
      </c>
      <c r="E111">
        <v>2021</v>
      </c>
      <c r="F111" t="s">
        <v>248</v>
      </c>
      <c r="G111" t="s">
        <v>21</v>
      </c>
      <c r="H111" t="s">
        <v>262</v>
      </c>
      <c r="I111" t="s">
        <v>100</v>
      </c>
      <c r="J111" t="s">
        <v>250</v>
      </c>
      <c r="K111">
        <v>18</v>
      </c>
      <c r="L111" t="str">
        <f>IF(SportClimbing[[#This Row],[Height (m)]]&lt;11, "0-10", IF(SportClimbing[[#This Row],[Height (m)]]&lt;16, "11-15", IF(SportClimbing[[#This Row],[Height (m)]]&lt;21, "16-20", IF(SportClimbing[[#This Row],[Height (m)]]&lt;26, "21-25", IF(SportClimbing[[#This Row],[Height (m)]]&lt;31, "26-30", IF(SportClimbing[[#This Row],[Height (m)]]&lt;36, "31-35", "35+"))))))</f>
        <v>16-20</v>
      </c>
      <c r="M111" t="s">
        <v>132</v>
      </c>
      <c r="N111" t="s">
        <v>130</v>
      </c>
      <c r="O111">
        <f>IF(ISNUMBER(SportClimbing[[#This Row],[Total number of tries]])=TRUE, SportClimbing[[#This Row],[Total number of tries]], 1)</f>
        <v>1</v>
      </c>
      <c r="P111" t="str">
        <f>IF(ISNUMBER(SportClimbing[[#This Row],[Total number of tries]])=TRUE, "redpoint", SportClimbing[[#This Row],[Total number of tries]])</f>
        <v>onsight</v>
      </c>
      <c r="Q111">
        <f>_xlfn.XLOOKUP(SportClimbing[[#This Row],[Grade]],SCORE[GRADE],SCORE[SCORE],,)</f>
        <v>15</v>
      </c>
    </row>
    <row r="112" spans="1:17" x14ac:dyDescent="0.25">
      <c r="A112" s="21">
        <f>DATE(SportClimbing[[#This Row],[Year]],_xlfn.XLOOKUP(SportClimbing[[#This Row],[Month]],MONTHS[MONTHS 2],MONTHS[MONTHS 3]),SportClimbing[[#This Row],[Day]])</f>
        <v>44349</v>
      </c>
      <c r="B112" s="21" t="b">
        <f ca="1">AND(SportClimbing[[#This Row],[Date]] &gt;= TODAY()-365, SportClimbing[[#This Row],[Date]] &lt;= TODAY())</f>
        <v>0</v>
      </c>
      <c r="C112">
        <v>2</v>
      </c>
      <c r="D112" t="s">
        <v>366</v>
      </c>
      <c r="E112">
        <v>2021</v>
      </c>
      <c r="F112" t="s">
        <v>249</v>
      </c>
      <c r="G112" t="s">
        <v>3</v>
      </c>
      <c r="H112" t="s">
        <v>262</v>
      </c>
      <c r="I112" t="s">
        <v>100</v>
      </c>
      <c r="J112" t="s">
        <v>250</v>
      </c>
      <c r="K112">
        <v>18</v>
      </c>
      <c r="L112" t="str">
        <f>IF(SportClimbing[[#This Row],[Height (m)]]&lt;11, "0-10", IF(SportClimbing[[#This Row],[Height (m)]]&lt;16, "11-15", IF(SportClimbing[[#This Row],[Height (m)]]&lt;21, "16-20", IF(SportClimbing[[#This Row],[Height (m)]]&lt;26, "21-25", IF(SportClimbing[[#This Row],[Height (m)]]&lt;31, "26-30", IF(SportClimbing[[#This Row],[Height (m)]]&lt;36, "31-35", "35+"))))))</f>
        <v>16-20</v>
      </c>
      <c r="M112" t="s">
        <v>132</v>
      </c>
      <c r="N112">
        <v>2</v>
      </c>
      <c r="O112">
        <f>IF(ISNUMBER(SportClimbing[[#This Row],[Total number of tries]])=TRUE, SportClimbing[[#This Row],[Total number of tries]], 1)</f>
        <v>2</v>
      </c>
      <c r="P112" t="str">
        <f>IF(ISNUMBER(SportClimbing[[#This Row],[Total number of tries]])=TRUE, "redpoint", SportClimbing[[#This Row],[Total number of tries]])</f>
        <v>redpoint</v>
      </c>
      <c r="Q112">
        <f>_xlfn.XLOOKUP(SportClimbing[[#This Row],[Grade]],SCORE[GRADE],SCORE[SCORE],,)</f>
        <v>10</v>
      </c>
    </row>
    <row r="113" spans="1:17" x14ac:dyDescent="0.25">
      <c r="A113" s="21">
        <f>DATE(SportClimbing[[#This Row],[Year]],_xlfn.XLOOKUP(SportClimbing[[#This Row],[Month]],MONTHS[MONTHS 2],MONTHS[MONTHS 3]),SportClimbing[[#This Row],[Day]])</f>
        <v>44360</v>
      </c>
      <c r="B113" s="21" t="b">
        <f ca="1">AND(SportClimbing[[#This Row],[Date]] &gt;= TODAY()-365, SportClimbing[[#This Row],[Date]] &lt;= TODAY())</f>
        <v>0</v>
      </c>
      <c r="C113">
        <v>13</v>
      </c>
      <c r="D113" t="s">
        <v>366</v>
      </c>
      <c r="E113">
        <v>2021</v>
      </c>
      <c r="F113" t="s">
        <v>251</v>
      </c>
      <c r="G113" t="s">
        <v>69</v>
      </c>
      <c r="H113" t="s">
        <v>262</v>
      </c>
      <c r="I113" t="s">
        <v>100</v>
      </c>
      <c r="J113" t="s">
        <v>250</v>
      </c>
      <c r="K113">
        <v>22</v>
      </c>
      <c r="L113" t="str">
        <f>IF(SportClimbing[[#This Row],[Height (m)]]&lt;11, "0-10", IF(SportClimbing[[#This Row],[Height (m)]]&lt;16, "11-15", IF(SportClimbing[[#This Row],[Height (m)]]&lt;21, "16-20", IF(SportClimbing[[#This Row],[Height (m)]]&lt;26, "21-25", IF(SportClimbing[[#This Row],[Height (m)]]&lt;31, "26-30", IF(SportClimbing[[#This Row],[Height (m)]]&lt;36, "31-35", "35+"))))))</f>
        <v>21-25</v>
      </c>
      <c r="M113" t="s">
        <v>252</v>
      </c>
      <c r="N113">
        <v>7</v>
      </c>
      <c r="O113">
        <f>IF(ISNUMBER(SportClimbing[[#This Row],[Total number of tries]])=TRUE, SportClimbing[[#This Row],[Total number of tries]], 1)</f>
        <v>7</v>
      </c>
      <c r="P113" t="str">
        <f>IF(ISNUMBER(SportClimbing[[#This Row],[Total number of tries]])=TRUE, "redpoint", SportClimbing[[#This Row],[Total number of tries]])</f>
        <v>redpoint</v>
      </c>
      <c r="Q113">
        <f>_xlfn.XLOOKUP(SportClimbing[[#This Row],[Grade]],SCORE[GRADE],SCORE[SCORE],,)</f>
        <v>60</v>
      </c>
    </row>
    <row r="114" spans="1:17" x14ac:dyDescent="0.25">
      <c r="A114" s="21">
        <f>DATE(SportClimbing[[#This Row],[Year]],_xlfn.XLOOKUP(SportClimbing[[#This Row],[Month]],MONTHS[MONTHS 2],MONTHS[MONTHS 3]),SportClimbing[[#This Row],[Day]])</f>
        <v>44367</v>
      </c>
      <c r="B114" s="21" t="b">
        <f ca="1">AND(SportClimbing[[#This Row],[Date]] &gt;= TODAY()-365, SportClimbing[[#This Row],[Date]] &lt;= TODAY())</f>
        <v>0</v>
      </c>
      <c r="C114">
        <v>20</v>
      </c>
      <c r="D114" t="s">
        <v>366</v>
      </c>
      <c r="E114">
        <v>2021</v>
      </c>
      <c r="F114" t="s">
        <v>253</v>
      </c>
      <c r="G114" t="s">
        <v>21</v>
      </c>
      <c r="H114" t="s">
        <v>262</v>
      </c>
      <c r="I114" t="s">
        <v>100</v>
      </c>
      <c r="J114" t="s">
        <v>250</v>
      </c>
      <c r="K114">
        <v>18</v>
      </c>
      <c r="L114" t="str">
        <f>IF(SportClimbing[[#This Row],[Height (m)]]&lt;11, "0-10", IF(SportClimbing[[#This Row],[Height (m)]]&lt;16, "11-15", IF(SportClimbing[[#This Row],[Height (m)]]&lt;21, "16-20", IF(SportClimbing[[#This Row],[Height (m)]]&lt;26, "21-25", IF(SportClimbing[[#This Row],[Height (m)]]&lt;31, "26-30", IF(SportClimbing[[#This Row],[Height (m)]]&lt;36, "31-35", "35+"))))))</f>
        <v>16-20</v>
      </c>
      <c r="M114" t="s">
        <v>230</v>
      </c>
      <c r="N114" t="s">
        <v>130</v>
      </c>
      <c r="O114">
        <f>IF(ISNUMBER(SportClimbing[[#This Row],[Total number of tries]])=TRUE, SportClimbing[[#This Row],[Total number of tries]], 1)</f>
        <v>1</v>
      </c>
      <c r="P114" t="str">
        <f>IF(ISNUMBER(SportClimbing[[#This Row],[Total number of tries]])=TRUE, "redpoint", SportClimbing[[#This Row],[Total number of tries]])</f>
        <v>onsight</v>
      </c>
      <c r="Q114">
        <f>_xlfn.XLOOKUP(SportClimbing[[#This Row],[Grade]],SCORE[GRADE],SCORE[SCORE],,)</f>
        <v>15</v>
      </c>
    </row>
    <row r="115" spans="1:17" x14ac:dyDescent="0.25">
      <c r="A115" s="21">
        <f>DATE(SportClimbing[[#This Row],[Year]],_xlfn.XLOOKUP(SportClimbing[[#This Row],[Month]],MONTHS[MONTHS 2],MONTHS[MONTHS 3]),SportClimbing[[#This Row],[Day]])</f>
        <v>44367</v>
      </c>
      <c r="B115" s="21" t="b">
        <f ca="1">AND(SportClimbing[[#This Row],[Date]] &gt;= TODAY()-365, SportClimbing[[#This Row],[Date]] &lt;= TODAY())</f>
        <v>0</v>
      </c>
      <c r="C115">
        <v>20</v>
      </c>
      <c r="D115" t="s">
        <v>366</v>
      </c>
      <c r="E115">
        <v>2021</v>
      </c>
      <c r="F115" t="s">
        <v>254</v>
      </c>
      <c r="G115" t="s">
        <v>29</v>
      </c>
      <c r="H115" t="s">
        <v>262</v>
      </c>
      <c r="I115" t="s">
        <v>100</v>
      </c>
      <c r="J115" t="s">
        <v>250</v>
      </c>
      <c r="K115">
        <v>18</v>
      </c>
      <c r="L115" t="str">
        <f>IF(SportClimbing[[#This Row],[Height (m)]]&lt;11, "0-10", IF(SportClimbing[[#This Row],[Height (m)]]&lt;16, "11-15", IF(SportClimbing[[#This Row],[Height (m)]]&lt;21, "16-20", IF(SportClimbing[[#This Row],[Height (m)]]&lt;26, "21-25", IF(SportClimbing[[#This Row],[Height (m)]]&lt;31, "26-30", IF(SportClimbing[[#This Row],[Height (m)]]&lt;36, "31-35", "35+"))))))</f>
        <v>16-20</v>
      </c>
      <c r="M115" t="s">
        <v>230</v>
      </c>
      <c r="N115" t="s">
        <v>130</v>
      </c>
      <c r="O115">
        <f>IF(ISNUMBER(SportClimbing[[#This Row],[Total number of tries]])=TRUE, SportClimbing[[#This Row],[Total number of tries]], 1)</f>
        <v>1</v>
      </c>
      <c r="P115" t="str">
        <f>IF(ISNUMBER(SportClimbing[[#This Row],[Total number of tries]])=TRUE, "redpoint", SportClimbing[[#This Row],[Total number of tries]])</f>
        <v>onsight</v>
      </c>
      <c r="Q115">
        <f>_xlfn.XLOOKUP(SportClimbing[[#This Row],[Grade]],SCORE[GRADE],SCORE[SCORE],,)</f>
        <v>25</v>
      </c>
    </row>
    <row r="116" spans="1:17" x14ac:dyDescent="0.25">
      <c r="A116" s="21">
        <f>DATE(SportClimbing[[#This Row],[Year]],_xlfn.XLOOKUP(SportClimbing[[#This Row],[Month]],MONTHS[MONTHS 2],MONTHS[MONTHS 3]),SportClimbing[[#This Row],[Day]])</f>
        <v>44371</v>
      </c>
      <c r="B116" s="21" t="b">
        <f ca="1">AND(SportClimbing[[#This Row],[Date]] &gt;= TODAY()-365, SportClimbing[[#This Row],[Date]] &lt;= TODAY())</f>
        <v>0</v>
      </c>
      <c r="C116">
        <v>24</v>
      </c>
      <c r="D116" t="s">
        <v>366</v>
      </c>
      <c r="E116">
        <v>2021</v>
      </c>
      <c r="F116" t="s">
        <v>255</v>
      </c>
      <c r="G116" t="s">
        <v>21</v>
      </c>
      <c r="H116" t="s">
        <v>262</v>
      </c>
      <c r="I116" t="s">
        <v>100</v>
      </c>
      <c r="J116" t="s">
        <v>250</v>
      </c>
      <c r="K116">
        <v>18</v>
      </c>
      <c r="L116" t="str">
        <f>IF(SportClimbing[[#This Row],[Height (m)]]&lt;11, "0-10", IF(SportClimbing[[#This Row],[Height (m)]]&lt;16, "11-15", IF(SportClimbing[[#This Row],[Height (m)]]&lt;21, "16-20", IF(SportClimbing[[#This Row],[Height (m)]]&lt;26, "21-25", IF(SportClimbing[[#This Row],[Height (m)]]&lt;31, "26-30", IF(SportClimbing[[#This Row],[Height (m)]]&lt;36, "31-35", "35+"))))))</f>
        <v>16-20</v>
      </c>
      <c r="M116" t="s">
        <v>132</v>
      </c>
      <c r="N116">
        <v>2</v>
      </c>
      <c r="O116">
        <f>IF(ISNUMBER(SportClimbing[[#This Row],[Total number of tries]])=TRUE, SportClimbing[[#This Row],[Total number of tries]], 1)</f>
        <v>2</v>
      </c>
      <c r="P116" t="str">
        <f>IF(ISNUMBER(SportClimbing[[#This Row],[Total number of tries]])=TRUE, "redpoint", SportClimbing[[#This Row],[Total number of tries]])</f>
        <v>redpoint</v>
      </c>
      <c r="Q116">
        <f>_xlfn.XLOOKUP(SportClimbing[[#This Row],[Grade]],SCORE[GRADE],SCORE[SCORE],,)</f>
        <v>15</v>
      </c>
    </row>
    <row r="117" spans="1:17" x14ac:dyDescent="0.25">
      <c r="A117" s="21">
        <f>DATE(SportClimbing[[#This Row],[Year]],_xlfn.XLOOKUP(SportClimbing[[#This Row],[Month]],MONTHS[MONTHS 2],MONTHS[MONTHS 3]),SportClimbing[[#This Row],[Day]])</f>
        <v>44514</v>
      </c>
      <c r="B117" s="21" t="b">
        <f ca="1">AND(SportClimbing[[#This Row],[Date]] &gt;= TODAY()-365, SportClimbing[[#This Row],[Date]] &lt;= TODAY())</f>
        <v>0</v>
      </c>
      <c r="C117">
        <v>14</v>
      </c>
      <c r="D117" t="s">
        <v>160</v>
      </c>
      <c r="E117">
        <v>2021</v>
      </c>
      <c r="F117" t="s">
        <v>257</v>
      </c>
      <c r="G117" t="s">
        <v>3</v>
      </c>
      <c r="H117" t="s">
        <v>262</v>
      </c>
      <c r="I117" t="s">
        <v>43</v>
      </c>
      <c r="J117" t="s">
        <v>226</v>
      </c>
      <c r="K117">
        <v>25</v>
      </c>
      <c r="L117" t="str">
        <f>IF(SportClimbing[[#This Row],[Height (m)]]&lt;11, "0-10", IF(SportClimbing[[#This Row],[Height (m)]]&lt;16, "11-15", IF(SportClimbing[[#This Row],[Height (m)]]&lt;21, "16-20", IF(SportClimbing[[#This Row],[Height (m)]]&lt;26, "21-25", IF(SportClimbing[[#This Row],[Height (m)]]&lt;31, "26-30", IF(SportClimbing[[#This Row],[Height (m)]]&lt;36, "31-35", "35+"))))))</f>
        <v>21-25</v>
      </c>
      <c r="M117" t="s">
        <v>230</v>
      </c>
      <c r="N117" t="s">
        <v>130</v>
      </c>
      <c r="O117">
        <f>IF(ISNUMBER(SportClimbing[[#This Row],[Total number of tries]])=TRUE, SportClimbing[[#This Row],[Total number of tries]], 1)</f>
        <v>1</v>
      </c>
      <c r="P117" t="str">
        <f>IF(ISNUMBER(SportClimbing[[#This Row],[Total number of tries]])=TRUE, "redpoint", SportClimbing[[#This Row],[Total number of tries]])</f>
        <v>onsight</v>
      </c>
      <c r="Q117">
        <f>_xlfn.XLOOKUP(SportClimbing[[#This Row],[Grade]],SCORE[GRADE],SCORE[SCORE],,)</f>
        <v>10</v>
      </c>
    </row>
    <row r="118" spans="1:17" x14ac:dyDescent="0.25">
      <c r="A118" s="21">
        <f>DATE(SportClimbing[[#This Row],[Year]],_xlfn.XLOOKUP(SportClimbing[[#This Row],[Month]],MONTHS[MONTHS 2],MONTHS[MONTHS 3]),SportClimbing[[#This Row],[Day]])</f>
        <v>44591</v>
      </c>
      <c r="B118" s="21" t="b">
        <f ca="1">AND(SportClimbing[[#This Row],[Date]] &gt;= TODAY()-365, SportClimbing[[#This Row],[Date]] &lt;= TODAY())</f>
        <v>0</v>
      </c>
      <c r="C118">
        <v>30</v>
      </c>
      <c r="D118" t="s">
        <v>151</v>
      </c>
      <c r="E118">
        <v>2022</v>
      </c>
      <c r="F118" t="s">
        <v>259</v>
      </c>
      <c r="G118" t="s">
        <v>163</v>
      </c>
      <c r="H118" t="s">
        <v>262</v>
      </c>
      <c r="I118" t="s">
        <v>22</v>
      </c>
      <c r="J118" t="s">
        <v>23</v>
      </c>
      <c r="K118">
        <v>20</v>
      </c>
      <c r="L118" t="str">
        <f>IF(SportClimbing[[#This Row],[Height (m)]]&lt;11, "0-10", IF(SportClimbing[[#This Row],[Height (m)]]&lt;16, "11-15", IF(SportClimbing[[#This Row],[Height (m)]]&lt;21, "16-20", IF(SportClimbing[[#This Row],[Height (m)]]&lt;26, "21-25", IF(SportClimbing[[#This Row],[Height (m)]]&lt;31, "26-30", IF(SportClimbing[[#This Row],[Height (m)]]&lt;36, "31-35", "35+"))))))</f>
        <v>16-20</v>
      </c>
      <c r="M118" t="s">
        <v>132</v>
      </c>
      <c r="N118">
        <v>40</v>
      </c>
      <c r="O118">
        <f>IF(ISNUMBER(SportClimbing[[#This Row],[Total number of tries]])=TRUE, SportClimbing[[#This Row],[Total number of tries]], 1)</f>
        <v>40</v>
      </c>
      <c r="P118" t="str">
        <f>IF(ISNUMBER(SportClimbing[[#This Row],[Total number of tries]])=TRUE, "redpoint", SportClimbing[[#This Row],[Total number of tries]])</f>
        <v>redpoint</v>
      </c>
      <c r="Q118">
        <f>_xlfn.XLOOKUP(SportClimbing[[#This Row],[Grade]],SCORE[GRADE],SCORE[SCORE],,)</f>
        <v>80</v>
      </c>
    </row>
    <row r="119" spans="1:17" x14ac:dyDescent="0.25">
      <c r="A119" s="21">
        <f>DATE(SportClimbing[[#This Row],[Year]],_xlfn.XLOOKUP(SportClimbing[[#This Row],[Month]],MONTHS[MONTHS 2],MONTHS[MONTHS 3]),SportClimbing[[#This Row],[Day]])</f>
        <v>44602</v>
      </c>
      <c r="B119" s="21" t="b">
        <f ca="1">AND(SportClimbing[[#This Row],[Date]] &gt;= TODAY()-365, SportClimbing[[#This Row],[Date]] &lt;= TODAY())</f>
        <v>0</v>
      </c>
      <c r="C119">
        <v>10</v>
      </c>
      <c r="D119" t="s">
        <v>152</v>
      </c>
      <c r="E119">
        <v>2022</v>
      </c>
      <c r="F119" t="s">
        <v>266</v>
      </c>
      <c r="G119" t="s">
        <v>3</v>
      </c>
      <c r="H119" t="s">
        <v>262</v>
      </c>
      <c r="I119" t="s">
        <v>265</v>
      </c>
      <c r="J119" t="s">
        <v>271</v>
      </c>
      <c r="K119">
        <v>15</v>
      </c>
      <c r="L119" t="str">
        <f>IF(SportClimbing[[#This Row],[Height (m)]]&lt;11, "0-10", IF(SportClimbing[[#This Row],[Height (m)]]&lt;16, "11-15", IF(SportClimbing[[#This Row],[Height (m)]]&lt;21, "16-20", IF(SportClimbing[[#This Row],[Height (m)]]&lt;26, "21-25", IF(SportClimbing[[#This Row],[Height (m)]]&lt;31, "26-30", IF(SportClimbing[[#This Row],[Height (m)]]&lt;36, "31-35", "35+"))))))</f>
        <v>11-15</v>
      </c>
      <c r="M119" t="s">
        <v>120</v>
      </c>
      <c r="N119" t="s">
        <v>130</v>
      </c>
      <c r="O119">
        <f>IF(ISNUMBER(SportClimbing[[#This Row],[Total number of tries]])=TRUE, SportClimbing[[#This Row],[Total number of tries]], 1)</f>
        <v>1</v>
      </c>
      <c r="P119" t="str">
        <f>IF(ISNUMBER(SportClimbing[[#This Row],[Total number of tries]])=TRUE, "redpoint", SportClimbing[[#This Row],[Total number of tries]])</f>
        <v>onsight</v>
      </c>
      <c r="Q119">
        <f>_xlfn.XLOOKUP(SportClimbing[[#This Row],[Grade]],SCORE[GRADE],SCORE[SCORE],,)</f>
        <v>10</v>
      </c>
    </row>
    <row r="120" spans="1:17" x14ac:dyDescent="0.25">
      <c r="A120" s="21">
        <f>DATE(SportClimbing[[#This Row],[Year]],_xlfn.XLOOKUP(SportClimbing[[#This Row],[Month]],MONTHS[MONTHS 2],MONTHS[MONTHS 3]),SportClimbing[[#This Row],[Day]])</f>
        <v>44603</v>
      </c>
      <c r="B120" s="21" t="b">
        <f ca="1">AND(SportClimbing[[#This Row],[Date]] &gt;= TODAY()-365, SportClimbing[[#This Row],[Date]] &lt;= TODAY())</f>
        <v>0</v>
      </c>
      <c r="C120">
        <v>11</v>
      </c>
      <c r="D120" t="s">
        <v>152</v>
      </c>
      <c r="E120">
        <v>2022</v>
      </c>
      <c r="F120" t="s">
        <v>268</v>
      </c>
      <c r="G120" t="s">
        <v>3</v>
      </c>
      <c r="H120" t="s">
        <v>262</v>
      </c>
      <c r="I120" t="s">
        <v>126</v>
      </c>
      <c r="J120" t="s">
        <v>264</v>
      </c>
      <c r="K120">
        <v>35</v>
      </c>
      <c r="L120" t="str">
        <f>IF(SportClimbing[[#This Row],[Height (m)]]&lt;11, "0-10", IF(SportClimbing[[#This Row],[Height (m)]]&lt;16, "11-15", IF(SportClimbing[[#This Row],[Height (m)]]&lt;21, "16-20", IF(SportClimbing[[#This Row],[Height (m)]]&lt;26, "21-25", IF(SportClimbing[[#This Row],[Height (m)]]&lt;31, "26-30", IF(SportClimbing[[#This Row],[Height (m)]]&lt;36, "31-35", "35+"))))))</f>
        <v>31-35</v>
      </c>
      <c r="M120" t="s">
        <v>120</v>
      </c>
      <c r="N120" t="s">
        <v>11</v>
      </c>
      <c r="O120">
        <f>IF(ISNUMBER(SportClimbing[[#This Row],[Total number of tries]])=TRUE, SportClimbing[[#This Row],[Total number of tries]], 1)</f>
        <v>1</v>
      </c>
      <c r="P120" t="str">
        <f>IF(ISNUMBER(SportClimbing[[#This Row],[Total number of tries]])=TRUE, "redpoint", SportClimbing[[#This Row],[Total number of tries]])</f>
        <v>flash</v>
      </c>
      <c r="Q120">
        <f>_xlfn.XLOOKUP(SportClimbing[[#This Row],[Grade]],SCORE[GRADE],SCORE[SCORE],,)</f>
        <v>10</v>
      </c>
    </row>
    <row r="121" spans="1:17" x14ac:dyDescent="0.25">
      <c r="A121" s="21">
        <f>DATE(SportClimbing[[#This Row],[Year]],_xlfn.XLOOKUP(SportClimbing[[#This Row],[Month]],MONTHS[MONTHS 2],MONTHS[MONTHS 3]),SportClimbing[[#This Row],[Day]])</f>
        <v>44604</v>
      </c>
      <c r="B121" s="21" t="b">
        <f ca="1">AND(SportClimbing[[#This Row],[Date]] &gt;= TODAY()-365, SportClimbing[[#This Row],[Date]] &lt;= TODAY())</f>
        <v>0</v>
      </c>
      <c r="C121">
        <v>12</v>
      </c>
      <c r="D121" t="s">
        <v>152</v>
      </c>
      <c r="E121">
        <v>2022</v>
      </c>
      <c r="F121" t="s">
        <v>267</v>
      </c>
      <c r="G121" t="s">
        <v>3</v>
      </c>
      <c r="H121" t="s">
        <v>262</v>
      </c>
      <c r="I121" t="s">
        <v>126</v>
      </c>
      <c r="J121" t="s">
        <v>270</v>
      </c>
      <c r="K121">
        <v>20</v>
      </c>
      <c r="L121" t="str">
        <f>IF(SportClimbing[[#This Row],[Height (m)]]&lt;11, "0-10", IF(SportClimbing[[#This Row],[Height (m)]]&lt;16, "11-15", IF(SportClimbing[[#This Row],[Height (m)]]&lt;21, "16-20", IF(SportClimbing[[#This Row],[Height (m)]]&lt;26, "21-25", IF(SportClimbing[[#This Row],[Height (m)]]&lt;31, "26-30", IF(SportClimbing[[#This Row],[Height (m)]]&lt;36, "31-35", "35+"))))))</f>
        <v>16-20</v>
      </c>
      <c r="M121" t="s">
        <v>120</v>
      </c>
      <c r="N121" t="s">
        <v>130</v>
      </c>
      <c r="O121">
        <f>IF(ISNUMBER(SportClimbing[[#This Row],[Total number of tries]])=TRUE, SportClimbing[[#This Row],[Total number of tries]], 1)</f>
        <v>1</v>
      </c>
      <c r="P121" t="str">
        <f>IF(ISNUMBER(SportClimbing[[#This Row],[Total number of tries]])=TRUE, "redpoint", SportClimbing[[#This Row],[Total number of tries]])</f>
        <v>onsight</v>
      </c>
      <c r="Q121">
        <f>_xlfn.XLOOKUP(SportClimbing[[#This Row],[Grade]],SCORE[GRADE],SCORE[SCORE],,)</f>
        <v>10</v>
      </c>
    </row>
    <row r="122" spans="1:17" x14ac:dyDescent="0.25">
      <c r="A122" s="21">
        <f>DATE(SportClimbing[[#This Row],[Year]],_xlfn.XLOOKUP(SportClimbing[[#This Row],[Month]],MONTHS[MONTHS 2],MONTHS[MONTHS 3]),SportClimbing[[#This Row],[Day]])</f>
        <v>44605</v>
      </c>
      <c r="B122" s="21" t="b">
        <f ca="1">AND(SportClimbing[[#This Row],[Date]] &gt;= TODAY()-365, SportClimbing[[#This Row],[Date]] &lt;= TODAY())</f>
        <v>0</v>
      </c>
      <c r="C122">
        <v>13</v>
      </c>
      <c r="D122" t="s">
        <v>152</v>
      </c>
      <c r="E122">
        <v>2022</v>
      </c>
      <c r="F122" t="s">
        <v>269</v>
      </c>
      <c r="G122" t="s">
        <v>21</v>
      </c>
      <c r="H122" t="s">
        <v>262</v>
      </c>
      <c r="I122" t="s">
        <v>126</v>
      </c>
      <c r="J122" t="s">
        <v>128</v>
      </c>
      <c r="K122">
        <v>35</v>
      </c>
      <c r="L122" t="str">
        <f>IF(SportClimbing[[#This Row],[Height (m)]]&lt;11, "0-10", IF(SportClimbing[[#This Row],[Height (m)]]&lt;16, "11-15", IF(SportClimbing[[#This Row],[Height (m)]]&lt;21, "16-20", IF(SportClimbing[[#This Row],[Height (m)]]&lt;26, "21-25", IF(SportClimbing[[#This Row],[Height (m)]]&lt;31, "26-30", IF(SportClimbing[[#This Row],[Height (m)]]&lt;36, "31-35", "35+"))))))</f>
        <v>31-35</v>
      </c>
      <c r="M122" t="s">
        <v>263</v>
      </c>
      <c r="N122" t="s">
        <v>130</v>
      </c>
      <c r="O122">
        <f>IF(ISNUMBER(SportClimbing[[#This Row],[Total number of tries]])=TRUE, SportClimbing[[#This Row],[Total number of tries]], 1)</f>
        <v>1</v>
      </c>
      <c r="P122" t="str">
        <f>IF(ISNUMBER(SportClimbing[[#This Row],[Total number of tries]])=TRUE, "redpoint", SportClimbing[[#This Row],[Total number of tries]])</f>
        <v>onsight</v>
      </c>
      <c r="Q122">
        <f>_xlfn.XLOOKUP(SportClimbing[[#This Row],[Grade]],SCORE[GRADE],SCORE[SCORE],,)</f>
        <v>15</v>
      </c>
    </row>
    <row r="123" spans="1:17" x14ac:dyDescent="0.25">
      <c r="A123" s="21">
        <f>DATE(SportClimbing[[#This Row],[Year]],_xlfn.XLOOKUP(SportClimbing[[#This Row],[Month]],MONTHS[MONTHS 2],MONTHS[MONTHS 3]),SportClimbing[[#This Row],[Day]])</f>
        <v>44637</v>
      </c>
      <c r="B123" s="21" t="b">
        <f ca="1">AND(SportClimbing[[#This Row],[Date]] &gt;= TODAY()-365, SportClimbing[[#This Row],[Date]] &lt;= TODAY())</f>
        <v>0</v>
      </c>
      <c r="C123">
        <v>17</v>
      </c>
      <c r="D123" t="s">
        <v>367</v>
      </c>
      <c r="E123">
        <v>2022</v>
      </c>
      <c r="F123" t="s">
        <v>272</v>
      </c>
      <c r="G123" t="s">
        <v>3</v>
      </c>
      <c r="H123" t="s">
        <v>273</v>
      </c>
      <c r="I123" t="s">
        <v>274</v>
      </c>
      <c r="J123" t="s">
        <v>275</v>
      </c>
      <c r="K123">
        <v>20</v>
      </c>
      <c r="L123" t="str">
        <f>IF(SportClimbing[[#This Row],[Height (m)]]&lt;11, "0-10", IF(SportClimbing[[#This Row],[Height (m)]]&lt;16, "11-15", IF(SportClimbing[[#This Row],[Height (m)]]&lt;21, "16-20", IF(SportClimbing[[#This Row],[Height (m)]]&lt;26, "21-25", IF(SportClimbing[[#This Row],[Height (m)]]&lt;31, "26-30", IF(SportClimbing[[#This Row],[Height (m)]]&lt;36, "31-35", "35+"))))))</f>
        <v>16-20</v>
      </c>
      <c r="M123" t="s">
        <v>276</v>
      </c>
      <c r="N123" t="s">
        <v>130</v>
      </c>
      <c r="O123">
        <f>IF(ISNUMBER(SportClimbing[[#This Row],[Total number of tries]])=TRUE, SportClimbing[[#This Row],[Total number of tries]], 1)</f>
        <v>1</v>
      </c>
      <c r="P123" t="str">
        <f>IF(ISNUMBER(SportClimbing[[#This Row],[Total number of tries]])=TRUE, "redpoint", SportClimbing[[#This Row],[Total number of tries]])</f>
        <v>onsight</v>
      </c>
      <c r="Q123">
        <f>_xlfn.XLOOKUP(SportClimbing[[#This Row],[Grade]],SCORE[GRADE],SCORE[SCORE],,)</f>
        <v>10</v>
      </c>
    </row>
    <row r="124" spans="1:17" x14ac:dyDescent="0.25">
      <c r="A124" s="21">
        <f>DATE(SportClimbing[[#This Row],[Year]],_xlfn.XLOOKUP(SportClimbing[[#This Row],[Month]],MONTHS[MONTHS 2],MONTHS[MONTHS 3]),SportClimbing[[#This Row],[Day]])</f>
        <v>44706</v>
      </c>
      <c r="B124" s="21" t="b">
        <f ca="1">AND(SportClimbing[[#This Row],[Date]] &gt;= TODAY()-365, SportClimbing[[#This Row],[Date]] &lt;= TODAY())</f>
        <v>0</v>
      </c>
      <c r="C124">
        <v>25</v>
      </c>
      <c r="D124" t="s">
        <v>155</v>
      </c>
      <c r="E124">
        <v>2022</v>
      </c>
      <c r="F124" t="s">
        <v>277</v>
      </c>
      <c r="G124" t="s">
        <v>3</v>
      </c>
      <c r="H124" t="s">
        <v>273</v>
      </c>
      <c r="I124" t="s">
        <v>278</v>
      </c>
      <c r="J124" t="s">
        <v>279</v>
      </c>
      <c r="K124">
        <v>23</v>
      </c>
      <c r="L124" t="str">
        <f>IF(SportClimbing[[#This Row],[Height (m)]]&lt;11, "0-10", IF(SportClimbing[[#This Row],[Height (m)]]&lt;16, "11-15", IF(SportClimbing[[#This Row],[Height (m)]]&lt;21, "16-20", IF(SportClimbing[[#This Row],[Height (m)]]&lt;26, "21-25", IF(SportClimbing[[#This Row],[Height (m)]]&lt;31, "26-30", IF(SportClimbing[[#This Row],[Height (m)]]&lt;36, "31-35", "35+"))))))</f>
        <v>21-25</v>
      </c>
      <c r="M124" t="s">
        <v>280</v>
      </c>
      <c r="N124">
        <v>3</v>
      </c>
      <c r="O124">
        <f>IF(ISNUMBER(SportClimbing[[#This Row],[Total number of tries]])=TRUE, SportClimbing[[#This Row],[Total number of tries]], 1)</f>
        <v>3</v>
      </c>
      <c r="P124" t="str">
        <f>IF(ISNUMBER(SportClimbing[[#This Row],[Total number of tries]])=TRUE, "redpoint", SportClimbing[[#This Row],[Total number of tries]])</f>
        <v>redpoint</v>
      </c>
      <c r="Q124">
        <f>_xlfn.XLOOKUP(SportClimbing[[#This Row],[Grade]],SCORE[GRADE],SCORE[SCORE],,)</f>
        <v>10</v>
      </c>
    </row>
    <row r="125" spans="1:17" x14ac:dyDescent="0.25">
      <c r="A125" s="21">
        <f>DATE(SportClimbing[[#This Row],[Year]],_xlfn.XLOOKUP(SportClimbing[[#This Row],[Month]],MONTHS[MONTHS 2],MONTHS[MONTHS 3]),SportClimbing[[#This Row],[Day]])</f>
        <v>44722</v>
      </c>
      <c r="B125" s="21" t="b">
        <f ca="1">AND(SportClimbing[[#This Row],[Date]] &gt;= TODAY()-365, SportClimbing[[#This Row],[Date]] &lt;= TODAY())</f>
        <v>0</v>
      </c>
      <c r="C125">
        <v>10</v>
      </c>
      <c r="D125" t="s">
        <v>366</v>
      </c>
      <c r="E125">
        <v>2022</v>
      </c>
      <c r="F125" t="s">
        <v>285</v>
      </c>
      <c r="G125" t="s">
        <v>3</v>
      </c>
      <c r="H125" t="s">
        <v>262</v>
      </c>
      <c r="I125" t="s">
        <v>105</v>
      </c>
      <c r="J125" t="s">
        <v>284</v>
      </c>
      <c r="K125">
        <v>23</v>
      </c>
      <c r="L125" t="str">
        <f>IF(SportClimbing[[#This Row],[Height (m)]]&lt;11, "0-10", IF(SportClimbing[[#This Row],[Height (m)]]&lt;16, "11-15", IF(SportClimbing[[#This Row],[Height (m)]]&lt;21, "16-20", IF(SportClimbing[[#This Row],[Height (m)]]&lt;26, "21-25", IF(SportClimbing[[#This Row],[Height (m)]]&lt;31, "26-30", IF(SportClimbing[[#This Row],[Height (m)]]&lt;36, "31-35", "35+"))))))</f>
        <v>21-25</v>
      </c>
      <c r="M125" t="s">
        <v>164</v>
      </c>
      <c r="N125" t="s">
        <v>130</v>
      </c>
      <c r="O125">
        <f>IF(ISNUMBER(SportClimbing[[#This Row],[Total number of tries]])=TRUE, SportClimbing[[#This Row],[Total number of tries]], 1)</f>
        <v>1</v>
      </c>
      <c r="P125" t="str">
        <f>IF(ISNUMBER(SportClimbing[[#This Row],[Total number of tries]])=TRUE, "redpoint", SportClimbing[[#This Row],[Total number of tries]])</f>
        <v>onsight</v>
      </c>
      <c r="Q125">
        <f>_xlfn.XLOOKUP(SportClimbing[[#This Row],[Grade]],SCORE[GRADE],SCORE[SCORE],,)</f>
        <v>10</v>
      </c>
    </row>
    <row r="126" spans="1:17" x14ac:dyDescent="0.25">
      <c r="A126" s="21">
        <f>DATE(SportClimbing[[#This Row],[Year]],_xlfn.XLOOKUP(SportClimbing[[#This Row],[Month]],MONTHS[MONTHS 2],MONTHS[MONTHS 3]),SportClimbing[[#This Row],[Day]])</f>
        <v>44729</v>
      </c>
      <c r="B126" s="21" t="b">
        <f ca="1">AND(SportClimbing[[#This Row],[Date]] &gt;= TODAY()-365, SportClimbing[[#This Row],[Date]] &lt;= TODAY())</f>
        <v>0</v>
      </c>
      <c r="C126">
        <v>17</v>
      </c>
      <c r="D126" t="s">
        <v>366</v>
      </c>
      <c r="E126">
        <v>2022</v>
      </c>
      <c r="F126" t="s">
        <v>244</v>
      </c>
      <c r="G126" t="s">
        <v>21</v>
      </c>
      <c r="H126" t="s">
        <v>262</v>
      </c>
      <c r="I126" t="s">
        <v>281</v>
      </c>
      <c r="J126" t="s">
        <v>282</v>
      </c>
      <c r="K126">
        <v>15</v>
      </c>
      <c r="L126" t="str">
        <f>IF(SportClimbing[[#This Row],[Height (m)]]&lt;11, "0-10", IF(SportClimbing[[#This Row],[Height (m)]]&lt;16, "11-15", IF(SportClimbing[[#This Row],[Height (m)]]&lt;21, "16-20", IF(SportClimbing[[#This Row],[Height (m)]]&lt;26, "21-25", IF(SportClimbing[[#This Row],[Height (m)]]&lt;31, "26-30", IF(SportClimbing[[#This Row],[Height (m)]]&lt;36, "31-35", "35+"))))))</f>
        <v>11-15</v>
      </c>
      <c r="M126" t="s">
        <v>164</v>
      </c>
      <c r="N126">
        <v>3</v>
      </c>
      <c r="O126">
        <f>IF(ISNUMBER(SportClimbing[[#This Row],[Total number of tries]])=TRUE, SportClimbing[[#This Row],[Total number of tries]], 1)</f>
        <v>3</v>
      </c>
      <c r="P126" t="str">
        <f>IF(ISNUMBER(SportClimbing[[#This Row],[Total number of tries]])=TRUE, "redpoint", SportClimbing[[#This Row],[Total number of tries]])</f>
        <v>redpoint</v>
      </c>
      <c r="Q126">
        <f>_xlfn.XLOOKUP(SportClimbing[[#This Row],[Grade]],SCORE[GRADE],SCORE[SCORE],,)</f>
        <v>15</v>
      </c>
    </row>
    <row r="127" spans="1:17" x14ac:dyDescent="0.25">
      <c r="A127" s="21">
        <f>DATE(SportClimbing[[#This Row],[Year]],_xlfn.XLOOKUP(SportClimbing[[#This Row],[Month]],MONTHS[MONTHS 2],MONTHS[MONTHS 3]),SportClimbing[[#This Row],[Day]])</f>
        <v>44758</v>
      </c>
      <c r="B127" s="21" t="b">
        <f ca="1">AND(SportClimbing[[#This Row],[Date]] &gt;= TODAY()-365, SportClimbing[[#This Row],[Date]] &lt;= TODAY())</f>
        <v>0</v>
      </c>
      <c r="C127">
        <v>16</v>
      </c>
      <c r="D127" t="s">
        <v>365</v>
      </c>
      <c r="E127">
        <v>2022</v>
      </c>
      <c r="F127" t="s">
        <v>295</v>
      </c>
      <c r="G127" t="s">
        <v>3</v>
      </c>
      <c r="H127" t="s">
        <v>261</v>
      </c>
      <c r="I127" t="s">
        <v>286</v>
      </c>
      <c r="J127" t="s">
        <v>287</v>
      </c>
      <c r="K127">
        <v>16</v>
      </c>
      <c r="L127" t="str">
        <f>IF(SportClimbing[[#This Row],[Height (m)]]&lt;11, "0-10", IF(SportClimbing[[#This Row],[Height (m)]]&lt;16, "11-15", IF(SportClimbing[[#This Row],[Height (m)]]&lt;21, "16-20", IF(SportClimbing[[#This Row],[Height (m)]]&lt;26, "21-25", IF(SportClimbing[[#This Row],[Height (m)]]&lt;31, "26-30", IF(SportClimbing[[#This Row],[Height (m)]]&lt;36, "31-35", "35+"))))))</f>
        <v>16-20</v>
      </c>
      <c r="M127" t="s">
        <v>288</v>
      </c>
      <c r="N127">
        <v>2</v>
      </c>
      <c r="O127">
        <f>IF(ISNUMBER(SportClimbing[[#This Row],[Total number of tries]])=TRUE, SportClimbing[[#This Row],[Total number of tries]], 1)</f>
        <v>2</v>
      </c>
      <c r="P127" t="str">
        <f>IF(ISNUMBER(SportClimbing[[#This Row],[Total number of tries]])=TRUE, "redpoint", SportClimbing[[#This Row],[Total number of tries]])</f>
        <v>redpoint</v>
      </c>
      <c r="Q127">
        <f>_xlfn.XLOOKUP(SportClimbing[[#This Row],[Grade]],SCORE[GRADE],SCORE[SCORE],,)</f>
        <v>10</v>
      </c>
    </row>
    <row r="128" spans="1:17" x14ac:dyDescent="0.25">
      <c r="A128" s="21">
        <f>DATE(SportClimbing[[#This Row],[Year]],_xlfn.XLOOKUP(SportClimbing[[#This Row],[Month]],MONTHS[MONTHS 2],MONTHS[MONTHS 3]),SportClimbing[[#This Row],[Day]])</f>
        <v>44765</v>
      </c>
      <c r="B128" s="21" t="b">
        <f ca="1">AND(SportClimbing[[#This Row],[Date]] &gt;= TODAY()-365, SportClimbing[[#This Row],[Date]] &lt;= TODAY())</f>
        <v>0</v>
      </c>
      <c r="C128">
        <v>23</v>
      </c>
      <c r="D128" t="s">
        <v>365</v>
      </c>
      <c r="E128">
        <v>2022</v>
      </c>
      <c r="F128" t="s">
        <v>291</v>
      </c>
      <c r="G128" t="s">
        <v>21</v>
      </c>
      <c r="H128" t="s">
        <v>261</v>
      </c>
      <c r="I128" t="s">
        <v>289</v>
      </c>
      <c r="J128" t="s">
        <v>293</v>
      </c>
      <c r="K128">
        <v>16</v>
      </c>
      <c r="L128" t="str">
        <f>IF(SportClimbing[[#This Row],[Height (m)]]&lt;11, "0-10", IF(SportClimbing[[#This Row],[Height (m)]]&lt;16, "11-15", IF(SportClimbing[[#This Row],[Height (m)]]&lt;21, "16-20", IF(SportClimbing[[#This Row],[Height (m)]]&lt;26, "21-25", IF(SportClimbing[[#This Row],[Height (m)]]&lt;31, "26-30", IF(SportClimbing[[#This Row],[Height (m)]]&lt;36, "31-35", "35+"))))))</f>
        <v>16-20</v>
      </c>
      <c r="M128" t="s">
        <v>290</v>
      </c>
      <c r="N128">
        <v>2</v>
      </c>
      <c r="O128">
        <f>IF(ISNUMBER(SportClimbing[[#This Row],[Total number of tries]])=TRUE, SportClimbing[[#This Row],[Total number of tries]], 1)</f>
        <v>2</v>
      </c>
      <c r="P128" t="str">
        <f>IF(ISNUMBER(SportClimbing[[#This Row],[Total number of tries]])=TRUE, "redpoint", SportClimbing[[#This Row],[Total number of tries]])</f>
        <v>redpoint</v>
      </c>
      <c r="Q128">
        <f>_xlfn.XLOOKUP(SportClimbing[[#This Row],[Grade]],SCORE[GRADE],SCORE[SCORE],,)</f>
        <v>15</v>
      </c>
    </row>
    <row r="129" spans="1:17" x14ac:dyDescent="0.25">
      <c r="A129" s="21">
        <f>DATE(SportClimbing[[#This Row],[Year]],_xlfn.XLOOKUP(SportClimbing[[#This Row],[Month]],MONTHS[MONTHS 2],MONTHS[MONTHS 3]),SportClimbing[[#This Row],[Day]])</f>
        <v>44766</v>
      </c>
      <c r="B129" s="21" t="b">
        <f ca="1">AND(SportClimbing[[#This Row],[Date]] &gt;= TODAY()-365, SportClimbing[[#This Row],[Date]] &lt;= TODAY())</f>
        <v>0</v>
      </c>
      <c r="C129">
        <v>24</v>
      </c>
      <c r="D129" t="s">
        <v>365</v>
      </c>
      <c r="E129">
        <v>2022</v>
      </c>
      <c r="F129" t="s">
        <v>294</v>
      </c>
      <c r="G129" t="s">
        <v>21</v>
      </c>
      <c r="H129" t="s">
        <v>261</v>
      </c>
      <c r="I129" t="s">
        <v>289</v>
      </c>
      <c r="J129" t="s">
        <v>292</v>
      </c>
      <c r="K129">
        <v>16</v>
      </c>
      <c r="L129" t="str">
        <f>IF(SportClimbing[[#This Row],[Height (m)]]&lt;11, "0-10", IF(SportClimbing[[#This Row],[Height (m)]]&lt;16, "11-15", IF(SportClimbing[[#This Row],[Height (m)]]&lt;21, "16-20", IF(SportClimbing[[#This Row],[Height (m)]]&lt;26, "21-25", IF(SportClimbing[[#This Row],[Height (m)]]&lt;31, "26-30", IF(SportClimbing[[#This Row],[Height (m)]]&lt;36, "31-35", "35+"))))))</f>
        <v>16-20</v>
      </c>
      <c r="M129" t="s">
        <v>290</v>
      </c>
      <c r="N129">
        <v>2</v>
      </c>
      <c r="O129">
        <f>IF(ISNUMBER(SportClimbing[[#This Row],[Total number of tries]])=TRUE, SportClimbing[[#This Row],[Total number of tries]], 1)</f>
        <v>2</v>
      </c>
      <c r="P129" t="str">
        <f>IF(ISNUMBER(SportClimbing[[#This Row],[Total number of tries]])=TRUE, "redpoint", SportClimbing[[#This Row],[Total number of tries]])</f>
        <v>redpoint</v>
      </c>
      <c r="Q129">
        <f>_xlfn.XLOOKUP(SportClimbing[[#This Row],[Grade]],SCORE[GRADE],SCORE[SCORE],,)</f>
        <v>15</v>
      </c>
    </row>
    <row r="130" spans="1:17" x14ac:dyDescent="0.25">
      <c r="A130" s="21">
        <f>DATE(SportClimbing[[#This Row],[Year]],_xlfn.XLOOKUP(SportClimbing[[#This Row],[Month]],MONTHS[MONTHS 2],MONTHS[MONTHS 3]),SportClimbing[[#This Row],[Day]])</f>
        <v>44808</v>
      </c>
      <c r="B130" s="21" t="b">
        <f ca="1">AND(SportClimbing[[#This Row],[Date]] &gt;= TODAY()-365, SportClimbing[[#This Row],[Date]] &lt;= TODAY())</f>
        <v>0</v>
      </c>
      <c r="C130">
        <v>4</v>
      </c>
      <c r="D130" t="s">
        <v>159</v>
      </c>
      <c r="E130">
        <v>2022</v>
      </c>
      <c r="F130" t="s">
        <v>296</v>
      </c>
      <c r="G130" t="s">
        <v>21</v>
      </c>
      <c r="H130" t="s">
        <v>261</v>
      </c>
      <c r="I130" t="s">
        <v>1</v>
      </c>
      <c r="J130" t="s">
        <v>297</v>
      </c>
      <c r="K130">
        <v>27</v>
      </c>
      <c r="L130" t="str">
        <f>IF(SportClimbing[[#This Row],[Height (m)]]&lt;11, "0-10", IF(SportClimbing[[#This Row],[Height (m)]]&lt;16, "11-15", IF(SportClimbing[[#This Row],[Height (m)]]&lt;21, "16-20", IF(SportClimbing[[#This Row],[Height (m)]]&lt;26, "21-25", IF(SportClimbing[[#This Row],[Height (m)]]&lt;31, "26-30", IF(SportClimbing[[#This Row],[Height (m)]]&lt;36, "31-35", "35+"))))))</f>
        <v>26-30</v>
      </c>
      <c r="M130" t="s">
        <v>13</v>
      </c>
      <c r="N130">
        <v>5</v>
      </c>
      <c r="O130">
        <f>IF(ISNUMBER(SportClimbing[[#This Row],[Total number of tries]])=TRUE, SportClimbing[[#This Row],[Total number of tries]], 1)</f>
        <v>5</v>
      </c>
      <c r="P130" t="str">
        <f>IF(ISNUMBER(SportClimbing[[#This Row],[Total number of tries]])=TRUE, "redpoint", SportClimbing[[#This Row],[Total number of tries]])</f>
        <v>redpoint</v>
      </c>
      <c r="Q130">
        <f>_xlfn.XLOOKUP(SportClimbing[[#This Row],[Grade]],SCORE[GRADE],SCORE[SCORE],,)</f>
        <v>15</v>
      </c>
    </row>
    <row r="131" spans="1:17" x14ac:dyDescent="0.25">
      <c r="A131" s="21">
        <f>DATE(SportClimbing[[#This Row],[Year]],_xlfn.XLOOKUP(SportClimbing[[#This Row],[Month]],MONTHS[MONTHS 2],MONTHS[MONTHS 3]),SportClimbing[[#This Row],[Day]])</f>
        <v>44842</v>
      </c>
      <c r="B131" s="21" t="b">
        <f ca="1">AND(SportClimbing[[#This Row],[Date]] &gt;= TODAY()-365, SportClimbing[[#This Row],[Date]] &lt;= TODAY())</f>
        <v>0</v>
      </c>
      <c r="C131">
        <v>8</v>
      </c>
      <c r="D131" t="s">
        <v>162</v>
      </c>
      <c r="E131">
        <v>2022</v>
      </c>
      <c r="F131" t="s">
        <v>303</v>
      </c>
      <c r="G131" t="s">
        <v>3</v>
      </c>
      <c r="H131" t="s">
        <v>298</v>
      </c>
      <c r="I131" t="s">
        <v>300</v>
      </c>
      <c r="J131" t="s">
        <v>301</v>
      </c>
      <c r="K131">
        <v>20</v>
      </c>
      <c r="L131" t="str">
        <f>IF(SportClimbing[[#This Row],[Height (m)]]&lt;11, "0-10", IF(SportClimbing[[#This Row],[Height (m)]]&lt;16, "11-15", IF(SportClimbing[[#This Row],[Height (m)]]&lt;21, "16-20", IF(SportClimbing[[#This Row],[Height (m)]]&lt;26, "21-25", IF(SportClimbing[[#This Row],[Height (m)]]&lt;31, "26-30", IF(SportClimbing[[#This Row],[Height (m)]]&lt;36, "31-35", "35+"))))))</f>
        <v>16-20</v>
      </c>
      <c r="M131" t="s">
        <v>304</v>
      </c>
      <c r="N131" t="s">
        <v>130</v>
      </c>
      <c r="O131">
        <f>IF(ISNUMBER(SportClimbing[[#This Row],[Total number of tries]])=TRUE, SportClimbing[[#This Row],[Total number of tries]], 1)</f>
        <v>1</v>
      </c>
      <c r="P131" t="str">
        <f>IF(ISNUMBER(SportClimbing[[#This Row],[Total number of tries]])=TRUE, "redpoint", SportClimbing[[#This Row],[Total number of tries]])</f>
        <v>onsight</v>
      </c>
      <c r="Q131">
        <f>_xlfn.XLOOKUP(SportClimbing[[#This Row],[Grade]],SCORE[GRADE],SCORE[SCORE],,)</f>
        <v>10</v>
      </c>
    </row>
    <row r="132" spans="1:17" x14ac:dyDescent="0.25">
      <c r="A132" s="21">
        <f>DATE(SportClimbing[[#This Row],[Year]],_xlfn.XLOOKUP(SportClimbing[[#This Row],[Month]],MONTHS[MONTHS 2],MONTHS[MONTHS 3]),SportClimbing[[#This Row],[Day]])</f>
        <v>44842</v>
      </c>
      <c r="B132" s="21" t="b">
        <f ca="1">AND(SportClimbing[[#This Row],[Date]] &gt;= TODAY()-365, SportClimbing[[#This Row],[Date]] &lt;= TODAY())</f>
        <v>0</v>
      </c>
      <c r="C132">
        <v>8</v>
      </c>
      <c r="D132" t="s">
        <v>162</v>
      </c>
      <c r="E132">
        <v>2022</v>
      </c>
      <c r="F132" t="s">
        <v>299</v>
      </c>
      <c r="G132" t="s">
        <v>3</v>
      </c>
      <c r="H132" t="s">
        <v>298</v>
      </c>
      <c r="I132" t="s">
        <v>300</v>
      </c>
      <c r="J132" t="s">
        <v>302</v>
      </c>
      <c r="K132">
        <v>18</v>
      </c>
      <c r="L132" t="str">
        <f>IF(SportClimbing[[#This Row],[Height (m)]]&lt;11, "0-10", IF(SportClimbing[[#This Row],[Height (m)]]&lt;16, "11-15", IF(SportClimbing[[#This Row],[Height (m)]]&lt;21, "16-20", IF(SportClimbing[[#This Row],[Height (m)]]&lt;26, "21-25", IF(SportClimbing[[#This Row],[Height (m)]]&lt;31, "26-30", IF(SportClimbing[[#This Row],[Height (m)]]&lt;36, "31-35", "35+"))))))</f>
        <v>16-20</v>
      </c>
      <c r="M132" t="s">
        <v>304</v>
      </c>
      <c r="N132" t="s">
        <v>130</v>
      </c>
      <c r="O132">
        <f>IF(ISNUMBER(SportClimbing[[#This Row],[Total number of tries]])=TRUE, SportClimbing[[#This Row],[Total number of tries]], 1)</f>
        <v>1</v>
      </c>
      <c r="P132" t="str">
        <f>IF(ISNUMBER(SportClimbing[[#This Row],[Total number of tries]])=TRUE, "redpoint", SportClimbing[[#This Row],[Total number of tries]])</f>
        <v>onsight</v>
      </c>
      <c r="Q132">
        <f>_xlfn.XLOOKUP(SportClimbing[[#This Row],[Grade]],SCORE[GRADE],SCORE[SCORE],,)</f>
        <v>10</v>
      </c>
    </row>
    <row r="133" spans="1:17" x14ac:dyDescent="0.25">
      <c r="A133" s="21">
        <f>DATE(SportClimbing[[#This Row],[Year]],_xlfn.XLOOKUP(SportClimbing[[#This Row],[Month]],MONTHS[MONTHS 2],MONTHS[MONTHS 3]),SportClimbing[[#This Row],[Day]])</f>
        <v>44866</v>
      </c>
      <c r="B133" s="21" t="b">
        <f ca="1">AND(SportClimbing[[#This Row],[Date]] &gt;= TODAY()-365, SportClimbing[[#This Row],[Date]] &lt;= TODAY())</f>
        <v>0</v>
      </c>
      <c r="C133">
        <v>1</v>
      </c>
      <c r="D133" t="s">
        <v>160</v>
      </c>
      <c r="E133">
        <v>2022</v>
      </c>
      <c r="F133" t="s">
        <v>305</v>
      </c>
      <c r="G133" t="s">
        <v>21</v>
      </c>
      <c r="H133" t="s">
        <v>298</v>
      </c>
      <c r="I133" t="s">
        <v>306</v>
      </c>
      <c r="J133" t="s">
        <v>307</v>
      </c>
      <c r="K133">
        <v>15</v>
      </c>
      <c r="L133" t="str">
        <f>IF(SportClimbing[[#This Row],[Height (m)]]&lt;11, "0-10", IF(SportClimbing[[#This Row],[Height (m)]]&lt;16, "11-15", IF(SportClimbing[[#This Row],[Height (m)]]&lt;21, "16-20", IF(SportClimbing[[#This Row],[Height (m)]]&lt;26, "21-25", IF(SportClimbing[[#This Row],[Height (m)]]&lt;31, "26-30", IF(SportClimbing[[#This Row],[Height (m)]]&lt;36, "31-35", "35+"))))))</f>
        <v>11-15</v>
      </c>
      <c r="M133" t="s">
        <v>370</v>
      </c>
      <c r="N133">
        <v>3</v>
      </c>
      <c r="O133">
        <f>IF(ISNUMBER(SportClimbing[[#This Row],[Total number of tries]])=TRUE, SportClimbing[[#This Row],[Total number of tries]], 1)</f>
        <v>3</v>
      </c>
      <c r="P133" t="str">
        <f>IF(ISNUMBER(SportClimbing[[#This Row],[Total number of tries]])=TRUE, "redpoint", SportClimbing[[#This Row],[Total number of tries]])</f>
        <v>redpoint</v>
      </c>
      <c r="Q133">
        <f>_xlfn.XLOOKUP(SportClimbing[[#This Row],[Grade]],SCORE[GRADE],SCORE[SCORE],,)</f>
        <v>15</v>
      </c>
    </row>
    <row r="134" spans="1:17" x14ac:dyDescent="0.25">
      <c r="A134" s="21">
        <f>DATE(SportClimbing[[#This Row],[Year]],_xlfn.XLOOKUP(SportClimbing[[#This Row],[Month]],MONTHS[MONTHS 2],MONTHS[MONTHS 3]),SportClimbing[[#This Row],[Day]])</f>
        <v>44870</v>
      </c>
      <c r="B134" s="21" t="b">
        <f ca="1">AND(SportClimbing[[#This Row],[Date]] &gt;= TODAY()-365, SportClimbing[[#This Row],[Date]] &lt;= TODAY())</f>
        <v>0</v>
      </c>
      <c r="C134">
        <v>5</v>
      </c>
      <c r="D134" t="s">
        <v>160</v>
      </c>
      <c r="E134">
        <v>2022</v>
      </c>
      <c r="F134" t="s">
        <v>308</v>
      </c>
      <c r="G134" t="s">
        <v>3</v>
      </c>
      <c r="H134" t="s">
        <v>298</v>
      </c>
      <c r="I134" t="s">
        <v>306</v>
      </c>
      <c r="J134" t="s">
        <v>307</v>
      </c>
      <c r="K134">
        <v>20</v>
      </c>
      <c r="L134" t="str">
        <f>IF(SportClimbing[[#This Row],[Height (m)]]&lt;11, "0-10", IF(SportClimbing[[#This Row],[Height (m)]]&lt;16, "11-15", IF(SportClimbing[[#This Row],[Height (m)]]&lt;21, "16-20", IF(SportClimbing[[#This Row],[Height (m)]]&lt;26, "21-25", IF(SportClimbing[[#This Row],[Height (m)]]&lt;31, "26-30", IF(SportClimbing[[#This Row],[Height (m)]]&lt;36, "31-35", "35+"))))))</f>
        <v>16-20</v>
      </c>
      <c r="M134" t="s">
        <v>370</v>
      </c>
      <c r="N134" t="s">
        <v>130</v>
      </c>
      <c r="O134">
        <f>IF(ISNUMBER(SportClimbing[[#This Row],[Total number of tries]])=TRUE, SportClimbing[[#This Row],[Total number of tries]], 1)</f>
        <v>1</v>
      </c>
      <c r="P134" t="str">
        <f>IF(ISNUMBER(SportClimbing[[#This Row],[Total number of tries]])=TRUE, "redpoint", SportClimbing[[#This Row],[Total number of tries]])</f>
        <v>onsight</v>
      </c>
      <c r="Q134">
        <f>_xlfn.XLOOKUP(SportClimbing[[#This Row],[Grade]],SCORE[GRADE],SCORE[SCORE],,)</f>
        <v>10</v>
      </c>
    </row>
    <row r="135" spans="1:17" x14ac:dyDescent="0.25">
      <c r="A135" s="21">
        <f>DATE(SportClimbing[[#This Row],[Year]],_xlfn.XLOOKUP(SportClimbing[[#This Row],[Month]],MONTHS[MONTHS 2],MONTHS[MONTHS 3]),SportClimbing[[#This Row],[Day]])</f>
        <v>44877</v>
      </c>
      <c r="B135" s="21" t="b">
        <f ca="1">AND(SportClimbing[[#This Row],[Date]] &gt;= TODAY()-365, SportClimbing[[#This Row],[Date]] &lt;= TODAY())</f>
        <v>0</v>
      </c>
      <c r="C135">
        <v>12</v>
      </c>
      <c r="D135" t="s">
        <v>160</v>
      </c>
      <c r="E135">
        <v>2022</v>
      </c>
      <c r="F135" t="s">
        <v>309</v>
      </c>
      <c r="G135" t="s">
        <v>3</v>
      </c>
      <c r="H135" t="s">
        <v>298</v>
      </c>
      <c r="I135" t="s">
        <v>311</v>
      </c>
      <c r="J135" t="s">
        <v>310</v>
      </c>
      <c r="K135">
        <v>12</v>
      </c>
      <c r="L135" t="str">
        <f>IF(SportClimbing[[#This Row],[Height (m)]]&lt;11, "0-10", IF(SportClimbing[[#This Row],[Height (m)]]&lt;16, "11-15", IF(SportClimbing[[#This Row],[Height (m)]]&lt;21, "16-20", IF(SportClimbing[[#This Row],[Height (m)]]&lt;26, "21-25", IF(SportClimbing[[#This Row],[Height (m)]]&lt;31, "26-30", IF(SportClimbing[[#This Row],[Height (m)]]&lt;36, "31-35", "35+"))))))</f>
        <v>11-15</v>
      </c>
      <c r="M135" t="s">
        <v>370</v>
      </c>
      <c r="N135">
        <v>2</v>
      </c>
      <c r="O135">
        <f>IF(ISNUMBER(SportClimbing[[#This Row],[Total number of tries]])=TRUE, SportClimbing[[#This Row],[Total number of tries]], 1)</f>
        <v>2</v>
      </c>
      <c r="P135" t="str">
        <f>IF(ISNUMBER(SportClimbing[[#This Row],[Total number of tries]])=TRUE, "redpoint", SportClimbing[[#This Row],[Total number of tries]])</f>
        <v>redpoint</v>
      </c>
      <c r="Q135">
        <f>_xlfn.XLOOKUP(SportClimbing[[#This Row],[Grade]],SCORE[GRADE],SCORE[SCORE],,)</f>
        <v>10</v>
      </c>
    </row>
    <row r="136" spans="1:17" x14ac:dyDescent="0.25">
      <c r="A136" s="21">
        <f>DATE(SportClimbing[[#This Row],[Year]],_xlfn.XLOOKUP(SportClimbing[[#This Row],[Month]],MONTHS[MONTHS 2],MONTHS[MONTHS 3]),SportClimbing[[#This Row],[Day]])</f>
        <v>44884</v>
      </c>
      <c r="B136" s="21" t="b">
        <f ca="1">AND(SportClimbing[[#This Row],[Date]] &gt;= TODAY()-365, SportClimbing[[#This Row],[Date]] &lt;= TODAY())</f>
        <v>0</v>
      </c>
      <c r="C136">
        <v>19</v>
      </c>
      <c r="D136" t="s">
        <v>160</v>
      </c>
      <c r="E136">
        <v>2022</v>
      </c>
      <c r="F136" t="s">
        <v>312</v>
      </c>
      <c r="G136" t="s">
        <v>3</v>
      </c>
      <c r="H136" t="s">
        <v>313</v>
      </c>
      <c r="I136" t="s">
        <v>345</v>
      </c>
      <c r="J136" t="s">
        <v>345</v>
      </c>
      <c r="K136">
        <v>10</v>
      </c>
      <c r="L136" t="str">
        <f>IF(SportClimbing[[#This Row],[Height (m)]]&lt;11, "0-10", IF(SportClimbing[[#This Row],[Height (m)]]&lt;16, "11-15", IF(SportClimbing[[#This Row],[Height (m)]]&lt;21, "16-20", IF(SportClimbing[[#This Row],[Height (m)]]&lt;26, "21-25", IF(SportClimbing[[#This Row],[Height (m)]]&lt;31, "26-30", IF(SportClimbing[[#This Row],[Height (m)]]&lt;36, "31-35", "35+"))))))</f>
        <v>0-10</v>
      </c>
      <c r="M136" t="s">
        <v>370</v>
      </c>
      <c r="N136">
        <v>4</v>
      </c>
      <c r="O136">
        <f>IF(ISNUMBER(SportClimbing[[#This Row],[Total number of tries]])=TRUE, SportClimbing[[#This Row],[Total number of tries]], 1)</f>
        <v>4</v>
      </c>
      <c r="P136" t="str">
        <f>IF(ISNUMBER(SportClimbing[[#This Row],[Total number of tries]])=TRUE, "redpoint", SportClimbing[[#This Row],[Total number of tries]])</f>
        <v>redpoint</v>
      </c>
      <c r="Q136">
        <f>_xlfn.XLOOKUP(SportClimbing[[#This Row],[Grade]],SCORE[GRADE],SCORE[SCORE],,)</f>
        <v>10</v>
      </c>
    </row>
    <row r="137" spans="1:17" x14ac:dyDescent="0.25">
      <c r="A137" s="21">
        <f>DATE(SportClimbing[[#This Row],[Year]],_xlfn.XLOOKUP(SportClimbing[[#This Row],[Month]],MONTHS[MONTHS 2],MONTHS[MONTHS 3]),SportClimbing[[#This Row],[Day]])</f>
        <v>44963</v>
      </c>
      <c r="B137" s="21" t="b">
        <f ca="1">AND(SportClimbing[[#This Row],[Date]] &gt;= TODAY()-365, SportClimbing[[#This Row],[Date]] &lt;= TODAY())</f>
        <v>0</v>
      </c>
      <c r="C137">
        <v>6</v>
      </c>
      <c r="D137" t="s">
        <v>152</v>
      </c>
      <c r="E137">
        <v>2023</v>
      </c>
      <c r="F137" t="s">
        <v>244</v>
      </c>
      <c r="G137" t="s">
        <v>3</v>
      </c>
      <c r="H137" t="s">
        <v>262</v>
      </c>
      <c r="I137" t="s">
        <v>43</v>
      </c>
      <c r="J137" t="s">
        <v>93</v>
      </c>
      <c r="K137">
        <v>15</v>
      </c>
      <c r="L137" t="str">
        <f>IF(SportClimbing[[#This Row],[Height (m)]]&lt;11, "0-10", IF(SportClimbing[[#This Row],[Height (m)]]&lt;16, "11-15", IF(SportClimbing[[#This Row],[Height (m)]]&lt;21, "16-20", IF(SportClimbing[[#This Row],[Height (m)]]&lt;26, "21-25", IF(SportClimbing[[#This Row],[Height (m)]]&lt;31, "26-30", IF(SportClimbing[[#This Row],[Height (m)]]&lt;36, "31-35", "35+"))))))</f>
        <v>11-15</v>
      </c>
      <c r="M137" t="s">
        <v>120</v>
      </c>
      <c r="N137">
        <v>2</v>
      </c>
      <c r="O137">
        <f>IF(ISNUMBER(SportClimbing[[#This Row],[Total number of tries]])=TRUE, SportClimbing[[#This Row],[Total number of tries]], 1)</f>
        <v>2</v>
      </c>
      <c r="P137" t="str">
        <f>IF(ISNUMBER(SportClimbing[[#This Row],[Total number of tries]])=TRUE, "redpoint", SportClimbing[[#This Row],[Total number of tries]])</f>
        <v>redpoint</v>
      </c>
      <c r="Q137">
        <f>_xlfn.XLOOKUP(SportClimbing[[#This Row],[Grade]],SCORE[GRADE],SCORE[SCORE],,)</f>
        <v>10</v>
      </c>
    </row>
    <row r="138" spans="1:17" x14ac:dyDescent="0.25">
      <c r="A138" s="21">
        <f>DATE(SportClimbing[[#This Row],[Year]],_xlfn.XLOOKUP(SportClimbing[[#This Row],[Month]],MONTHS[MONTHS 2],MONTHS[MONTHS 3]),SportClimbing[[#This Row],[Day]])</f>
        <v>44966</v>
      </c>
      <c r="B138" s="21" t="b">
        <f ca="1">AND(SportClimbing[[#This Row],[Date]] &gt;= TODAY()-365, SportClimbing[[#This Row],[Date]] &lt;= TODAY())</f>
        <v>0</v>
      </c>
      <c r="C138">
        <v>9</v>
      </c>
      <c r="D138" t="s">
        <v>152</v>
      </c>
      <c r="E138">
        <v>2023</v>
      </c>
      <c r="F138" t="s">
        <v>316</v>
      </c>
      <c r="G138" t="s">
        <v>3</v>
      </c>
      <c r="H138" t="s">
        <v>262</v>
      </c>
      <c r="I138" t="s">
        <v>43</v>
      </c>
      <c r="J138" t="s">
        <v>315</v>
      </c>
      <c r="K138">
        <v>18</v>
      </c>
      <c r="L138" t="str">
        <f>IF(SportClimbing[[#This Row],[Height (m)]]&lt;11, "0-10", IF(SportClimbing[[#This Row],[Height (m)]]&lt;16, "11-15", IF(SportClimbing[[#This Row],[Height (m)]]&lt;21, "16-20", IF(SportClimbing[[#This Row],[Height (m)]]&lt;26, "21-25", IF(SportClimbing[[#This Row],[Height (m)]]&lt;31, "26-30", IF(SportClimbing[[#This Row],[Height (m)]]&lt;36, "31-35", "35+"))))))</f>
        <v>16-20</v>
      </c>
      <c r="M138" t="s">
        <v>370</v>
      </c>
      <c r="N138" t="s">
        <v>11</v>
      </c>
      <c r="O138">
        <f>IF(ISNUMBER(SportClimbing[[#This Row],[Total number of tries]])=TRUE, SportClimbing[[#This Row],[Total number of tries]], 1)</f>
        <v>1</v>
      </c>
      <c r="P138" t="str">
        <f>IF(ISNUMBER(SportClimbing[[#This Row],[Total number of tries]])=TRUE, "redpoint", SportClimbing[[#This Row],[Total number of tries]])</f>
        <v>flash</v>
      </c>
      <c r="Q138">
        <f>_xlfn.XLOOKUP(SportClimbing[[#This Row],[Grade]],SCORE[GRADE],SCORE[SCORE],,)</f>
        <v>10</v>
      </c>
    </row>
    <row r="139" spans="1:17" x14ac:dyDescent="0.25">
      <c r="A139" s="21">
        <f>DATE(SportClimbing[[#This Row],[Year]],_xlfn.XLOOKUP(SportClimbing[[#This Row],[Month]],MONTHS[MONTHS 2],MONTHS[MONTHS 3]),SportClimbing[[#This Row],[Day]])</f>
        <v>44966</v>
      </c>
      <c r="B139" s="21" t="b">
        <f ca="1">AND(SportClimbing[[#This Row],[Date]] &gt;= TODAY()-365, SportClimbing[[#This Row],[Date]] &lt;= TODAY())</f>
        <v>0</v>
      </c>
      <c r="C139">
        <v>9</v>
      </c>
      <c r="D139" t="s">
        <v>152</v>
      </c>
      <c r="E139">
        <v>2023</v>
      </c>
      <c r="F139" t="s">
        <v>314</v>
      </c>
      <c r="G139" t="s">
        <v>3</v>
      </c>
      <c r="H139" t="s">
        <v>262</v>
      </c>
      <c r="I139" t="s">
        <v>43</v>
      </c>
      <c r="J139" t="s">
        <v>315</v>
      </c>
      <c r="K139">
        <v>25</v>
      </c>
      <c r="L139" t="str">
        <f>IF(SportClimbing[[#This Row],[Height (m)]]&lt;11, "0-10", IF(SportClimbing[[#This Row],[Height (m)]]&lt;16, "11-15", IF(SportClimbing[[#This Row],[Height (m)]]&lt;21, "16-20", IF(SportClimbing[[#This Row],[Height (m)]]&lt;26, "21-25", IF(SportClimbing[[#This Row],[Height (m)]]&lt;31, "26-30", IF(SportClimbing[[#This Row],[Height (m)]]&lt;36, "31-35", "35+"))))))</f>
        <v>21-25</v>
      </c>
      <c r="M139" t="s">
        <v>304</v>
      </c>
      <c r="N139">
        <v>2</v>
      </c>
      <c r="O139">
        <f>IF(ISNUMBER(SportClimbing[[#This Row],[Total number of tries]])=TRUE, SportClimbing[[#This Row],[Total number of tries]], 1)</f>
        <v>2</v>
      </c>
      <c r="P139" t="str">
        <f>IF(ISNUMBER(SportClimbing[[#This Row],[Total number of tries]])=TRUE, "redpoint", SportClimbing[[#This Row],[Total number of tries]])</f>
        <v>redpoint</v>
      </c>
      <c r="Q139">
        <f>_xlfn.XLOOKUP(SportClimbing[[#This Row],[Grade]],SCORE[GRADE],SCORE[SCORE],,)</f>
        <v>10</v>
      </c>
    </row>
    <row r="140" spans="1:17" x14ac:dyDescent="0.25">
      <c r="A140" s="21">
        <f>DATE(SportClimbing[[#This Row],[Year]],_xlfn.XLOOKUP(SportClimbing[[#This Row],[Month]],MONTHS[MONTHS 2],MONTHS[MONTHS 3]),SportClimbing[[#This Row],[Day]])</f>
        <v>44967</v>
      </c>
      <c r="B140" s="21" t="b">
        <f ca="1">AND(SportClimbing[[#This Row],[Date]] &gt;= TODAY()-365, SportClimbing[[#This Row],[Date]] &lt;= TODAY())</f>
        <v>0</v>
      </c>
      <c r="C140">
        <v>10</v>
      </c>
      <c r="D140" t="s">
        <v>152</v>
      </c>
      <c r="E140">
        <v>2023</v>
      </c>
      <c r="F140" t="s">
        <v>317</v>
      </c>
      <c r="G140" t="s">
        <v>3</v>
      </c>
      <c r="H140" t="s">
        <v>262</v>
      </c>
      <c r="I140" t="s">
        <v>43</v>
      </c>
      <c r="J140" t="s">
        <v>206</v>
      </c>
      <c r="K140">
        <v>28</v>
      </c>
      <c r="L140" t="str">
        <f>IF(SportClimbing[[#This Row],[Height (m)]]&lt;11, "0-10", IF(SportClimbing[[#This Row],[Height (m)]]&lt;16, "11-15", IF(SportClimbing[[#This Row],[Height (m)]]&lt;21, "16-20", IF(SportClimbing[[#This Row],[Height (m)]]&lt;26, "21-25", IF(SportClimbing[[#This Row],[Height (m)]]&lt;31, "26-30", IF(SportClimbing[[#This Row],[Height (m)]]&lt;36, "31-35", "35+"))))))</f>
        <v>26-30</v>
      </c>
      <c r="M140" t="s">
        <v>304</v>
      </c>
      <c r="N140" t="s">
        <v>11</v>
      </c>
      <c r="O140">
        <f>IF(ISNUMBER(SportClimbing[[#This Row],[Total number of tries]])=TRUE, SportClimbing[[#This Row],[Total number of tries]], 1)</f>
        <v>1</v>
      </c>
      <c r="P140" t="str">
        <f>IF(ISNUMBER(SportClimbing[[#This Row],[Total number of tries]])=TRUE, "redpoint", SportClimbing[[#This Row],[Total number of tries]])</f>
        <v>flash</v>
      </c>
      <c r="Q140">
        <f>_xlfn.XLOOKUP(SportClimbing[[#This Row],[Grade]],SCORE[GRADE],SCORE[SCORE],,)</f>
        <v>10</v>
      </c>
    </row>
    <row r="141" spans="1:17" x14ac:dyDescent="0.25">
      <c r="A141" s="21">
        <f>DATE(SportClimbing[[#This Row],[Year]],_xlfn.XLOOKUP(SportClimbing[[#This Row],[Month]],MONTHS[MONTHS 2],MONTHS[MONTHS 3]),SportClimbing[[#This Row],[Day]])</f>
        <v>44967</v>
      </c>
      <c r="B141" s="21" t="b">
        <f ca="1">AND(SportClimbing[[#This Row],[Date]] &gt;= TODAY()-365, SportClimbing[[#This Row],[Date]] &lt;= TODAY())</f>
        <v>0</v>
      </c>
      <c r="C141">
        <v>10</v>
      </c>
      <c r="D141" t="s">
        <v>152</v>
      </c>
      <c r="E141">
        <v>2023</v>
      </c>
      <c r="F141" t="s">
        <v>318</v>
      </c>
      <c r="G141" t="s">
        <v>3</v>
      </c>
      <c r="H141" t="s">
        <v>262</v>
      </c>
      <c r="I141" t="s">
        <v>43</v>
      </c>
      <c r="J141" t="s">
        <v>206</v>
      </c>
      <c r="K141">
        <v>20</v>
      </c>
      <c r="L141" t="str">
        <f>IF(SportClimbing[[#This Row],[Height (m)]]&lt;11, "0-10", IF(SportClimbing[[#This Row],[Height (m)]]&lt;16, "11-15", IF(SportClimbing[[#This Row],[Height (m)]]&lt;21, "16-20", IF(SportClimbing[[#This Row],[Height (m)]]&lt;26, "21-25", IF(SportClimbing[[#This Row],[Height (m)]]&lt;31, "26-30", IF(SportClimbing[[#This Row],[Height (m)]]&lt;36, "31-35", "35+"))))))</f>
        <v>16-20</v>
      </c>
      <c r="M141" t="s">
        <v>120</v>
      </c>
      <c r="N141">
        <v>2</v>
      </c>
      <c r="O141">
        <f>IF(ISNUMBER(SportClimbing[[#This Row],[Total number of tries]])=TRUE, SportClimbing[[#This Row],[Total number of tries]], 1)</f>
        <v>2</v>
      </c>
      <c r="P141" t="str">
        <f>IF(ISNUMBER(SportClimbing[[#This Row],[Total number of tries]])=TRUE, "redpoint", SportClimbing[[#This Row],[Total number of tries]])</f>
        <v>redpoint</v>
      </c>
      <c r="Q141">
        <f>_xlfn.XLOOKUP(SportClimbing[[#This Row],[Grade]],SCORE[GRADE],SCORE[SCORE],,)</f>
        <v>10</v>
      </c>
    </row>
    <row r="142" spans="1:17" x14ac:dyDescent="0.25">
      <c r="A142" s="21">
        <f>DATE(SportClimbing[[#This Row],[Year]],_xlfn.XLOOKUP(SportClimbing[[#This Row],[Month]],MONTHS[MONTHS 2],MONTHS[MONTHS 3]),SportClimbing[[#This Row],[Day]])</f>
        <v>44968</v>
      </c>
      <c r="B142" s="21" t="b">
        <f ca="1">AND(SportClimbing[[#This Row],[Date]] &gt;= TODAY()-365, SportClimbing[[#This Row],[Date]] &lt;= TODAY())</f>
        <v>0</v>
      </c>
      <c r="C142">
        <v>11</v>
      </c>
      <c r="D142" t="s">
        <v>152</v>
      </c>
      <c r="E142">
        <v>2023</v>
      </c>
      <c r="F142" t="s">
        <v>319</v>
      </c>
      <c r="G142" t="s">
        <v>3</v>
      </c>
      <c r="H142" t="s">
        <v>262</v>
      </c>
      <c r="I142" t="s">
        <v>43</v>
      </c>
      <c r="J142" t="s">
        <v>206</v>
      </c>
      <c r="K142">
        <v>28</v>
      </c>
      <c r="L142" t="str">
        <f>IF(SportClimbing[[#This Row],[Height (m)]]&lt;11, "0-10", IF(SportClimbing[[#This Row],[Height (m)]]&lt;16, "11-15", IF(SportClimbing[[#This Row],[Height (m)]]&lt;21, "16-20", IF(SportClimbing[[#This Row],[Height (m)]]&lt;26, "21-25", IF(SportClimbing[[#This Row],[Height (m)]]&lt;31, "26-30", IF(SportClimbing[[#This Row],[Height (m)]]&lt;36, "31-35", "35+"))))))</f>
        <v>26-30</v>
      </c>
      <c r="M142" t="s">
        <v>304</v>
      </c>
      <c r="N142" t="s">
        <v>130</v>
      </c>
      <c r="O142">
        <f>IF(ISNUMBER(SportClimbing[[#This Row],[Total number of tries]])=TRUE, SportClimbing[[#This Row],[Total number of tries]], 1)</f>
        <v>1</v>
      </c>
      <c r="P142" t="str">
        <f>IF(ISNUMBER(SportClimbing[[#This Row],[Total number of tries]])=TRUE, "redpoint", SportClimbing[[#This Row],[Total number of tries]])</f>
        <v>onsight</v>
      </c>
      <c r="Q142">
        <f>_xlfn.XLOOKUP(SportClimbing[[#This Row],[Grade]],SCORE[GRADE],SCORE[SCORE],,)</f>
        <v>10</v>
      </c>
    </row>
    <row r="143" spans="1:17" x14ac:dyDescent="0.25">
      <c r="A143" s="21">
        <f>DATE(SportClimbing[[#This Row],[Year]],_xlfn.XLOOKUP(SportClimbing[[#This Row],[Month]],MONTHS[MONTHS 2],MONTHS[MONTHS 3]),SportClimbing[[#This Row],[Day]])</f>
        <v>44976</v>
      </c>
      <c r="B143" s="21" t="b">
        <f ca="1">AND(SportClimbing[[#This Row],[Date]] &gt;= TODAY()-365, SportClimbing[[#This Row],[Date]] &lt;= TODAY())</f>
        <v>0</v>
      </c>
      <c r="C143">
        <v>19</v>
      </c>
      <c r="D143" t="s">
        <v>152</v>
      </c>
      <c r="E143">
        <v>2023</v>
      </c>
      <c r="F143" t="s">
        <v>321</v>
      </c>
      <c r="G143" t="s">
        <v>21</v>
      </c>
      <c r="H143" t="s">
        <v>262</v>
      </c>
      <c r="I143" t="s">
        <v>43</v>
      </c>
      <c r="J143" t="s">
        <v>320</v>
      </c>
      <c r="K143">
        <v>18</v>
      </c>
      <c r="L143" t="str">
        <f>IF(SportClimbing[[#This Row],[Height (m)]]&lt;11, "0-10", IF(SportClimbing[[#This Row],[Height (m)]]&lt;16, "11-15", IF(SportClimbing[[#This Row],[Height (m)]]&lt;21, "16-20", IF(SportClimbing[[#This Row],[Height (m)]]&lt;26, "21-25", IF(SportClimbing[[#This Row],[Height (m)]]&lt;31, "26-30", IF(SportClimbing[[#This Row],[Height (m)]]&lt;36, "31-35", "35+"))))))</f>
        <v>16-20</v>
      </c>
      <c r="M143" t="s">
        <v>120</v>
      </c>
      <c r="N143">
        <v>2</v>
      </c>
      <c r="O143">
        <f>IF(ISNUMBER(SportClimbing[[#This Row],[Total number of tries]])=TRUE, SportClimbing[[#This Row],[Total number of tries]], 1)</f>
        <v>2</v>
      </c>
      <c r="P143" t="str">
        <f>IF(ISNUMBER(SportClimbing[[#This Row],[Total number of tries]])=TRUE, "redpoint", SportClimbing[[#This Row],[Total number of tries]])</f>
        <v>redpoint</v>
      </c>
      <c r="Q143">
        <f>_xlfn.XLOOKUP(SportClimbing[[#This Row],[Grade]],SCORE[GRADE],SCORE[SCORE],,)</f>
        <v>15</v>
      </c>
    </row>
    <row r="144" spans="1:17" x14ac:dyDescent="0.25">
      <c r="A144" s="21">
        <f>DATE(SportClimbing[[#This Row],[Year]],_xlfn.XLOOKUP(SportClimbing[[#This Row],[Month]],MONTHS[MONTHS 2],MONTHS[MONTHS 3]),SportClimbing[[#This Row],[Day]])</f>
        <v>44976</v>
      </c>
      <c r="B144" s="21" t="b">
        <f ca="1">AND(SportClimbing[[#This Row],[Date]] &gt;= TODAY()-365, SportClimbing[[#This Row],[Date]] &lt;= TODAY())</f>
        <v>0</v>
      </c>
      <c r="C144">
        <v>19</v>
      </c>
      <c r="D144" t="s">
        <v>152</v>
      </c>
      <c r="E144">
        <v>2023</v>
      </c>
      <c r="F144" t="s">
        <v>322</v>
      </c>
      <c r="G144" t="s">
        <v>3</v>
      </c>
      <c r="H144" t="s">
        <v>262</v>
      </c>
      <c r="I144" t="s">
        <v>43</v>
      </c>
      <c r="J144" t="s">
        <v>91</v>
      </c>
      <c r="K144">
        <v>25</v>
      </c>
      <c r="L144" t="str">
        <f>IF(SportClimbing[[#This Row],[Height (m)]]&lt;11, "0-10", IF(SportClimbing[[#This Row],[Height (m)]]&lt;16, "11-15", IF(SportClimbing[[#This Row],[Height (m)]]&lt;21, "16-20", IF(SportClimbing[[#This Row],[Height (m)]]&lt;26, "21-25", IF(SportClimbing[[#This Row],[Height (m)]]&lt;31, "26-30", IF(SportClimbing[[#This Row],[Height (m)]]&lt;36, "31-35", "35+"))))))</f>
        <v>21-25</v>
      </c>
      <c r="M144" t="s">
        <v>370</v>
      </c>
      <c r="N144">
        <v>2</v>
      </c>
      <c r="O144">
        <f>IF(ISNUMBER(SportClimbing[[#This Row],[Total number of tries]])=TRUE, SportClimbing[[#This Row],[Total number of tries]], 1)</f>
        <v>2</v>
      </c>
      <c r="P144" t="str">
        <f>IF(ISNUMBER(SportClimbing[[#This Row],[Total number of tries]])=TRUE, "redpoint", SportClimbing[[#This Row],[Total number of tries]])</f>
        <v>redpoint</v>
      </c>
      <c r="Q144">
        <f>_xlfn.XLOOKUP(SportClimbing[[#This Row],[Grade]],SCORE[GRADE],SCORE[SCORE],,)</f>
        <v>10</v>
      </c>
    </row>
    <row r="145" spans="1:17" x14ac:dyDescent="0.25">
      <c r="A145" s="21">
        <f>DATE(SportClimbing[[#This Row],[Year]],_xlfn.XLOOKUP(SportClimbing[[#This Row],[Month]],MONTHS[MONTHS 2],MONTHS[MONTHS 3]),SportClimbing[[#This Row],[Day]])</f>
        <v>44979</v>
      </c>
      <c r="B145" s="21" t="b">
        <f ca="1">AND(SportClimbing[[#This Row],[Date]] &gt;= TODAY()-365, SportClimbing[[#This Row],[Date]] &lt;= TODAY())</f>
        <v>0</v>
      </c>
      <c r="C145">
        <v>22</v>
      </c>
      <c r="D145" t="s">
        <v>152</v>
      </c>
      <c r="E145">
        <v>2023</v>
      </c>
      <c r="F145" t="s">
        <v>388</v>
      </c>
      <c r="G145" t="s">
        <v>3</v>
      </c>
      <c r="H145" t="s">
        <v>262</v>
      </c>
      <c r="I145" t="s">
        <v>323</v>
      </c>
      <c r="J145" t="s">
        <v>330</v>
      </c>
      <c r="K145">
        <v>18</v>
      </c>
      <c r="L145" t="str">
        <f>IF(SportClimbing[[#This Row],[Height (m)]]&lt;11, "0-10", IF(SportClimbing[[#This Row],[Height (m)]]&lt;16, "11-15", IF(SportClimbing[[#This Row],[Height (m)]]&lt;21, "16-20", IF(SportClimbing[[#This Row],[Height (m)]]&lt;26, "21-25", IF(SportClimbing[[#This Row],[Height (m)]]&lt;31, "26-30", IF(SportClimbing[[#This Row],[Height (m)]]&lt;36, "31-35", "35+"))))))</f>
        <v>16-20</v>
      </c>
      <c r="M145" t="s">
        <v>324</v>
      </c>
      <c r="N145" t="s">
        <v>130</v>
      </c>
      <c r="O145">
        <f>IF(ISNUMBER(SportClimbing[[#This Row],[Total number of tries]])=TRUE, SportClimbing[[#This Row],[Total number of tries]], 1)</f>
        <v>1</v>
      </c>
      <c r="P145" t="str">
        <f>IF(ISNUMBER(SportClimbing[[#This Row],[Total number of tries]])=TRUE, "redpoint", SportClimbing[[#This Row],[Total number of tries]])</f>
        <v>onsight</v>
      </c>
      <c r="Q145">
        <f>_xlfn.XLOOKUP(SportClimbing[[#This Row],[Grade]],SCORE[GRADE],SCORE[SCORE],,)</f>
        <v>10</v>
      </c>
    </row>
    <row r="146" spans="1:17" x14ac:dyDescent="0.25">
      <c r="A146" s="21">
        <f>DATE(SportClimbing[[#This Row],[Year]],_xlfn.XLOOKUP(SportClimbing[[#This Row],[Month]],MONTHS[MONTHS 2],MONTHS[MONTHS 3]),SportClimbing[[#This Row],[Day]])</f>
        <v>44983</v>
      </c>
      <c r="B146" s="21" t="b">
        <f ca="1">AND(SportClimbing[[#This Row],[Date]] &gt;= TODAY()-365, SportClimbing[[#This Row],[Date]] &lt;= TODAY())</f>
        <v>0</v>
      </c>
      <c r="C146">
        <v>26</v>
      </c>
      <c r="D146" t="s">
        <v>152</v>
      </c>
      <c r="E146">
        <v>2023</v>
      </c>
      <c r="F146" t="s">
        <v>326</v>
      </c>
      <c r="G146" t="s">
        <v>3</v>
      </c>
      <c r="H146" t="s">
        <v>262</v>
      </c>
      <c r="I146" t="s">
        <v>126</v>
      </c>
      <c r="J146" t="s">
        <v>328</v>
      </c>
      <c r="K146">
        <v>30</v>
      </c>
      <c r="L146" t="str">
        <f>IF(SportClimbing[[#This Row],[Height (m)]]&lt;11, "0-10", IF(SportClimbing[[#This Row],[Height (m)]]&lt;16, "11-15", IF(SportClimbing[[#This Row],[Height (m)]]&lt;21, "16-20", IF(SportClimbing[[#This Row],[Height (m)]]&lt;26, "21-25", IF(SportClimbing[[#This Row],[Height (m)]]&lt;31, "26-30", IF(SportClimbing[[#This Row],[Height (m)]]&lt;36, "31-35", "35+"))))))</f>
        <v>26-30</v>
      </c>
      <c r="M146" t="s">
        <v>231</v>
      </c>
      <c r="N146" t="s">
        <v>130</v>
      </c>
      <c r="O146">
        <f>IF(ISNUMBER(SportClimbing[[#This Row],[Total number of tries]])=TRUE, SportClimbing[[#This Row],[Total number of tries]], 1)</f>
        <v>1</v>
      </c>
      <c r="P146" t="str">
        <f>IF(ISNUMBER(SportClimbing[[#This Row],[Total number of tries]])=TRUE, "redpoint", SportClimbing[[#This Row],[Total number of tries]])</f>
        <v>onsight</v>
      </c>
      <c r="Q146">
        <f>_xlfn.XLOOKUP(SportClimbing[[#This Row],[Grade]],SCORE[GRADE],SCORE[SCORE],,)</f>
        <v>10</v>
      </c>
    </row>
    <row r="147" spans="1:17" x14ac:dyDescent="0.25">
      <c r="A147" s="21">
        <f>DATE(SportClimbing[[#This Row],[Year]],_xlfn.XLOOKUP(SportClimbing[[#This Row],[Month]],MONTHS[MONTHS 2],MONTHS[MONTHS 3]),SportClimbing[[#This Row],[Day]])</f>
        <v>44983</v>
      </c>
      <c r="B147" s="21" t="b">
        <f ca="1">AND(SportClimbing[[#This Row],[Date]] &gt;= TODAY()-365, SportClimbing[[#This Row],[Date]] &lt;= TODAY())</f>
        <v>0</v>
      </c>
      <c r="C147">
        <v>26</v>
      </c>
      <c r="D147" t="s">
        <v>152</v>
      </c>
      <c r="E147">
        <v>2023</v>
      </c>
      <c r="F147" t="s">
        <v>327</v>
      </c>
      <c r="G147" t="s">
        <v>3</v>
      </c>
      <c r="H147" t="s">
        <v>262</v>
      </c>
      <c r="I147" t="s">
        <v>126</v>
      </c>
      <c r="J147" t="s">
        <v>328</v>
      </c>
      <c r="K147">
        <v>25</v>
      </c>
      <c r="L147" t="str">
        <f>IF(SportClimbing[[#This Row],[Height (m)]]&lt;11, "0-10", IF(SportClimbing[[#This Row],[Height (m)]]&lt;16, "11-15", IF(SportClimbing[[#This Row],[Height (m)]]&lt;21, "16-20", IF(SportClimbing[[#This Row],[Height (m)]]&lt;26, "21-25", IF(SportClimbing[[#This Row],[Height (m)]]&lt;31, "26-30", IF(SportClimbing[[#This Row],[Height (m)]]&lt;36, "31-35", "35+"))))))</f>
        <v>21-25</v>
      </c>
      <c r="M147" t="s">
        <v>120</v>
      </c>
      <c r="N147" t="s">
        <v>11</v>
      </c>
      <c r="O147">
        <f>IF(ISNUMBER(SportClimbing[[#This Row],[Total number of tries]])=TRUE, SportClimbing[[#This Row],[Total number of tries]], 1)</f>
        <v>1</v>
      </c>
      <c r="P147" t="str">
        <f>IF(ISNUMBER(SportClimbing[[#This Row],[Total number of tries]])=TRUE, "redpoint", SportClimbing[[#This Row],[Total number of tries]])</f>
        <v>flash</v>
      </c>
      <c r="Q147">
        <f>_xlfn.XLOOKUP(SportClimbing[[#This Row],[Grade]],SCORE[GRADE],SCORE[SCORE],,)</f>
        <v>10</v>
      </c>
    </row>
    <row r="148" spans="1:17" x14ac:dyDescent="0.25">
      <c r="A148" s="21">
        <f>DATE(SportClimbing[[#This Row],[Year]],_xlfn.XLOOKUP(SportClimbing[[#This Row],[Month]],MONTHS[MONTHS 2],MONTHS[MONTHS 3]),SportClimbing[[#This Row],[Day]])</f>
        <v>44984</v>
      </c>
      <c r="B148" s="21" t="b">
        <f ca="1">AND(SportClimbing[[#This Row],[Date]] &gt;= TODAY()-365, SportClimbing[[#This Row],[Date]] &lt;= TODAY())</f>
        <v>0</v>
      </c>
      <c r="C148">
        <v>27</v>
      </c>
      <c r="D148" t="s">
        <v>152</v>
      </c>
      <c r="E148">
        <v>2023</v>
      </c>
      <c r="F148" t="s">
        <v>329</v>
      </c>
      <c r="G148" t="s">
        <v>3</v>
      </c>
      <c r="H148" t="s">
        <v>262</v>
      </c>
      <c r="I148" t="s">
        <v>126</v>
      </c>
      <c r="J148" t="s">
        <v>379</v>
      </c>
      <c r="K148">
        <v>16</v>
      </c>
      <c r="L148" t="str">
        <f>IF(SportClimbing[[#This Row],[Height (m)]]&lt;11, "0-10", IF(SportClimbing[[#This Row],[Height (m)]]&lt;16, "11-15", IF(SportClimbing[[#This Row],[Height (m)]]&lt;21, "16-20", IF(SportClimbing[[#This Row],[Height (m)]]&lt;26, "21-25", IF(SportClimbing[[#This Row],[Height (m)]]&lt;31, "26-30", IF(SportClimbing[[#This Row],[Height (m)]]&lt;36, "31-35", "35+"))))))</f>
        <v>16-20</v>
      </c>
      <c r="M148" t="s">
        <v>325</v>
      </c>
      <c r="N148" t="s">
        <v>130</v>
      </c>
      <c r="O148">
        <f>IF(ISNUMBER(SportClimbing[[#This Row],[Total number of tries]])=TRUE, SportClimbing[[#This Row],[Total number of tries]], 1)</f>
        <v>1</v>
      </c>
      <c r="P148" t="str">
        <f>IF(ISNUMBER(SportClimbing[[#This Row],[Total number of tries]])=TRUE, "redpoint", SportClimbing[[#This Row],[Total number of tries]])</f>
        <v>onsight</v>
      </c>
      <c r="Q148">
        <f>_xlfn.XLOOKUP(SportClimbing[[#This Row],[Grade]],SCORE[GRADE],SCORE[SCORE],,)</f>
        <v>10</v>
      </c>
    </row>
    <row r="149" spans="1:17" x14ac:dyDescent="0.25">
      <c r="A149" s="21">
        <f>DATE(SportClimbing[[#This Row],[Year]],_xlfn.XLOOKUP(SportClimbing[[#This Row],[Month]],MONTHS[MONTHS 2],MONTHS[MONTHS 3]),SportClimbing[[#This Row],[Day]])</f>
        <v>45009</v>
      </c>
      <c r="B149" s="21" t="b">
        <f ca="1">AND(SportClimbing[[#This Row],[Date]] &gt;= TODAY()-365, SportClimbing[[#This Row],[Date]] &lt;= TODAY())</f>
        <v>0</v>
      </c>
      <c r="C149">
        <v>24</v>
      </c>
      <c r="D149" t="s">
        <v>367</v>
      </c>
      <c r="E149">
        <v>2023</v>
      </c>
      <c r="F149" t="s">
        <v>331</v>
      </c>
      <c r="G149" t="s">
        <v>3</v>
      </c>
      <c r="H149" s="23" t="s">
        <v>298</v>
      </c>
      <c r="I149" s="23" t="s">
        <v>306</v>
      </c>
      <c r="J149" t="s">
        <v>333</v>
      </c>
      <c r="K149">
        <v>22</v>
      </c>
      <c r="L149" t="str">
        <f>IF(SportClimbing[[#This Row],[Height (m)]]&lt;11, "0-10", IF(SportClimbing[[#This Row],[Height (m)]]&lt;16, "11-15", IF(SportClimbing[[#This Row],[Height (m)]]&lt;21, "16-20", IF(SportClimbing[[#This Row],[Height (m)]]&lt;26, "21-25", IF(SportClimbing[[#This Row],[Height (m)]]&lt;31, "26-30", IF(SportClimbing[[#This Row],[Height (m)]]&lt;36, "31-35", "35+"))))))</f>
        <v>21-25</v>
      </c>
      <c r="M149" t="s">
        <v>332</v>
      </c>
      <c r="N149" t="s">
        <v>11</v>
      </c>
      <c r="O149">
        <f>IF(ISNUMBER(SportClimbing[[#This Row],[Total number of tries]])=TRUE, SportClimbing[[#This Row],[Total number of tries]], 1)</f>
        <v>1</v>
      </c>
      <c r="P149" t="str">
        <f>IF(ISNUMBER(SportClimbing[[#This Row],[Total number of tries]])=TRUE, "redpoint", SportClimbing[[#This Row],[Total number of tries]])</f>
        <v>flash</v>
      </c>
      <c r="Q149">
        <f>_xlfn.XLOOKUP(SportClimbing[[#This Row],[Grade]],SCORE[GRADE],SCORE[SCORE],,)</f>
        <v>10</v>
      </c>
    </row>
    <row r="150" spans="1:17" x14ac:dyDescent="0.25">
      <c r="A150" s="21">
        <f>DATE(SportClimbing[[#This Row],[Year]],_xlfn.XLOOKUP(SportClimbing[[#This Row],[Month]],MONTHS[MONTHS 2],MONTHS[MONTHS 3]),SportClimbing[[#This Row],[Day]])</f>
        <v>45073</v>
      </c>
      <c r="B150" s="21" t="b">
        <f ca="1">AND(SportClimbing[[#This Row],[Date]] &gt;= TODAY()-365, SportClimbing[[#This Row],[Date]] &lt;= TODAY())</f>
        <v>0</v>
      </c>
      <c r="C150">
        <v>27</v>
      </c>
      <c r="D150" t="s">
        <v>155</v>
      </c>
      <c r="E150">
        <v>2023</v>
      </c>
      <c r="F150" t="s">
        <v>335</v>
      </c>
      <c r="G150" t="s">
        <v>3</v>
      </c>
      <c r="H150" s="23" t="s">
        <v>298</v>
      </c>
      <c r="I150" t="s">
        <v>334</v>
      </c>
      <c r="J150" t="s">
        <v>335</v>
      </c>
      <c r="K150">
        <v>15</v>
      </c>
      <c r="L150" t="str">
        <f>IF(SportClimbing[[#This Row],[Height (m)]]&lt;11, "0-10", IF(SportClimbing[[#This Row],[Height (m)]]&lt;16, "11-15", IF(SportClimbing[[#This Row],[Height (m)]]&lt;21, "16-20", IF(SportClimbing[[#This Row],[Height (m)]]&lt;26, "21-25", IF(SportClimbing[[#This Row],[Height (m)]]&lt;31, "26-30", IF(SportClimbing[[#This Row],[Height (m)]]&lt;36, "31-35", "35+"))))))</f>
        <v>11-15</v>
      </c>
      <c r="M150" t="s">
        <v>370</v>
      </c>
      <c r="N150">
        <v>2</v>
      </c>
      <c r="O150">
        <f>IF(ISNUMBER(SportClimbing[[#This Row],[Total number of tries]])=TRUE, SportClimbing[[#This Row],[Total number of tries]], 1)</f>
        <v>2</v>
      </c>
      <c r="P150" t="str">
        <f>IF(ISNUMBER(SportClimbing[[#This Row],[Total number of tries]])=TRUE, "redpoint", SportClimbing[[#This Row],[Total number of tries]])</f>
        <v>redpoint</v>
      </c>
      <c r="Q150">
        <f>_xlfn.XLOOKUP(SportClimbing[[#This Row],[Grade]],SCORE[GRADE],SCORE[SCORE],,)</f>
        <v>10</v>
      </c>
    </row>
    <row r="151" spans="1:17" x14ac:dyDescent="0.25">
      <c r="A151" s="21">
        <f>DATE(SportClimbing[[#This Row],[Year]],_xlfn.XLOOKUP(SportClimbing[[#This Row],[Month]],MONTHS[MONTHS 2],MONTHS[MONTHS 3]),SportClimbing[[#This Row],[Day]])</f>
        <v>45094</v>
      </c>
      <c r="B151" s="21" t="b">
        <f ca="1">AND(SportClimbing[[#This Row],[Date]] &gt;= TODAY()-365, SportClimbing[[#This Row],[Date]] &lt;= TODAY())</f>
        <v>0</v>
      </c>
      <c r="C151">
        <v>17</v>
      </c>
      <c r="D151" t="s">
        <v>366</v>
      </c>
      <c r="E151">
        <v>2023</v>
      </c>
      <c r="F151" t="s">
        <v>336</v>
      </c>
      <c r="G151" t="s">
        <v>3</v>
      </c>
      <c r="H151" s="23" t="s">
        <v>298</v>
      </c>
      <c r="I151" t="s">
        <v>343</v>
      </c>
      <c r="J151" t="s">
        <v>337</v>
      </c>
      <c r="K151">
        <v>18</v>
      </c>
      <c r="L151" t="str">
        <f>IF(SportClimbing[[#This Row],[Height (m)]]&lt;11, "0-10", IF(SportClimbing[[#This Row],[Height (m)]]&lt;16, "11-15", IF(SportClimbing[[#This Row],[Height (m)]]&lt;21, "16-20", IF(SportClimbing[[#This Row],[Height (m)]]&lt;26, "21-25", IF(SportClimbing[[#This Row],[Height (m)]]&lt;31, "26-30", IF(SportClimbing[[#This Row],[Height (m)]]&lt;36, "31-35", "35+"))))))</f>
        <v>16-20</v>
      </c>
      <c r="M151" t="s">
        <v>370</v>
      </c>
      <c r="N151">
        <v>2</v>
      </c>
      <c r="O151">
        <f>IF(ISNUMBER(SportClimbing[[#This Row],[Total number of tries]])=TRUE, SportClimbing[[#This Row],[Total number of tries]], 1)</f>
        <v>2</v>
      </c>
      <c r="P151" t="str">
        <f>IF(ISNUMBER(SportClimbing[[#This Row],[Total number of tries]])=TRUE, "redpoint", SportClimbing[[#This Row],[Total number of tries]])</f>
        <v>redpoint</v>
      </c>
      <c r="Q151">
        <f>_xlfn.XLOOKUP(SportClimbing[[#This Row],[Grade]],SCORE[GRADE],SCORE[SCORE],,)</f>
        <v>10</v>
      </c>
    </row>
    <row r="152" spans="1:17" x14ac:dyDescent="0.25">
      <c r="A152" s="21">
        <f>DATE(SportClimbing[[#This Row],[Year]],_xlfn.XLOOKUP(SportClimbing[[#This Row],[Month]],MONTHS[MONTHS 2],MONTHS[MONTHS 3]),SportClimbing[[#This Row],[Day]])</f>
        <v>45110</v>
      </c>
      <c r="B152" s="21" t="b">
        <f ca="1">AND(SportClimbing[[#This Row],[Date]] &gt;= TODAY()-365, SportClimbing[[#This Row],[Date]] &lt;= TODAY())</f>
        <v>0</v>
      </c>
      <c r="C152">
        <v>3</v>
      </c>
      <c r="D152" t="s">
        <v>365</v>
      </c>
      <c r="E152">
        <v>2023</v>
      </c>
      <c r="F152" t="s">
        <v>340</v>
      </c>
      <c r="G152" t="s">
        <v>3</v>
      </c>
      <c r="H152" s="23" t="s">
        <v>298</v>
      </c>
      <c r="I152" t="s">
        <v>380</v>
      </c>
      <c r="J152" t="s">
        <v>342</v>
      </c>
      <c r="K152">
        <v>20</v>
      </c>
      <c r="L152" t="str">
        <f>IF(SportClimbing[[#This Row],[Height (m)]]&lt;11, "0-10", IF(SportClimbing[[#This Row],[Height (m)]]&lt;16, "11-15", IF(SportClimbing[[#This Row],[Height (m)]]&lt;21, "16-20", IF(SportClimbing[[#This Row],[Height (m)]]&lt;26, "21-25", IF(SportClimbing[[#This Row],[Height (m)]]&lt;31, "26-30", IF(SportClimbing[[#This Row],[Height (m)]]&lt;36, "31-35", "35+"))))))</f>
        <v>16-20</v>
      </c>
      <c r="M152" t="s">
        <v>338</v>
      </c>
      <c r="N152">
        <v>2</v>
      </c>
      <c r="O152">
        <f>IF(ISNUMBER(SportClimbing[[#This Row],[Total number of tries]])=TRUE, SportClimbing[[#This Row],[Total number of tries]], 1)</f>
        <v>2</v>
      </c>
      <c r="P152" t="str">
        <f>IF(ISNUMBER(SportClimbing[[#This Row],[Total number of tries]])=TRUE, "redpoint", SportClimbing[[#This Row],[Total number of tries]])</f>
        <v>redpoint</v>
      </c>
      <c r="Q152">
        <f>_xlfn.XLOOKUP(SportClimbing[[#This Row],[Grade]],SCORE[GRADE],SCORE[SCORE],,)</f>
        <v>10</v>
      </c>
    </row>
    <row r="153" spans="1:17" x14ac:dyDescent="0.25">
      <c r="A153" s="21">
        <f>DATE(SportClimbing[[#This Row],[Year]],_xlfn.XLOOKUP(SportClimbing[[#This Row],[Month]],MONTHS[MONTHS 2],MONTHS[MONTHS 3]),SportClimbing[[#This Row],[Day]])</f>
        <v>45110</v>
      </c>
      <c r="B153" s="21" t="b">
        <f ca="1">AND(SportClimbing[[#This Row],[Date]] &gt;= TODAY()-365, SportClimbing[[#This Row],[Date]] &lt;= TODAY())</f>
        <v>0</v>
      </c>
      <c r="C153">
        <v>3</v>
      </c>
      <c r="D153" t="s">
        <v>365</v>
      </c>
      <c r="E153">
        <v>2023</v>
      </c>
      <c r="F153" t="s">
        <v>341</v>
      </c>
      <c r="G153" t="s">
        <v>3</v>
      </c>
      <c r="H153" s="23" t="s">
        <v>298</v>
      </c>
      <c r="I153" t="s">
        <v>380</v>
      </c>
      <c r="J153" t="s">
        <v>342</v>
      </c>
      <c r="K153">
        <v>10</v>
      </c>
      <c r="L153" t="str">
        <f>IF(SportClimbing[[#This Row],[Height (m)]]&lt;11, "0-10", IF(SportClimbing[[#This Row],[Height (m)]]&lt;16, "11-15", IF(SportClimbing[[#This Row],[Height (m)]]&lt;21, "16-20", IF(SportClimbing[[#This Row],[Height (m)]]&lt;26, "21-25", IF(SportClimbing[[#This Row],[Height (m)]]&lt;31, "26-30", IF(SportClimbing[[#This Row],[Height (m)]]&lt;36, "31-35", "35+"))))))</f>
        <v>0-10</v>
      </c>
      <c r="M153" t="s">
        <v>338</v>
      </c>
      <c r="N153">
        <v>2</v>
      </c>
      <c r="O153">
        <f>IF(ISNUMBER(SportClimbing[[#This Row],[Total number of tries]])=TRUE, SportClimbing[[#This Row],[Total number of tries]], 1)</f>
        <v>2</v>
      </c>
      <c r="P153" t="str">
        <f>IF(ISNUMBER(SportClimbing[[#This Row],[Total number of tries]])=TRUE, "redpoint", SportClimbing[[#This Row],[Total number of tries]])</f>
        <v>redpoint</v>
      </c>
      <c r="Q153">
        <f>_xlfn.XLOOKUP(SportClimbing[[#This Row],[Grade]],SCORE[GRADE],SCORE[SCORE],,)</f>
        <v>10</v>
      </c>
    </row>
    <row r="154" spans="1:17" x14ac:dyDescent="0.25">
      <c r="A154" s="21">
        <f>DATE(SportClimbing[[#This Row],[Year]],_xlfn.XLOOKUP(SportClimbing[[#This Row],[Month]],MONTHS[MONTHS 2],MONTHS[MONTHS 3]),SportClimbing[[#This Row],[Day]])</f>
        <v>45110</v>
      </c>
      <c r="B154" s="21" t="b">
        <f ca="1">AND(SportClimbing[[#This Row],[Date]] &gt;= TODAY()-365, SportClimbing[[#This Row],[Date]] &lt;= TODAY())</f>
        <v>0</v>
      </c>
      <c r="C154">
        <v>3</v>
      </c>
      <c r="D154" t="s">
        <v>365</v>
      </c>
      <c r="E154">
        <v>2023</v>
      </c>
      <c r="F154" s="25" t="s">
        <v>339</v>
      </c>
      <c r="G154" t="s">
        <v>3</v>
      </c>
      <c r="H154" s="23" t="s">
        <v>298</v>
      </c>
      <c r="I154" t="s">
        <v>380</v>
      </c>
      <c r="J154" t="s">
        <v>342</v>
      </c>
      <c r="K154">
        <v>20</v>
      </c>
      <c r="L154" t="str">
        <f>IF(SportClimbing[[#This Row],[Height (m)]]&lt;11, "0-10", IF(SportClimbing[[#This Row],[Height (m)]]&lt;16, "11-15", IF(SportClimbing[[#This Row],[Height (m)]]&lt;21, "16-20", IF(SportClimbing[[#This Row],[Height (m)]]&lt;26, "21-25", IF(SportClimbing[[#This Row],[Height (m)]]&lt;31, "26-30", IF(SportClimbing[[#This Row],[Height (m)]]&lt;36, "31-35", "35+"))))))</f>
        <v>16-20</v>
      </c>
      <c r="M154" t="s">
        <v>338</v>
      </c>
      <c r="N154">
        <v>2</v>
      </c>
      <c r="O154">
        <f>IF(ISNUMBER(SportClimbing[[#This Row],[Total number of tries]])=TRUE, SportClimbing[[#This Row],[Total number of tries]], 1)</f>
        <v>2</v>
      </c>
      <c r="P154" t="str">
        <f>IF(ISNUMBER(SportClimbing[[#This Row],[Total number of tries]])=TRUE, "redpoint", SportClimbing[[#This Row],[Total number of tries]])</f>
        <v>redpoint</v>
      </c>
      <c r="Q154">
        <f>_xlfn.XLOOKUP(SportClimbing[[#This Row],[Grade]],SCORE[GRADE],SCORE[SCORE],,)</f>
        <v>10</v>
      </c>
    </row>
    <row r="155" spans="1:17" x14ac:dyDescent="0.25">
      <c r="A155" s="21">
        <f>DATE(SportClimbing[[#This Row],[Year]],_xlfn.XLOOKUP(SportClimbing[[#This Row],[Month]],MONTHS[MONTHS 2],MONTHS[MONTHS 3]),SportClimbing[[#This Row],[Day]])</f>
        <v>45186</v>
      </c>
      <c r="B155" s="21" t="b">
        <f ca="1">AND(SportClimbing[[#This Row],[Date]] &gt;= TODAY()-365, SportClimbing[[#This Row],[Date]] &lt;= TODAY())</f>
        <v>0</v>
      </c>
      <c r="C155">
        <v>17</v>
      </c>
      <c r="D155" t="s">
        <v>159</v>
      </c>
      <c r="E155">
        <v>2023</v>
      </c>
      <c r="F155" t="s">
        <v>344</v>
      </c>
      <c r="G155" t="s">
        <v>3</v>
      </c>
      <c r="H155" s="23" t="s">
        <v>298</v>
      </c>
      <c r="I155" t="s">
        <v>343</v>
      </c>
      <c r="J155" t="s">
        <v>337</v>
      </c>
      <c r="K155">
        <v>12</v>
      </c>
      <c r="L155" t="str">
        <f>IF(SportClimbing[[#This Row],[Height (m)]]&lt;11, "0-10", IF(SportClimbing[[#This Row],[Height (m)]]&lt;16, "11-15", IF(SportClimbing[[#This Row],[Height (m)]]&lt;21, "16-20", IF(SportClimbing[[#This Row],[Height (m)]]&lt;26, "21-25", IF(SportClimbing[[#This Row],[Height (m)]]&lt;31, "26-30", IF(SportClimbing[[#This Row],[Height (m)]]&lt;36, "31-35", "35+"))))))</f>
        <v>11-15</v>
      </c>
      <c r="M155" t="s">
        <v>332</v>
      </c>
      <c r="N155">
        <v>3</v>
      </c>
      <c r="O155">
        <f>IF(ISNUMBER(SportClimbing[[#This Row],[Total number of tries]])=TRUE, SportClimbing[[#This Row],[Total number of tries]], 1)</f>
        <v>3</v>
      </c>
      <c r="P155" t="str">
        <f>IF(ISNUMBER(SportClimbing[[#This Row],[Total number of tries]])=TRUE, "redpoint", SportClimbing[[#This Row],[Total number of tries]])</f>
        <v>redpoint</v>
      </c>
      <c r="Q155">
        <f>_xlfn.XLOOKUP(SportClimbing[[#This Row],[Grade]],SCORE[GRADE],SCORE[SCORE],,)</f>
        <v>10</v>
      </c>
    </row>
    <row r="156" spans="1:17" x14ac:dyDescent="0.25">
      <c r="A156" s="21">
        <f>DATE(SportClimbing[[#This Row],[Year]],_xlfn.XLOOKUP(SportClimbing[[#This Row],[Month]],MONTHS[MONTHS 2],MONTHS[MONTHS 3]),SportClimbing[[#This Row],[Day]])</f>
        <v>45227</v>
      </c>
      <c r="B156" s="21" t="b">
        <f ca="1">AND(SportClimbing[[#This Row],[Date]] &gt;= TODAY()-365, SportClimbing[[#This Row],[Date]] &lt;= TODAY())</f>
        <v>0</v>
      </c>
      <c r="C156">
        <v>28</v>
      </c>
      <c r="D156" t="s">
        <v>162</v>
      </c>
      <c r="E156">
        <v>2023</v>
      </c>
      <c r="F156" t="s">
        <v>375</v>
      </c>
      <c r="G156" t="s">
        <v>3</v>
      </c>
      <c r="H156" s="23" t="s">
        <v>298</v>
      </c>
      <c r="I156" t="s">
        <v>311</v>
      </c>
      <c r="J156" t="s">
        <v>371</v>
      </c>
      <c r="K156">
        <v>18</v>
      </c>
      <c r="L156" t="str">
        <f>IF(SportClimbing[[#This Row],[Height (m)]]&lt;11, "0-10", IF(SportClimbing[[#This Row],[Height (m)]]&lt;16, "11-15", IF(SportClimbing[[#This Row],[Height (m)]]&lt;21, "16-20", IF(SportClimbing[[#This Row],[Height (m)]]&lt;26, "21-25", IF(SportClimbing[[#This Row],[Height (m)]]&lt;31, "26-30", IF(SportClimbing[[#This Row],[Height (m)]]&lt;36, "31-35", "35+"))))))</f>
        <v>16-20</v>
      </c>
      <c r="M156" t="s">
        <v>374</v>
      </c>
      <c r="N156">
        <v>2</v>
      </c>
      <c r="O156">
        <f>IF(ISNUMBER(SportClimbing[[#This Row],[Total number of tries]])=TRUE, SportClimbing[[#This Row],[Total number of tries]], 1)</f>
        <v>2</v>
      </c>
      <c r="P156" t="str">
        <f>IF(ISNUMBER(SportClimbing[[#This Row],[Total number of tries]])=TRUE, "redpoint", SportClimbing[[#This Row],[Total number of tries]])</f>
        <v>redpoint</v>
      </c>
      <c r="Q156">
        <f>_xlfn.XLOOKUP(SportClimbing[[#This Row],[Grade]],SCORE[GRADE],SCORE[SCORE],,)</f>
        <v>10</v>
      </c>
    </row>
    <row r="157" spans="1:17" x14ac:dyDescent="0.25">
      <c r="A157" s="21">
        <f>DATE(SportClimbing[[#This Row],[Year]],_xlfn.XLOOKUP(SportClimbing[[#This Row],[Month]],MONTHS[MONTHS 2],MONTHS[MONTHS 3]),SportClimbing[[#This Row],[Day]])</f>
        <v>45234</v>
      </c>
      <c r="B157" s="21" t="b">
        <f ca="1">AND(SportClimbing[[#This Row],[Date]] &gt;= TODAY()-365, SportClimbing[[#This Row],[Date]] &lt;= TODAY())</f>
        <v>0</v>
      </c>
      <c r="C157">
        <v>4</v>
      </c>
      <c r="D157" t="s">
        <v>160</v>
      </c>
      <c r="E157">
        <v>2023</v>
      </c>
      <c r="F157" t="s">
        <v>376</v>
      </c>
      <c r="G157" t="s">
        <v>3</v>
      </c>
      <c r="H157" s="23" t="s">
        <v>298</v>
      </c>
      <c r="I157" t="s">
        <v>372</v>
      </c>
      <c r="J157" t="s">
        <v>373</v>
      </c>
      <c r="K157">
        <v>15</v>
      </c>
      <c r="L157" t="str">
        <f>IF(SportClimbing[[#This Row],[Height (m)]]&lt;11, "0-10", IF(SportClimbing[[#This Row],[Height (m)]]&lt;16, "11-15", IF(SportClimbing[[#This Row],[Height (m)]]&lt;21, "16-20", IF(SportClimbing[[#This Row],[Height (m)]]&lt;26, "21-25", IF(SportClimbing[[#This Row],[Height (m)]]&lt;31, "26-30", IF(SportClimbing[[#This Row],[Height (m)]]&lt;36, "31-35", "35+"))))))</f>
        <v>11-15</v>
      </c>
      <c r="M157" t="s">
        <v>374</v>
      </c>
      <c r="N157">
        <v>2</v>
      </c>
      <c r="O157">
        <f>IF(ISNUMBER(SportClimbing[[#This Row],[Total number of tries]])=TRUE, SportClimbing[[#This Row],[Total number of tries]], 1)</f>
        <v>2</v>
      </c>
      <c r="P157" t="str">
        <f>IF(ISNUMBER(SportClimbing[[#This Row],[Total number of tries]])=TRUE, "redpoint", SportClimbing[[#This Row],[Total number of tries]])</f>
        <v>redpoint</v>
      </c>
      <c r="Q157">
        <f>_xlfn.XLOOKUP(SportClimbing[[#This Row],[Grade]],SCORE[GRADE],SCORE[SCORE],,)</f>
        <v>10</v>
      </c>
    </row>
    <row r="158" spans="1:17" x14ac:dyDescent="0.25">
      <c r="A158" s="21">
        <f>DATE(SportClimbing[[#This Row],[Year]],_xlfn.XLOOKUP(SportClimbing[[#This Row],[Month]],MONTHS[MONTHS 2],MONTHS[MONTHS 3]),SportClimbing[[#This Row],[Day]])</f>
        <v>45234</v>
      </c>
      <c r="B158" s="21" t="b">
        <f ca="1">AND(SportClimbing[[#This Row],[Date]] &gt;= TODAY()-365, SportClimbing[[#This Row],[Date]] &lt;= TODAY())</f>
        <v>0</v>
      </c>
      <c r="C158">
        <v>4</v>
      </c>
      <c r="D158" t="s">
        <v>160</v>
      </c>
      <c r="E158">
        <v>2023</v>
      </c>
      <c r="F158" t="s">
        <v>377</v>
      </c>
      <c r="G158" t="s">
        <v>3</v>
      </c>
      <c r="H158" s="23" t="s">
        <v>298</v>
      </c>
      <c r="I158" t="s">
        <v>372</v>
      </c>
      <c r="J158" t="s">
        <v>373</v>
      </c>
      <c r="K158">
        <v>10</v>
      </c>
      <c r="L158" t="str">
        <f>IF(SportClimbing[[#This Row],[Height (m)]]&lt;11, "0-10", IF(SportClimbing[[#This Row],[Height (m)]]&lt;16, "11-15", IF(SportClimbing[[#This Row],[Height (m)]]&lt;21, "16-20", IF(SportClimbing[[#This Row],[Height (m)]]&lt;26, "21-25", IF(SportClimbing[[#This Row],[Height (m)]]&lt;31, "26-30", IF(SportClimbing[[#This Row],[Height (m)]]&lt;36, "31-35", "35+"))))))</f>
        <v>0-10</v>
      </c>
      <c r="M158" t="s">
        <v>374</v>
      </c>
      <c r="N158">
        <v>3</v>
      </c>
      <c r="O158">
        <f>IF(ISNUMBER(SportClimbing[[#This Row],[Total number of tries]])=TRUE, SportClimbing[[#This Row],[Total number of tries]], 1)</f>
        <v>3</v>
      </c>
      <c r="P158" t="str">
        <f>IF(ISNUMBER(SportClimbing[[#This Row],[Total number of tries]])=TRUE, "redpoint", SportClimbing[[#This Row],[Total number of tries]])</f>
        <v>redpoint</v>
      </c>
      <c r="Q158">
        <f>_xlfn.XLOOKUP(SportClimbing[[#This Row],[Grade]],SCORE[GRADE],SCORE[SCORE],,)</f>
        <v>10</v>
      </c>
    </row>
    <row r="159" spans="1:17" x14ac:dyDescent="0.25">
      <c r="A159" s="21">
        <f>DATE(SportClimbing[[#This Row],[Year]],_xlfn.XLOOKUP(SportClimbing[[#This Row],[Month]],MONTHS[MONTHS 2],MONTHS[MONTHS 3]),SportClimbing[[#This Row],[Day]])</f>
        <v>45319</v>
      </c>
      <c r="B159" s="21" t="b">
        <f ca="1">AND(SportClimbing[[#This Row],[Date]] &gt;= TODAY()-365, SportClimbing[[#This Row],[Date]] &lt;= TODAY())</f>
        <v>0</v>
      </c>
      <c r="C159">
        <v>28</v>
      </c>
      <c r="D159" t="s">
        <v>151</v>
      </c>
      <c r="E159">
        <v>2024</v>
      </c>
      <c r="F159" t="s">
        <v>383</v>
      </c>
      <c r="G159" t="s">
        <v>3</v>
      </c>
      <c r="H159" t="s">
        <v>298</v>
      </c>
      <c r="I159" s="23" t="s">
        <v>306</v>
      </c>
      <c r="J159" t="s">
        <v>333</v>
      </c>
      <c r="K159">
        <v>22</v>
      </c>
      <c r="L159" t="str">
        <f>IF(SportClimbing[[#This Row],[Height (m)]]&lt;11, "0-10", IF(SportClimbing[[#This Row],[Height (m)]]&lt;16, "11-15", IF(SportClimbing[[#This Row],[Height (m)]]&lt;21, "16-20", IF(SportClimbing[[#This Row],[Height (m)]]&lt;26, "21-25", IF(SportClimbing[[#This Row],[Height (m)]]&lt;31, "26-30", IF(SportClimbing[[#This Row],[Height (m)]]&lt;36, "31-35", "35+"))))))</f>
        <v>21-25</v>
      </c>
      <c r="M159" t="s">
        <v>332</v>
      </c>
      <c r="N159">
        <v>6</v>
      </c>
      <c r="O159">
        <f>IF(ISNUMBER(SportClimbing[[#This Row],[Total number of tries]])=TRUE, SportClimbing[[#This Row],[Total number of tries]], 1)</f>
        <v>6</v>
      </c>
      <c r="P159" t="str">
        <f>IF(ISNUMBER(SportClimbing[[#This Row],[Total number of tries]])=TRUE, "redpoint", SportClimbing[[#This Row],[Total number of tries]])</f>
        <v>redpoint</v>
      </c>
      <c r="Q159">
        <f>_xlfn.XLOOKUP(SportClimbing[[#This Row],[Grade]],SCORE[GRADE],SCORE[SCORE],,)</f>
        <v>10</v>
      </c>
    </row>
    <row r="160" spans="1:17" x14ac:dyDescent="0.25">
      <c r="A160" s="21">
        <f>DATE(SportClimbing[[#This Row],[Year]],_xlfn.XLOOKUP(SportClimbing[[#This Row],[Month]],MONTHS[MONTHS 2],MONTHS[MONTHS 3]),SportClimbing[[#This Row],[Day]])</f>
        <v>45361</v>
      </c>
      <c r="B160" s="21" t="b">
        <f ca="1">AND(SportClimbing[[#This Row],[Date]] &gt;= TODAY()-365, SportClimbing[[#This Row],[Date]] &lt;= TODAY())</f>
        <v>0</v>
      </c>
      <c r="C160">
        <v>10</v>
      </c>
      <c r="D160" t="s">
        <v>367</v>
      </c>
      <c r="E160">
        <v>2024</v>
      </c>
      <c r="F160" t="s">
        <v>384</v>
      </c>
      <c r="G160" t="s">
        <v>21</v>
      </c>
      <c r="H160" t="s">
        <v>298</v>
      </c>
      <c r="I160" s="23" t="s">
        <v>306</v>
      </c>
      <c r="J160" t="s">
        <v>307</v>
      </c>
      <c r="K160">
        <v>22</v>
      </c>
      <c r="L160" t="str">
        <f>IF(SportClimbing[[#This Row],[Height (m)]]&lt;11, "0-10", IF(SportClimbing[[#This Row],[Height (m)]]&lt;16, "11-15", IF(SportClimbing[[#This Row],[Height (m)]]&lt;21, "16-20", IF(SportClimbing[[#This Row],[Height (m)]]&lt;26, "21-25", IF(SportClimbing[[#This Row],[Height (m)]]&lt;31, "26-30", IF(SportClimbing[[#This Row],[Height (m)]]&lt;36, "31-35", "35+"))))))</f>
        <v>21-25</v>
      </c>
      <c r="M160" t="s">
        <v>370</v>
      </c>
      <c r="N160">
        <v>2</v>
      </c>
      <c r="O160">
        <f>IF(ISNUMBER(SportClimbing[[#This Row],[Total number of tries]])=TRUE, SportClimbing[[#This Row],[Total number of tries]], 1)</f>
        <v>2</v>
      </c>
      <c r="P160" t="str">
        <f>IF(ISNUMBER(SportClimbing[[#This Row],[Total number of tries]])=TRUE, "redpoint", SportClimbing[[#This Row],[Total number of tries]])</f>
        <v>redpoint</v>
      </c>
      <c r="Q160">
        <f>_xlfn.XLOOKUP(SportClimbing[[#This Row],[Grade]],SCORE[GRADE],SCORE[SCORE],,)</f>
        <v>15</v>
      </c>
    </row>
    <row r="161" spans="1:17" x14ac:dyDescent="0.25">
      <c r="A161" s="21">
        <f>DATE(SportClimbing[[#This Row],[Year]],_xlfn.XLOOKUP(SportClimbing[[#This Row],[Month]],MONTHS[MONTHS 2],MONTHS[MONTHS 3]),SportClimbing[[#This Row],[Day]])</f>
        <v>45371</v>
      </c>
      <c r="B161" s="21" t="b">
        <f ca="1">AND(SportClimbing[[#This Row],[Date]] &gt;= TODAY()-365, SportClimbing[[#This Row],[Date]] &lt;= TODAY())</f>
        <v>0</v>
      </c>
      <c r="C161">
        <v>20</v>
      </c>
      <c r="D161" t="s">
        <v>367</v>
      </c>
      <c r="E161">
        <v>2024</v>
      </c>
      <c r="F161" t="s">
        <v>385</v>
      </c>
      <c r="G161" t="s">
        <v>3</v>
      </c>
      <c r="H161" t="s">
        <v>298</v>
      </c>
      <c r="I161" s="23" t="s">
        <v>306</v>
      </c>
      <c r="J161" t="s">
        <v>333</v>
      </c>
      <c r="K161">
        <v>24</v>
      </c>
      <c r="L161" t="str">
        <f>IF(SportClimbing[[#This Row],[Height (m)]]&lt;11, "0-10", IF(SportClimbing[[#This Row],[Height (m)]]&lt;16, "11-15", IF(SportClimbing[[#This Row],[Height (m)]]&lt;21, "16-20", IF(SportClimbing[[#This Row],[Height (m)]]&lt;26, "21-25", IF(SportClimbing[[#This Row],[Height (m)]]&lt;31, "26-30", IF(SportClimbing[[#This Row],[Height (m)]]&lt;36, "31-35", "35+"))))))</f>
        <v>21-25</v>
      </c>
      <c r="M161" t="s">
        <v>332</v>
      </c>
      <c r="N161" t="s">
        <v>11</v>
      </c>
      <c r="O161">
        <f>IF(ISNUMBER(SportClimbing[[#This Row],[Total number of tries]])=TRUE, SportClimbing[[#This Row],[Total number of tries]], 1)</f>
        <v>1</v>
      </c>
      <c r="P161" t="str">
        <f>IF(ISNUMBER(SportClimbing[[#This Row],[Total number of tries]])=TRUE, "redpoint", SportClimbing[[#This Row],[Total number of tries]])</f>
        <v>flash</v>
      </c>
      <c r="Q161">
        <f>_xlfn.XLOOKUP(SportClimbing[[#This Row],[Grade]],SCORE[GRADE],SCORE[SCORE],,)</f>
        <v>10</v>
      </c>
    </row>
    <row r="162" spans="1:17" x14ac:dyDescent="0.25">
      <c r="A162" s="21">
        <f>DATE(SportClimbing[[#This Row],[Year]],_xlfn.XLOOKUP(SportClimbing[[#This Row],[Month]],MONTHS[MONTHS 2],MONTHS[MONTHS 3]),SportClimbing[[#This Row],[Day]])</f>
        <v>45391</v>
      </c>
      <c r="B162" s="21" t="b">
        <f ca="1">AND(SportClimbing[[#This Row],[Date]] &gt;= TODAY()-365, SportClimbing[[#This Row],[Date]] &lt;= TODAY())</f>
        <v>0</v>
      </c>
      <c r="C162">
        <v>9</v>
      </c>
      <c r="D162" t="s">
        <v>368</v>
      </c>
      <c r="E162">
        <v>2024</v>
      </c>
      <c r="F162" t="s">
        <v>386</v>
      </c>
      <c r="G162" t="s">
        <v>3</v>
      </c>
      <c r="H162" t="s">
        <v>298</v>
      </c>
      <c r="I162" s="23" t="s">
        <v>306</v>
      </c>
      <c r="J162" t="s">
        <v>333</v>
      </c>
      <c r="K162">
        <v>18</v>
      </c>
      <c r="L162" t="str">
        <f>IF(SportClimbing[[#This Row],[Height (m)]]&lt;11, "0-10", IF(SportClimbing[[#This Row],[Height (m)]]&lt;16, "11-15", IF(SportClimbing[[#This Row],[Height (m)]]&lt;21, "16-20", IF(SportClimbing[[#This Row],[Height (m)]]&lt;26, "21-25", IF(SportClimbing[[#This Row],[Height (m)]]&lt;31, "26-30", IF(SportClimbing[[#This Row],[Height (m)]]&lt;36, "31-35", "35+"))))))</f>
        <v>16-20</v>
      </c>
      <c r="M162" t="s">
        <v>332</v>
      </c>
      <c r="N162">
        <v>3</v>
      </c>
      <c r="O162">
        <f>IF(ISNUMBER(SportClimbing[[#This Row],[Total number of tries]])=TRUE, SportClimbing[[#This Row],[Total number of tries]], 1)</f>
        <v>3</v>
      </c>
      <c r="P162" t="str">
        <f>IF(ISNUMBER(SportClimbing[[#This Row],[Total number of tries]])=TRUE, "redpoint", SportClimbing[[#This Row],[Total number of tries]])</f>
        <v>redpoint</v>
      </c>
      <c r="Q162">
        <f>_xlfn.XLOOKUP(SportClimbing[[#This Row],[Grade]],SCORE[GRADE],SCORE[SCORE],,)</f>
        <v>10</v>
      </c>
    </row>
    <row r="163" spans="1:17" x14ac:dyDescent="0.25">
      <c r="A163" s="21">
        <f>DATE(SportClimbing[[#This Row],[Year]],_xlfn.XLOOKUP(SportClimbing[[#This Row],[Month]],MONTHS[MONTHS 2],MONTHS[MONTHS 3]),SportClimbing[[#This Row],[Day]])</f>
        <v>45391</v>
      </c>
      <c r="B163" s="21" t="b">
        <f ca="1">AND(SportClimbing[[#This Row],[Date]] &gt;= TODAY()-365, SportClimbing[[#This Row],[Date]] &lt;= TODAY())</f>
        <v>0</v>
      </c>
      <c r="C163">
        <v>9</v>
      </c>
      <c r="D163" t="s">
        <v>368</v>
      </c>
      <c r="E163">
        <v>2024</v>
      </c>
      <c r="F163" t="s">
        <v>387</v>
      </c>
      <c r="G163" t="s">
        <v>3</v>
      </c>
      <c r="H163" t="s">
        <v>298</v>
      </c>
      <c r="I163" s="23" t="s">
        <v>306</v>
      </c>
      <c r="J163" t="s">
        <v>333</v>
      </c>
      <c r="K163">
        <v>20</v>
      </c>
      <c r="L163" t="str">
        <f>IF(SportClimbing[[#This Row],[Height (m)]]&lt;11, "0-10", IF(SportClimbing[[#This Row],[Height (m)]]&lt;16, "11-15", IF(SportClimbing[[#This Row],[Height (m)]]&lt;21, "16-20", IF(SportClimbing[[#This Row],[Height (m)]]&lt;26, "21-25", IF(SportClimbing[[#This Row],[Height (m)]]&lt;31, "26-30", IF(SportClimbing[[#This Row],[Height (m)]]&lt;36, "31-35", "35+"))))))</f>
        <v>16-20</v>
      </c>
      <c r="M163" t="s">
        <v>332</v>
      </c>
      <c r="N163">
        <v>2</v>
      </c>
      <c r="O163">
        <f>IF(ISNUMBER(SportClimbing[[#This Row],[Total number of tries]])=TRUE, SportClimbing[[#This Row],[Total number of tries]], 1)</f>
        <v>2</v>
      </c>
      <c r="P163" t="str">
        <f>IF(ISNUMBER(SportClimbing[[#This Row],[Total number of tries]])=TRUE, "redpoint", SportClimbing[[#This Row],[Total number of tries]])</f>
        <v>redpoint</v>
      </c>
      <c r="Q163">
        <f>_xlfn.XLOOKUP(SportClimbing[[#This Row],[Grade]],SCORE[GRADE],SCORE[SCORE],,)</f>
        <v>10</v>
      </c>
    </row>
    <row r="164" spans="1:17" x14ac:dyDescent="0.25">
      <c r="A164" s="21">
        <f>DATE(SportClimbing[[#This Row],[Year]],_xlfn.XLOOKUP(SportClimbing[[#This Row],[Month]],MONTHS[MONTHS 2],MONTHS[MONTHS 3]),SportClimbing[[#This Row],[Day]])</f>
        <v>45413</v>
      </c>
      <c r="B164" s="21" t="b">
        <f ca="1">AND(SportClimbing[[#This Row],[Date]] &gt;= TODAY()-365, SportClimbing[[#This Row],[Date]] &lt;= TODAY())</f>
        <v>0</v>
      </c>
      <c r="C164">
        <v>1</v>
      </c>
      <c r="D164" t="s">
        <v>155</v>
      </c>
      <c r="E164">
        <v>2024</v>
      </c>
      <c r="F164" t="s">
        <v>389</v>
      </c>
      <c r="G164" t="s">
        <v>21</v>
      </c>
      <c r="H164" t="s">
        <v>390</v>
      </c>
      <c r="I164" t="s">
        <v>391</v>
      </c>
      <c r="J164" t="s">
        <v>391</v>
      </c>
      <c r="K164">
        <v>22</v>
      </c>
      <c r="L164" t="str">
        <f>IF(SportClimbing[[#This Row],[Height (m)]]&lt;11, "0-10", IF(SportClimbing[[#This Row],[Height (m)]]&lt;16, "11-15", IF(SportClimbing[[#This Row],[Height (m)]]&lt;21, "16-20", IF(SportClimbing[[#This Row],[Height (m)]]&lt;26, "21-25", IF(SportClimbing[[#This Row],[Height (m)]]&lt;31, "26-30", IF(SportClimbing[[#This Row],[Height (m)]]&lt;36, "31-35", "35+"))))))</f>
        <v>21-25</v>
      </c>
      <c r="M164" t="s">
        <v>392</v>
      </c>
      <c r="N164">
        <v>2</v>
      </c>
      <c r="O164">
        <f>IF(ISNUMBER(SportClimbing[[#This Row],[Total number of tries]])=TRUE, SportClimbing[[#This Row],[Total number of tries]], 1)</f>
        <v>2</v>
      </c>
      <c r="P164" t="str">
        <f>IF(ISNUMBER(SportClimbing[[#This Row],[Total number of tries]])=TRUE, "redpoint", SportClimbing[[#This Row],[Total number of tries]])</f>
        <v>redpoint</v>
      </c>
      <c r="Q164">
        <f>_xlfn.XLOOKUP(SportClimbing[[#This Row],[Grade]],SCORE[GRADE],SCORE[SCORE],,)</f>
        <v>15</v>
      </c>
    </row>
    <row r="165" spans="1:17" x14ac:dyDescent="0.25">
      <c r="A165" s="21">
        <v>45556</v>
      </c>
      <c r="B165" s="21" t="b">
        <f ca="1">AND(SportClimbing[[#This Row],[Date]] &gt;= TODAY()-365, SportClimbing[[#This Row],[Date]] &lt;= TODAY())</f>
        <v>0</v>
      </c>
      <c r="C165">
        <v>21</v>
      </c>
      <c r="D165" t="s">
        <v>159</v>
      </c>
      <c r="E165">
        <v>2024</v>
      </c>
      <c r="F165" t="s">
        <v>432</v>
      </c>
      <c r="G165" t="s">
        <v>29</v>
      </c>
      <c r="H165" t="s">
        <v>298</v>
      </c>
      <c r="I165" t="s">
        <v>433</v>
      </c>
      <c r="J165" t="s">
        <v>434</v>
      </c>
      <c r="K165">
        <v>20</v>
      </c>
      <c r="L165" t="str">
        <f>IF(SportClimbing[[#This Row],[Height (m)]]&lt;11, "0-10", IF(SportClimbing[[#This Row],[Height (m)]]&lt;16, "11-15", IF(SportClimbing[[#This Row],[Height (m)]]&lt;21, "16-20", IF(SportClimbing[[#This Row],[Height (m)]]&lt;26, "21-25", IF(SportClimbing[[#This Row],[Height (m)]]&lt;31, "26-30", IF(SportClimbing[[#This Row],[Height (m)]]&lt;36, "31-35", "35+"))))))</f>
        <v>16-20</v>
      </c>
      <c r="M165" t="s">
        <v>435</v>
      </c>
      <c r="N165">
        <v>5</v>
      </c>
      <c r="O165">
        <f>IF(ISNUMBER(SportClimbing[[#This Row],[Total number of tries]])=TRUE, SportClimbing[[#This Row],[Total number of tries]], 1)</f>
        <v>5</v>
      </c>
      <c r="P165" t="str">
        <f>IF(ISNUMBER(SportClimbing[[#This Row],[Total number of tries]])=TRUE, "redpoint", SportClimbing[[#This Row],[Total number of tries]])</f>
        <v>redpoint</v>
      </c>
      <c r="Q165">
        <f>_xlfn.XLOOKUP(SportClimbing[[#This Row],[Grade]],SCORE[GRADE],SCORE[SCORE],,)</f>
        <v>25</v>
      </c>
    </row>
    <row r="166" spans="1:17" x14ac:dyDescent="0.25">
      <c r="A166" s="21">
        <v>45557</v>
      </c>
      <c r="B166" s="22" t="b">
        <f ca="1">AND(SportClimbing[[#This Row],[Date]] &gt;= TODAY()-365, SportClimbing[[#This Row],[Date]] &lt;= TODAY())</f>
        <v>0</v>
      </c>
      <c r="C166">
        <v>22</v>
      </c>
      <c r="D166" t="s">
        <v>159</v>
      </c>
      <c r="E166">
        <v>2024</v>
      </c>
      <c r="F166" t="s">
        <v>436</v>
      </c>
      <c r="G166" t="s">
        <v>21</v>
      </c>
      <c r="H166" t="s">
        <v>298</v>
      </c>
      <c r="I166" t="s">
        <v>433</v>
      </c>
      <c r="J166" t="s">
        <v>434</v>
      </c>
      <c r="K166">
        <v>12</v>
      </c>
      <c r="L166" t="str">
        <f>IF(SportClimbing[[#This Row],[Height (m)]]&lt;11, "0-10", IF(SportClimbing[[#This Row],[Height (m)]]&lt;16, "11-15", IF(SportClimbing[[#This Row],[Height (m)]]&lt;21, "16-20", IF(SportClimbing[[#This Row],[Height (m)]]&lt;26, "21-25", IF(SportClimbing[[#This Row],[Height (m)]]&lt;31, "26-30", IF(SportClimbing[[#This Row],[Height (m)]]&lt;36, "31-35", "35+"))))))</f>
        <v>11-15</v>
      </c>
      <c r="M166" t="s">
        <v>332</v>
      </c>
      <c r="N166" t="s">
        <v>130</v>
      </c>
      <c r="O166" s="23">
        <f>IF(ISNUMBER(SportClimbing[[#This Row],[Total number of tries]])=TRUE, SportClimbing[[#This Row],[Total number of tries]], 1)</f>
        <v>1</v>
      </c>
      <c r="P166" t="str">
        <f>IF(ISNUMBER(SportClimbing[[#This Row],[Total number of tries]])=TRUE, "redpoint", SportClimbing[[#This Row],[Total number of tries]])</f>
        <v>onsight</v>
      </c>
      <c r="Q166">
        <f>_xlfn.XLOOKUP(SportClimbing[[#This Row],[Grade]],SCORE[GRADE],SCORE[SCORE],,)</f>
        <v>15</v>
      </c>
    </row>
    <row r="167" spans="1:17" x14ac:dyDescent="0.25">
      <c r="A167" s="21">
        <v>45557</v>
      </c>
      <c r="B167" s="22" t="b">
        <f ca="1">AND(SportClimbing[[#This Row],[Date]] &gt;= TODAY()-365, SportClimbing[[#This Row],[Date]] &lt;= TODAY())</f>
        <v>0</v>
      </c>
      <c r="C167">
        <v>22</v>
      </c>
      <c r="D167" t="s">
        <v>159</v>
      </c>
      <c r="E167">
        <v>2024</v>
      </c>
      <c r="F167" t="s">
        <v>437</v>
      </c>
      <c r="G167" t="s">
        <v>3</v>
      </c>
      <c r="H167" t="s">
        <v>298</v>
      </c>
      <c r="I167" t="s">
        <v>433</v>
      </c>
      <c r="J167" t="s">
        <v>434</v>
      </c>
      <c r="K167">
        <v>20</v>
      </c>
      <c r="L167" t="str">
        <f>IF(SportClimbing[[#This Row],[Height (m)]]&lt;11, "0-10", IF(SportClimbing[[#This Row],[Height (m)]]&lt;16, "11-15", IF(SportClimbing[[#This Row],[Height (m)]]&lt;21, "16-20", IF(SportClimbing[[#This Row],[Height (m)]]&lt;26, "21-25", IF(SportClimbing[[#This Row],[Height (m)]]&lt;31, "26-30", IF(SportClimbing[[#This Row],[Height (m)]]&lt;36, "31-35", "35+"))))))</f>
        <v>16-20</v>
      </c>
      <c r="M167" t="s">
        <v>332</v>
      </c>
      <c r="N167">
        <v>3</v>
      </c>
      <c r="O167" s="23">
        <f>IF(ISNUMBER(SportClimbing[[#This Row],[Total number of tries]])=TRUE, SportClimbing[[#This Row],[Total number of tries]], 1)</f>
        <v>3</v>
      </c>
      <c r="P167" t="str">
        <f>IF(ISNUMBER(SportClimbing[[#This Row],[Total number of tries]])=TRUE, "redpoint", SportClimbing[[#This Row],[Total number of tries]])</f>
        <v>redpoint</v>
      </c>
      <c r="Q167">
        <f>_xlfn.XLOOKUP(SportClimbing[[#This Row],[Grade]],SCORE[GRADE],SCORE[SCORE],,)</f>
        <v>10</v>
      </c>
    </row>
    <row r="168" spans="1:17" x14ac:dyDescent="0.25">
      <c r="A168" s="21">
        <f>DATE(SportClimbing[[#This Row],[Year]],_xlfn.XLOOKUP(SportClimbing[[#This Row],[Month]],MONTHS[MONTHS 2],MONTHS[MONTHS 3]),SportClimbing[[#This Row],[Day]])</f>
        <v>45571</v>
      </c>
      <c r="B168" s="21" t="b">
        <f ca="1">AND(SportClimbing[[#This Row],[Date]] &gt;= TODAY()-365, SportClimbing[[#This Row],[Date]] &lt;= TODAY())</f>
        <v>0</v>
      </c>
      <c r="C168">
        <v>6</v>
      </c>
      <c r="D168" t="s">
        <v>162</v>
      </c>
      <c r="E168">
        <v>2024</v>
      </c>
      <c r="F168" t="s">
        <v>443</v>
      </c>
      <c r="G168" t="s">
        <v>21</v>
      </c>
      <c r="H168" t="s">
        <v>298</v>
      </c>
      <c r="I168" t="s">
        <v>433</v>
      </c>
      <c r="J168" t="s">
        <v>434</v>
      </c>
      <c r="K168">
        <v>20</v>
      </c>
      <c r="L168" t="str">
        <f>IF(SportClimbing[[#This Row],[Height (m)]]&lt;11, "0-10", IF(SportClimbing[[#This Row],[Height (m)]]&lt;16, "11-15", IF(SportClimbing[[#This Row],[Height (m)]]&lt;21, "16-20", IF(SportClimbing[[#This Row],[Height (m)]]&lt;26, "21-25", IF(SportClimbing[[#This Row],[Height (m)]]&lt;31, "26-30", IF(SportClimbing[[#This Row],[Height (m)]]&lt;36, "31-35", "35+"))))))</f>
        <v>16-20</v>
      </c>
      <c r="M168" t="s">
        <v>435</v>
      </c>
      <c r="N168">
        <v>4</v>
      </c>
      <c r="O168">
        <f>IF(ISNUMBER(SportClimbing[[#This Row],[Total number of tries]])=TRUE, SportClimbing[[#This Row],[Total number of tries]], 1)</f>
        <v>4</v>
      </c>
      <c r="P168" t="str">
        <f>IF(ISNUMBER(SportClimbing[[#This Row],[Total number of tries]])=TRUE, "redpoint", SportClimbing[[#This Row],[Total number of tries]])</f>
        <v>redpoint</v>
      </c>
      <c r="Q168">
        <f>_xlfn.XLOOKUP(SportClimbing[[#This Row],[Grade]],SCORE[GRADE],SCORE[SCORE],,)</f>
        <v>15</v>
      </c>
    </row>
    <row r="169" spans="1:17" x14ac:dyDescent="0.25">
      <c r="A169" s="21">
        <v>45613</v>
      </c>
      <c r="B169" s="21" t="b">
        <f ca="1">AND(SportClimbing[[#This Row],[Date]] &gt;= TODAY()-365, SportClimbing[[#This Row],[Date]] &lt;= TODAY())</f>
        <v>0</v>
      </c>
      <c r="C169">
        <v>17</v>
      </c>
      <c r="D169" t="s">
        <v>160</v>
      </c>
      <c r="E169">
        <v>2024</v>
      </c>
      <c r="F169" t="s">
        <v>445</v>
      </c>
      <c r="G169" t="s">
        <v>69</v>
      </c>
      <c r="H169" t="s">
        <v>298</v>
      </c>
      <c r="I169" t="s">
        <v>306</v>
      </c>
      <c r="J169" t="s">
        <v>307</v>
      </c>
      <c r="K169">
        <v>18</v>
      </c>
      <c r="L169" t="str">
        <f>IF(SportClimbing[[#This Row],[Height (m)]]&lt;11, "0-10", IF(SportClimbing[[#This Row],[Height (m)]]&lt;16, "11-15", IF(SportClimbing[[#This Row],[Height (m)]]&lt;21, "16-20", IF(SportClimbing[[#This Row],[Height (m)]]&lt;26, "21-25", IF(SportClimbing[[#This Row],[Height (m)]]&lt;31, "26-30", IF(SportClimbing[[#This Row],[Height (m)]]&lt;36, "31-35", "35+"))))))</f>
        <v>16-20</v>
      </c>
      <c r="M169" t="s">
        <v>435</v>
      </c>
      <c r="N169">
        <v>24</v>
      </c>
      <c r="O169">
        <f>IF(ISNUMBER(SportClimbing[[#This Row],[Total number of tries]])=TRUE, SportClimbing[[#This Row],[Total number of tries]], 1)</f>
        <v>24</v>
      </c>
      <c r="P169" t="str">
        <f>IF(ISNUMBER(SportClimbing[[#This Row],[Total number of tries]])=TRUE, "redpoint", SportClimbing[[#This Row],[Total number of tries]])</f>
        <v>redpoint</v>
      </c>
      <c r="Q169">
        <f>_xlfn.XLOOKUP(SportClimbing[[#This Row],[Grade]],SCORE[GRADE],SCORE[SCORE],,)</f>
        <v>60</v>
      </c>
    </row>
    <row r="170" spans="1:17" x14ac:dyDescent="0.25">
      <c r="A170" s="21">
        <v>45720</v>
      </c>
      <c r="B170" s="21" t="b">
        <f ca="1">AND(SportClimbing[[#This Row],[Date]] &gt;= TODAY()-365, SportClimbing[[#This Row],[Date]] &lt;= TODAY())</f>
        <v>0</v>
      </c>
      <c r="C170">
        <v>4</v>
      </c>
      <c r="D170" t="s">
        <v>367</v>
      </c>
      <c r="E170">
        <v>2025</v>
      </c>
      <c r="F170" t="s">
        <v>447</v>
      </c>
      <c r="G170" t="s">
        <v>21</v>
      </c>
      <c r="H170" t="s">
        <v>262</v>
      </c>
      <c r="I170" t="s">
        <v>43</v>
      </c>
      <c r="J170" t="s">
        <v>61</v>
      </c>
      <c r="K170">
        <v>25</v>
      </c>
      <c r="L170" t="str">
        <f>IF(SportClimbing[[#This Row],[Height (m)]]&lt;11, "0-10", IF(SportClimbing[[#This Row],[Height (m)]]&lt;16, "11-15", IF(SportClimbing[[#This Row],[Height (m)]]&lt;21, "16-20", IF(SportClimbing[[#This Row],[Height (m)]]&lt;26, "21-25", IF(SportClimbing[[#This Row],[Height (m)]]&lt;31, "26-30", IF(SportClimbing[[#This Row],[Height (m)]]&lt;36, "31-35", "35+"))))))</f>
        <v>21-25</v>
      </c>
      <c r="M170" t="s">
        <v>332</v>
      </c>
      <c r="N170">
        <v>2</v>
      </c>
      <c r="O170">
        <f>IF(ISNUMBER(SportClimbing[[#This Row],[Total number of tries]])=TRUE, SportClimbing[[#This Row],[Total number of tries]], 1)</f>
        <v>2</v>
      </c>
      <c r="P170" t="str">
        <f>IF(ISNUMBER(SportClimbing[[#This Row],[Total number of tries]])=TRUE, "redpoint", SportClimbing[[#This Row],[Total number of tries]])</f>
        <v>redpoint</v>
      </c>
      <c r="Q170">
        <f>_xlfn.XLOOKUP(SportClimbing[[#This Row],[Grade]],SCORE[GRADE],SCORE[SCORE],,)</f>
        <v>15</v>
      </c>
    </row>
    <row r="171" spans="1:17" x14ac:dyDescent="0.25">
      <c r="A171" s="21">
        <v>45724</v>
      </c>
      <c r="B171" s="21" t="b">
        <f ca="1">AND(SportClimbing[[#This Row],[Date]] &gt;= TODAY()-365, SportClimbing[[#This Row],[Date]] &lt;= TODAY())</f>
        <v>0</v>
      </c>
      <c r="C171">
        <v>8</v>
      </c>
      <c r="D171" t="s">
        <v>367</v>
      </c>
      <c r="E171">
        <v>2025</v>
      </c>
      <c r="F171" t="s">
        <v>448</v>
      </c>
      <c r="G171" t="s">
        <v>21</v>
      </c>
      <c r="H171" t="s">
        <v>262</v>
      </c>
      <c r="I171" t="s">
        <v>450</v>
      </c>
      <c r="J171" t="s">
        <v>454</v>
      </c>
      <c r="K171">
        <v>8</v>
      </c>
      <c r="L171" t="str">
        <f>IF(SportClimbing[[#This Row],[Height (m)]]&lt;11, "0-10", IF(SportClimbing[[#This Row],[Height (m)]]&lt;16, "11-15", IF(SportClimbing[[#This Row],[Height (m)]]&lt;21, "16-20", IF(SportClimbing[[#This Row],[Height (m)]]&lt;26, "21-25", IF(SportClimbing[[#This Row],[Height (m)]]&lt;31, "26-30", IF(SportClimbing[[#This Row],[Height (m)]]&lt;36, "31-35", "35+"))))))</f>
        <v>0-10</v>
      </c>
      <c r="M171" t="s">
        <v>451</v>
      </c>
      <c r="N171">
        <v>2</v>
      </c>
      <c r="O171">
        <f>IF(ISNUMBER(SportClimbing[[#This Row],[Total number of tries]])=TRUE, SportClimbing[[#This Row],[Total number of tries]], 1)</f>
        <v>2</v>
      </c>
      <c r="P171" t="str">
        <f>IF(ISNUMBER(SportClimbing[[#This Row],[Total number of tries]])=TRUE, "redpoint", SportClimbing[[#This Row],[Total number of tries]])</f>
        <v>redpoint</v>
      </c>
      <c r="Q171">
        <f>_xlfn.XLOOKUP(SportClimbing[[#This Row],[Grade]],SCORE[GRADE],SCORE[SCORE],,)</f>
        <v>15</v>
      </c>
    </row>
    <row r="172" spans="1:17" x14ac:dyDescent="0.25">
      <c r="A172" s="21">
        <v>45724</v>
      </c>
      <c r="B172" s="21" t="b">
        <f ca="1">AND(SportClimbing[[#This Row],[Date]] &gt;= TODAY()-365, SportClimbing[[#This Row],[Date]] &lt;= TODAY())</f>
        <v>0</v>
      </c>
      <c r="C172">
        <v>8</v>
      </c>
      <c r="D172" t="s">
        <v>367</v>
      </c>
      <c r="E172">
        <v>2025</v>
      </c>
      <c r="F172" t="s">
        <v>456</v>
      </c>
      <c r="G172" t="s">
        <v>3</v>
      </c>
      <c r="H172" t="s">
        <v>262</v>
      </c>
      <c r="I172" t="s">
        <v>450</v>
      </c>
      <c r="J172" t="s">
        <v>454</v>
      </c>
      <c r="K172">
        <v>27</v>
      </c>
      <c r="L172" t="str">
        <f>IF(SportClimbing[[#This Row],[Height (m)]]&lt;11, "0-10", IF(SportClimbing[[#This Row],[Height (m)]]&lt;16, "11-15", IF(SportClimbing[[#This Row],[Height (m)]]&lt;21, "16-20", IF(SportClimbing[[#This Row],[Height (m)]]&lt;26, "21-25", IF(SportClimbing[[#This Row],[Height (m)]]&lt;31, "26-30", IF(SportClimbing[[#This Row],[Height (m)]]&lt;36, "31-35", "35+"))))))</f>
        <v>26-30</v>
      </c>
      <c r="M172" t="s">
        <v>451</v>
      </c>
      <c r="N172">
        <v>1</v>
      </c>
      <c r="O172">
        <v>1</v>
      </c>
      <c r="P172" t="s">
        <v>11</v>
      </c>
      <c r="Q172">
        <f>_xlfn.XLOOKUP(SportClimbing[[#This Row],[Grade]],SCORE[GRADE],SCORE[SCORE],,)</f>
        <v>10</v>
      </c>
    </row>
    <row r="173" spans="1:17" x14ac:dyDescent="0.25">
      <c r="A173" s="21">
        <v>45725</v>
      </c>
      <c r="B173" s="21" t="b">
        <f ca="1">AND(SportClimbing[[#This Row],[Date]] &gt;= TODAY()-365, SportClimbing[[#This Row],[Date]] &lt;= TODAY())</f>
        <v>0</v>
      </c>
      <c r="C173">
        <v>9</v>
      </c>
      <c r="D173" t="s">
        <v>367</v>
      </c>
      <c r="E173">
        <v>2025</v>
      </c>
      <c r="F173" t="s">
        <v>449</v>
      </c>
      <c r="G173" t="s">
        <v>21</v>
      </c>
      <c r="H173" t="s">
        <v>262</v>
      </c>
      <c r="I173" t="s">
        <v>43</v>
      </c>
      <c r="J173" t="s">
        <v>206</v>
      </c>
      <c r="K173">
        <v>22</v>
      </c>
      <c r="L173" t="str">
        <f>IF(SportClimbing[[#This Row],[Height (m)]]&lt;11, "0-10", IF(SportClimbing[[#This Row],[Height (m)]]&lt;16, "11-15", IF(SportClimbing[[#This Row],[Height (m)]]&lt;21, "16-20", IF(SportClimbing[[#This Row],[Height (m)]]&lt;26, "21-25", IF(SportClimbing[[#This Row],[Height (m)]]&lt;31, "26-30", IF(SportClimbing[[#This Row],[Height (m)]]&lt;36, "31-35", "35+"))))))</f>
        <v>21-25</v>
      </c>
      <c r="M173" t="s">
        <v>451</v>
      </c>
      <c r="N173">
        <v>5</v>
      </c>
      <c r="O173">
        <v>5</v>
      </c>
      <c r="P173" t="str">
        <f>IF(ISNUMBER(SportClimbing[[#This Row],[Total number of tries]])=TRUE, "redpoint", SportClimbing[[#This Row],[Total number of tries]])</f>
        <v>redpoint</v>
      </c>
      <c r="Q173">
        <f>_xlfn.XLOOKUP(SportClimbing[[#This Row],[Grade]],SCORE[GRADE],SCORE[SCORE],,)</f>
        <v>15</v>
      </c>
    </row>
    <row r="174" spans="1:17" x14ac:dyDescent="0.25">
      <c r="A174" s="21">
        <v>45725</v>
      </c>
      <c r="B174" s="21" t="b">
        <f ca="1">AND(SportClimbing[[#This Row],[Date]] &gt;= TODAY()-365, SportClimbing[[#This Row],[Date]] &lt;= TODAY())</f>
        <v>0</v>
      </c>
      <c r="C174">
        <v>9</v>
      </c>
      <c r="D174" t="s">
        <v>367</v>
      </c>
      <c r="E174">
        <v>2025</v>
      </c>
      <c r="F174" t="s">
        <v>455</v>
      </c>
      <c r="G174" t="s">
        <v>3</v>
      </c>
      <c r="H174" t="s">
        <v>262</v>
      </c>
      <c r="I174" t="s">
        <v>43</v>
      </c>
      <c r="J174" t="s">
        <v>206</v>
      </c>
      <c r="K174">
        <v>25</v>
      </c>
      <c r="L174" t="str">
        <f>IF(SportClimbing[[#This Row],[Height (m)]]&lt;11, "0-10", IF(SportClimbing[[#This Row],[Height (m)]]&lt;16, "11-15", IF(SportClimbing[[#This Row],[Height (m)]]&lt;21, "16-20", IF(SportClimbing[[#This Row],[Height (m)]]&lt;26, "21-25", IF(SportClimbing[[#This Row],[Height (m)]]&lt;31, "26-30", IF(SportClimbing[[#This Row],[Height (m)]]&lt;36, "31-35", "35+"))))))</f>
        <v>21-25</v>
      </c>
      <c r="M174" t="s">
        <v>451</v>
      </c>
      <c r="N174">
        <v>2</v>
      </c>
      <c r="O174">
        <f>IF(ISNUMBER(SportClimbing[[#This Row],[Total number of tries]])=TRUE, SportClimbing[[#This Row],[Total number of tries]], 1)</f>
        <v>2</v>
      </c>
      <c r="P174" t="str">
        <f>IF(ISNUMBER(SportClimbing[[#This Row],[Total number of tries]])=TRUE, "redpoint", SportClimbing[[#This Row],[Total number of tries]])</f>
        <v>redpoint</v>
      </c>
      <c r="Q174">
        <f>_xlfn.XLOOKUP(SportClimbing[[#This Row],[Grade]],SCORE[GRADE],SCORE[SCORE],,)</f>
        <v>10</v>
      </c>
    </row>
    <row r="175" spans="1:17" x14ac:dyDescent="0.25">
      <c r="A175" s="21">
        <v>45726</v>
      </c>
      <c r="B175" s="21" t="b">
        <f ca="1">AND(SportClimbing[[#This Row],[Date]] &gt;= TODAY()-365, SportClimbing[[#This Row],[Date]] &lt;= TODAY())</f>
        <v>0</v>
      </c>
      <c r="C175">
        <v>10</v>
      </c>
      <c r="D175" t="s">
        <v>367</v>
      </c>
      <c r="E175">
        <v>2025</v>
      </c>
      <c r="F175" t="s">
        <v>453</v>
      </c>
      <c r="G175" t="s">
        <v>21</v>
      </c>
      <c r="H175" t="s">
        <v>262</v>
      </c>
      <c r="I175" t="s">
        <v>43</v>
      </c>
      <c r="J175" t="s">
        <v>315</v>
      </c>
      <c r="K175">
        <v>25</v>
      </c>
      <c r="L175" t="str">
        <f>IF(SportClimbing[[#This Row],[Height (m)]]&lt;11, "0-10", IF(SportClimbing[[#This Row],[Height (m)]]&lt;16, "11-15", IF(SportClimbing[[#This Row],[Height (m)]]&lt;21, "16-20", IF(SportClimbing[[#This Row],[Height (m)]]&lt;26, "21-25", IF(SportClimbing[[#This Row],[Height (m)]]&lt;31, "26-30", IF(SportClimbing[[#This Row],[Height (m)]]&lt;36, "31-35", "35+"))))))</f>
        <v>21-25</v>
      </c>
      <c r="M175" t="s">
        <v>491</v>
      </c>
      <c r="N175">
        <v>3</v>
      </c>
      <c r="O175">
        <f>IF(ISNUMBER(SportClimbing[[#This Row],[Total number of tries]])=TRUE, SportClimbing[[#This Row],[Total number of tries]], 1)</f>
        <v>3</v>
      </c>
      <c r="P175" t="str">
        <f>IF(ISNUMBER(SportClimbing[[#This Row],[Total number of tries]])=TRUE, "redpoint", SportClimbing[[#This Row],[Total number of tries]])</f>
        <v>redpoint</v>
      </c>
      <c r="Q175">
        <f>_xlfn.XLOOKUP(SportClimbing[[#This Row],[Grade]],SCORE[GRADE],SCORE[SCORE],,)</f>
        <v>15</v>
      </c>
    </row>
    <row r="176" spans="1:17" x14ac:dyDescent="0.25">
      <c r="A176" s="21">
        <v>45732</v>
      </c>
      <c r="B176" s="21" t="b">
        <f ca="1">AND(SportClimbing[[#This Row],[Date]] &gt;= TODAY()-365, SportClimbing[[#This Row],[Date]] &lt;= TODAY())</f>
        <v>0</v>
      </c>
      <c r="C176">
        <v>16</v>
      </c>
      <c r="D176" t="s">
        <v>367</v>
      </c>
      <c r="E176">
        <v>2025</v>
      </c>
      <c r="F176" t="s">
        <v>457</v>
      </c>
      <c r="G176" t="s">
        <v>69</v>
      </c>
      <c r="H176" t="s">
        <v>262</v>
      </c>
      <c r="I176" t="s">
        <v>43</v>
      </c>
      <c r="J176" t="s">
        <v>91</v>
      </c>
      <c r="K176">
        <v>40</v>
      </c>
      <c r="L176" t="str">
        <f>IF(SportClimbing[[#This Row],[Height (m)]]&lt;11, "0-10", IF(SportClimbing[[#This Row],[Height (m)]]&lt;16, "11-15", IF(SportClimbing[[#This Row],[Height (m)]]&lt;21, "16-20", IF(SportClimbing[[#This Row],[Height (m)]]&lt;26, "21-25", IF(SportClimbing[[#This Row],[Height (m)]]&lt;31, "26-30", IF(SportClimbing[[#This Row],[Height (m)]]&lt;36, "31-35", "35+"))))))</f>
        <v>35+</v>
      </c>
      <c r="M176" t="s">
        <v>332</v>
      </c>
      <c r="N176">
        <v>8</v>
      </c>
      <c r="O176">
        <f>IF(ISNUMBER(SportClimbing[[#This Row],[Total number of tries]])=TRUE, SportClimbing[[#This Row],[Total number of tries]], 1)</f>
        <v>8</v>
      </c>
      <c r="P176" t="str">
        <f>IF(ISNUMBER(SportClimbing[[#This Row],[Total number of tries]])=TRUE, "redpoint", SportClimbing[[#This Row],[Total number of tries]])</f>
        <v>redpoint</v>
      </c>
      <c r="Q176">
        <f>_xlfn.XLOOKUP(SportClimbing[[#This Row],[Grade]],SCORE[GRADE],SCORE[SCORE],,)</f>
        <v>60</v>
      </c>
    </row>
    <row r="177" spans="1:17" x14ac:dyDescent="0.25">
      <c r="A177" s="21">
        <v>45733</v>
      </c>
      <c r="B177" s="21" t="b">
        <f ca="1">AND(SportClimbing[[#This Row],[Date]] &gt;= TODAY()-365, SportClimbing[[#This Row],[Date]] &lt;= TODAY())</f>
        <v>0</v>
      </c>
      <c r="C177">
        <v>17</v>
      </c>
      <c r="D177" t="s">
        <v>367</v>
      </c>
      <c r="E177">
        <v>2025</v>
      </c>
      <c r="F177" t="s">
        <v>458</v>
      </c>
      <c r="G177" t="s">
        <v>29</v>
      </c>
      <c r="H177" t="s">
        <v>262</v>
      </c>
      <c r="I177" t="s">
        <v>43</v>
      </c>
      <c r="J177" t="s">
        <v>63</v>
      </c>
      <c r="K177">
        <v>30</v>
      </c>
      <c r="L177" t="str">
        <f>IF(SportClimbing[[#This Row],[Height (m)]]&lt;11, "0-10", IF(SportClimbing[[#This Row],[Height (m)]]&lt;16, "11-15", IF(SportClimbing[[#This Row],[Height (m)]]&lt;21, "16-20", IF(SportClimbing[[#This Row],[Height (m)]]&lt;26, "21-25", IF(SportClimbing[[#This Row],[Height (m)]]&lt;31, "26-30", IF(SportClimbing[[#This Row],[Height (m)]]&lt;36, "31-35", "35+"))))))</f>
        <v>26-30</v>
      </c>
      <c r="M177" t="s">
        <v>332</v>
      </c>
      <c r="N177">
        <v>2</v>
      </c>
      <c r="O177">
        <f>IF(ISNUMBER(SportClimbing[[#This Row],[Total number of tries]])=TRUE, SportClimbing[[#This Row],[Total number of tries]], 1)</f>
        <v>2</v>
      </c>
      <c r="P177" t="str">
        <f>IF(ISNUMBER(SportClimbing[[#This Row],[Total number of tries]])=TRUE, "redpoint", SportClimbing[[#This Row],[Total number of tries]])</f>
        <v>redpoint</v>
      </c>
      <c r="Q177">
        <f>_xlfn.XLOOKUP(SportClimbing[[#This Row],[Grade]],SCORE[GRADE],SCORE[SCORE],,)</f>
        <v>25</v>
      </c>
    </row>
    <row r="178" spans="1:17" x14ac:dyDescent="0.25">
      <c r="A178" s="21">
        <v>45734</v>
      </c>
      <c r="B178" s="21" t="b">
        <f ca="1">AND(SportClimbing[[#This Row],[Date]] &gt;= TODAY()-365, SportClimbing[[#This Row],[Date]] &lt;= TODAY())</f>
        <v>0</v>
      </c>
      <c r="C178">
        <v>18</v>
      </c>
      <c r="D178" t="s">
        <v>367</v>
      </c>
      <c r="E178">
        <v>2025</v>
      </c>
      <c r="F178" t="s">
        <v>461</v>
      </c>
      <c r="G178" t="s">
        <v>3</v>
      </c>
      <c r="H178" t="s">
        <v>262</v>
      </c>
      <c r="I178" t="s">
        <v>459</v>
      </c>
      <c r="J178" t="s">
        <v>460</v>
      </c>
      <c r="K178">
        <v>16</v>
      </c>
      <c r="L178" t="str">
        <f>IF(SportClimbing[[#This Row],[Height (m)]]&lt;11, "0-10", IF(SportClimbing[[#This Row],[Height (m)]]&lt;16, "11-15", IF(SportClimbing[[#This Row],[Height (m)]]&lt;21, "16-20", IF(SportClimbing[[#This Row],[Height (m)]]&lt;26, "21-25", IF(SportClimbing[[#This Row],[Height (m)]]&lt;31, "26-30", IF(SportClimbing[[#This Row],[Height (m)]]&lt;36, "31-35", "35+"))))))</f>
        <v>16-20</v>
      </c>
      <c r="M178" t="s">
        <v>462</v>
      </c>
      <c r="N178">
        <v>3</v>
      </c>
      <c r="O178">
        <f>IF(ISNUMBER(SportClimbing[[#This Row],[Total number of tries]])=TRUE, SportClimbing[[#This Row],[Total number of tries]], 1)</f>
        <v>3</v>
      </c>
      <c r="P178" t="str">
        <f>IF(ISNUMBER(SportClimbing[[#This Row],[Total number of tries]])=TRUE, "redpoint", SportClimbing[[#This Row],[Total number of tries]])</f>
        <v>redpoint</v>
      </c>
      <c r="Q178">
        <f>_xlfn.XLOOKUP(SportClimbing[[#This Row],[Grade]],SCORE[GRADE],SCORE[SCORE],,)</f>
        <v>10</v>
      </c>
    </row>
    <row r="179" spans="1:17" x14ac:dyDescent="0.25">
      <c r="A179" s="21">
        <v>45738</v>
      </c>
      <c r="B179" s="21" t="b">
        <f ca="1">AND(SportClimbing[[#This Row],[Date]] &gt;= TODAY()-365, SportClimbing[[#This Row],[Date]] &lt;= TODAY())</f>
        <v>0</v>
      </c>
      <c r="C179">
        <v>22</v>
      </c>
      <c r="D179" t="s">
        <v>367</v>
      </c>
      <c r="E179">
        <v>2025</v>
      </c>
      <c r="F179" t="s">
        <v>464</v>
      </c>
      <c r="G179" t="s">
        <v>3</v>
      </c>
      <c r="H179" t="s">
        <v>262</v>
      </c>
      <c r="I179" t="s">
        <v>68</v>
      </c>
      <c r="J179" t="s">
        <v>463</v>
      </c>
      <c r="K179">
        <v>20</v>
      </c>
      <c r="L179" t="str">
        <f>IF(SportClimbing[[#This Row],[Height (m)]]&lt;11, "0-10", IF(SportClimbing[[#This Row],[Height (m)]]&lt;16, "11-15", IF(SportClimbing[[#This Row],[Height (m)]]&lt;21, "16-20", IF(SportClimbing[[#This Row],[Height (m)]]&lt;26, "21-25", IF(SportClimbing[[#This Row],[Height (m)]]&lt;31, "26-30", IF(SportClimbing[[#This Row],[Height (m)]]&lt;36, "31-35", "35+"))))))</f>
        <v>16-20</v>
      </c>
      <c r="M179" t="s">
        <v>332</v>
      </c>
      <c r="N179">
        <v>2</v>
      </c>
      <c r="O179">
        <f>IF(ISNUMBER(SportClimbing[[#This Row],[Total number of tries]])=TRUE, SportClimbing[[#This Row],[Total number of tries]], 1)</f>
        <v>2</v>
      </c>
      <c r="P179" t="str">
        <f>IF(ISNUMBER(SportClimbing[[#This Row],[Total number of tries]])=TRUE, "redpoint", SportClimbing[[#This Row],[Total number of tries]])</f>
        <v>redpoint</v>
      </c>
      <c r="Q179">
        <f>_xlfn.XLOOKUP(SportClimbing[[#This Row],[Grade]],SCORE[GRADE],SCORE[SCORE],,)</f>
        <v>10</v>
      </c>
    </row>
    <row r="180" spans="1:17" x14ac:dyDescent="0.25">
      <c r="A180" s="21">
        <v>45740</v>
      </c>
      <c r="B180" s="21" t="b">
        <f ca="1">AND(SportClimbing[[#This Row],[Date]] &gt;= TODAY()-365, SportClimbing[[#This Row],[Date]] &lt;= TODAY())</f>
        <v>0</v>
      </c>
      <c r="C180">
        <v>24</v>
      </c>
      <c r="D180" t="s">
        <v>367</v>
      </c>
      <c r="E180">
        <v>2025</v>
      </c>
      <c r="F180" t="s">
        <v>466</v>
      </c>
      <c r="G180" t="s">
        <v>29</v>
      </c>
      <c r="H180" t="s">
        <v>262</v>
      </c>
      <c r="I180" t="s">
        <v>43</v>
      </c>
      <c r="J180" t="s">
        <v>465</v>
      </c>
      <c r="K180">
        <v>19</v>
      </c>
      <c r="L180" t="str">
        <f>IF(SportClimbing[[#This Row],[Height (m)]]&lt;11, "0-10", IF(SportClimbing[[#This Row],[Height (m)]]&lt;16, "11-15", IF(SportClimbing[[#This Row],[Height (m)]]&lt;21, "16-20", IF(SportClimbing[[#This Row],[Height (m)]]&lt;26, "21-25", IF(SportClimbing[[#This Row],[Height (m)]]&lt;31, "26-30", IF(SportClimbing[[#This Row],[Height (m)]]&lt;36, "31-35", "35+"))))))</f>
        <v>16-20</v>
      </c>
      <c r="M180" t="s">
        <v>332</v>
      </c>
      <c r="N180">
        <v>3</v>
      </c>
      <c r="O180">
        <f>IF(ISNUMBER(SportClimbing[[#This Row],[Total number of tries]])=TRUE, SportClimbing[[#This Row],[Total number of tries]], 1)</f>
        <v>3</v>
      </c>
      <c r="P180" t="str">
        <f>IF(ISNUMBER(SportClimbing[[#This Row],[Total number of tries]])=TRUE, "redpoint", SportClimbing[[#This Row],[Total number of tries]])</f>
        <v>redpoint</v>
      </c>
      <c r="Q180">
        <f>_xlfn.XLOOKUP(SportClimbing[[#This Row],[Grade]],SCORE[GRADE],SCORE[SCORE],,)</f>
        <v>25</v>
      </c>
    </row>
    <row r="181" spans="1:17" x14ac:dyDescent="0.25">
      <c r="A181" s="21">
        <v>45740</v>
      </c>
      <c r="B181" s="21" t="b">
        <f ca="1">AND(SportClimbing[[#This Row],[Date]] &gt;= TODAY()-365, SportClimbing[[#This Row],[Date]] &lt;= TODAY())</f>
        <v>0</v>
      </c>
      <c r="C181">
        <v>24</v>
      </c>
      <c r="D181" t="s">
        <v>367</v>
      </c>
      <c r="E181">
        <v>2025</v>
      </c>
      <c r="F181" t="s">
        <v>467</v>
      </c>
      <c r="G181" t="s">
        <v>3</v>
      </c>
      <c r="H181" t="s">
        <v>262</v>
      </c>
      <c r="I181" t="s">
        <v>43</v>
      </c>
      <c r="J181" t="s">
        <v>465</v>
      </c>
      <c r="K181">
        <v>24</v>
      </c>
      <c r="L181" t="str">
        <f>IF(SportClimbing[[#This Row],[Height (m)]]&lt;11, "0-10", IF(SportClimbing[[#This Row],[Height (m)]]&lt;16, "11-15", IF(SportClimbing[[#This Row],[Height (m)]]&lt;21, "16-20", IF(SportClimbing[[#This Row],[Height (m)]]&lt;26, "21-25", IF(SportClimbing[[#This Row],[Height (m)]]&lt;31, "26-30", IF(SportClimbing[[#This Row],[Height (m)]]&lt;36, "31-35", "35+"))))))</f>
        <v>21-25</v>
      </c>
      <c r="M181" t="s">
        <v>332</v>
      </c>
      <c r="N181">
        <v>2</v>
      </c>
      <c r="O181">
        <f>IF(ISNUMBER(SportClimbing[[#This Row],[Total number of tries]])=TRUE, SportClimbing[[#This Row],[Total number of tries]], 1)</f>
        <v>2</v>
      </c>
      <c r="P181" t="str">
        <f>IF(ISNUMBER(SportClimbing[[#This Row],[Total number of tries]])=TRUE, "redpoint", SportClimbing[[#This Row],[Total number of tries]])</f>
        <v>redpoint</v>
      </c>
      <c r="Q181">
        <f>_xlfn.XLOOKUP(SportClimbing[[#This Row],[Grade]],SCORE[GRADE],SCORE[SCORE],,)</f>
        <v>10</v>
      </c>
    </row>
    <row r="182" spans="1:17" x14ac:dyDescent="0.25">
      <c r="A182" s="21">
        <v>45745</v>
      </c>
      <c r="B182" s="21" t="b">
        <f ca="1">AND(SportClimbing[[#This Row],[Date]] &gt;= TODAY()-365, SportClimbing[[#This Row],[Date]] &lt;= TODAY())</f>
        <v>0</v>
      </c>
      <c r="C182">
        <v>29</v>
      </c>
      <c r="D182" t="s">
        <v>367</v>
      </c>
      <c r="E182">
        <v>2025</v>
      </c>
      <c r="F182" t="s">
        <v>473</v>
      </c>
      <c r="G182" t="s">
        <v>3</v>
      </c>
      <c r="H182" t="s">
        <v>313</v>
      </c>
      <c r="I182" t="s">
        <v>468</v>
      </c>
      <c r="J182" t="s">
        <v>470</v>
      </c>
      <c r="K182">
        <v>15</v>
      </c>
      <c r="L182" t="str">
        <f>IF(SportClimbing[[#This Row],[Height (m)]]&lt;11, "0-10", IF(SportClimbing[[#This Row],[Height (m)]]&lt;16, "11-15", IF(SportClimbing[[#This Row],[Height (m)]]&lt;21, "16-20", IF(SportClimbing[[#This Row],[Height (m)]]&lt;26, "21-25", IF(SportClimbing[[#This Row],[Height (m)]]&lt;31, "26-30", IF(SportClimbing[[#This Row],[Height (m)]]&lt;36, "31-35", "35+"))))))</f>
        <v>11-15</v>
      </c>
      <c r="M182" t="s">
        <v>469</v>
      </c>
      <c r="N182" t="s">
        <v>130</v>
      </c>
      <c r="O182">
        <f>IF(ISNUMBER(SportClimbing[[#This Row],[Total number of tries]])=TRUE, SportClimbing[[#This Row],[Total number of tries]], 1)</f>
        <v>1</v>
      </c>
      <c r="P182" t="str">
        <f>IF(ISNUMBER(SportClimbing[[#This Row],[Total number of tries]])=TRUE, "redpoint", SportClimbing[[#This Row],[Total number of tries]])</f>
        <v>onsight</v>
      </c>
      <c r="Q182">
        <f>_xlfn.XLOOKUP(SportClimbing[[#This Row],[Grade]],SCORE[GRADE],SCORE[SCORE],,)</f>
        <v>10</v>
      </c>
    </row>
    <row r="183" spans="1:17" x14ac:dyDescent="0.25">
      <c r="A183" s="21">
        <v>45745</v>
      </c>
      <c r="B183" s="21" t="b">
        <f ca="1">AND(SportClimbing[[#This Row],[Date]] &gt;= TODAY()-365, SportClimbing[[#This Row],[Date]] &lt;= TODAY())</f>
        <v>0</v>
      </c>
      <c r="C183">
        <v>29</v>
      </c>
      <c r="D183" t="s">
        <v>367</v>
      </c>
      <c r="E183">
        <v>2025</v>
      </c>
      <c r="F183" t="s">
        <v>472</v>
      </c>
      <c r="G183" t="s">
        <v>29</v>
      </c>
      <c r="H183" t="s">
        <v>313</v>
      </c>
      <c r="I183" t="s">
        <v>468</v>
      </c>
      <c r="J183" t="s">
        <v>470</v>
      </c>
      <c r="K183">
        <v>15</v>
      </c>
      <c r="L183" t="str">
        <f>IF(SportClimbing[[#This Row],[Height (m)]]&lt;11, "0-10", IF(SportClimbing[[#This Row],[Height (m)]]&lt;16, "11-15", IF(SportClimbing[[#This Row],[Height (m)]]&lt;21, "16-20", IF(SportClimbing[[#This Row],[Height (m)]]&lt;26, "21-25", IF(SportClimbing[[#This Row],[Height (m)]]&lt;31, "26-30", IF(SportClimbing[[#This Row],[Height (m)]]&lt;36, "31-35", "35+"))))))</f>
        <v>11-15</v>
      </c>
      <c r="M183" t="s">
        <v>469</v>
      </c>
      <c r="N183">
        <v>3</v>
      </c>
      <c r="O183">
        <f>IF(ISNUMBER(SportClimbing[[#This Row],[Total number of tries]])=TRUE, SportClimbing[[#This Row],[Total number of tries]], 1)</f>
        <v>3</v>
      </c>
      <c r="P183" t="str">
        <f>IF(ISNUMBER(SportClimbing[[#This Row],[Total number of tries]])=TRUE, "redpoint", SportClimbing[[#This Row],[Total number of tries]])</f>
        <v>redpoint</v>
      </c>
      <c r="Q183">
        <f>_xlfn.XLOOKUP(SportClimbing[[#This Row],[Grade]],SCORE[GRADE],SCORE[SCORE],,)</f>
        <v>25</v>
      </c>
    </row>
    <row r="184" spans="1:17" x14ac:dyDescent="0.25">
      <c r="A184" s="21">
        <v>45746</v>
      </c>
      <c r="B184" s="21" t="b">
        <f ca="1">AND(SportClimbing[[#This Row],[Date]] &gt;= TODAY()-365, SportClimbing[[#This Row],[Date]] &lt;= TODAY())</f>
        <v>0</v>
      </c>
      <c r="C184">
        <v>30</v>
      </c>
      <c r="D184" t="s">
        <v>367</v>
      </c>
      <c r="E184">
        <v>2025</v>
      </c>
      <c r="F184" t="s">
        <v>471</v>
      </c>
      <c r="G184" t="s">
        <v>21</v>
      </c>
      <c r="H184" t="s">
        <v>313</v>
      </c>
      <c r="I184" t="s">
        <v>468</v>
      </c>
      <c r="J184" t="s">
        <v>526</v>
      </c>
      <c r="K184">
        <v>33</v>
      </c>
      <c r="L184" t="str">
        <f>IF(SportClimbing[[#This Row],[Height (m)]]&lt;11, "0-10", IF(SportClimbing[[#This Row],[Height (m)]]&lt;16, "11-15", IF(SportClimbing[[#This Row],[Height (m)]]&lt;21, "16-20", IF(SportClimbing[[#This Row],[Height (m)]]&lt;26, "21-25", IF(SportClimbing[[#This Row],[Height (m)]]&lt;31, "26-30", IF(SportClimbing[[#This Row],[Height (m)]]&lt;36, "31-35", "35+"))))))</f>
        <v>31-35</v>
      </c>
      <c r="M184" t="s">
        <v>469</v>
      </c>
      <c r="N184" t="s">
        <v>130</v>
      </c>
      <c r="O184">
        <f>IF(ISNUMBER(SportClimbing[[#This Row],[Total number of tries]])=TRUE, SportClimbing[[#This Row],[Total number of tries]], 1)</f>
        <v>1</v>
      </c>
      <c r="P184" t="str">
        <f>IF(ISNUMBER(SportClimbing[[#This Row],[Total number of tries]])=TRUE, "redpoint", SportClimbing[[#This Row],[Total number of tries]])</f>
        <v>onsight</v>
      </c>
      <c r="Q184">
        <f>_xlfn.XLOOKUP(SportClimbing[[#This Row],[Grade]],SCORE[GRADE],SCORE[SCORE],,)</f>
        <v>15</v>
      </c>
    </row>
    <row r="185" spans="1:17" x14ac:dyDescent="0.25">
      <c r="A185" s="21">
        <v>45753</v>
      </c>
      <c r="B185" s="21" t="b">
        <f ca="1">AND(SportClimbing[[#This Row],[Date]] &gt;= TODAY()-365, SportClimbing[[#This Row],[Date]] &lt;= TODAY())</f>
        <v>0</v>
      </c>
      <c r="C185">
        <v>6</v>
      </c>
      <c r="D185" t="s">
        <v>368</v>
      </c>
      <c r="E185">
        <v>2025</v>
      </c>
      <c r="F185" t="s">
        <v>474</v>
      </c>
      <c r="G185" t="s">
        <v>32</v>
      </c>
      <c r="H185" t="s">
        <v>298</v>
      </c>
      <c r="I185" t="s">
        <v>306</v>
      </c>
      <c r="J185" t="s">
        <v>333</v>
      </c>
      <c r="K185">
        <v>26</v>
      </c>
      <c r="L185" t="str">
        <f>IF(SportClimbing[[#This Row],[Height (m)]]&lt;11, "0-10", IF(SportClimbing[[#This Row],[Height (m)]]&lt;16, "11-15", IF(SportClimbing[[#This Row],[Height (m)]]&lt;21, "16-20", IF(SportClimbing[[#This Row],[Height (m)]]&lt;26, "21-25", IF(SportClimbing[[#This Row],[Height (m)]]&lt;31, "26-30", IF(SportClimbing[[#This Row],[Height (m)]]&lt;36, "31-35", "35+"))))))</f>
        <v>26-30</v>
      </c>
      <c r="M185" t="s">
        <v>469</v>
      </c>
      <c r="N185">
        <v>5</v>
      </c>
      <c r="O185">
        <f>IF(ISNUMBER(SportClimbing[[#This Row],[Total number of tries]])=TRUE, SportClimbing[[#This Row],[Total number of tries]], 1)</f>
        <v>5</v>
      </c>
      <c r="P185" t="str">
        <f>IF(ISNUMBER(SportClimbing[[#This Row],[Total number of tries]])=TRUE, "redpoint", SportClimbing[[#This Row],[Total number of tries]])</f>
        <v>redpoint</v>
      </c>
      <c r="Q185">
        <f>_xlfn.XLOOKUP(SportClimbing[[#This Row],[Grade]],SCORE[GRADE],SCORE[SCORE],,)</f>
        <v>40</v>
      </c>
    </row>
    <row r="186" spans="1:17" x14ac:dyDescent="0.25">
      <c r="A186" s="21">
        <v>45768</v>
      </c>
      <c r="B186" s="21" t="b">
        <f ca="1">AND(SportClimbing[[#This Row],[Date]] &gt;= TODAY()-365, SportClimbing[[#This Row],[Date]] &lt;= TODAY())</f>
        <v>0</v>
      </c>
      <c r="C186">
        <v>21</v>
      </c>
      <c r="D186" t="s">
        <v>368</v>
      </c>
      <c r="E186">
        <v>2025</v>
      </c>
      <c r="F186" t="s">
        <v>477</v>
      </c>
      <c r="G186" t="s">
        <v>21</v>
      </c>
      <c r="H186" t="s">
        <v>298</v>
      </c>
      <c r="I186" t="s">
        <v>306</v>
      </c>
      <c r="J186" t="s">
        <v>476</v>
      </c>
      <c r="K186">
        <v>22</v>
      </c>
      <c r="L186" t="str">
        <f>IF(SportClimbing[[#This Row],[Height (m)]]&lt;11, "0-10", IF(SportClimbing[[#This Row],[Height (m)]]&lt;16, "11-15", IF(SportClimbing[[#This Row],[Height (m)]]&lt;21, "16-20", IF(SportClimbing[[#This Row],[Height (m)]]&lt;26, "21-25", IF(SportClimbing[[#This Row],[Height (m)]]&lt;31, "26-30", IF(SportClimbing[[#This Row],[Height (m)]]&lt;36, "31-35", "35+"))))))</f>
        <v>21-25</v>
      </c>
      <c r="M186" t="s">
        <v>469</v>
      </c>
      <c r="N186">
        <v>6</v>
      </c>
      <c r="O186">
        <f>IF(ISNUMBER(SportClimbing[[#This Row],[Total number of tries]])=TRUE, SportClimbing[[#This Row],[Total number of tries]], 1)</f>
        <v>6</v>
      </c>
      <c r="P186" t="str">
        <f>IF(ISNUMBER(SportClimbing[[#This Row],[Total number of tries]])=TRUE, "redpoint", SportClimbing[[#This Row],[Total number of tries]])</f>
        <v>redpoint</v>
      </c>
      <c r="Q186">
        <f>_xlfn.XLOOKUP(SportClimbing[[#This Row],[Grade]],SCORE[GRADE],SCORE[SCORE],,)</f>
        <v>15</v>
      </c>
    </row>
    <row r="187" spans="1:17" x14ac:dyDescent="0.25">
      <c r="A187" s="21">
        <v>45774</v>
      </c>
      <c r="B187" s="21" t="b">
        <f ca="1">AND(SportClimbing[[#This Row],[Date]] &gt;= TODAY()-365, SportClimbing[[#This Row],[Date]] &lt;= TODAY())</f>
        <v>0</v>
      </c>
      <c r="C187">
        <v>27</v>
      </c>
      <c r="D187" t="s">
        <v>368</v>
      </c>
      <c r="E187">
        <v>2025</v>
      </c>
      <c r="F187" t="s">
        <v>482</v>
      </c>
      <c r="G187" t="s">
        <v>3</v>
      </c>
      <c r="H187" t="s">
        <v>298</v>
      </c>
      <c r="I187" t="s">
        <v>478</v>
      </c>
      <c r="J187" t="s">
        <v>479</v>
      </c>
      <c r="K187">
        <v>20</v>
      </c>
      <c r="L187" t="str">
        <f>IF(SportClimbing[[#This Row],[Height (m)]]&lt;11, "0-10", IF(SportClimbing[[#This Row],[Height (m)]]&lt;16, "11-15", IF(SportClimbing[[#This Row],[Height (m)]]&lt;21, "16-20", IF(SportClimbing[[#This Row],[Height (m)]]&lt;26, "21-25", IF(SportClimbing[[#This Row],[Height (m)]]&lt;31, "26-30", IF(SportClimbing[[#This Row],[Height (m)]]&lt;36, "31-35", "35+"))))))</f>
        <v>16-20</v>
      </c>
      <c r="M187" t="s">
        <v>469</v>
      </c>
      <c r="N187" t="s">
        <v>130</v>
      </c>
      <c r="O187">
        <f>IF(ISNUMBER(SportClimbing[[#This Row],[Total number of tries]])=TRUE, SportClimbing[[#This Row],[Total number of tries]], 1)</f>
        <v>1</v>
      </c>
      <c r="P187" t="str">
        <f>IF(ISNUMBER(SportClimbing[[#This Row],[Total number of tries]])=TRUE, "redpoint", SportClimbing[[#This Row],[Total number of tries]])</f>
        <v>onsight</v>
      </c>
      <c r="Q187">
        <f>_xlfn.XLOOKUP(SportClimbing[[#This Row],[Grade]],SCORE[GRADE],SCORE[SCORE],,)</f>
        <v>10</v>
      </c>
    </row>
    <row r="188" spans="1:17" x14ac:dyDescent="0.25">
      <c r="A188" s="21">
        <v>45774</v>
      </c>
      <c r="B188" s="21" t="b">
        <f ca="1">AND(SportClimbing[[#This Row],[Date]] &gt;= TODAY()-365, SportClimbing[[#This Row],[Date]] &lt;= TODAY())</f>
        <v>0</v>
      </c>
      <c r="C188">
        <v>27</v>
      </c>
      <c r="D188" t="s">
        <v>368</v>
      </c>
      <c r="E188">
        <v>2025</v>
      </c>
      <c r="F188" t="s">
        <v>480</v>
      </c>
      <c r="G188" t="s">
        <v>21</v>
      </c>
      <c r="H188" t="s">
        <v>298</v>
      </c>
      <c r="I188" t="s">
        <v>478</v>
      </c>
      <c r="J188" t="s">
        <v>479</v>
      </c>
      <c r="K188">
        <v>20</v>
      </c>
      <c r="L188" t="str">
        <f>IF(SportClimbing[[#This Row],[Height (m)]]&lt;11, "0-10", IF(SportClimbing[[#This Row],[Height (m)]]&lt;16, "11-15", IF(SportClimbing[[#This Row],[Height (m)]]&lt;21, "16-20", IF(SportClimbing[[#This Row],[Height (m)]]&lt;26, "21-25", IF(SportClimbing[[#This Row],[Height (m)]]&lt;31, "26-30", IF(SportClimbing[[#This Row],[Height (m)]]&lt;36, "31-35", "35+"))))))</f>
        <v>16-20</v>
      </c>
      <c r="M188" t="s">
        <v>469</v>
      </c>
      <c r="N188" t="s">
        <v>130</v>
      </c>
      <c r="O188">
        <f>IF(ISNUMBER(SportClimbing[[#This Row],[Total number of tries]])=TRUE, SportClimbing[[#This Row],[Total number of tries]], 1)</f>
        <v>1</v>
      </c>
      <c r="P188" t="str">
        <f>IF(ISNUMBER(SportClimbing[[#This Row],[Total number of tries]])=TRUE, "redpoint", SportClimbing[[#This Row],[Total number of tries]])</f>
        <v>onsight</v>
      </c>
      <c r="Q188">
        <f>_xlfn.XLOOKUP(SportClimbing[[#This Row],[Grade]],SCORE[GRADE],SCORE[SCORE],,)</f>
        <v>15</v>
      </c>
    </row>
    <row r="189" spans="1:17" x14ac:dyDescent="0.25">
      <c r="A189" s="21">
        <v>45774</v>
      </c>
      <c r="B189" s="21" t="b">
        <f ca="1">AND(SportClimbing[[#This Row],[Date]] &gt;= TODAY()-365, SportClimbing[[#This Row],[Date]] &lt;= TODAY())</f>
        <v>0</v>
      </c>
      <c r="C189">
        <v>27</v>
      </c>
      <c r="D189" t="s">
        <v>368</v>
      </c>
      <c r="E189">
        <v>2025</v>
      </c>
      <c r="F189" t="s">
        <v>481</v>
      </c>
      <c r="G189" t="s">
        <v>29</v>
      </c>
      <c r="H189" t="s">
        <v>298</v>
      </c>
      <c r="I189" t="s">
        <v>478</v>
      </c>
      <c r="J189" t="s">
        <v>479</v>
      </c>
      <c r="K189">
        <v>20</v>
      </c>
      <c r="L189" t="str">
        <f>IF(SportClimbing[[#This Row],[Height (m)]]&lt;11, "0-10", IF(SportClimbing[[#This Row],[Height (m)]]&lt;16, "11-15", IF(SportClimbing[[#This Row],[Height (m)]]&lt;21, "16-20", IF(SportClimbing[[#This Row],[Height (m)]]&lt;26, "21-25", IF(SportClimbing[[#This Row],[Height (m)]]&lt;31, "26-30", IF(SportClimbing[[#This Row],[Height (m)]]&lt;36, "31-35", "35+"))))))</f>
        <v>16-20</v>
      </c>
      <c r="M189" t="s">
        <v>469</v>
      </c>
      <c r="N189">
        <v>2</v>
      </c>
      <c r="O189">
        <f>IF(ISNUMBER(SportClimbing[[#This Row],[Total number of tries]])=TRUE, SportClimbing[[#This Row],[Total number of tries]], 1)</f>
        <v>2</v>
      </c>
      <c r="P189" t="str">
        <f>IF(ISNUMBER(SportClimbing[[#This Row],[Total number of tries]])=TRUE, "redpoint", SportClimbing[[#This Row],[Total number of tries]])</f>
        <v>redpoint</v>
      </c>
      <c r="Q189">
        <f>_xlfn.XLOOKUP(SportClimbing[[#This Row],[Grade]],SCORE[GRADE],SCORE[SCORE],,)</f>
        <v>25</v>
      </c>
    </row>
    <row r="190" spans="1:17" x14ac:dyDescent="0.25">
      <c r="A190" s="21">
        <v>45788</v>
      </c>
      <c r="B190" s="21" t="b">
        <f ca="1">AND(SportClimbing[[#This Row],[Date]] &gt;= TODAY()-365, SportClimbing[[#This Row],[Date]] &lt;= TODAY())</f>
        <v>1</v>
      </c>
      <c r="C190">
        <v>11</v>
      </c>
      <c r="D190" t="s">
        <v>155</v>
      </c>
      <c r="E190">
        <v>2025</v>
      </c>
      <c r="F190" t="s">
        <v>483</v>
      </c>
      <c r="G190" t="s">
        <v>3</v>
      </c>
      <c r="H190" t="s">
        <v>298</v>
      </c>
      <c r="I190" t="s">
        <v>485</v>
      </c>
      <c r="J190" t="s">
        <v>486</v>
      </c>
      <c r="K190">
        <v>10</v>
      </c>
      <c r="L190" t="str">
        <f>IF(SportClimbing[[#This Row],[Height (m)]]&lt;11, "0-10", IF(SportClimbing[[#This Row],[Height (m)]]&lt;16, "11-15", IF(SportClimbing[[#This Row],[Height (m)]]&lt;21, "16-20", IF(SportClimbing[[#This Row],[Height (m)]]&lt;26, "21-25", IF(SportClimbing[[#This Row],[Height (m)]]&lt;31, "26-30", IF(SportClimbing[[#This Row],[Height (m)]]&lt;36, "31-35", "35+"))))))</f>
        <v>0-10</v>
      </c>
      <c r="M190" t="s">
        <v>469</v>
      </c>
      <c r="N190">
        <v>2</v>
      </c>
      <c r="O190">
        <f>IF(ISNUMBER(SportClimbing[[#This Row],[Total number of tries]])=TRUE, SportClimbing[[#This Row],[Total number of tries]], 1)</f>
        <v>2</v>
      </c>
      <c r="P190" t="str">
        <f>IF(ISNUMBER(SportClimbing[[#This Row],[Total number of tries]])=TRUE, "redpoint", SportClimbing[[#This Row],[Total number of tries]])</f>
        <v>redpoint</v>
      </c>
      <c r="Q190">
        <f>_xlfn.XLOOKUP(SportClimbing[[#This Row],[Grade]],SCORE[GRADE],SCORE[SCORE],,)</f>
        <v>10</v>
      </c>
    </row>
    <row r="191" spans="1:17" x14ac:dyDescent="0.25">
      <c r="A191" s="21">
        <v>45788</v>
      </c>
      <c r="B191" s="21" t="b">
        <f ca="1">AND(SportClimbing[[#This Row],[Date]] &gt;= TODAY()-365, SportClimbing[[#This Row],[Date]] &lt;= TODAY())</f>
        <v>1</v>
      </c>
      <c r="C191">
        <v>11</v>
      </c>
      <c r="D191" t="s">
        <v>155</v>
      </c>
      <c r="E191">
        <v>2025</v>
      </c>
      <c r="F191" t="s">
        <v>484</v>
      </c>
      <c r="G191" t="s">
        <v>3</v>
      </c>
      <c r="H191" t="s">
        <v>298</v>
      </c>
      <c r="I191" t="s">
        <v>485</v>
      </c>
      <c r="J191" t="s">
        <v>486</v>
      </c>
      <c r="K191">
        <v>10</v>
      </c>
      <c r="L191" t="str">
        <f>IF(SportClimbing[[#This Row],[Height (m)]]&lt;11, "0-10", IF(SportClimbing[[#This Row],[Height (m)]]&lt;16, "11-15", IF(SportClimbing[[#This Row],[Height (m)]]&lt;21, "16-20", IF(SportClimbing[[#This Row],[Height (m)]]&lt;26, "21-25", IF(SportClimbing[[#This Row],[Height (m)]]&lt;31, "26-30", IF(SportClimbing[[#This Row],[Height (m)]]&lt;36, "31-35", "35+"))))))</f>
        <v>0-10</v>
      </c>
      <c r="M191" t="s">
        <v>469</v>
      </c>
      <c r="N191">
        <v>2</v>
      </c>
      <c r="O191">
        <f>IF(ISNUMBER(SportClimbing[[#This Row],[Total number of tries]])=TRUE, SportClimbing[[#This Row],[Total number of tries]], 1)</f>
        <v>2</v>
      </c>
      <c r="P191" t="str">
        <f>IF(ISNUMBER(SportClimbing[[#This Row],[Total number of tries]])=TRUE, "redpoint", SportClimbing[[#This Row],[Total number of tries]])</f>
        <v>redpoint</v>
      </c>
      <c r="Q191">
        <f>_xlfn.XLOOKUP(SportClimbing[[#This Row],[Grade]],SCORE[GRADE],SCORE[SCORE],,)</f>
        <v>10</v>
      </c>
    </row>
    <row r="192" spans="1:17" x14ac:dyDescent="0.25">
      <c r="A192" s="21">
        <v>45801</v>
      </c>
      <c r="B192" s="21" t="b">
        <f ca="1">AND(SportClimbing[[#This Row],[Date]] &gt;= TODAY()-365, SportClimbing[[#This Row],[Date]] &lt;= TODAY())</f>
        <v>1</v>
      </c>
      <c r="C192">
        <v>24</v>
      </c>
      <c r="D192" t="s">
        <v>155</v>
      </c>
      <c r="E192">
        <v>2025</v>
      </c>
      <c r="F192" t="s">
        <v>488</v>
      </c>
      <c r="G192" t="s">
        <v>69</v>
      </c>
      <c r="H192" t="s">
        <v>298</v>
      </c>
      <c r="I192" t="s">
        <v>334</v>
      </c>
      <c r="J192" t="s">
        <v>532</v>
      </c>
      <c r="K192">
        <v>25</v>
      </c>
      <c r="L192" t="str">
        <f>IF(SportClimbing[[#This Row],[Height (m)]]&lt;11, "0-10", IF(SportClimbing[[#This Row],[Height (m)]]&lt;16, "11-15", IF(SportClimbing[[#This Row],[Height (m)]]&lt;21, "16-20", IF(SportClimbing[[#This Row],[Height (m)]]&lt;26, "21-25", IF(SportClimbing[[#This Row],[Height (m)]]&lt;31, "26-30", IF(SportClimbing[[#This Row],[Height (m)]]&lt;36, "31-35", "35+"))))))</f>
        <v>21-25</v>
      </c>
      <c r="M192" t="s">
        <v>469</v>
      </c>
      <c r="N192">
        <v>5</v>
      </c>
      <c r="O192">
        <f>IF(ISNUMBER(SportClimbing[[#This Row],[Total number of tries]])=TRUE, SportClimbing[[#This Row],[Total number of tries]], 1)</f>
        <v>5</v>
      </c>
      <c r="P192" t="str">
        <f>IF(ISNUMBER(SportClimbing[[#This Row],[Total number of tries]])=TRUE, "redpoint", SportClimbing[[#This Row],[Total number of tries]])</f>
        <v>redpoint</v>
      </c>
      <c r="Q192">
        <f>_xlfn.XLOOKUP(SportClimbing[[#This Row],[Grade]],SCORE[GRADE],SCORE[SCORE],,)</f>
        <v>60</v>
      </c>
    </row>
    <row r="193" spans="1:17" x14ac:dyDescent="0.25">
      <c r="A193" s="21">
        <v>45835</v>
      </c>
      <c r="B193" s="21" t="b">
        <f ca="1">AND(SportClimbing[[#This Row],[Date]] &gt;= TODAY()-365, SportClimbing[[#This Row],[Date]] &lt;= TODAY())</f>
        <v>1</v>
      </c>
      <c r="C193">
        <v>27</v>
      </c>
      <c r="D193" t="s">
        <v>366</v>
      </c>
      <c r="E193">
        <v>2025</v>
      </c>
      <c r="F193" t="s">
        <v>489</v>
      </c>
      <c r="G193" t="s">
        <v>163</v>
      </c>
      <c r="H193" t="s">
        <v>298</v>
      </c>
      <c r="I193" t="s">
        <v>433</v>
      </c>
      <c r="J193" t="s">
        <v>434</v>
      </c>
      <c r="K193">
        <v>20</v>
      </c>
      <c r="L193" t="str">
        <f>IF(SportClimbing[[#This Row],[Height (m)]]&lt;11, "0-10", IF(SportClimbing[[#This Row],[Height (m)]]&lt;16, "11-15", IF(SportClimbing[[#This Row],[Height (m)]]&lt;21, "16-20", IF(SportClimbing[[#This Row],[Height (m)]]&lt;26, "21-25", IF(SportClimbing[[#This Row],[Height (m)]]&lt;31, "26-30", IF(SportClimbing[[#This Row],[Height (m)]]&lt;36, "31-35", "35+"))))))</f>
        <v>16-20</v>
      </c>
      <c r="M193" t="s">
        <v>435</v>
      </c>
      <c r="N193">
        <v>14</v>
      </c>
      <c r="O193">
        <f>IF(ISNUMBER(SportClimbing[[#This Row],[Total number of tries]])=TRUE, SportClimbing[[#This Row],[Total number of tries]], 1)</f>
        <v>14</v>
      </c>
      <c r="P193" t="str">
        <f>IF(ISNUMBER(SportClimbing[[#This Row],[Total number of tries]])=TRUE, "redpoint", SportClimbing[[#This Row],[Total number of tries]])</f>
        <v>redpoint</v>
      </c>
      <c r="Q193">
        <f>_xlfn.XLOOKUP(SportClimbing[[#This Row],[Grade]],SCORE[GRADE],SCORE[SCORE],,)</f>
        <v>80</v>
      </c>
    </row>
    <row r="194" spans="1:17" x14ac:dyDescent="0.25">
      <c r="A194" s="21">
        <f>DATE(SportClimbing[[#This Row],[Year]],_xlfn.XLOOKUP(SportClimbing[[#This Row],[Month]],MONTHS[MONTHS 2],MONTHS[MONTHS 3]),SportClimbing[[#This Row],[Day]])</f>
        <v>45861</v>
      </c>
      <c r="B194" s="21" t="b">
        <f ca="1">AND(SportClimbing[[#This Row],[Date]] &gt;= TODAY()-365, SportClimbing[[#This Row],[Date]] &lt;= TODAY())</f>
        <v>1</v>
      </c>
      <c r="C194">
        <v>23</v>
      </c>
      <c r="D194" t="s">
        <v>365</v>
      </c>
      <c r="E194">
        <v>2025</v>
      </c>
      <c r="F194" t="s">
        <v>498</v>
      </c>
      <c r="G194" t="s">
        <v>3</v>
      </c>
      <c r="H194" t="s">
        <v>261</v>
      </c>
      <c r="I194" t="s">
        <v>492</v>
      </c>
      <c r="J194" t="s">
        <v>494</v>
      </c>
      <c r="K194">
        <v>30</v>
      </c>
      <c r="L194" t="str">
        <f>IF(SportClimbing[[#This Row],[Height (m)]]&lt;11, "0-10", IF(SportClimbing[[#This Row],[Height (m)]]&lt;16, "11-15", IF(SportClimbing[[#This Row],[Height (m)]]&lt;21, "16-20", IF(SportClimbing[[#This Row],[Height (m)]]&lt;26, "21-25", IF(SportClimbing[[#This Row],[Height (m)]]&lt;31, "26-30", IF(SportClimbing[[#This Row],[Height (m)]]&lt;36, "31-35", "35+"))))))</f>
        <v>26-30</v>
      </c>
      <c r="M194" t="s">
        <v>469</v>
      </c>
      <c r="N194">
        <v>2</v>
      </c>
      <c r="O194">
        <f>IF(ISNUMBER(SportClimbing[[#This Row],[Total number of tries]])=TRUE, SportClimbing[[#This Row],[Total number of tries]], 1)</f>
        <v>2</v>
      </c>
      <c r="P194" t="str">
        <f>IF(ISNUMBER(SportClimbing[[#This Row],[Total number of tries]])=TRUE, "redpoint", SportClimbing[[#This Row],[Total number of tries]])</f>
        <v>redpoint</v>
      </c>
      <c r="Q194">
        <f>_xlfn.XLOOKUP(SportClimbing[[#This Row],[Grade]],SCORE[GRADE],SCORE[SCORE],,)</f>
        <v>10</v>
      </c>
    </row>
    <row r="195" spans="1:17" x14ac:dyDescent="0.25">
      <c r="A195" s="21">
        <f>DATE(SportClimbing[[#This Row],[Year]],_xlfn.XLOOKUP(SportClimbing[[#This Row],[Month]],MONTHS[MONTHS 2],MONTHS[MONTHS 3]),SportClimbing[[#This Row],[Day]])</f>
        <v>45865</v>
      </c>
      <c r="B195" s="21" t="b">
        <f ca="1">AND(SportClimbing[[#This Row],[Date]] &gt;= TODAY()-365, SportClimbing[[#This Row],[Date]] &lt;= TODAY())</f>
        <v>1</v>
      </c>
      <c r="C195">
        <v>27</v>
      </c>
      <c r="D195" t="s">
        <v>365</v>
      </c>
      <c r="E195">
        <v>2025</v>
      </c>
      <c r="F195" t="s">
        <v>495</v>
      </c>
      <c r="G195" t="s">
        <v>3</v>
      </c>
      <c r="H195" t="s">
        <v>261</v>
      </c>
      <c r="I195" t="s">
        <v>493</v>
      </c>
      <c r="J195" t="s">
        <v>497</v>
      </c>
      <c r="K195">
        <v>18</v>
      </c>
      <c r="L195" t="str">
        <f>IF(SportClimbing[[#This Row],[Height (m)]]&lt;11, "0-10", IF(SportClimbing[[#This Row],[Height (m)]]&lt;16, "11-15", IF(SportClimbing[[#This Row],[Height (m)]]&lt;21, "16-20", IF(SportClimbing[[#This Row],[Height (m)]]&lt;26, "21-25", IF(SportClimbing[[#This Row],[Height (m)]]&lt;31, "26-30", IF(SportClimbing[[#This Row],[Height (m)]]&lt;36, "31-35", "35+"))))))</f>
        <v>16-20</v>
      </c>
      <c r="M195" t="s">
        <v>469</v>
      </c>
      <c r="N195" t="s">
        <v>130</v>
      </c>
      <c r="O195">
        <f>IF(ISNUMBER(SportClimbing[[#This Row],[Total number of tries]])=TRUE, SportClimbing[[#This Row],[Total number of tries]], 1)</f>
        <v>1</v>
      </c>
      <c r="P195" t="str">
        <f>IF(ISNUMBER(SportClimbing[[#This Row],[Total number of tries]])=TRUE, "redpoint", SportClimbing[[#This Row],[Total number of tries]])</f>
        <v>onsight</v>
      </c>
      <c r="Q195">
        <f>_xlfn.XLOOKUP(SportClimbing[[#This Row],[Grade]],SCORE[GRADE],SCORE[SCORE],,)</f>
        <v>10</v>
      </c>
    </row>
    <row r="196" spans="1:17" x14ac:dyDescent="0.25">
      <c r="A196" s="21">
        <f>DATE(SportClimbing[[#This Row],[Year]],_xlfn.XLOOKUP(SportClimbing[[#This Row],[Month]],MONTHS[MONTHS 2],MONTHS[MONTHS 3]),SportClimbing[[#This Row],[Day]])</f>
        <v>45865</v>
      </c>
      <c r="B196" s="21" t="b">
        <f ca="1">AND(SportClimbing[[#This Row],[Date]] &gt;= TODAY()-365, SportClimbing[[#This Row],[Date]] &lt;= TODAY())</f>
        <v>1</v>
      </c>
      <c r="C196">
        <v>27</v>
      </c>
      <c r="D196" t="s">
        <v>365</v>
      </c>
      <c r="E196">
        <v>2025</v>
      </c>
      <c r="F196" t="s">
        <v>496</v>
      </c>
      <c r="G196" t="s">
        <v>3</v>
      </c>
      <c r="H196" t="s">
        <v>261</v>
      </c>
      <c r="I196" t="s">
        <v>493</v>
      </c>
      <c r="J196" t="s">
        <v>497</v>
      </c>
      <c r="K196">
        <v>22</v>
      </c>
      <c r="L196" t="str">
        <f>IF(SportClimbing[[#This Row],[Height (m)]]&lt;11, "0-10", IF(SportClimbing[[#This Row],[Height (m)]]&lt;16, "11-15", IF(SportClimbing[[#This Row],[Height (m)]]&lt;21, "16-20", IF(SportClimbing[[#This Row],[Height (m)]]&lt;26, "21-25", IF(SportClimbing[[#This Row],[Height (m)]]&lt;31, "26-30", IF(SportClimbing[[#This Row],[Height (m)]]&lt;36, "31-35", "35+"))))))</f>
        <v>21-25</v>
      </c>
      <c r="M196" t="s">
        <v>469</v>
      </c>
      <c r="N196" t="s">
        <v>130</v>
      </c>
      <c r="O196">
        <f>IF(ISNUMBER(SportClimbing[[#This Row],[Total number of tries]])=TRUE, SportClimbing[[#This Row],[Total number of tries]], 1)</f>
        <v>1</v>
      </c>
      <c r="P196" t="str">
        <f>IF(ISNUMBER(SportClimbing[[#This Row],[Total number of tries]])=TRUE, "redpoint", SportClimbing[[#This Row],[Total number of tries]])</f>
        <v>onsight</v>
      </c>
      <c r="Q196">
        <f>_xlfn.XLOOKUP(SportClimbing[[#This Row],[Grade]],SCORE[GRADE],SCORE[SCORE],,)</f>
        <v>10</v>
      </c>
    </row>
    <row r="197" spans="1:17" x14ac:dyDescent="0.25">
      <c r="A197" s="21">
        <f>DATE(SportClimbing[[#This Row],[Year]],_xlfn.XLOOKUP(SportClimbing[[#This Row],[Month]],MONTHS[MONTHS 2],MONTHS[MONTHS 3]),SportClimbing[[#This Row],[Day]])</f>
        <v>45867</v>
      </c>
      <c r="B197" s="21" t="b">
        <f ca="1">AND(SportClimbing[[#This Row],[Date]] &gt;= TODAY()-365, SportClimbing[[#This Row],[Date]] &lt;= TODAY())</f>
        <v>1</v>
      </c>
      <c r="C197">
        <v>29</v>
      </c>
      <c r="D197" t="s">
        <v>365</v>
      </c>
      <c r="E197">
        <v>2025</v>
      </c>
      <c r="F197" t="s">
        <v>502</v>
      </c>
      <c r="G197" t="s">
        <v>3</v>
      </c>
      <c r="H197" t="s">
        <v>261</v>
      </c>
      <c r="I197" t="s">
        <v>493</v>
      </c>
      <c r="J197" t="s">
        <v>501</v>
      </c>
      <c r="K197">
        <v>27</v>
      </c>
      <c r="L197" t="str">
        <f>IF(SportClimbing[[#This Row],[Height (m)]]&lt;11, "0-10", IF(SportClimbing[[#This Row],[Height (m)]]&lt;16, "11-15", IF(SportClimbing[[#This Row],[Height (m)]]&lt;21, "16-20", IF(SportClimbing[[#This Row],[Height (m)]]&lt;26, "21-25", IF(SportClimbing[[#This Row],[Height (m)]]&lt;31, "26-30", IF(SportClimbing[[#This Row],[Height (m)]]&lt;36, "31-35", "35+"))))))</f>
        <v>26-30</v>
      </c>
      <c r="M197" t="s">
        <v>469</v>
      </c>
      <c r="N197" t="s">
        <v>130</v>
      </c>
      <c r="O197">
        <f>IF(ISNUMBER(SportClimbing[[#This Row],[Total number of tries]])=TRUE, SportClimbing[[#This Row],[Total number of tries]], 1)</f>
        <v>1</v>
      </c>
      <c r="P197" t="str">
        <f>IF(ISNUMBER(SportClimbing[[#This Row],[Total number of tries]])=TRUE, "redpoint", SportClimbing[[#This Row],[Total number of tries]])</f>
        <v>onsight</v>
      </c>
      <c r="Q197">
        <f>_xlfn.XLOOKUP(SportClimbing[[#This Row],[Grade]],SCORE[GRADE],SCORE[SCORE],,)</f>
        <v>10</v>
      </c>
    </row>
    <row r="198" spans="1:17" x14ac:dyDescent="0.25">
      <c r="A198" s="21">
        <f>DATE(SportClimbing[[#This Row],[Year]],_xlfn.XLOOKUP(SportClimbing[[#This Row],[Month]],MONTHS[MONTHS 2],MONTHS[MONTHS 3]),SportClimbing[[#This Row],[Day]])</f>
        <v>45888</v>
      </c>
      <c r="B198" s="21" t="b">
        <f ca="1">AND(SportClimbing[[#This Row],[Date]] &gt;= TODAY()-365, SportClimbing[[#This Row],[Date]] &lt;= TODAY())</f>
        <v>1</v>
      </c>
      <c r="C198">
        <v>19</v>
      </c>
      <c r="D198" t="s">
        <v>158</v>
      </c>
      <c r="E198">
        <v>2025</v>
      </c>
      <c r="F198" t="s">
        <v>504</v>
      </c>
      <c r="G198" t="s">
        <v>29</v>
      </c>
      <c r="H198" t="s">
        <v>262</v>
      </c>
      <c r="I198" t="s">
        <v>500</v>
      </c>
      <c r="J198" t="s">
        <v>503</v>
      </c>
      <c r="K198">
        <v>30</v>
      </c>
      <c r="L198" t="str">
        <f>IF(SportClimbing[[#This Row],[Height (m)]]&lt;11, "0-10", IF(SportClimbing[[#This Row],[Height (m)]]&lt;16, "11-15", IF(SportClimbing[[#This Row],[Height (m)]]&lt;21, "16-20", IF(SportClimbing[[#This Row],[Height (m)]]&lt;26, "21-25", IF(SportClimbing[[#This Row],[Height (m)]]&lt;31, "26-30", IF(SportClimbing[[#This Row],[Height (m)]]&lt;36, "31-35", "35+"))))))</f>
        <v>26-30</v>
      </c>
      <c r="M198" t="s">
        <v>469</v>
      </c>
      <c r="N198" t="s">
        <v>130</v>
      </c>
      <c r="O198">
        <f>IF(ISNUMBER(SportClimbing[[#This Row],[Total number of tries]])=TRUE, SportClimbing[[#This Row],[Total number of tries]], 1)</f>
        <v>1</v>
      </c>
      <c r="P198" t="str">
        <f>IF(ISNUMBER(SportClimbing[[#This Row],[Total number of tries]])=TRUE, "redpoint", SportClimbing[[#This Row],[Total number of tries]])</f>
        <v>onsight</v>
      </c>
      <c r="Q198">
        <f>_xlfn.XLOOKUP(SportClimbing[[#This Row],[Grade]],SCORE[GRADE],SCORE[SCORE],,)</f>
        <v>25</v>
      </c>
    </row>
    <row r="199" spans="1:17" x14ac:dyDescent="0.25">
      <c r="A199" s="21">
        <f>DATE(SportClimbing[[#This Row],[Year]],_xlfn.XLOOKUP(SportClimbing[[#This Row],[Month]],MONTHS[MONTHS 2],MONTHS[MONTHS 3]),SportClimbing[[#This Row],[Day]])</f>
        <v>45889</v>
      </c>
      <c r="B199" s="21" t="b">
        <f ca="1">AND(SportClimbing[[#This Row],[Date]] &gt;= TODAY()-365, SportClimbing[[#This Row],[Date]] &lt;= TODAY())</f>
        <v>1</v>
      </c>
      <c r="C199">
        <v>20</v>
      </c>
      <c r="D199" t="s">
        <v>158</v>
      </c>
      <c r="E199">
        <v>2025</v>
      </c>
      <c r="F199" t="s">
        <v>499</v>
      </c>
      <c r="G199" t="s">
        <v>3</v>
      </c>
      <c r="H199" t="s">
        <v>262</v>
      </c>
      <c r="I199" t="s">
        <v>500</v>
      </c>
      <c r="J199" t="s">
        <v>505</v>
      </c>
      <c r="K199">
        <v>28</v>
      </c>
      <c r="L199" t="str">
        <f>IF(SportClimbing[[#This Row],[Height (m)]]&lt;11, "0-10", IF(SportClimbing[[#This Row],[Height (m)]]&lt;16, "11-15", IF(SportClimbing[[#This Row],[Height (m)]]&lt;21, "16-20", IF(SportClimbing[[#This Row],[Height (m)]]&lt;26, "21-25", IF(SportClimbing[[#This Row],[Height (m)]]&lt;31, "26-30", IF(SportClimbing[[#This Row],[Height (m)]]&lt;36, "31-35", "35+"))))))</f>
        <v>26-30</v>
      </c>
      <c r="M199" t="s">
        <v>469</v>
      </c>
      <c r="N199">
        <v>2</v>
      </c>
      <c r="O199">
        <f>IF(ISNUMBER(SportClimbing[[#This Row],[Total number of tries]])=TRUE, SportClimbing[[#This Row],[Total number of tries]], 1)</f>
        <v>2</v>
      </c>
      <c r="P199" t="str">
        <f>IF(ISNUMBER(SportClimbing[[#This Row],[Total number of tries]])=TRUE, "redpoint", SportClimbing[[#This Row],[Total number of tries]])</f>
        <v>redpoint</v>
      </c>
      <c r="Q199">
        <f>_xlfn.XLOOKUP(SportClimbing[[#This Row],[Grade]],SCORE[GRADE],SCORE[SCORE],,)</f>
        <v>10</v>
      </c>
    </row>
    <row r="200" spans="1:17" x14ac:dyDescent="0.25">
      <c r="A200" s="21">
        <f>DATE(SportClimbing[[#This Row],[Year]],_xlfn.XLOOKUP(SportClimbing[[#This Row],[Month]],MONTHS[MONTHS 2],MONTHS[MONTHS 3]),SportClimbing[[#This Row],[Day]])</f>
        <v>45894</v>
      </c>
      <c r="B200" s="21" t="b">
        <f ca="1">AND(SportClimbing[[#This Row],[Date]] &gt;= TODAY()-365, SportClimbing[[#This Row],[Date]] &lt;= TODAY())</f>
        <v>1</v>
      </c>
      <c r="C200">
        <v>25</v>
      </c>
      <c r="D200" t="s">
        <v>158</v>
      </c>
      <c r="E200">
        <v>2025</v>
      </c>
      <c r="F200" t="s">
        <v>506</v>
      </c>
      <c r="G200" t="s">
        <v>3</v>
      </c>
      <c r="H200" t="s">
        <v>261</v>
      </c>
      <c r="I200" t="s">
        <v>507</v>
      </c>
      <c r="J200" t="s">
        <v>508</v>
      </c>
      <c r="K200">
        <v>25</v>
      </c>
      <c r="L200" t="str">
        <f>IF(SportClimbing[[#This Row],[Height (m)]]&lt;11, "0-10", IF(SportClimbing[[#This Row],[Height (m)]]&lt;16, "11-15", IF(SportClimbing[[#This Row],[Height (m)]]&lt;21, "16-20", IF(SportClimbing[[#This Row],[Height (m)]]&lt;26, "21-25", IF(SportClimbing[[#This Row],[Height (m)]]&lt;31, "26-30", IF(SportClimbing[[#This Row],[Height (m)]]&lt;36, "31-35", "35+"))))))</f>
        <v>21-25</v>
      </c>
      <c r="M200" t="s">
        <v>469</v>
      </c>
      <c r="N200">
        <v>2</v>
      </c>
      <c r="O200">
        <f>IF(ISNUMBER(SportClimbing[[#This Row],[Total number of tries]])=TRUE, SportClimbing[[#This Row],[Total number of tries]], 1)</f>
        <v>2</v>
      </c>
      <c r="P200" t="str">
        <f>IF(ISNUMBER(SportClimbing[[#This Row],[Total number of tries]])=TRUE, "redpoint", SportClimbing[[#This Row],[Total number of tries]])</f>
        <v>redpoint</v>
      </c>
      <c r="Q200">
        <f>_xlfn.XLOOKUP(SportClimbing[[#This Row],[Grade]],SCORE[GRADE],SCORE[SCORE],,)</f>
        <v>10</v>
      </c>
    </row>
    <row r="201" spans="1:17" x14ac:dyDescent="0.25">
      <c r="A201" s="21">
        <v>45906</v>
      </c>
      <c r="B201" s="21" t="b">
        <f ca="1">AND(SportClimbing[[#This Row],[Date]] &gt;= TODAY()-365, SportClimbing[[#This Row],[Date]] &lt;= TODAY())</f>
        <v>1</v>
      </c>
      <c r="C201">
        <v>6</v>
      </c>
      <c r="D201" t="s">
        <v>159</v>
      </c>
      <c r="E201">
        <v>2025</v>
      </c>
      <c r="F201" t="s">
        <v>509</v>
      </c>
      <c r="G201" t="s">
        <v>3</v>
      </c>
      <c r="H201" t="s">
        <v>298</v>
      </c>
      <c r="I201" t="s">
        <v>513</v>
      </c>
      <c r="J201" t="s">
        <v>512</v>
      </c>
      <c r="K201">
        <v>11</v>
      </c>
      <c r="L201" t="str">
        <f>IF(SportClimbing[[#This Row],[Height (m)]]&lt;11, "0-10", IF(SportClimbing[[#This Row],[Height (m)]]&lt;16, "11-15", IF(SportClimbing[[#This Row],[Height (m)]]&lt;21, "16-20", IF(SportClimbing[[#This Row],[Height (m)]]&lt;26, "21-25", IF(SportClimbing[[#This Row],[Height (m)]]&lt;31, "26-30", IF(SportClimbing[[#This Row],[Height (m)]]&lt;36, "31-35", "35+"))))))</f>
        <v>11-15</v>
      </c>
      <c r="M201" t="s">
        <v>469</v>
      </c>
      <c r="N201">
        <v>2</v>
      </c>
      <c r="O201">
        <f>IF(ISNUMBER(SportClimbing[[#This Row],[Total number of tries]])=TRUE, SportClimbing[[#This Row],[Total number of tries]], 1)</f>
        <v>2</v>
      </c>
      <c r="P201" t="str">
        <f>IF(ISNUMBER(SportClimbing[[#This Row],[Total number of tries]])=TRUE, "redpoint", SportClimbing[[#This Row],[Total number of tries]])</f>
        <v>redpoint</v>
      </c>
      <c r="Q201">
        <f>_xlfn.XLOOKUP(SportClimbing[[#This Row],[Grade]],SCORE[GRADE],SCORE[SCORE],,)</f>
        <v>10</v>
      </c>
    </row>
    <row r="202" spans="1:17" x14ac:dyDescent="0.25">
      <c r="A202" s="21">
        <v>45906</v>
      </c>
      <c r="B202" s="21" t="b">
        <f ca="1">AND(SportClimbing[[#This Row],[Date]] &gt;= TODAY()-365, SportClimbing[[#This Row],[Date]] &lt;= TODAY())</f>
        <v>1</v>
      </c>
      <c r="C202">
        <v>6</v>
      </c>
      <c r="D202" t="s">
        <v>159</v>
      </c>
      <c r="E202">
        <v>2025</v>
      </c>
      <c r="F202" t="s">
        <v>510</v>
      </c>
      <c r="G202" t="s">
        <v>3</v>
      </c>
      <c r="H202" t="s">
        <v>298</v>
      </c>
      <c r="I202" t="s">
        <v>513</v>
      </c>
      <c r="J202" t="s">
        <v>511</v>
      </c>
      <c r="K202">
        <v>15</v>
      </c>
      <c r="L202" t="str">
        <f>IF(SportClimbing[[#This Row],[Height (m)]]&lt;11, "0-10", IF(SportClimbing[[#This Row],[Height (m)]]&lt;16, "11-15", IF(SportClimbing[[#This Row],[Height (m)]]&lt;21, "16-20", IF(SportClimbing[[#This Row],[Height (m)]]&lt;26, "21-25", IF(SportClimbing[[#This Row],[Height (m)]]&lt;31, "26-30", IF(SportClimbing[[#This Row],[Height (m)]]&lt;36, "31-35", "35+"))))))</f>
        <v>11-15</v>
      </c>
      <c r="M202" t="s">
        <v>469</v>
      </c>
      <c r="N202" t="s">
        <v>130</v>
      </c>
      <c r="O202">
        <f>IF(ISNUMBER(SportClimbing[[#This Row],[Total number of tries]])=TRUE, SportClimbing[[#This Row],[Total number of tries]], 1)</f>
        <v>1</v>
      </c>
      <c r="P202" t="str">
        <f>IF(ISNUMBER(SportClimbing[[#This Row],[Total number of tries]])=TRUE, "redpoint", SportClimbing[[#This Row],[Total number of tries]])</f>
        <v>onsight</v>
      </c>
      <c r="Q202">
        <f>_xlfn.XLOOKUP(SportClimbing[[#This Row],[Grade]],SCORE[GRADE],SCORE[SCORE],,)</f>
        <v>10</v>
      </c>
    </row>
    <row r="203" spans="1:17" x14ac:dyDescent="0.25">
      <c r="A203" s="21">
        <v>45948</v>
      </c>
      <c r="B203" s="21" t="b">
        <f ca="1">AND(SportClimbing[[#This Row],[Date]] &gt;= TODAY()-365, SportClimbing[[#This Row],[Date]] &lt;= TODAY())</f>
        <v>1</v>
      </c>
      <c r="C203">
        <v>18</v>
      </c>
      <c r="D203" t="s">
        <v>162</v>
      </c>
      <c r="E203">
        <v>2025</v>
      </c>
      <c r="F203" t="s">
        <v>516</v>
      </c>
      <c r="G203" t="s">
        <v>21</v>
      </c>
      <c r="H203" t="s">
        <v>313</v>
      </c>
      <c r="I203" t="s">
        <v>468</v>
      </c>
      <c r="J203" t="s">
        <v>517</v>
      </c>
      <c r="K203">
        <v>22</v>
      </c>
      <c r="L203" t="str">
        <f>IF(SportClimbing[[#This Row],[Height (m)]]&lt;11, "0-10", IF(SportClimbing[[#This Row],[Height (m)]]&lt;16, "11-15", IF(SportClimbing[[#This Row],[Height (m)]]&lt;21, "16-20", IF(SportClimbing[[#This Row],[Height (m)]]&lt;26, "21-25", IF(SportClimbing[[#This Row],[Height (m)]]&lt;31, "26-30", IF(SportClimbing[[#This Row],[Height (m)]]&lt;36, "31-35", "35+"))))))</f>
        <v>21-25</v>
      </c>
      <c r="M203" t="s">
        <v>435</v>
      </c>
      <c r="N203">
        <v>5</v>
      </c>
      <c r="O203">
        <f>IF(ISNUMBER(SportClimbing[[#This Row],[Total number of tries]])=TRUE, SportClimbing[[#This Row],[Total number of tries]], 1)</f>
        <v>5</v>
      </c>
      <c r="P203" t="str">
        <f>IF(ISNUMBER(SportClimbing[[#This Row],[Total number of tries]])=TRUE, "redpoint", SportClimbing[[#This Row],[Total number of tries]])</f>
        <v>redpoint</v>
      </c>
      <c r="Q203">
        <f>_xlfn.XLOOKUP(SportClimbing[[#This Row],[Grade]],SCORE[GRADE],SCORE[SCORE],,)</f>
        <v>15</v>
      </c>
    </row>
    <row r="204" spans="1:17" x14ac:dyDescent="0.25">
      <c r="A204" s="21">
        <v>45949</v>
      </c>
      <c r="B204" s="21" t="b">
        <f ca="1">AND(SportClimbing[[#This Row],[Date]] &gt;= TODAY()-365, SportClimbing[[#This Row],[Date]] &lt;= TODAY())</f>
        <v>1</v>
      </c>
      <c r="C204">
        <v>19</v>
      </c>
      <c r="D204" t="s">
        <v>162</v>
      </c>
      <c r="E204">
        <v>2025</v>
      </c>
      <c r="F204" t="s">
        <v>518</v>
      </c>
      <c r="G204" t="s">
        <v>3</v>
      </c>
      <c r="H204" t="s">
        <v>313</v>
      </c>
      <c r="I204" t="s">
        <v>468</v>
      </c>
      <c r="J204" t="s">
        <v>515</v>
      </c>
      <c r="K204">
        <v>18</v>
      </c>
      <c r="L204" t="str">
        <f>IF(SportClimbing[[#This Row],[Height (m)]]&lt;11, "0-10", IF(SportClimbing[[#This Row],[Height (m)]]&lt;16, "11-15", IF(SportClimbing[[#This Row],[Height (m)]]&lt;21, "16-20", IF(SportClimbing[[#This Row],[Height (m)]]&lt;26, "21-25", IF(SportClimbing[[#This Row],[Height (m)]]&lt;31, "26-30", IF(SportClimbing[[#This Row],[Height (m)]]&lt;36, "31-35", "35+"))))))</f>
        <v>16-20</v>
      </c>
      <c r="M204" t="s">
        <v>435</v>
      </c>
      <c r="N204">
        <v>2</v>
      </c>
      <c r="O204">
        <f>IF(ISNUMBER(SportClimbing[[#This Row],[Total number of tries]])=TRUE, SportClimbing[[#This Row],[Total number of tries]], 1)</f>
        <v>2</v>
      </c>
      <c r="P204" t="str">
        <f>IF(ISNUMBER(SportClimbing[[#This Row],[Total number of tries]])=TRUE, "redpoint", SportClimbing[[#This Row],[Total number of tries]])</f>
        <v>redpoint</v>
      </c>
      <c r="Q204">
        <f>_xlfn.XLOOKUP(SportClimbing[[#This Row],[Grade]],SCORE[GRADE],SCORE[SCORE],,)</f>
        <v>10</v>
      </c>
    </row>
    <row r="205" spans="1:17" x14ac:dyDescent="0.25">
      <c r="A205" s="21">
        <v>45949</v>
      </c>
      <c r="B205" s="21" t="b">
        <f ca="1">AND(SportClimbing[[#This Row],[Date]] &gt;= TODAY()-365, SportClimbing[[#This Row],[Date]] &lt;= TODAY())</f>
        <v>1</v>
      </c>
      <c r="C205">
        <v>19</v>
      </c>
      <c r="D205" t="s">
        <v>162</v>
      </c>
      <c r="E205">
        <v>2025</v>
      </c>
      <c r="F205" t="s">
        <v>519</v>
      </c>
      <c r="G205" t="s">
        <v>3</v>
      </c>
      <c r="H205" t="s">
        <v>313</v>
      </c>
      <c r="I205" t="s">
        <v>468</v>
      </c>
      <c r="J205" t="s">
        <v>515</v>
      </c>
      <c r="K205">
        <v>20</v>
      </c>
      <c r="L205" t="str">
        <f>IF(SportClimbing[[#This Row],[Height (m)]]&lt;11, "0-10", IF(SportClimbing[[#This Row],[Height (m)]]&lt;16, "11-15", IF(SportClimbing[[#This Row],[Height (m)]]&lt;21, "16-20", IF(SportClimbing[[#This Row],[Height (m)]]&lt;26, "21-25", IF(SportClimbing[[#This Row],[Height (m)]]&lt;31, "26-30", IF(SportClimbing[[#This Row],[Height (m)]]&lt;36, "31-35", "35+"))))))</f>
        <v>16-20</v>
      </c>
      <c r="M205" t="s">
        <v>435</v>
      </c>
      <c r="N205">
        <v>2</v>
      </c>
      <c r="O205">
        <f>IF(ISNUMBER(SportClimbing[[#This Row],[Total number of tries]])=TRUE, SportClimbing[[#This Row],[Total number of tries]], 1)</f>
        <v>2</v>
      </c>
      <c r="P205" t="str">
        <f>IF(ISNUMBER(SportClimbing[[#This Row],[Total number of tries]])=TRUE, "redpoint", SportClimbing[[#This Row],[Total number of tries]])</f>
        <v>redpoint</v>
      </c>
      <c r="Q205">
        <f>_xlfn.XLOOKUP(SportClimbing[[#This Row],[Grade]],SCORE[GRADE],SCORE[SCORE],,)</f>
        <v>10</v>
      </c>
    </row>
    <row r="206" spans="1:17" x14ac:dyDescent="0.25">
      <c r="A206" s="21">
        <v>45955</v>
      </c>
      <c r="B206" s="21" t="b">
        <f ca="1">AND(SportClimbing[[#This Row],[Date]] &gt;= TODAY()-365, SportClimbing[[#This Row],[Date]] &lt;= TODAY())</f>
        <v>1</v>
      </c>
      <c r="C206">
        <v>25</v>
      </c>
      <c r="D206" t="s">
        <v>162</v>
      </c>
      <c r="E206">
        <v>2025</v>
      </c>
      <c r="F206" t="s">
        <v>521</v>
      </c>
      <c r="G206" t="s">
        <v>29</v>
      </c>
      <c r="H206" t="s">
        <v>313</v>
      </c>
      <c r="I206" t="s">
        <v>468</v>
      </c>
      <c r="J206" t="s">
        <v>523</v>
      </c>
      <c r="K206">
        <v>30</v>
      </c>
      <c r="L206" t="str">
        <f>IF(SportClimbing[[#This Row],[Height (m)]]&lt;11, "0-10", IF(SportClimbing[[#This Row],[Height (m)]]&lt;16, "11-15", IF(SportClimbing[[#This Row],[Height (m)]]&lt;21, "16-20", IF(SportClimbing[[#This Row],[Height (m)]]&lt;26, "21-25", IF(SportClimbing[[#This Row],[Height (m)]]&lt;31, "26-30", IF(SportClimbing[[#This Row],[Height (m)]]&lt;36, "31-35", "35+"))))))</f>
        <v>26-30</v>
      </c>
      <c r="M206" t="s">
        <v>469</v>
      </c>
      <c r="N206">
        <v>2</v>
      </c>
      <c r="O206">
        <f>IF(ISNUMBER(SportClimbing[[#This Row],[Total number of tries]])=TRUE, SportClimbing[[#This Row],[Total number of tries]], 1)</f>
        <v>2</v>
      </c>
      <c r="P206" t="str">
        <f>IF(ISNUMBER(SportClimbing[[#This Row],[Total number of tries]])=TRUE, "redpoint", SportClimbing[[#This Row],[Total number of tries]])</f>
        <v>redpoint</v>
      </c>
      <c r="Q206">
        <f>_xlfn.XLOOKUP(SportClimbing[[#This Row],[Grade]],SCORE[GRADE],SCORE[SCORE],,)</f>
        <v>25</v>
      </c>
    </row>
    <row r="207" spans="1:17" x14ac:dyDescent="0.25">
      <c r="A207" s="21">
        <v>45955</v>
      </c>
      <c r="B207" s="21" t="b">
        <f ca="1">AND(SportClimbing[[#This Row],[Date]] &gt;= TODAY()-365, SportClimbing[[#This Row],[Date]] &lt;= TODAY())</f>
        <v>1</v>
      </c>
      <c r="C207">
        <v>25</v>
      </c>
      <c r="D207" t="s">
        <v>162</v>
      </c>
      <c r="E207">
        <v>2025</v>
      </c>
      <c r="F207" t="s">
        <v>520</v>
      </c>
      <c r="G207" t="s">
        <v>3</v>
      </c>
      <c r="H207" t="s">
        <v>313</v>
      </c>
      <c r="I207" t="s">
        <v>468</v>
      </c>
      <c r="J207" t="s">
        <v>523</v>
      </c>
      <c r="K207">
        <v>30</v>
      </c>
      <c r="L207" t="str">
        <f>IF(SportClimbing[[#This Row],[Height (m)]]&lt;11, "0-10", IF(SportClimbing[[#This Row],[Height (m)]]&lt;16, "11-15", IF(SportClimbing[[#This Row],[Height (m)]]&lt;21, "16-20", IF(SportClimbing[[#This Row],[Height (m)]]&lt;26, "21-25", IF(SportClimbing[[#This Row],[Height (m)]]&lt;31, "26-30", IF(SportClimbing[[#This Row],[Height (m)]]&lt;36, "31-35", "35+"))))))</f>
        <v>26-30</v>
      </c>
      <c r="M207" t="s">
        <v>469</v>
      </c>
      <c r="N207" t="s">
        <v>130</v>
      </c>
      <c r="O207">
        <f>IF(ISNUMBER(SportClimbing[[#This Row],[Total number of tries]])=TRUE, SportClimbing[[#This Row],[Total number of tries]], 1)</f>
        <v>1</v>
      </c>
      <c r="P207" t="str">
        <f>IF(ISNUMBER(SportClimbing[[#This Row],[Total number of tries]])=TRUE, "redpoint", SportClimbing[[#This Row],[Total number of tries]])</f>
        <v>onsight</v>
      </c>
      <c r="Q207">
        <f>_xlfn.XLOOKUP(SportClimbing[[#This Row],[Grade]],SCORE[GRADE],SCORE[SCORE],,)</f>
        <v>10</v>
      </c>
    </row>
    <row r="208" spans="1:17" x14ac:dyDescent="0.25">
      <c r="A208" s="21">
        <v>45955</v>
      </c>
      <c r="B208" s="21" t="b">
        <f ca="1">AND(SportClimbing[[#This Row],[Date]] &gt;= TODAY()-365, SportClimbing[[#This Row],[Date]] &lt;= TODAY())</f>
        <v>1</v>
      </c>
      <c r="C208">
        <v>25</v>
      </c>
      <c r="D208" t="s">
        <v>162</v>
      </c>
      <c r="E208">
        <v>2025</v>
      </c>
      <c r="F208" t="s">
        <v>522</v>
      </c>
      <c r="G208" t="s">
        <v>3</v>
      </c>
      <c r="H208" t="s">
        <v>313</v>
      </c>
      <c r="I208" t="s">
        <v>468</v>
      </c>
      <c r="J208" t="s">
        <v>523</v>
      </c>
      <c r="K208">
        <v>30</v>
      </c>
      <c r="L208" t="str">
        <f>IF(SportClimbing[[#This Row],[Height (m)]]&lt;11, "0-10", IF(SportClimbing[[#This Row],[Height (m)]]&lt;16, "11-15", IF(SportClimbing[[#This Row],[Height (m)]]&lt;21, "16-20", IF(SportClimbing[[#This Row],[Height (m)]]&lt;26, "21-25", IF(SportClimbing[[#This Row],[Height (m)]]&lt;31, "26-30", IF(SportClimbing[[#This Row],[Height (m)]]&lt;36, "31-35", "35+"))))))</f>
        <v>26-30</v>
      </c>
      <c r="M208" t="s">
        <v>469</v>
      </c>
      <c r="N208">
        <v>2</v>
      </c>
      <c r="O208">
        <f>IF(ISNUMBER(SportClimbing[[#This Row],[Total number of tries]])=TRUE, SportClimbing[[#This Row],[Total number of tries]], 1)</f>
        <v>2</v>
      </c>
      <c r="P208" t="str">
        <f>IF(ISNUMBER(SportClimbing[[#This Row],[Total number of tries]])=TRUE, "redpoint", SportClimbing[[#This Row],[Total number of tries]])</f>
        <v>redpoint</v>
      </c>
      <c r="Q208">
        <f>_xlfn.XLOOKUP(SportClimbing[[#This Row],[Grade]],SCORE[GRADE],SCORE[SCORE],,)</f>
        <v>10</v>
      </c>
    </row>
    <row r="209" spans="1:17" x14ac:dyDescent="0.25">
      <c r="A209" s="21">
        <v>45961</v>
      </c>
      <c r="B209" s="21" t="b">
        <f ca="1">AND(SportClimbing[[#This Row],[Date]] &gt;= TODAY()-365, SportClimbing[[#This Row],[Date]] &lt;= TODAY())</f>
        <v>1</v>
      </c>
      <c r="C209">
        <v>31</v>
      </c>
      <c r="D209" t="s">
        <v>162</v>
      </c>
      <c r="E209">
        <v>2025</v>
      </c>
      <c r="F209" t="s">
        <v>525</v>
      </c>
      <c r="G209" t="s">
        <v>21</v>
      </c>
      <c r="H209" t="s">
        <v>313</v>
      </c>
      <c r="I209" t="s">
        <v>468</v>
      </c>
      <c r="J209" t="s">
        <v>533</v>
      </c>
      <c r="K209">
        <v>27</v>
      </c>
      <c r="L209" t="str">
        <f>IF(SportClimbing[[#This Row],[Height (m)]]&lt;11, "0-10", IF(SportClimbing[[#This Row],[Height (m)]]&lt;16, "11-15", IF(SportClimbing[[#This Row],[Height (m)]]&lt;21, "16-20", IF(SportClimbing[[#This Row],[Height (m)]]&lt;26, "21-25", IF(SportClimbing[[#This Row],[Height (m)]]&lt;31, "26-30", IF(SportClimbing[[#This Row],[Height (m)]]&lt;36, "31-35", "35+"))))))</f>
        <v>26-30</v>
      </c>
      <c r="M209" t="s">
        <v>469</v>
      </c>
      <c r="N209">
        <v>2</v>
      </c>
      <c r="O209">
        <f>IF(ISNUMBER(SportClimbing[[#This Row],[Total number of tries]])=TRUE, SportClimbing[[#This Row],[Total number of tries]], 1)</f>
        <v>2</v>
      </c>
      <c r="P209" t="str">
        <f>IF(ISNUMBER(SportClimbing[[#This Row],[Total number of tries]])=TRUE, "redpoint", SportClimbing[[#This Row],[Total number of tries]])</f>
        <v>redpoint</v>
      </c>
      <c r="Q209">
        <f>_xlfn.XLOOKUP(SportClimbing[[#This Row],[Grade]],SCORE[GRADE],SCORE[SCORE],,)</f>
        <v>15</v>
      </c>
    </row>
    <row r="210" spans="1:17" x14ac:dyDescent="0.25">
      <c r="A210" s="21">
        <v>45961</v>
      </c>
      <c r="B210" s="21" t="b">
        <f ca="1">AND(SportClimbing[[#This Row],[Date]] &gt;= TODAY()-365, SportClimbing[[#This Row],[Date]] &lt;= TODAY())</f>
        <v>1</v>
      </c>
      <c r="C210">
        <v>31</v>
      </c>
      <c r="D210" t="s">
        <v>162</v>
      </c>
      <c r="E210">
        <v>2025</v>
      </c>
      <c r="F210" t="s">
        <v>524</v>
      </c>
      <c r="G210" t="s">
        <v>3</v>
      </c>
      <c r="H210" t="s">
        <v>313</v>
      </c>
      <c r="I210" t="s">
        <v>468</v>
      </c>
      <c r="J210" t="s">
        <v>533</v>
      </c>
      <c r="K210">
        <v>25</v>
      </c>
      <c r="L210" t="str">
        <f>IF(SportClimbing[[#This Row],[Height (m)]]&lt;11, "0-10", IF(SportClimbing[[#This Row],[Height (m)]]&lt;16, "11-15", IF(SportClimbing[[#This Row],[Height (m)]]&lt;21, "16-20", IF(SportClimbing[[#This Row],[Height (m)]]&lt;26, "21-25", IF(SportClimbing[[#This Row],[Height (m)]]&lt;31, "26-30", IF(SportClimbing[[#This Row],[Height (m)]]&lt;36, "31-35", "35+"))))))</f>
        <v>21-25</v>
      </c>
      <c r="M210" t="s">
        <v>469</v>
      </c>
      <c r="N210">
        <v>2</v>
      </c>
      <c r="O210">
        <f>IF(ISNUMBER(SportClimbing[[#This Row],[Total number of tries]])=TRUE, SportClimbing[[#This Row],[Total number of tries]], 1)</f>
        <v>2</v>
      </c>
      <c r="P210" t="str">
        <f>IF(ISNUMBER(SportClimbing[[#This Row],[Total number of tries]])=TRUE, "redpoint", SportClimbing[[#This Row],[Total number of tries]])</f>
        <v>redpoint</v>
      </c>
      <c r="Q210">
        <f>_xlfn.XLOOKUP(SportClimbing[[#This Row],[Grade]],SCORE[GRADE],SCORE[SCORE],,)</f>
        <v>10</v>
      </c>
    </row>
    <row r="211" spans="1:17" x14ac:dyDescent="0.25">
      <c r="A211" s="21">
        <v>45998</v>
      </c>
      <c r="B211" s="21" t="b">
        <f ca="1">AND(SportClimbing[[#This Row],[Date]] &gt;= TODAY()-365, SportClimbing[[#This Row],[Date]] &lt;= TODAY())</f>
        <v>1</v>
      </c>
      <c r="C211">
        <v>7</v>
      </c>
      <c r="D211" t="s">
        <v>161</v>
      </c>
      <c r="E211">
        <v>2025</v>
      </c>
      <c r="F211" t="s">
        <v>534</v>
      </c>
      <c r="G211" t="s">
        <v>3</v>
      </c>
      <c r="H211" t="s">
        <v>313</v>
      </c>
      <c r="I211" t="s">
        <v>468</v>
      </c>
      <c r="J211" t="s">
        <v>527</v>
      </c>
      <c r="K211">
        <v>22</v>
      </c>
      <c r="L211" t="str">
        <f>IF(SportClimbing[[#This Row],[Height (m)]]&lt;11, "0-10", IF(SportClimbing[[#This Row],[Height (m)]]&lt;16, "11-15", IF(SportClimbing[[#This Row],[Height (m)]]&lt;21, "16-20", IF(SportClimbing[[#This Row],[Height (m)]]&lt;26, "21-25", IF(SportClimbing[[#This Row],[Height (m)]]&lt;31, "26-30", IF(SportClimbing[[#This Row],[Height (m)]]&lt;36, "31-35", "35+"))))))</f>
        <v>21-25</v>
      </c>
      <c r="M211" t="s">
        <v>469</v>
      </c>
      <c r="N211">
        <v>2</v>
      </c>
      <c r="O211">
        <f>IF(ISNUMBER(SportClimbing[[#This Row],[Total number of tries]])=TRUE, SportClimbing[[#This Row],[Total number of tries]], 1)</f>
        <v>2</v>
      </c>
      <c r="P211" t="str">
        <f>IF(ISNUMBER(SportClimbing[[#This Row],[Total number of tries]])=TRUE, "redpoint", SportClimbing[[#This Row],[Total number of tries]])</f>
        <v>redpoint</v>
      </c>
      <c r="Q211">
        <f>_xlfn.XLOOKUP(SportClimbing[[#This Row],[Grade]],SCORE[GRADE],SCORE[SCORE],,)</f>
        <v>10</v>
      </c>
    </row>
    <row r="212" spans="1:17" x14ac:dyDescent="0.25">
      <c r="A212" s="21">
        <v>46064</v>
      </c>
      <c r="B212" s="21" t="b">
        <f ca="1">AND(SportClimbing[[#This Row],[Date]] &gt;= TODAY()-365, SportClimbing[[#This Row],[Date]] &lt;= TODAY())</f>
        <v>1</v>
      </c>
      <c r="C212">
        <v>11</v>
      </c>
      <c r="D212" t="s">
        <v>152</v>
      </c>
      <c r="E212">
        <v>2026</v>
      </c>
      <c r="F212" t="s">
        <v>535</v>
      </c>
      <c r="G212" t="s">
        <v>3</v>
      </c>
      <c r="H212" t="s">
        <v>313</v>
      </c>
      <c r="I212" t="s">
        <v>468</v>
      </c>
      <c r="J212" t="s">
        <v>527</v>
      </c>
      <c r="K212">
        <v>25</v>
      </c>
      <c r="L212" t="str">
        <f>IF(SportClimbing[[#This Row],[Height (m)]]&lt;11, "0-10", IF(SportClimbing[[#This Row],[Height (m)]]&lt;16, "11-15", IF(SportClimbing[[#This Row],[Height (m)]]&lt;21, "16-20", IF(SportClimbing[[#This Row],[Height (m)]]&lt;26, "21-25", IF(SportClimbing[[#This Row],[Height (m)]]&lt;31, "26-30", IF(SportClimbing[[#This Row],[Height (m)]]&lt;36, "31-35", "35+"))))))</f>
        <v>21-25</v>
      </c>
      <c r="M212" t="s">
        <v>469</v>
      </c>
      <c r="N212">
        <v>2</v>
      </c>
      <c r="O212">
        <f>IF(ISNUMBER(SportClimbing[[#This Row],[Total number of tries]])=TRUE, SportClimbing[[#This Row],[Total number of tries]], 1)</f>
        <v>2</v>
      </c>
      <c r="P212" t="str">
        <f>IF(ISNUMBER(SportClimbing[[#This Row],[Total number of tries]])=TRUE, "redpoint", SportClimbing[[#This Row],[Total number of tries]])</f>
        <v>redpoint</v>
      </c>
      <c r="Q212">
        <f>_xlfn.XLOOKUP(SportClimbing[[#This Row],[Grade]],SCORE[GRADE],SCORE[SCORE],,)</f>
        <v>10</v>
      </c>
    </row>
    <row r="213" spans="1:17" x14ac:dyDescent="0.25">
      <c r="A213" s="21">
        <v>46066</v>
      </c>
      <c r="B213" s="21" t="b">
        <f ca="1">AND(SportClimbing[[#This Row],[Date]] &gt;= TODAY()-365, SportClimbing[[#This Row],[Date]] &lt;= TODAY())</f>
        <v>1</v>
      </c>
      <c r="C213">
        <v>13</v>
      </c>
      <c r="D213" t="s">
        <v>152</v>
      </c>
      <c r="E213">
        <v>2026</v>
      </c>
      <c r="F213" t="s">
        <v>536</v>
      </c>
      <c r="G213" t="s">
        <v>3</v>
      </c>
      <c r="H213" t="s">
        <v>313</v>
      </c>
      <c r="I213" t="s">
        <v>468</v>
      </c>
      <c r="J213" t="s">
        <v>527</v>
      </c>
      <c r="K213">
        <v>20</v>
      </c>
      <c r="L213" t="str">
        <f>IF(SportClimbing[[#This Row],[Height (m)]]&lt;11, "0-10", IF(SportClimbing[[#This Row],[Height (m)]]&lt;16, "11-15", IF(SportClimbing[[#This Row],[Height (m)]]&lt;21, "16-20", IF(SportClimbing[[#This Row],[Height (m)]]&lt;26, "21-25", IF(SportClimbing[[#This Row],[Height (m)]]&lt;31, "26-30", IF(SportClimbing[[#This Row],[Height (m)]]&lt;36, "31-35", "35+"))))))</f>
        <v>16-20</v>
      </c>
      <c r="M213" t="s">
        <v>469</v>
      </c>
      <c r="N213">
        <v>2</v>
      </c>
      <c r="O213">
        <f>IF(ISNUMBER(SportClimbing[[#This Row],[Total number of tries]])=TRUE, SportClimbing[[#This Row],[Total number of tries]], 1)</f>
        <v>2</v>
      </c>
      <c r="P213" t="str">
        <f>IF(ISNUMBER(SportClimbing[[#This Row],[Total number of tries]])=TRUE, "redpoint", SportClimbing[[#This Row],[Total number of tries]])</f>
        <v>redpoint</v>
      </c>
      <c r="Q213">
        <f>_xlfn.XLOOKUP(SportClimbing[[#This Row],[Grade]],SCORE[GRADE],SCORE[SCORE],,)</f>
        <v>10</v>
      </c>
    </row>
    <row r="214" spans="1:17" x14ac:dyDescent="0.25">
      <c r="A214" s="21">
        <v>46088</v>
      </c>
      <c r="B214" s="21" t="b">
        <f ca="1">AND(SportClimbing[[#This Row],[Date]] &gt;= TODAY()-365, SportClimbing[[#This Row],[Date]] &lt;= TODAY())</f>
        <v>1</v>
      </c>
      <c r="C214">
        <v>1</v>
      </c>
      <c r="D214" t="s">
        <v>367</v>
      </c>
      <c r="E214">
        <v>2026</v>
      </c>
      <c r="F214" t="s">
        <v>530</v>
      </c>
      <c r="G214" t="s">
        <v>32</v>
      </c>
      <c r="H214" t="s">
        <v>298</v>
      </c>
      <c r="I214" t="s">
        <v>306</v>
      </c>
      <c r="J214" t="s">
        <v>307</v>
      </c>
      <c r="K214">
        <v>15</v>
      </c>
      <c r="L214" t="str">
        <f>IF(SportClimbing[[#This Row],[Height (m)]]&lt;11, "0-10", IF(SportClimbing[[#This Row],[Height (m)]]&lt;16, "11-15", IF(SportClimbing[[#This Row],[Height (m)]]&lt;21, "16-20", IF(SportClimbing[[#This Row],[Height (m)]]&lt;26, "21-25", IF(SportClimbing[[#This Row],[Height (m)]]&lt;31, "26-30", IF(SportClimbing[[#This Row],[Height (m)]]&lt;36, "31-35", "35+"))))))</f>
        <v>11-15</v>
      </c>
      <c r="M214" t="s">
        <v>370</v>
      </c>
      <c r="N214">
        <v>5</v>
      </c>
      <c r="O214">
        <f>IF(ISNUMBER(SportClimbing[[#This Row],[Total number of tries]])=TRUE, SportClimbing[[#This Row],[Total number of tries]], 1)</f>
        <v>5</v>
      </c>
      <c r="P214" t="str">
        <f>IF(ISNUMBER(SportClimbing[[#This Row],[Total number of tries]])=TRUE, "redpoint", SportClimbing[[#This Row],[Total number of tries]])</f>
        <v>redpoint</v>
      </c>
      <c r="Q214">
        <f>_xlfn.XLOOKUP(SportClimbing[[#This Row],[Grade]],SCORE[GRADE],SCORE[SCORE],,)</f>
        <v>40</v>
      </c>
    </row>
    <row r="215" spans="1:17" x14ac:dyDescent="0.25">
      <c r="A215" s="21">
        <v>46103</v>
      </c>
      <c r="B215" s="21" t="b">
        <f ca="1">AND(SportClimbing[[#This Row],[Date]] &gt;= TODAY()-365, SportClimbing[[#This Row],[Date]] &lt;= TODAY())</f>
        <v>1</v>
      </c>
      <c r="C215">
        <v>22</v>
      </c>
      <c r="D215" t="s">
        <v>367</v>
      </c>
      <c r="E215">
        <v>2026</v>
      </c>
      <c r="F215" t="s">
        <v>531</v>
      </c>
      <c r="G215" t="s">
        <v>3</v>
      </c>
      <c r="H215" t="s">
        <v>298</v>
      </c>
      <c r="I215" t="s">
        <v>334</v>
      </c>
      <c r="J215" t="s">
        <v>487</v>
      </c>
      <c r="K215">
        <v>15</v>
      </c>
      <c r="L215" t="str">
        <f>IF(SportClimbing[[#This Row],[Height (m)]]&lt;11, "0-10", IF(SportClimbing[[#This Row],[Height (m)]]&lt;16, "11-15", IF(SportClimbing[[#This Row],[Height (m)]]&lt;21, "16-20", IF(SportClimbing[[#This Row],[Height (m)]]&lt;26, "21-25", IF(SportClimbing[[#This Row],[Height (m)]]&lt;31, "26-30", IF(SportClimbing[[#This Row],[Height (m)]]&lt;36, "31-35", "35+"))))))</f>
        <v>11-15</v>
      </c>
      <c r="M215" t="s">
        <v>435</v>
      </c>
      <c r="N215">
        <v>2</v>
      </c>
      <c r="O215">
        <f>IF(ISNUMBER(SportClimbing[[#This Row],[Total number of tries]])=TRUE, SportClimbing[[#This Row],[Total number of tries]], 1)</f>
        <v>2</v>
      </c>
      <c r="P215" t="str">
        <f>IF(ISNUMBER(SportClimbing[[#This Row],[Total number of tries]])=TRUE, "redpoint", SportClimbing[[#This Row],[Total number of tries]])</f>
        <v>redpoint</v>
      </c>
      <c r="Q215">
        <f>_xlfn.XLOOKUP(SportClimbing[[#This Row],[Grade]],SCORE[GRADE],SCORE[SCORE],,)</f>
        <v>10</v>
      </c>
    </row>
    <row r="216" spans="1:17" x14ac:dyDescent="0.25">
      <c r="A216" s="21">
        <v>46110</v>
      </c>
      <c r="B216" s="21" t="b">
        <f ca="1">AND(SportClimbing[[#This Row],[Date]] &gt;= TODAY()-365, SportClimbing[[#This Row],[Date]] &lt;= TODAY())</f>
        <v>1</v>
      </c>
      <c r="C216">
        <v>29</v>
      </c>
      <c r="D216" t="s">
        <v>367</v>
      </c>
      <c r="E216">
        <v>2026</v>
      </c>
      <c r="F216" t="s">
        <v>537</v>
      </c>
      <c r="G216" t="s">
        <v>29</v>
      </c>
      <c r="H216" t="s">
        <v>262</v>
      </c>
      <c r="I216" t="s">
        <v>43</v>
      </c>
      <c r="J216" t="s">
        <v>238</v>
      </c>
      <c r="K216">
        <v>25</v>
      </c>
      <c r="L216" t="str">
        <f>IF(SportClimbing[[#This Row],[Height (m)]]&lt;11, "0-10", IF(SportClimbing[[#This Row],[Height (m)]]&lt;16, "11-15", IF(SportClimbing[[#This Row],[Height (m)]]&lt;21, "16-20", IF(SportClimbing[[#This Row],[Height (m)]]&lt;26, "21-25", IF(SportClimbing[[#This Row],[Height (m)]]&lt;31, "26-30", IF(SportClimbing[[#This Row],[Height (m)]]&lt;36, "31-35", "35+"))))))</f>
        <v>21-25</v>
      </c>
      <c r="M216" t="s">
        <v>469</v>
      </c>
      <c r="N216">
        <v>2</v>
      </c>
      <c r="O216">
        <f>IF(ISNUMBER(SportClimbing[[#This Row],[Total number of tries]])=TRUE, SportClimbing[[#This Row],[Total number of tries]], 1)</f>
        <v>2</v>
      </c>
      <c r="P216" t="str">
        <f>IF(ISNUMBER(SportClimbing[[#This Row],[Total number of tries]])=TRUE, "redpoint", SportClimbing[[#This Row],[Total number of tries]])</f>
        <v>redpoint</v>
      </c>
      <c r="Q216">
        <f>_xlfn.XLOOKUP(SportClimbing[[#This Row],[Grade]],SCORE[GRADE],SCORE[SCORE],,)</f>
        <v>25</v>
      </c>
    </row>
    <row r="217" spans="1:17" x14ac:dyDescent="0.25">
      <c r="A217" s="21">
        <v>46111</v>
      </c>
      <c r="B217" s="21" t="b">
        <f ca="1">AND(SportClimbing[[#This Row],[Date]] &gt;= TODAY()-365, SportClimbing[[#This Row],[Date]] &lt;= TODAY())</f>
        <v>1</v>
      </c>
      <c r="C217">
        <v>30</v>
      </c>
      <c r="D217" t="s">
        <v>367</v>
      </c>
      <c r="E217">
        <v>2026</v>
      </c>
      <c r="F217" t="s">
        <v>539</v>
      </c>
      <c r="G217" t="s">
        <v>3</v>
      </c>
      <c r="H217" t="s">
        <v>262</v>
      </c>
      <c r="I217" t="s">
        <v>43</v>
      </c>
      <c r="J217" t="s">
        <v>63</v>
      </c>
      <c r="K217">
        <v>20</v>
      </c>
      <c r="L217" t="str">
        <f>IF(SportClimbing[[#This Row],[Height (m)]]&lt;11, "0-10", IF(SportClimbing[[#This Row],[Height (m)]]&lt;16, "11-15", IF(SportClimbing[[#This Row],[Height (m)]]&lt;21, "16-20", IF(SportClimbing[[#This Row],[Height (m)]]&lt;26, "21-25", IF(SportClimbing[[#This Row],[Height (m)]]&lt;31, "26-30", IF(SportClimbing[[#This Row],[Height (m)]]&lt;36, "31-35", "35+"))))))</f>
        <v>16-20</v>
      </c>
      <c r="M217" t="s">
        <v>469</v>
      </c>
      <c r="N217" t="s">
        <v>130</v>
      </c>
      <c r="O217">
        <f>IF(ISNUMBER(SportClimbing[[#This Row],[Total number of tries]])=TRUE, SportClimbing[[#This Row],[Total number of tries]], 1)</f>
        <v>1</v>
      </c>
      <c r="P217" t="str">
        <f>IF(ISNUMBER(SportClimbing[[#This Row],[Total number of tries]])=TRUE, "redpoint", SportClimbing[[#This Row],[Total number of tries]])</f>
        <v>onsight</v>
      </c>
      <c r="Q217">
        <f>_xlfn.XLOOKUP(SportClimbing[[#This Row],[Grade]],SCORE[GRADE],SCORE[SCORE],,)</f>
        <v>10</v>
      </c>
    </row>
    <row r="218" spans="1:17" x14ac:dyDescent="0.25">
      <c r="A218" s="21">
        <v>46111</v>
      </c>
      <c r="B218" s="21" t="b">
        <f ca="1">AND(SportClimbing[[#This Row],[Date]] &gt;= TODAY()-365, SportClimbing[[#This Row],[Date]] &lt;= TODAY())</f>
        <v>1</v>
      </c>
      <c r="C218">
        <v>30</v>
      </c>
      <c r="D218" t="s">
        <v>367</v>
      </c>
      <c r="E218">
        <v>2026</v>
      </c>
      <c r="F218" t="s">
        <v>538</v>
      </c>
      <c r="G218" t="s">
        <v>3</v>
      </c>
      <c r="H218" t="s">
        <v>262</v>
      </c>
      <c r="I218" t="s">
        <v>43</v>
      </c>
      <c r="J218" t="s">
        <v>63</v>
      </c>
      <c r="K218">
        <v>10</v>
      </c>
      <c r="L218" t="str">
        <f>IF(SportClimbing[[#This Row],[Height (m)]]&lt;11, "0-10", IF(SportClimbing[[#This Row],[Height (m)]]&lt;16, "11-15", IF(SportClimbing[[#This Row],[Height (m)]]&lt;21, "16-20", IF(SportClimbing[[#This Row],[Height (m)]]&lt;26, "21-25", IF(SportClimbing[[#This Row],[Height (m)]]&lt;31, "26-30", IF(SportClimbing[[#This Row],[Height (m)]]&lt;36, "31-35", "35+"))))))</f>
        <v>0-10</v>
      </c>
      <c r="M218" t="s">
        <v>469</v>
      </c>
      <c r="N218">
        <v>2</v>
      </c>
      <c r="O218">
        <f>IF(ISNUMBER(SportClimbing[[#This Row],[Total number of tries]])=TRUE, SportClimbing[[#This Row],[Total number of tries]], 1)</f>
        <v>2</v>
      </c>
      <c r="P218" t="str">
        <f>IF(ISNUMBER(SportClimbing[[#This Row],[Total number of tries]])=TRUE, "redpoint", SportClimbing[[#This Row],[Total number of tries]])</f>
        <v>redpoint</v>
      </c>
      <c r="Q218">
        <f>_xlfn.XLOOKUP(SportClimbing[[#This Row],[Grade]],SCORE[GRADE],SCORE[SCORE],,)</f>
        <v>10</v>
      </c>
    </row>
    <row r="219" spans="1:17" x14ac:dyDescent="0.25">
      <c r="A219" s="21">
        <v>46112</v>
      </c>
      <c r="B219" s="21" t="b">
        <f ca="1">AND(SportClimbing[[#This Row],[Date]] &gt;= TODAY()-365, SportClimbing[[#This Row],[Date]] &lt;= TODAY())</f>
        <v>1</v>
      </c>
      <c r="C219">
        <v>31</v>
      </c>
      <c r="D219" t="s">
        <v>367</v>
      </c>
      <c r="E219">
        <v>2026</v>
      </c>
      <c r="F219" t="s">
        <v>540</v>
      </c>
      <c r="G219" t="s">
        <v>21</v>
      </c>
      <c r="H219" t="s">
        <v>262</v>
      </c>
      <c r="I219" t="s">
        <v>43</v>
      </c>
      <c r="J219" t="s">
        <v>93</v>
      </c>
      <c r="K219">
        <v>30</v>
      </c>
      <c r="L219" t="str">
        <f>IF(SportClimbing[[#This Row],[Height (m)]]&lt;11, "0-10", IF(SportClimbing[[#This Row],[Height (m)]]&lt;16, "11-15", IF(SportClimbing[[#This Row],[Height (m)]]&lt;21, "16-20", IF(SportClimbing[[#This Row],[Height (m)]]&lt;26, "21-25", IF(SportClimbing[[#This Row],[Height (m)]]&lt;31, "26-30", IF(SportClimbing[[#This Row],[Height (m)]]&lt;36, "31-35", "35+"))))))</f>
        <v>26-30</v>
      </c>
      <c r="M219" t="s">
        <v>469</v>
      </c>
      <c r="N219">
        <v>3</v>
      </c>
      <c r="O219">
        <f>IF(ISNUMBER(SportClimbing[[#This Row],[Total number of tries]])=TRUE, SportClimbing[[#This Row],[Total number of tries]], 1)</f>
        <v>3</v>
      </c>
      <c r="P219" t="str">
        <f>IF(ISNUMBER(SportClimbing[[#This Row],[Total number of tries]])=TRUE, "redpoint", SportClimbing[[#This Row],[Total number of tries]])</f>
        <v>redpoint</v>
      </c>
      <c r="Q219">
        <f>_xlfn.XLOOKUP(SportClimbing[[#This Row],[Grade]],SCORE[GRADE],SCORE[SCORE],,)</f>
        <v>15</v>
      </c>
    </row>
    <row r="220" spans="1:17" x14ac:dyDescent="0.25">
      <c r="A220" s="21">
        <v>46114</v>
      </c>
      <c r="B220" s="21" t="b">
        <f ca="1">AND(SportClimbing[[#This Row],[Date]] &gt;= TODAY()-365, SportClimbing[[#This Row],[Date]] &lt;= TODAY())</f>
        <v>1</v>
      </c>
      <c r="C220">
        <v>2</v>
      </c>
      <c r="D220" t="s">
        <v>368</v>
      </c>
      <c r="E220">
        <v>2026</v>
      </c>
      <c r="F220" t="s">
        <v>541</v>
      </c>
      <c r="G220" t="s">
        <v>29</v>
      </c>
      <c r="H220" t="s">
        <v>262</v>
      </c>
      <c r="I220" t="s">
        <v>43</v>
      </c>
      <c r="J220" t="s">
        <v>315</v>
      </c>
      <c r="K220">
        <v>25</v>
      </c>
      <c r="L220" t="str">
        <f>IF(SportClimbing[[#This Row],[Height (m)]]&lt;11, "0-10", IF(SportClimbing[[#This Row],[Height (m)]]&lt;16, "11-15", IF(SportClimbing[[#This Row],[Height (m)]]&lt;21, "16-20", IF(SportClimbing[[#This Row],[Height (m)]]&lt;26, "21-25", IF(SportClimbing[[#This Row],[Height (m)]]&lt;31, "26-30", IF(SportClimbing[[#This Row],[Height (m)]]&lt;36, "31-35", "35+"))))))</f>
        <v>21-25</v>
      </c>
      <c r="M220" t="s">
        <v>469</v>
      </c>
      <c r="N220" t="s">
        <v>130</v>
      </c>
      <c r="O220">
        <f>IF(ISNUMBER(SportClimbing[[#This Row],[Total number of tries]])=TRUE, SportClimbing[[#This Row],[Total number of tries]], 1)</f>
        <v>1</v>
      </c>
      <c r="P220" t="str">
        <f>IF(ISNUMBER(SportClimbing[[#This Row],[Total number of tries]])=TRUE, "redpoint", SportClimbing[[#This Row],[Total number of tries]])</f>
        <v>onsight</v>
      </c>
      <c r="Q220">
        <f>_xlfn.XLOOKUP(SportClimbing[[#This Row],[Grade]],SCORE[GRADE],SCORE[SCORE],,)</f>
        <v>25</v>
      </c>
    </row>
    <row r="221" spans="1:17" x14ac:dyDescent="0.25">
      <c r="A221" s="21">
        <v>46114</v>
      </c>
      <c r="B221" s="21" t="b">
        <f ca="1">AND(SportClimbing[[#This Row],[Date]] &gt;= TODAY()-365, SportClimbing[[#This Row],[Date]] &lt;= TODAY())</f>
        <v>1</v>
      </c>
      <c r="C221">
        <v>2</v>
      </c>
      <c r="D221" t="s">
        <v>368</v>
      </c>
      <c r="E221">
        <v>2026</v>
      </c>
      <c r="F221" t="s">
        <v>542</v>
      </c>
      <c r="G221" t="s">
        <v>21</v>
      </c>
      <c r="H221" t="s">
        <v>262</v>
      </c>
      <c r="I221" t="s">
        <v>43</v>
      </c>
      <c r="J221" t="s">
        <v>315</v>
      </c>
      <c r="K221">
        <v>18</v>
      </c>
      <c r="L221" t="str">
        <f>IF(SportClimbing[[#This Row],[Height (m)]]&lt;11, "0-10", IF(SportClimbing[[#This Row],[Height (m)]]&lt;16, "11-15", IF(SportClimbing[[#This Row],[Height (m)]]&lt;21, "16-20", IF(SportClimbing[[#This Row],[Height (m)]]&lt;26, "21-25", IF(SportClimbing[[#This Row],[Height (m)]]&lt;31, "26-30", IF(SportClimbing[[#This Row],[Height (m)]]&lt;36, "31-35", "35+"))))))</f>
        <v>16-20</v>
      </c>
      <c r="M221" t="s">
        <v>469</v>
      </c>
      <c r="N221">
        <v>2</v>
      </c>
      <c r="O221">
        <f>IF(ISNUMBER(SportClimbing[[#This Row],[Total number of tries]])=TRUE, SportClimbing[[#This Row],[Total number of tries]], 1)</f>
        <v>2</v>
      </c>
      <c r="P221" t="str">
        <f>IF(ISNUMBER(SportClimbing[[#This Row],[Total number of tries]])=TRUE, "redpoint", SportClimbing[[#This Row],[Total number of tries]])</f>
        <v>redpoint</v>
      </c>
      <c r="Q221">
        <f>_xlfn.XLOOKUP(SportClimbing[[#This Row],[Grade]],SCORE[GRADE],SCORE[SCORE],,)</f>
        <v>15</v>
      </c>
    </row>
    <row r="222" spans="1:17" x14ac:dyDescent="0.25">
      <c r="A222" s="21">
        <v>46114</v>
      </c>
      <c r="B222" s="21" t="b">
        <f ca="1">AND(SportClimbing[[#This Row],[Date]] &gt;= TODAY()-365, SportClimbing[[#This Row],[Date]] &lt;= TODAY())</f>
        <v>1</v>
      </c>
      <c r="C222">
        <v>2</v>
      </c>
      <c r="D222" t="s">
        <v>368</v>
      </c>
      <c r="E222">
        <v>2026</v>
      </c>
      <c r="F222" t="s">
        <v>543</v>
      </c>
      <c r="G222" t="s">
        <v>21</v>
      </c>
      <c r="H222" t="s">
        <v>262</v>
      </c>
      <c r="I222" t="s">
        <v>43</v>
      </c>
      <c r="J222" t="s">
        <v>315</v>
      </c>
      <c r="K222">
        <v>28</v>
      </c>
      <c r="L222" t="str">
        <f>IF(SportClimbing[[#This Row],[Height (m)]]&lt;11, "0-10", IF(SportClimbing[[#This Row],[Height (m)]]&lt;16, "11-15", IF(SportClimbing[[#This Row],[Height (m)]]&lt;21, "16-20", IF(SportClimbing[[#This Row],[Height (m)]]&lt;26, "21-25", IF(SportClimbing[[#This Row],[Height (m)]]&lt;31, "26-30", IF(SportClimbing[[#This Row],[Height (m)]]&lt;36, "31-35", "35+"))))))</f>
        <v>26-30</v>
      </c>
      <c r="M222" t="s">
        <v>469</v>
      </c>
      <c r="N222" t="s">
        <v>130</v>
      </c>
      <c r="O222">
        <f>IF(ISNUMBER(SportClimbing[[#This Row],[Total number of tries]])=TRUE, SportClimbing[[#This Row],[Total number of tries]], 1)</f>
        <v>1</v>
      </c>
      <c r="P222" t="str">
        <f>IF(ISNUMBER(SportClimbing[[#This Row],[Total number of tries]])=TRUE, "redpoint", SportClimbing[[#This Row],[Total number of tries]])</f>
        <v>onsight</v>
      </c>
      <c r="Q222">
        <f>_xlfn.XLOOKUP(SportClimbing[[#This Row],[Grade]],SCORE[GRADE],SCORE[SCORE],,)</f>
        <v>15</v>
      </c>
    </row>
    <row r="223" spans="1:17" x14ac:dyDescent="0.25">
      <c r="A223" s="21">
        <v>46115</v>
      </c>
      <c r="B223" s="21" t="b">
        <f ca="1">AND(SportClimbing[[#This Row],[Date]] &gt;= TODAY()-365, SportClimbing[[#This Row],[Date]] &lt;= TODAY())</f>
        <v>1</v>
      </c>
      <c r="C223">
        <v>3</v>
      </c>
      <c r="D223" t="s">
        <v>368</v>
      </c>
      <c r="E223">
        <v>2026</v>
      </c>
      <c r="F223" t="s">
        <v>544</v>
      </c>
      <c r="G223" t="s">
        <v>29</v>
      </c>
      <c r="H223" t="s">
        <v>262</v>
      </c>
      <c r="I223" t="s">
        <v>43</v>
      </c>
      <c r="J223" t="s">
        <v>226</v>
      </c>
      <c r="K223">
        <v>25</v>
      </c>
      <c r="L223" t="str">
        <f>IF(SportClimbing[[#This Row],[Height (m)]]&lt;11, "0-10", IF(SportClimbing[[#This Row],[Height (m)]]&lt;16, "11-15", IF(SportClimbing[[#This Row],[Height (m)]]&lt;21, "16-20", IF(SportClimbing[[#This Row],[Height (m)]]&lt;26, "21-25", IF(SportClimbing[[#This Row],[Height (m)]]&lt;31, "26-30", IF(SportClimbing[[#This Row],[Height (m)]]&lt;36, "31-35", "35+"))))))</f>
        <v>21-25</v>
      </c>
      <c r="M223" t="s">
        <v>469</v>
      </c>
      <c r="N223">
        <v>2</v>
      </c>
      <c r="O223">
        <f>IF(ISNUMBER(SportClimbing[[#This Row],[Total number of tries]])=TRUE, SportClimbing[[#This Row],[Total number of tries]], 1)</f>
        <v>2</v>
      </c>
      <c r="P223" t="str">
        <f>IF(ISNUMBER(SportClimbing[[#This Row],[Total number of tries]])=TRUE, "redpoint", SportClimbing[[#This Row],[Total number of tries]])</f>
        <v>redpoint</v>
      </c>
      <c r="Q223">
        <f>_xlfn.XLOOKUP(SportClimbing[[#This Row],[Grade]],SCORE[GRADE],SCORE[SCORE],,)</f>
        <v>25</v>
      </c>
    </row>
    <row r="224" spans="1:17" x14ac:dyDescent="0.25">
      <c r="A224" s="21">
        <v>46116</v>
      </c>
      <c r="B224" s="21" t="b">
        <f ca="1">AND(SportClimbing[[#This Row],[Date]] &gt;= TODAY()-365, SportClimbing[[#This Row],[Date]] &lt;= TODAY())</f>
        <v>1</v>
      </c>
      <c r="C224">
        <v>4</v>
      </c>
      <c r="D224" t="s">
        <v>368</v>
      </c>
      <c r="E224">
        <v>2026</v>
      </c>
      <c r="F224" t="s">
        <v>545</v>
      </c>
      <c r="G224" t="s">
        <v>3</v>
      </c>
      <c r="H224" t="s">
        <v>262</v>
      </c>
      <c r="I224" t="s">
        <v>43</v>
      </c>
      <c r="J224" t="s">
        <v>206</v>
      </c>
      <c r="K224">
        <v>18</v>
      </c>
      <c r="L224" t="str">
        <f>IF(SportClimbing[[#This Row],[Height (m)]]&lt;11, "0-10", IF(SportClimbing[[#This Row],[Height (m)]]&lt;16, "11-15", IF(SportClimbing[[#This Row],[Height (m)]]&lt;21, "16-20", IF(SportClimbing[[#This Row],[Height (m)]]&lt;26, "21-25", IF(SportClimbing[[#This Row],[Height (m)]]&lt;31, "26-30", IF(SportClimbing[[#This Row],[Height (m)]]&lt;36, "31-35", "35+"))))))</f>
        <v>16-20</v>
      </c>
      <c r="M224" t="s">
        <v>132</v>
      </c>
      <c r="N224" t="s">
        <v>130</v>
      </c>
      <c r="O224">
        <f>IF(ISNUMBER(SportClimbing[[#This Row],[Total number of tries]])=TRUE, SportClimbing[[#This Row],[Total number of tries]], 1)</f>
        <v>1</v>
      </c>
      <c r="P224" t="str">
        <f>IF(ISNUMBER(SportClimbing[[#This Row],[Total number of tries]])=TRUE, "redpoint", SportClimbing[[#This Row],[Total number of tries]])</f>
        <v>onsight</v>
      </c>
      <c r="Q224">
        <f>_xlfn.XLOOKUP(SportClimbing[[#This Row],[Grade]],SCORE[GRADE],SCORE[SCORE],,)</f>
        <v>10</v>
      </c>
    </row>
    <row r="225" spans="1:17" x14ac:dyDescent="0.25">
      <c r="A225" s="21">
        <v>46143</v>
      </c>
      <c r="B225" s="33" t="b">
        <f ca="1">AND(SportClimbing[[#This Row],[Date]] &gt;= TODAY()-365, SportClimbing[[#This Row],[Date]] &lt;= TODAY())</f>
        <v>1</v>
      </c>
      <c r="C225" s="34">
        <v>1</v>
      </c>
      <c r="D225" s="34" t="s">
        <v>155</v>
      </c>
      <c r="E225">
        <v>2026</v>
      </c>
      <c r="F225" s="34" t="s">
        <v>548</v>
      </c>
      <c r="G225" s="34" t="s">
        <v>3</v>
      </c>
      <c r="H225" s="34" t="s">
        <v>313</v>
      </c>
      <c r="I225" s="34" t="s">
        <v>468</v>
      </c>
      <c r="J225" s="34" t="s">
        <v>549</v>
      </c>
      <c r="K225" s="34">
        <v>25</v>
      </c>
      <c r="L225" s="35" t="str">
        <f>IF(SportClimbing[[#This Row],[Height (m)]]&lt;11, "0-10", IF(SportClimbing[[#This Row],[Height (m)]]&lt;16, "11-15", IF(SportClimbing[[#This Row],[Height (m)]]&lt;21, "16-20", IF(SportClimbing[[#This Row],[Height (m)]]&lt;26, "21-25", IF(SportClimbing[[#This Row],[Height (m)]]&lt;31, "26-30", IF(SportClimbing[[#This Row],[Height (m)]]&lt;36, "31-35", "35+"))))))</f>
        <v>21-25</v>
      </c>
      <c r="M225" t="s">
        <v>469</v>
      </c>
      <c r="N225" t="s">
        <v>130</v>
      </c>
      <c r="O225" s="35">
        <f>IF(ISNUMBER(SportClimbing[[#This Row],[Total number of tries]])=TRUE, SportClimbing[[#This Row],[Total number of tries]], 1)</f>
        <v>1</v>
      </c>
      <c r="P225" s="35" t="str">
        <f>IF(ISNUMBER(SportClimbing[[#This Row],[Total number of tries]])=TRUE, "redpoint", SportClimbing[[#This Row],[Total number of tries]])</f>
        <v>onsight</v>
      </c>
      <c r="Q225" s="35">
        <f>_xlfn.XLOOKUP(SportClimbing[[#This Row],[Grade]],SCORE[GRADE],SCORE[SCORE],,)</f>
        <v>10</v>
      </c>
    </row>
    <row r="226" spans="1:17" x14ac:dyDescent="0.25">
      <c r="A226" s="33">
        <v>46143</v>
      </c>
      <c r="B226" s="33" t="b">
        <f ca="1">AND(SportClimbing[[#This Row],[Date]] &gt;= TODAY()-365, SportClimbing[[#This Row],[Date]] &lt;= TODAY())</f>
        <v>1</v>
      </c>
      <c r="C226" s="34">
        <v>1</v>
      </c>
      <c r="D226" s="34" t="s">
        <v>155</v>
      </c>
      <c r="E226">
        <v>2026</v>
      </c>
      <c r="F226" s="34" t="s">
        <v>546</v>
      </c>
      <c r="G226" s="34" t="s">
        <v>29</v>
      </c>
      <c r="H226" s="34" t="s">
        <v>313</v>
      </c>
      <c r="I226" s="34" t="s">
        <v>468</v>
      </c>
      <c r="J226" s="34" t="s">
        <v>549</v>
      </c>
      <c r="K226" s="34">
        <v>20</v>
      </c>
      <c r="L226" s="35" t="str">
        <f>IF(SportClimbing[[#This Row],[Height (m)]]&lt;11, "0-10", IF(SportClimbing[[#This Row],[Height (m)]]&lt;16, "11-15", IF(SportClimbing[[#This Row],[Height (m)]]&lt;21, "16-20", IF(SportClimbing[[#This Row],[Height (m)]]&lt;26, "21-25", IF(SportClimbing[[#This Row],[Height (m)]]&lt;31, "26-30", IF(SportClimbing[[#This Row],[Height (m)]]&lt;36, "31-35", "35+"))))))</f>
        <v>16-20</v>
      </c>
      <c r="M226" t="s">
        <v>469</v>
      </c>
      <c r="N226" s="34">
        <v>3</v>
      </c>
      <c r="O226" s="35">
        <f>IF(ISNUMBER(SportClimbing[[#This Row],[Total number of tries]])=TRUE, SportClimbing[[#This Row],[Total number of tries]], 1)</f>
        <v>3</v>
      </c>
      <c r="P226" s="35" t="str">
        <f>IF(ISNUMBER(SportClimbing[[#This Row],[Total number of tries]])=TRUE, "redpoint", SportClimbing[[#This Row],[Total number of tries]])</f>
        <v>redpoint</v>
      </c>
      <c r="Q226" s="35">
        <f>_xlfn.XLOOKUP(SportClimbing[[#This Row],[Grade]],SCORE[GRADE],SCORE[SCORE],,)</f>
        <v>25</v>
      </c>
    </row>
    <row r="227" spans="1:17" x14ac:dyDescent="0.25">
      <c r="A227" s="33">
        <v>46115</v>
      </c>
      <c r="B227" s="33" t="b">
        <f ca="1">AND(SportClimbing[[#This Row],[Date]] &gt;= TODAY()-365, SportClimbing[[#This Row],[Date]] &lt;= TODAY())</f>
        <v>1</v>
      </c>
      <c r="C227" s="34">
        <v>3</v>
      </c>
      <c r="D227" s="34" t="s">
        <v>155</v>
      </c>
      <c r="E227">
        <v>2026</v>
      </c>
      <c r="F227" s="34" t="s">
        <v>547</v>
      </c>
      <c r="G227" s="34" t="s">
        <v>3</v>
      </c>
      <c r="H227" s="34" t="s">
        <v>313</v>
      </c>
      <c r="I227" s="34" t="s">
        <v>468</v>
      </c>
      <c r="J227" s="34" t="s">
        <v>515</v>
      </c>
      <c r="K227" s="34">
        <v>18</v>
      </c>
      <c r="L227" s="35" t="str">
        <f>IF(SportClimbing[[#This Row],[Height (m)]]&lt;11, "0-10", IF(SportClimbing[[#This Row],[Height (m)]]&lt;16, "11-15", IF(SportClimbing[[#This Row],[Height (m)]]&lt;21, "16-20", IF(SportClimbing[[#This Row],[Height (m)]]&lt;26, "21-25", IF(SportClimbing[[#This Row],[Height (m)]]&lt;31, "26-30", IF(SportClimbing[[#This Row],[Height (m)]]&lt;36, "31-35", "35+"))))))</f>
        <v>16-20</v>
      </c>
      <c r="M227" t="s">
        <v>469</v>
      </c>
      <c r="N227" s="34">
        <v>2</v>
      </c>
      <c r="O227" s="35">
        <f>IF(ISNUMBER(SportClimbing[[#This Row],[Total number of tries]])=TRUE, SportClimbing[[#This Row],[Total number of tries]], 1)</f>
        <v>2</v>
      </c>
      <c r="P227" s="35" t="str">
        <f>IF(ISNUMBER(SportClimbing[[#This Row],[Total number of tries]])=TRUE, "redpoint", SportClimbing[[#This Row],[Total number of tries]])</f>
        <v>redpoint</v>
      </c>
      <c r="Q227" s="35">
        <f>_xlfn.XLOOKUP(SportClimbing[[#This Row],[Grade]],SCORE[GRADE],SCORE[SCORE],,)</f>
        <v>10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E5B40-F163-49B0-B208-8FE9E6886035}">
  <sheetPr codeName="Sheet2">
    <tabColor rgb="FF00B0F0"/>
    <pageSetUpPr fitToPage="1"/>
  </sheetPr>
  <dimension ref="A1:A4"/>
  <sheetViews>
    <sheetView showGridLines="0" tabSelected="1" zoomScale="115" zoomScaleNormal="115" workbookViewId="0">
      <selection activeCell="A5" sqref="A5"/>
    </sheetView>
  </sheetViews>
  <sheetFormatPr defaultColWidth="9.21875" defaultRowHeight="13.2" x14ac:dyDescent="0.25"/>
  <cols>
    <col min="1" max="1" width="6" style="3" customWidth="1"/>
    <col min="2" max="16384" width="9.21875" style="3"/>
  </cols>
  <sheetData>
    <row r="1" s="14" customFormat="1" x14ac:dyDescent="0.25"/>
    <row r="2" s="14" customFormat="1" x14ac:dyDescent="0.25"/>
    <row r="3" s="14" customFormat="1" x14ac:dyDescent="0.25"/>
    <row r="4" s="14" customFormat="1" x14ac:dyDescent="0.25"/>
  </sheetData>
  <pageMargins left="0.25" right="0.25" top="0.75" bottom="0.75" header="0.3" footer="0.3"/>
  <pageSetup paperSize="8" scale="85"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2933-BCCC-41BA-ADF6-9C9561906489}">
  <sheetPr codeName="Sheet3">
    <tabColor theme="7" tint="0.59999389629810485"/>
  </sheetPr>
  <dimension ref="A2:AN139"/>
  <sheetViews>
    <sheetView workbookViewId="0">
      <selection activeCell="B5" sqref="B5"/>
    </sheetView>
  </sheetViews>
  <sheetFormatPr defaultRowHeight="13.2" x14ac:dyDescent="0.25"/>
  <cols>
    <col min="1" max="1" width="13.33203125" bestFit="1" customWidth="1"/>
    <col min="2" max="2" width="27.88671875" bestFit="1" customWidth="1"/>
    <col min="3" max="3" width="7.5546875" bestFit="1" customWidth="1"/>
    <col min="4" max="4" width="8.33203125" bestFit="1" customWidth="1"/>
    <col min="5" max="5" width="8.5546875" customWidth="1"/>
    <col min="6" max="6" width="13.33203125" bestFit="1" customWidth="1"/>
    <col min="7" max="7" width="16" bestFit="1" customWidth="1"/>
    <col min="8" max="8" width="4.21875" customWidth="1"/>
    <col min="9" max="9" width="27" bestFit="1" customWidth="1"/>
    <col min="10" max="10" width="14.33203125" bestFit="1" customWidth="1"/>
    <col min="11" max="11" width="2.44140625" customWidth="1"/>
    <col min="12" max="12" width="13.33203125" bestFit="1" customWidth="1"/>
    <col min="13" max="13" width="17.33203125" bestFit="1" customWidth="1"/>
    <col min="14" max="14" width="4.77734375" customWidth="1"/>
    <col min="15" max="15" width="13.33203125" bestFit="1" customWidth="1"/>
    <col min="16" max="16" width="16.77734375" bestFit="1" customWidth="1"/>
    <col min="17" max="17" width="2.77734375" customWidth="1"/>
    <col min="18" max="18" width="13.33203125" bestFit="1" customWidth="1"/>
    <col min="19" max="19" width="17" bestFit="1" customWidth="1"/>
    <col min="20" max="20" width="4.77734375" customWidth="1"/>
    <col min="21" max="21" width="13.33203125" bestFit="1" customWidth="1"/>
    <col min="22" max="22" width="14" bestFit="1" customWidth="1"/>
    <col min="23" max="23" width="13.44140625" bestFit="1" customWidth="1"/>
    <col min="24" max="25" width="8.77734375" customWidth="1"/>
    <col min="26" max="26" width="4.77734375" customWidth="1"/>
    <col min="27" max="27" width="31.109375" bestFit="1" customWidth="1"/>
    <col min="28" max="28" width="7.109375" bestFit="1" customWidth="1"/>
    <col min="29" max="33" width="5.6640625" bestFit="1" customWidth="1"/>
    <col min="34" max="34" width="4.109375" bestFit="1" customWidth="1"/>
    <col min="35" max="35" width="5.33203125" bestFit="1" customWidth="1"/>
    <col min="36" max="37" width="8" bestFit="1" customWidth="1"/>
    <col min="38" max="38" width="13.33203125" bestFit="1" customWidth="1"/>
    <col min="39" max="39" width="15.77734375" bestFit="1" customWidth="1"/>
    <col min="40" max="40" width="5" bestFit="1" customWidth="1"/>
    <col min="41" max="42" width="8" bestFit="1" customWidth="1"/>
    <col min="43" max="43" width="8.21875" bestFit="1" customWidth="1"/>
    <col min="44" max="49" width="8" bestFit="1" customWidth="1"/>
    <col min="50" max="50" width="9.44140625" bestFit="1" customWidth="1"/>
    <col min="51" max="52" width="8" bestFit="1" customWidth="1"/>
    <col min="53" max="53" width="8.21875" bestFit="1" customWidth="1"/>
    <col min="54" max="54" width="8" bestFit="1" customWidth="1"/>
    <col min="55" max="55" width="9.21875" bestFit="1" customWidth="1"/>
    <col min="56" max="56" width="11.77734375" bestFit="1" customWidth="1"/>
  </cols>
  <sheetData>
    <row r="2" spans="1:40" s="11" customFormat="1" ht="15.6" x14ac:dyDescent="0.3">
      <c r="A2" s="27" t="s">
        <v>406</v>
      </c>
      <c r="B2" s="27"/>
      <c r="C2" s="27"/>
      <c r="F2" s="31" t="s">
        <v>427</v>
      </c>
      <c r="G2" s="31"/>
      <c r="I2" s="28" t="s">
        <v>417</v>
      </c>
      <c r="J2" s="28"/>
      <c r="K2" s="28"/>
      <c r="L2" s="28"/>
      <c r="M2" s="28"/>
      <c r="O2" s="32" t="s">
        <v>418</v>
      </c>
      <c r="P2" s="32"/>
      <c r="Q2" s="32"/>
      <c r="R2" s="32"/>
      <c r="S2" s="32"/>
      <c r="T2"/>
      <c r="U2" s="29" t="s">
        <v>440</v>
      </c>
      <c r="V2" s="29"/>
      <c r="W2" s="29"/>
      <c r="X2" s="29"/>
      <c r="Y2" s="29"/>
      <c r="AA2" s="30" t="s">
        <v>408</v>
      </c>
      <c r="AB2" s="30"/>
      <c r="AC2" s="30"/>
      <c r="AD2" s="30"/>
      <c r="AE2" s="30"/>
      <c r="AF2" s="30"/>
      <c r="AG2" s="30"/>
      <c r="AL2" s="30" t="s">
        <v>528</v>
      </c>
      <c r="AM2" s="30"/>
      <c r="AN2" s="30"/>
    </row>
    <row r="3" spans="1:40" x14ac:dyDescent="0.25">
      <c r="AA3" t="s">
        <v>409</v>
      </c>
      <c r="AB3" s="13">
        <f>PEARSON(SportClimbing[Height (m)], SportClimbing[Tries num. only excl. outliers])</f>
        <v>-7.2997619253924687E-2</v>
      </c>
      <c r="AC3" s="12"/>
    </row>
    <row r="4" spans="1:40" x14ac:dyDescent="0.25">
      <c r="A4" s="1" t="s">
        <v>233</v>
      </c>
      <c r="B4" t="s">
        <v>393</v>
      </c>
      <c r="F4" s="1" t="s">
        <v>233</v>
      </c>
      <c r="G4" t="s">
        <v>396</v>
      </c>
      <c r="I4" s="1" t="s">
        <v>233</v>
      </c>
      <c r="J4" t="s">
        <v>398</v>
      </c>
      <c r="L4" s="5" t="s">
        <v>141</v>
      </c>
      <c r="M4" s="5" t="s">
        <v>398</v>
      </c>
      <c r="O4" s="1" t="s">
        <v>233</v>
      </c>
      <c r="P4" t="s">
        <v>395</v>
      </c>
      <c r="R4" s="1" t="s">
        <v>233</v>
      </c>
      <c r="S4" t="s">
        <v>394</v>
      </c>
      <c r="U4" s="1" t="s">
        <v>233</v>
      </c>
      <c r="V4" t="s">
        <v>444</v>
      </c>
      <c r="AA4" s="12" t="s">
        <v>410</v>
      </c>
      <c r="AB4" s="13">
        <f>RSQ(SportClimbing[Height (m)], SportClimbing[Tries num. only excl. outliers])</f>
        <v>5.3286524167409565E-3</v>
      </c>
      <c r="AC4" s="12"/>
      <c r="AL4" s="1" t="s">
        <v>233</v>
      </c>
      <c r="AM4" t="s">
        <v>529</v>
      </c>
    </row>
    <row r="5" spans="1:40" x14ac:dyDescent="0.25">
      <c r="A5" s="2" t="s">
        <v>3</v>
      </c>
      <c r="B5" s="36">
        <v>122</v>
      </c>
      <c r="F5" s="2">
        <v>2006</v>
      </c>
      <c r="G5" s="36">
        <v>1</v>
      </c>
      <c r="I5" s="2" t="s">
        <v>43</v>
      </c>
      <c r="J5" s="36">
        <v>61</v>
      </c>
      <c r="L5" s="6" t="str">
        <f t="shared" ref="L5:L14" si="0">IF($I5="Grand Total", "", $I5)</f>
        <v>Siurana</v>
      </c>
      <c r="M5" s="7">
        <f t="shared" ref="M5:M14" si="1">IF($I5="Grand Total", "", $J5)</f>
        <v>61</v>
      </c>
      <c r="O5" s="2" t="s">
        <v>469</v>
      </c>
      <c r="P5" s="36">
        <v>39</v>
      </c>
      <c r="R5" s="2" t="s">
        <v>411</v>
      </c>
      <c r="S5" s="36">
        <v>10</v>
      </c>
      <c r="U5" s="2">
        <v>2006</v>
      </c>
      <c r="V5" s="36">
        <v>10</v>
      </c>
      <c r="AL5" s="2" t="s">
        <v>3</v>
      </c>
      <c r="AM5" s="36">
        <v>122</v>
      </c>
    </row>
    <row r="6" spans="1:40" x14ac:dyDescent="0.25">
      <c r="A6" s="2" t="s">
        <v>21</v>
      </c>
      <c r="B6" s="36">
        <v>57</v>
      </c>
      <c r="F6" s="2">
        <v>2007</v>
      </c>
      <c r="G6" s="36">
        <v>1</v>
      </c>
      <c r="I6" s="2" t="s">
        <v>468</v>
      </c>
      <c r="J6" s="36">
        <v>17</v>
      </c>
      <c r="L6" s="6" t="str">
        <f t="shared" si="0"/>
        <v>Arco</v>
      </c>
      <c r="M6" s="7">
        <f t="shared" si="1"/>
        <v>17</v>
      </c>
      <c r="O6" s="2" t="s">
        <v>132</v>
      </c>
      <c r="P6" s="36">
        <v>21</v>
      </c>
      <c r="R6" s="2" t="s">
        <v>412</v>
      </c>
      <c r="S6" s="36">
        <v>24</v>
      </c>
      <c r="U6" s="2">
        <v>2007</v>
      </c>
      <c r="V6" s="36">
        <v>10</v>
      </c>
      <c r="AL6" s="2" t="s">
        <v>21</v>
      </c>
      <c r="AM6" s="36">
        <v>57</v>
      </c>
    </row>
    <row r="7" spans="1:40" x14ac:dyDescent="0.25">
      <c r="A7" s="2" t="s">
        <v>29</v>
      </c>
      <c r="B7" s="36">
        <v>28</v>
      </c>
      <c r="F7" s="2">
        <v>2008</v>
      </c>
      <c r="G7" s="36">
        <v>2</v>
      </c>
      <c r="I7" s="2" t="s">
        <v>100</v>
      </c>
      <c r="J7" s="36">
        <v>16</v>
      </c>
      <c r="L7" s="6" t="str">
        <f t="shared" si="0"/>
        <v>Grau dels matxos</v>
      </c>
      <c r="M7" s="7">
        <f t="shared" si="1"/>
        <v>16</v>
      </c>
      <c r="O7" s="2" t="s">
        <v>332</v>
      </c>
      <c r="P7" s="36">
        <v>14</v>
      </c>
      <c r="R7" s="2" t="s">
        <v>413</v>
      </c>
      <c r="S7" s="36">
        <v>75</v>
      </c>
      <c r="U7" s="2">
        <v>2008</v>
      </c>
      <c r="V7" s="36">
        <v>20</v>
      </c>
      <c r="AL7" s="2" t="s">
        <v>29</v>
      </c>
      <c r="AM7" s="36">
        <v>28</v>
      </c>
    </row>
    <row r="8" spans="1:40" x14ac:dyDescent="0.25">
      <c r="A8" s="2" t="s">
        <v>32</v>
      </c>
      <c r="B8" s="36">
        <v>12</v>
      </c>
      <c r="F8" s="2">
        <v>2009</v>
      </c>
      <c r="G8" s="36">
        <v>0</v>
      </c>
      <c r="I8" s="2" t="s">
        <v>126</v>
      </c>
      <c r="J8" s="36">
        <v>13</v>
      </c>
      <c r="L8" s="6" t="str">
        <f t="shared" si="0"/>
        <v>Chulilla</v>
      </c>
      <c r="M8" s="7">
        <f t="shared" si="1"/>
        <v>13</v>
      </c>
      <c r="O8" s="2" t="s">
        <v>120</v>
      </c>
      <c r="P8" s="36">
        <v>11</v>
      </c>
      <c r="R8" s="2" t="s">
        <v>414</v>
      </c>
      <c r="S8" s="36">
        <v>69</v>
      </c>
      <c r="U8" s="2">
        <v>2009</v>
      </c>
      <c r="V8" s="36">
        <v>0</v>
      </c>
      <c r="AL8" s="2" t="s">
        <v>32</v>
      </c>
      <c r="AM8" s="36">
        <v>12</v>
      </c>
    </row>
    <row r="9" spans="1:40" x14ac:dyDescent="0.25">
      <c r="A9" s="2" t="s">
        <v>69</v>
      </c>
      <c r="B9" s="36">
        <v>5</v>
      </c>
      <c r="F9" s="2">
        <v>2010</v>
      </c>
      <c r="G9" s="36">
        <v>0</v>
      </c>
      <c r="I9" s="2" t="s">
        <v>306</v>
      </c>
      <c r="J9" s="36">
        <v>12</v>
      </c>
      <c r="L9" s="6" t="str">
        <f t="shared" si="0"/>
        <v>Martinswand</v>
      </c>
      <c r="M9" s="7">
        <f t="shared" si="1"/>
        <v>12</v>
      </c>
      <c r="O9" s="2" t="s">
        <v>370</v>
      </c>
      <c r="P9" s="36">
        <v>10</v>
      </c>
      <c r="R9" s="2" t="s">
        <v>415</v>
      </c>
      <c r="S9" s="36">
        <v>34</v>
      </c>
      <c r="U9" s="2">
        <v>2010</v>
      </c>
      <c r="V9" s="36">
        <v>0</v>
      </c>
      <c r="AL9" s="2" t="s">
        <v>69</v>
      </c>
      <c r="AM9" s="36">
        <v>5</v>
      </c>
    </row>
    <row r="10" spans="1:40" x14ac:dyDescent="0.25">
      <c r="A10" s="2" t="s">
        <v>163</v>
      </c>
      <c r="B10" s="36">
        <v>2</v>
      </c>
      <c r="F10" s="2">
        <v>2011</v>
      </c>
      <c r="G10" s="36">
        <v>1</v>
      </c>
      <c r="I10" s="2" t="s">
        <v>22</v>
      </c>
      <c r="J10" s="36">
        <v>12</v>
      </c>
      <c r="L10" s="6" t="str">
        <f t="shared" si="0"/>
        <v>Gelida</v>
      </c>
      <c r="M10" s="7">
        <f t="shared" si="1"/>
        <v>12</v>
      </c>
      <c r="O10" s="2" t="s">
        <v>164</v>
      </c>
      <c r="P10" s="36">
        <v>9</v>
      </c>
      <c r="R10" s="2" t="s">
        <v>416</v>
      </c>
      <c r="S10" s="36">
        <v>11</v>
      </c>
      <c r="U10" s="2">
        <v>2011</v>
      </c>
      <c r="V10" s="36">
        <v>10</v>
      </c>
      <c r="AL10" s="2" t="s">
        <v>163</v>
      </c>
      <c r="AM10" s="36">
        <v>2</v>
      </c>
      <c r="AN10" t="str" cm="1">
        <f t="array" ref="AN10">INDEX(AL4:AL10,MAX((AL4:AL10&lt;&gt;"")*ROW(AL4:AL10))-ROW(AL4)+1)</f>
        <v>7c+</v>
      </c>
    </row>
    <row r="11" spans="1:40" x14ac:dyDescent="0.25">
      <c r="A11" s="2" t="s">
        <v>232</v>
      </c>
      <c r="B11" s="36">
        <v>226</v>
      </c>
      <c r="F11" s="2">
        <v>2012</v>
      </c>
      <c r="G11" s="36">
        <v>3</v>
      </c>
      <c r="I11" s="2" t="s">
        <v>25</v>
      </c>
      <c r="J11" s="36">
        <v>7</v>
      </c>
      <c r="L11" s="6" t="str">
        <f t="shared" si="0"/>
        <v>Garraf</v>
      </c>
      <c r="M11" s="7">
        <f t="shared" si="1"/>
        <v>7</v>
      </c>
      <c r="O11" s="2" t="s">
        <v>131</v>
      </c>
      <c r="P11" s="36">
        <v>9</v>
      </c>
      <c r="R11" s="2" t="s">
        <v>381</v>
      </c>
      <c r="S11" s="36">
        <v>3</v>
      </c>
      <c r="U11" s="2">
        <v>2012</v>
      </c>
      <c r="V11" s="36">
        <v>40</v>
      </c>
      <c r="AL11" s="2" t="s">
        <v>232</v>
      </c>
      <c r="AM11" s="36">
        <v>226</v>
      </c>
      <c r="AN11">
        <f>GETPIVOTDATA("[Measures].[Count of Belayer]",$AM$4)</f>
        <v>226</v>
      </c>
    </row>
    <row r="12" spans="1:40" x14ac:dyDescent="0.25">
      <c r="F12" s="2">
        <v>2013</v>
      </c>
      <c r="G12" s="36">
        <v>16</v>
      </c>
      <c r="I12" s="2" t="s">
        <v>105</v>
      </c>
      <c r="J12" s="36">
        <v>7</v>
      </c>
      <c r="L12" s="6" t="str">
        <f t="shared" si="0"/>
        <v>Arbolí</v>
      </c>
      <c r="M12" s="7">
        <f t="shared" si="1"/>
        <v>7</v>
      </c>
      <c r="O12" s="2" t="s">
        <v>435</v>
      </c>
      <c r="P12" s="36">
        <v>8</v>
      </c>
      <c r="R12" s="2" t="s">
        <v>232</v>
      </c>
      <c r="S12" s="36">
        <v>226</v>
      </c>
      <c r="U12" s="2">
        <v>2013</v>
      </c>
      <c r="V12" s="36">
        <v>335</v>
      </c>
    </row>
    <row r="13" spans="1:40" x14ac:dyDescent="0.25">
      <c r="F13" s="2">
        <v>2014</v>
      </c>
      <c r="G13" s="36">
        <v>0</v>
      </c>
      <c r="I13" s="2" t="s">
        <v>68</v>
      </c>
      <c r="J13" s="36">
        <v>7</v>
      </c>
      <c r="L13" s="6" t="str">
        <f t="shared" si="0"/>
        <v>Margalef</v>
      </c>
      <c r="M13" s="7">
        <f t="shared" si="1"/>
        <v>7</v>
      </c>
      <c r="O13" s="2" t="s">
        <v>133</v>
      </c>
      <c r="P13" s="36">
        <v>8</v>
      </c>
      <c r="U13" s="2">
        <v>2014</v>
      </c>
      <c r="V13" s="36">
        <v>0</v>
      </c>
    </row>
    <row r="14" spans="1:40" x14ac:dyDescent="0.25">
      <c r="A14" s="8" t="s">
        <v>140</v>
      </c>
      <c r="B14" s="8" t="s">
        <v>402</v>
      </c>
      <c r="C14" s="8" t="s">
        <v>393</v>
      </c>
      <c r="F14" s="2">
        <v>2015</v>
      </c>
      <c r="G14" s="36">
        <v>0</v>
      </c>
      <c r="I14" s="2" t="s">
        <v>49</v>
      </c>
      <c r="J14" s="36">
        <v>5</v>
      </c>
      <c r="L14" s="6" t="str">
        <f t="shared" si="0"/>
        <v>Font Soleia</v>
      </c>
      <c r="M14" s="7">
        <f t="shared" si="1"/>
        <v>5</v>
      </c>
      <c r="O14" s="2" t="s">
        <v>104</v>
      </c>
      <c r="P14" s="36">
        <v>5</v>
      </c>
      <c r="U14" s="2">
        <v>2015</v>
      </c>
      <c r="V14" s="36">
        <v>0</v>
      </c>
    </row>
    <row r="15" spans="1:40" x14ac:dyDescent="0.25">
      <c r="A15" s="7" t="s">
        <v>3</v>
      </c>
      <c r="B15" s="7">
        <f t="shared" ref="B15:B20" si="2">(LARGE($C$15:$C$20, 1)-C15)/2</f>
        <v>0</v>
      </c>
      <c r="C15" s="7">
        <f>IFERROR(GETPIVOTDATA("[Measures].[Count of Belayer]",$A$4,"[SportClimbing].[Grade]","[SportClimbing].[Grade].&amp;[7a]"), 0)</f>
        <v>122</v>
      </c>
      <c r="F15" s="2">
        <v>2016</v>
      </c>
      <c r="G15" s="36">
        <v>2</v>
      </c>
      <c r="I15" s="2" t="s">
        <v>433</v>
      </c>
      <c r="J15" s="36">
        <v>5</v>
      </c>
      <c r="L15" s="6" t="s">
        <v>401</v>
      </c>
      <c r="M15" s="7">
        <f>$M16-SUM($M5:$M14)</f>
        <v>69</v>
      </c>
      <c r="O15" s="4" t="s">
        <v>232</v>
      </c>
      <c r="P15" s="36">
        <v>226</v>
      </c>
      <c r="U15" s="2">
        <v>2016</v>
      </c>
      <c r="V15" s="36">
        <v>20</v>
      </c>
    </row>
    <row r="16" spans="1:40" x14ac:dyDescent="0.25">
      <c r="A16" s="7" t="s">
        <v>21</v>
      </c>
      <c r="B16" s="7">
        <f t="shared" si="2"/>
        <v>32.5</v>
      </c>
      <c r="C16" s="7">
        <f>IFERROR(GETPIVOTDATA("[Measures].[Count of Belayer]",$A$4,"[SportClimbing].[Grade]","[SportClimbing].[Grade].&amp;[7a+]"), 0)</f>
        <v>57</v>
      </c>
      <c r="F16" s="2">
        <v>2017</v>
      </c>
      <c r="G16" s="36">
        <v>31</v>
      </c>
      <c r="I16" s="2" t="s">
        <v>77</v>
      </c>
      <c r="J16" s="36">
        <v>4</v>
      </c>
      <c r="L16" s="5" t="s">
        <v>232</v>
      </c>
      <c r="M16" s="5">
        <f>GETPIVOTDATA("[Measures].[Count of Belayer]",$I$4)</f>
        <v>226</v>
      </c>
      <c r="U16" s="2">
        <v>2017</v>
      </c>
      <c r="V16" s="36">
        <v>450</v>
      </c>
      <c r="AL16" s="1" t="s">
        <v>233</v>
      </c>
      <c r="AM16" t="s">
        <v>529</v>
      </c>
    </row>
    <row r="17" spans="1:39" x14ac:dyDescent="0.25">
      <c r="A17" s="7" t="s">
        <v>29</v>
      </c>
      <c r="B17" s="7">
        <f t="shared" si="2"/>
        <v>47</v>
      </c>
      <c r="C17" s="7">
        <f>IFERROR(GETPIVOTDATA("[Measures].[Count of Belayer]",$A$4,"[SportClimbing].[Grade]","[SportClimbing].[Grade].&amp;[7b]"), 0)</f>
        <v>28</v>
      </c>
      <c r="F17" s="2">
        <v>2018</v>
      </c>
      <c r="G17" s="36">
        <v>25</v>
      </c>
      <c r="I17" s="2" t="s">
        <v>15</v>
      </c>
      <c r="J17" s="36">
        <v>3</v>
      </c>
      <c r="U17" s="2">
        <v>2018</v>
      </c>
      <c r="V17" s="36">
        <v>500</v>
      </c>
      <c r="AL17" s="2">
        <v>2006</v>
      </c>
      <c r="AM17" s="36">
        <v>1</v>
      </c>
    </row>
    <row r="18" spans="1:39" x14ac:dyDescent="0.25">
      <c r="A18" s="7" t="s">
        <v>32</v>
      </c>
      <c r="B18" s="7">
        <f t="shared" si="2"/>
        <v>55</v>
      </c>
      <c r="C18" s="7">
        <f>IFERROR(GETPIVOTDATA("[Measures].[Count of Belayer]",$A$4,"[SportClimbing].[Grade]","[SportClimbing].[Grade].&amp;[7b+]"), 0)</f>
        <v>12</v>
      </c>
      <c r="F18" s="2">
        <v>2019</v>
      </c>
      <c r="G18" s="36">
        <v>7</v>
      </c>
      <c r="I18" s="2" t="s">
        <v>70</v>
      </c>
      <c r="J18" s="36">
        <v>3</v>
      </c>
      <c r="S18" s="18"/>
      <c r="T18" s="18"/>
      <c r="U18" s="2">
        <v>2019</v>
      </c>
      <c r="V18" s="36">
        <v>110</v>
      </c>
      <c r="X18" s="18"/>
      <c r="Y18" s="18"/>
      <c r="AL18" s="2">
        <v>2007</v>
      </c>
      <c r="AM18" s="36">
        <v>1</v>
      </c>
    </row>
    <row r="19" spans="1:39" x14ac:dyDescent="0.25">
      <c r="A19" s="7" t="s">
        <v>69</v>
      </c>
      <c r="B19" s="7">
        <f t="shared" si="2"/>
        <v>58.5</v>
      </c>
      <c r="C19" s="7">
        <f>IFERROR(GETPIVOTDATA("[Measures].[Count of Belayer]",$A$4,"[SportClimbing].[Grade]","[SportClimbing].[Grade].&amp;[7c]"), 0)</f>
        <v>5</v>
      </c>
      <c r="F19" s="2">
        <v>2020</v>
      </c>
      <c r="G19" s="36">
        <v>10</v>
      </c>
      <c r="I19" s="2" t="s">
        <v>1</v>
      </c>
      <c r="J19" s="36">
        <v>3</v>
      </c>
      <c r="L19" s="1" t="s">
        <v>233</v>
      </c>
      <c r="M19" t="s">
        <v>400</v>
      </c>
      <c r="S19" s="18"/>
      <c r="T19" s="18"/>
      <c r="U19" s="2">
        <v>2020</v>
      </c>
      <c r="V19" s="36">
        <v>190</v>
      </c>
      <c r="X19" s="18"/>
      <c r="Y19" s="18"/>
      <c r="AL19" s="2">
        <v>2008</v>
      </c>
      <c r="AM19" s="36">
        <v>2</v>
      </c>
    </row>
    <row r="20" spans="1:39" x14ac:dyDescent="0.25">
      <c r="A20" s="7" t="s">
        <v>163</v>
      </c>
      <c r="B20" s="7">
        <f t="shared" si="2"/>
        <v>60</v>
      </c>
      <c r="C20" s="7">
        <f>IFERROR(GETPIVOTDATA("[Measures].[Count of Belayer]",$A$4,"[SportClimbing].[Grade]","[SportClimbing].[Grade].&amp;[7c+]"), 0)</f>
        <v>2</v>
      </c>
      <c r="F20" s="2">
        <v>2021</v>
      </c>
      <c r="G20" s="36">
        <v>17</v>
      </c>
      <c r="I20" s="2" t="s">
        <v>76</v>
      </c>
      <c r="J20" s="36">
        <v>3</v>
      </c>
      <c r="L20" s="2" t="s">
        <v>262</v>
      </c>
      <c r="M20" s="36">
        <v>154</v>
      </c>
      <c r="U20" s="2">
        <v>2021</v>
      </c>
      <c r="V20" s="36">
        <v>290</v>
      </c>
      <c r="AL20" s="2">
        <v>2011</v>
      </c>
      <c r="AM20" s="36">
        <v>1</v>
      </c>
    </row>
    <row r="21" spans="1:39" x14ac:dyDescent="0.25">
      <c r="A21" s="8" t="s">
        <v>232</v>
      </c>
      <c r="B21" s="8"/>
      <c r="C21" s="8">
        <f>GETPIVOTDATA("[Measures].[Count of Belayer]",$A$4)</f>
        <v>226</v>
      </c>
      <c r="F21" s="2">
        <v>2022</v>
      </c>
      <c r="G21" s="36">
        <v>19</v>
      </c>
      <c r="I21" s="2" t="s">
        <v>478</v>
      </c>
      <c r="J21" s="36">
        <v>3</v>
      </c>
      <c r="L21" s="2" t="s">
        <v>298</v>
      </c>
      <c r="M21" s="36">
        <v>38</v>
      </c>
      <c r="U21" s="2">
        <v>2022</v>
      </c>
      <c r="V21" s="36">
        <v>290</v>
      </c>
      <c r="AL21" s="2">
        <v>2012</v>
      </c>
      <c r="AM21" s="36">
        <v>3</v>
      </c>
    </row>
    <row r="22" spans="1:39" x14ac:dyDescent="0.25">
      <c r="F22" s="2">
        <v>2023</v>
      </c>
      <c r="G22" s="36">
        <v>22</v>
      </c>
      <c r="I22" s="2" t="s">
        <v>380</v>
      </c>
      <c r="J22" s="36">
        <v>3</v>
      </c>
      <c r="L22" s="2" t="s">
        <v>313</v>
      </c>
      <c r="M22" s="36">
        <v>18</v>
      </c>
      <c r="R22" s="1" t="s">
        <v>422</v>
      </c>
      <c r="S22" t="s" vm="1">
        <v>423</v>
      </c>
      <c r="U22" s="2">
        <v>2023</v>
      </c>
      <c r="V22" s="36">
        <v>225</v>
      </c>
      <c r="AL22" s="2">
        <v>2013</v>
      </c>
      <c r="AM22" s="36">
        <v>16</v>
      </c>
    </row>
    <row r="23" spans="1:39" x14ac:dyDescent="0.25">
      <c r="F23" s="2">
        <v>2024</v>
      </c>
      <c r="G23" s="36">
        <v>11</v>
      </c>
      <c r="I23" s="2" t="s">
        <v>334</v>
      </c>
      <c r="J23" s="36">
        <v>3</v>
      </c>
      <c r="L23" s="2" t="s">
        <v>261</v>
      </c>
      <c r="M23" s="36">
        <v>13</v>
      </c>
      <c r="U23" s="2">
        <v>2024</v>
      </c>
      <c r="V23" s="36">
        <v>195</v>
      </c>
      <c r="AL23" s="2">
        <v>2016</v>
      </c>
      <c r="AM23" s="36">
        <v>2</v>
      </c>
    </row>
    <row r="24" spans="1:39" x14ac:dyDescent="0.25">
      <c r="A24" s="1" t="s">
        <v>233</v>
      </c>
      <c r="B24" t="s">
        <v>399</v>
      </c>
      <c r="F24" s="2">
        <v>2025</v>
      </c>
      <c r="G24" s="36">
        <v>42</v>
      </c>
      <c r="I24" s="2" t="s">
        <v>493</v>
      </c>
      <c r="J24" s="36">
        <v>3</v>
      </c>
      <c r="L24" s="2" t="s">
        <v>273</v>
      </c>
      <c r="M24" s="36">
        <v>2</v>
      </c>
      <c r="R24" s="1" t="s">
        <v>233</v>
      </c>
      <c r="S24" t="s">
        <v>420</v>
      </c>
      <c r="U24" s="2">
        <v>2025</v>
      </c>
      <c r="V24" s="36">
        <v>755</v>
      </c>
      <c r="AL24" s="2">
        <v>2017</v>
      </c>
      <c r="AM24" s="36">
        <v>31</v>
      </c>
    </row>
    <row r="25" spans="1:39" ht="15.6" x14ac:dyDescent="0.3">
      <c r="A25" s="2" t="s">
        <v>348</v>
      </c>
      <c r="B25" s="36">
        <v>86</v>
      </c>
      <c r="F25" s="2">
        <v>2026</v>
      </c>
      <c r="G25" s="36">
        <v>16</v>
      </c>
      <c r="I25" s="2" t="s">
        <v>311</v>
      </c>
      <c r="J25" s="36">
        <v>2</v>
      </c>
      <c r="L25" s="2" t="s">
        <v>390</v>
      </c>
      <c r="M25" s="36">
        <v>1</v>
      </c>
      <c r="R25" s="2" t="s">
        <v>469</v>
      </c>
      <c r="S25" s="36">
        <v>31</v>
      </c>
      <c r="U25" s="2">
        <v>2026</v>
      </c>
      <c r="V25" s="36">
        <v>265</v>
      </c>
      <c r="AA25" s="30" t="s">
        <v>475</v>
      </c>
      <c r="AB25" s="30"/>
      <c r="AC25" s="30"/>
      <c r="AD25" s="30"/>
      <c r="AE25" s="30"/>
      <c r="AF25" s="30"/>
      <c r="AG25" s="30"/>
      <c r="AL25" s="2">
        <v>2018</v>
      </c>
      <c r="AM25" s="36">
        <v>25</v>
      </c>
    </row>
    <row r="26" spans="1:39" x14ac:dyDescent="0.25">
      <c r="A26" s="2" t="s">
        <v>130</v>
      </c>
      <c r="B26" s="36">
        <v>63</v>
      </c>
      <c r="F26" s="2" t="s">
        <v>232</v>
      </c>
      <c r="G26" s="36">
        <v>226</v>
      </c>
      <c r="I26" s="2" t="s">
        <v>500</v>
      </c>
      <c r="J26" s="36">
        <v>2</v>
      </c>
      <c r="L26" s="2" t="s">
        <v>232</v>
      </c>
      <c r="M26" s="36">
        <v>226</v>
      </c>
      <c r="R26" s="2" t="s">
        <v>435</v>
      </c>
      <c r="S26" s="36">
        <v>5</v>
      </c>
      <c r="U26" s="2" t="s">
        <v>232</v>
      </c>
      <c r="V26" s="36">
        <v>3715</v>
      </c>
      <c r="AA26" t="s">
        <v>409</v>
      </c>
      <c r="AB26" s="13">
        <f>PEARSON(AB38:AH38, AB39:AH39)</f>
        <v>-6.6113829526909099E-2</v>
      </c>
      <c r="AC26" s="12"/>
      <c r="AL26" s="2">
        <v>2019</v>
      </c>
      <c r="AM26" s="36">
        <v>7</v>
      </c>
    </row>
    <row r="27" spans="1:39" x14ac:dyDescent="0.25">
      <c r="A27" s="2" t="s">
        <v>349</v>
      </c>
      <c r="B27" s="36">
        <v>22</v>
      </c>
      <c r="F27" s="1" t="s">
        <v>233</v>
      </c>
      <c r="G27" t="s">
        <v>397</v>
      </c>
      <c r="I27" s="2" t="s">
        <v>300</v>
      </c>
      <c r="J27" s="36">
        <v>2</v>
      </c>
      <c r="R27" s="2" t="s">
        <v>132</v>
      </c>
      <c r="S27" s="36">
        <v>1</v>
      </c>
      <c r="AA27" s="12" t="s">
        <v>410</v>
      </c>
      <c r="AB27" s="13">
        <f>RSQ(AB38:AH38, AB39:AH39)</f>
        <v>4.3710384547131975E-3</v>
      </c>
      <c r="AC27" s="12"/>
      <c r="AL27" s="2">
        <v>2020</v>
      </c>
      <c r="AM27" s="36">
        <v>10</v>
      </c>
    </row>
    <row r="28" spans="1:39" x14ac:dyDescent="0.25">
      <c r="A28" s="2" t="s">
        <v>11</v>
      </c>
      <c r="B28" s="36">
        <v>17</v>
      </c>
      <c r="F28" s="2" t="s">
        <v>151</v>
      </c>
      <c r="G28" s="36">
        <v>5</v>
      </c>
      <c r="I28" s="2" t="s">
        <v>450</v>
      </c>
      <c r="J28" s="36">
        <v>2</v>
      </c>
      <c r="R28" s="2" t="s">
        <v>370</v>
      </c>
      <c r="S28" s="36">
        <v>1</v>
      </c>
      <c r="AL28" s="2">
        <v>2021</v>
      </c>
      <c r="AM28" s="36">
        <v>17</v>
      </c>
    </row>
    <row r="29" spans="1:39" x14ac:dyDescent="0.25">
      <c r="A29" s="2" t="s">
        <v>351</v>
      </c>
      <c r="B29" s="36">
        <v>10</v>
      </c>
      <c r="F29" s="2" t="s">
        <v>152</v>
      </c>
      <c r="G29" s="36">
        <v>27</v>
      </c>
      <c r="I29" s="2" t="s">
        <v>372</v>
      </c>
      <c r="J29" s="36">
        <v>2</v>
      </c>
      <c r="L29" s="8" t="s">
        <v>140</v>
      </c>
      <c r="M29" s="8" t="s">
        <v>393</v>
      </c>
      <c r="U29" s="1" t="s">
        <v>233</v>
      </c>
      <c r="V29" t="s">
        <v>441</v>
      </c>
      <c r="AA29" s="1" t="s">
        <v>430</v>
      </c>
      <c r="AB29" s="1" t="s">
        <v>428</v>
      </c>
      <c r="AL29" s="2">
        <v>2022</v>
      </c>
      <c r="AM29" s="36">
        <v>19</v>
      </c>
    </row>
    <row r="30" spans="1:39" x14ac:dyDescent="0.25">
      <c r="A30" s="2" t="s">
        <v>350</v>
      </c>
      <c r="B30" s="36">
        <v>9</v>
      </c>
      <c r="F30" s="2" t="s">
        <v>367</v>
      </c>
      <c r="G30" s="36">
        <v>31</v>
      </c>
      <c r="I30" s="2" t="s">
        <v>289</v>
      </c>
      <c r="J30" s="36">
        <v>2</v>
      </c>
      <c r="L30" s="7" t="s">
        <v>262</v>
      </c>
      <c r="M30" s="7">
        <f>GETPIVOTDATA("[Measures].[Count of Belayer]",$L$19,"[SportClimbing].[Country]","[SportClimbing].[Country].&amp;[Spain]")</f>
        <v>154</v>
      </c>
      <c r="U30" s="2" t="s">
        <v>469</v>
      </c>
      <c r="V30" s="36">
        <v>625</v>
      </c>
      <c r="AA30" s="1" t="s">
        <v>429</v>
      </c>
      <c r="AB30" t="s">
        <v>411</v>
      </c>
      <c r="AC30" t="s">
        <v>412</v>
      </c>
      <c r="AD30" t="s">
        <v>413</v>
      </c>
      <c r="AE30" t="s">
        <v>414</v>
      </c>
      <c r="AF30" t="s">
        <v>415</v>
      </c>
      <c r="AG30" t="s">
        <v>416</v>
      </c>
      <c r="AH30" t="s">
        <v>381</v>
      </c>
      <c r="AI30" t="s">
        <v>431</v>
      </c>
      <c r="AL30" s="2">
        <v>2023</v>
      </c>
      <c r="AM30" s="36">
        <v>22</v>
      </c>
    </row>
    <row r="31" spans="1:39" x14ac:dyDescent="0.25">
      <c r="A31" s="2" t="s">
        <v>352</v>
      </c>
      <c r="B31" s="36">
        <v>5</v>
      </c>
      <c r="F31" s="2" t="s">
        <v>368</v>
      </c>
      <c r="G31" s="36">
        <v>37</v>
      </c>
      <c r="I31" s="2" t="s">
        <v>485</v>
      </c>
      <c r="J31" s="36">
        <v>2</v>
      </c>
      <c r="L31" s="7" t="s">
        <v>298</v>
      </c>
      <c r="M31" s="7">
        <f>GETPIVOTDATA("[Measures].[Count of Belayer]",$L$19,"[SportClimbing].[Country]","[SportClimbing].[Country].&amp;[Austria]")</f>
        <v>38</v>
      </c>
      <c r="U31" s="2" t="s">
        <v>132</v>
      </c>
      <c r="V31" s="36">
        <v>450</v>
      </c>
      <c r="AA31" s="2" t="s">
        <v>3</v>
      </c>
      <c r="AB31" s="19">
        <v>2.2857142857142856</v>
      </c>
      <c r="AC31" s="19">
        <v>2.8125</v>
      </c>
      <c r="AD31" s="19">
        <v>1.5909090909090908</v>
      </c>
      <c r="AE31" s="19">
        <v>2.15625</v>
      </c>
      <c r="AF31" s="19">
        <v>1.3157894736842106</v>
      </c>
      <c r="AG31" s="19">
        <v>1</v>
      </c>
      <c r="AH31" s="19"/>
      <c r="AI31" s="19">
        <v>1.8770491803278688</v>
      </c>
      <c r="AL31" s="2">
        <v>2024</v>
      </c>
      <c r="AM31" s="36">
        <v>11</v>
      </c>
    </row>
    <row r="32" spans="1:39" x14ac:dyDescent="0.25">
      <c r="A32" s="2" t="s">
        <v>354</v>
      </c>
      <c r="B32" s="36">
        <v>3</v>
      </c>
      <c r="F32" s="2" t="s">
        <v>155</v>
      </c>
      <c r="G32" s="36">
        <v>22</v>
      </c>
      <c r="I32" s="2" t="s">
        <v>513</v>
      </c>
      <c r="J32" s="36">
        <v>2</v>
      </c>
      <c r="L32" s="7" t="s">
        <v>261</v>
      </c>
      <c r="M32" s="7">
        <f>GETPIVOTDATA("[Measures].[Count of Belayer]",$L$19,"[SportClimbing].[Country]","[SportClimbing].[Country].&amp;[France]")</f>
        <v>13</v>
      </c>
      <c r="U32" s="2" t="s">
        <v>332</v>
      </c>
      <c r="V32" s="36">
        <v>230</v>
      </c>
      <c r="AA32" s="2" t="s">
        <v>21</v>
      </c>
      <c r="AB32" s="19">
        <v>1.5</v>
      </c>
      <c r="AC32" s="19">
        <v>2</v>
      </c>
      <c r="AD32" s="19">
        <v>2.1875</v>
      </c>
      <c r="AE32" s="19">
        <v>2.2173913043478262</v>
      </c>
      <c r="AF32" s="19">
        <v>2.8333333333333335</v>
      </c>
      <c r="AG32" s="19">
        <v>1.25</v>
      </c>
      <c r="AH32" s="19">
        <v>1</v>
      </c>
      <c r="AI32" s="19">
        <v>2.1403508771929824</v>
      </c>
      <c r="AL32" s="2">
        <v>2025</v>
      </c>
      <c r="AM32" s="36">
        <v>42</v>
      </c>
    </row>
    <row r="33" spans="1:40" x14ac:dyDescent="0.25">
      <c r="A33" s="2" t="s">
        <v>353</v>
      </c>
      <c r="B33" s="36">
        <v>3</v>
      </c>
      <c r="F33" s="2" t="s">
        <v>366</v>
      </c>
      <c r="G33" s="36">
        <v>16</v>
      </c>
      <c r="I33" s="2" t="s">
        <v>71</v>
      </c>
      <c r="J33" s="36">
        <v>2</v>
      </c>
      <c r="L33" s="7" t="s">
        <v>273</v>
      </c>
      <c r="M33" s="7">
        <f>GETPIVOTDATA("[Measures].[Count of Belayer]",$L$19,"[SportClimbing].[Country]","[SportClimbing].[Country].&amp;[Portugal]")</f>
        <v>2</v>
      </c>
      <c r="U33" s="2" t="s">
        <v>435</v>
      </c>
      <c r="V33" s="36">
        <v>225</v>
      </c>
      <c r="AA33" s="2" t="s">
        <v>29</v>
      </c>
      <c r="AB33" s="19">
        <v>3</v>
      </c>
      <c r="AC33" s="19">
        <v>3</v>
      </c>
      <c r="AD33" s="19">
        <v>3.2222222222222223</v>
      </c>
      <c r="AE33" s="19">
        <v>3.7142857142857144</v>
      </c>
      <c r="AF33" s="19">
        <v>2.3333333333333335</v>
      </c>
      <c r="AG33" s="19">
        <v>1.6666666666666667</v>
      </c>
      <c r="AH33" s="19"/>
      <c r="AI33" s="19">
        <v>2.9642857142857144</v>
      </c>
      <c r="AL33" s="2">
        <v>2026</v>
      </c>
      <c r="AM33" s="36">
        <v>16</v>
      </c>
      <c r="AN33">
        <f>INDEX(AL17:AL33,MATCH(MAX(AM17:AM33),AM17:AM33,0))</f>
        <v>2025</v>
      </c>
    </row>
    <row r="34" spans="1:40" x14ac:dyDescent="0.25">
      <c r="A34" s="2" t="s">
        <v>346</v>
      </c>
      <c r="B34" s="36">
        <v>2</v>
      </c>
      <c r="F34" s="2" t="s">
        <v>365</v>
      </c>
      <c r="G34" s="36">
        <v>13</v>
      </c>
      <c r="I34" s="2" t="s">
        <v>343</v>
      </c>
      <c r="J34" s="36">
        <v>2</v>
      </c>
      <c r="L34" s="7" t="s">
        <v>313</v>
      </c>
      <c r="M34" s="7">
        <f>GETPIVOTDATA("[Measures].[Count of Belayer]",$L$19,"[SportClimbing].[Country]","[SportClimbing].[Country].&amp;[Italy]")</f>
        <v>18</v>
      </c>
      <c r="U34" s="2" t="s">
        <v>131</v>
      </c>
      <c r="V34" s="36">
        <v>195</v>
      </c>
      <c r="AA34" s="2" t="s">
        <v>32</v>
      </c>
      <c r="AB34" s="19"/>
      <c r="AC34" s="19">
        <v>5</v>
      </c>
      <c r="AD34" s="19">
        <v>5</v>
      </c>
      <c r="AE34" s="19">
        <v>8</v>
      </c>
      <c r="AF34" s="19">
        <v>3.6666666666666665</v>
      </c>
      <c r="AG34" s="19"/>
      <c r="AH34" s="19">
        <v>1</v>
      </c>
      <c r="AI34" s="19">
        <v>5.583333333333333</v>
      </c>
      <c r="AL34" s="2" t="s">
        <v>232</v>
      </c>
      <c r="AM34" s="36">
        <v>226</v>
      </c>
    </row>
    <row r="35" spans="1:40" x14ac:dyDescent="0.25">
      <c r="A35" s="2" t="s">
        <v>347</v>
      </c>
      <c r="B35" s="36">
        <v>2</v>
      </c>
      <c r="F35" s="2" t="s">
        <v>158</v>
      </c>
      <c r="G35" s="36">
        <v>7</v>
      </c>
      <c r="I35" s="2" t="s">
        <v>492</v>
      </c>
      <c r="J35" s="36">
        <v>1</v>
      </c>
      <c r="L35" s="7" t="s">
        <v>390</v>
      </c>
      <c r="M35" s="7">
        <f>GETPIVOTDATA("[Measures].[Count of Belayer]",$L$19,"[SportClimbing].[Country]","[SportClimbing].[Country].&amp;[Germany]")</f>
        <v>1</v>
      </c>
      <c r="U35" s="2" t="s">
        <v>120</v>
      </c>
      <c r="V35" s="36">
        <v>160</v>
      </c>
      <c r="AA35" s="2" t="s">
        <v>69</v>
      </c>
      <c r="AB35" s="19"/>
      <c r="AC35" s="19"/>
      <c r="AD35" s="19">
        <v>14.5</v>
      </c>
      <c r="AE35" s="19">
        <v>6</v>
      </c>
      <c r="AF35" s="19"/>
      <c r="AG35" s="19"/>
      <c r="AH35" s="19">
        <v>8</v>
      </c>
      <c r="AI35" s="19">
        <v>9.8000000000000007</v>
      </c>
    </row>
    <row r="36" spans="1:40" x14ac:dyDescent="0.25">
      <c r="A36" s="2" t="s">
        <v>446</v>
      </c>
      <c r="B36" s="36">
        <v>1</v>
      </c>
      <c r="F36" s="2" t="s">
        <v>159</v>
      </c>
      <c r="G36" s="36">
        <v>19</v>
      </c>
      <c r="I36" s="2" t="s">
        <v>278</v>
      </c>
      <c r="J36" s="36">
        <v>1</v>
      </c>
      <c r="L36" s="8" t="s">
        <v>232</v>
      </c>
      <c r="M36" s="8">
        <f>GETPIVOTDATA("[Measures].[Count of Belayer]",$A$4)</f>
        <v>226</v>
      </c>
      <c r="U36" s="2" t="s">
        <v>164</v>
      </c>
      <c r="V36" s="36">
        <v>155</v>
      </c>
      <c r="AA36" s="2" t="s">
        <v>163</v>
      </c>
      <c r="AB36" s="19"/>
      <c r="AC36" s="19"/>
      <c r="AD36" s="19">
        <v>27</v>
      </c>
      <c r="AE36" s="19"/>
      <c r="AF36" s="19"/>
      <c r="AG36" s="19"/>
      <c r="AH36" s="19"/>
      <c r="AI36" s="19">
        <v>27</v>
      </c>
    </row>
    <row r="37" spans="1:40" x14ac:dyDescent="0.25">
      <c r="A37" s="2" t="s">
        <v>490</v>
      </c>
      <c r="B37" s="36">
        <v>1</v>
      </c>
      <c r="F37" s="2" t="s">
        <v>162</v>
      </c>
      <c r="G37" s="36">
        <v>23</v>
      </c>
      <c r="I37" s="2" t="s">
        <v>286</v>
      </c>
      <c r="J37" s="36">
        <v>1</v>
      </c>
      <c r="U37" s="2" t="s">
        <v>370</v>
      </c>
      <c r="V37" s="36">
        <v>140</v>
      </c>
      <c r="AA37" s="2" t="s">
        <v>431</v>
      </c>
      <c r="AB37" s="19">
        <v>2.2000000000000002</v>
      </c>
      <c r="AC37" s="19">
        <v>2.75</v>
      </c>
      <c r="AD37" s="19">
        <v>3.0266666666666668</v>
      </c>
      <c r="AE37" s="19">
        <v>2.8695652173913042</v>
      </c>
      <c r="AF37" s="19">
        <v>1.9705882352941178</v>
      </c>
      <c r="AG37" s="19">
        <v>1.2727272727272727</v>
      </c>
      <c r="AH37" s="19">
        <v>3.3333333333333335</v>
      </c>
      <c r="AI37" s="19">
        <v>2.6725663716814161</v>
      </c>
    </row>
    <row r="38" spans="1:40" x14ac:dyDescent="0.25">
      <c r="A38" s="2" t="s">
        <v>452</v>
      </c>
      <c r="B38" s="36">
        <v>1</v>
      </c>
      <c r="F38" s="2" t="s">
        <v>160</v>
      </c>
      <c r="G38" s="36">
        <v>16</v>
      </c>
      <c r="I38" s="2" t="s">
        <v>123</v>
      </c>
      <c r="J38" s="36">
        <v>1</v>
      </c>
      <c r="U38" s="2" t="s">
        <v>133</v>
      </c>
      <c r="V38" s="36">
        <v>125</v>
      </c>
      <c r="AA38" s="2"/>
      <c r="AB38" s="20">
        <v>10</v>
      </c>
      <c r="AC38" s="20">
        <v>15</v>
      </c>
      <c r="AD38" s="20">
        <v>20</v>
      </c>
      <c r="AE38" s="20">
        <v>25</v>
      </c>
      <c r="AF38" s="20">
        <v>30</v>
      </c>
      <c r="AG38" s="20">
        <v>35</v>
      </c>
      <c r="AH38" s="20">
        <v>40</v>
      </c>
      <c r="AI38" s="19"/>
    </row>
    <row r="39" spans="1:40" x14ac:dyDescent="0.25">
      <c r="A39" s="2" t="s">
        <v>382</v>
      </c>
      <c r="B39" s="36">
        <v>1</v>
      </c>
      <c r="F39" s="2" t="s">
        <v>161</v>
      </c>
      <c r="G39" s="36">
        <v>10</v>
      </c>
      <c r="I39" s="2" t="s">
        <v>274</v>
      </c>
      <c r="J39" s="36">
        <v>1</v>
      </c>
      <c r="U39" s="2" t="s">
        <v>146</v>
      </c>
      <c r="V39" s="36">
        <v>100</v>
      </c>
      <c r="AB39" s="7">
        <f>GETPIVOTDATA("[Measures].[Average of Tries num. only excl. outliers]",$AA$29,"[SportClimbing].[Height range (m)]","[SportClimbing].[Height range (m)].&amp;[0-10]")</f>
        <v>2.2000000000000002</v>
      </c>
      <c r="AC39" s="7">
        <f>GETPIVOTDATA("[Measures].[Average of Tries num. only excl. outliers]",$AA$29,"[SportClimbing].[Height range (m)]","[SportClimbing].[Height range (m)].&amp;[11-15]")</f>
        <v>2.75</v>
      </c>
      <c r="AD39" s="7">
        <f>GETPIVOTDATA("[Measures].[Average of Tries num. only excl. outliers]",$AA$29,"[SportClimbing].[Height range (m)]","[SportClimbing].[Height range (m)].&amp;[16-20]")</f>
        <v>3.0266666666666668</v>
      </c>
      <c r="AE39" s="7">
        <f>GETPIVOTDATA("[Measures].[Average of Tries num. only excl. outliers]",$AA$29,"[SportClimbing].[Height range (m)]","[SportClimbing].[Height range (m)].&amp;[21-25]")</f>
        <v>2.8695652173913042</v>
      </c>
      <c r="AF39" s="7">
        <f>GETPIVOTDATA("[Measures].[Average of Tries num. only excl. outliers]",$AA$29,"[SportClimbing].[Height range (m)]","[SportClimbing].[Height range (m)].&amp;[26-30]")</f>
        <v>1.9705882352941178</v>
      </c>
      <c r="AG39" s="7">
        <f>GETPIVOTDATA("[Measures].[Average of Tries num. only excl. outliers]",$AA$29,"[SportClimbing].[Height range (m)]","[SportClimbing].[Height range (m)].&amp;[31-35]")</f>
        <v>1.2727272727272727</v>
      </c>
      <c r="AH39" s="7">
        <f>GETPIVOTDATA("[Measures].[Average of Tries num. only excl. outliers]",$AA$29,"[SportClimbing].[Height range (m)]","[SportClimbing].[Height range (m)].&amp;[35+]")</f>
        <v>3.3333333333333335</v>
      </c>
    </row>
    <row r="40" spans="1:40" x14ac:dyDescent="0.25">
      <c r="A40" s="2" t="s">
        <v>232</v>
      </c>
      <c r="B40" s="36">
        <v>226</v>
      </c>
      <c r="F40" s="2" t="s">
        <v>232</v>
      </c>
      <c r="G40" s="36">
        <v>226</v>
      </c>
      <c r="I40" s="2" t="s">
        <v>8</v>
      </c>
      <c r="J40" s="36">
        <v>1</v>
      </c>
      <c r="U40" s="2" t="s">
        <v>232</v>
      </c>
      <c r="V40" s="36">
        <v>2405</v>
      </c>
    </row>
    <row r="41" spans="1:40" x14ac:dyDescent="0.25">
      <c r="A41" s="2"/>
      <c r="F41" s="2"/>
      <c r="I41" s="2" t="s">
        <v>72</v>
      </c>
      <c r="J41" s="36">
        <v>1</v>
      </c>
      <c r="U41" s="2"/>
    </row>
    <row r="42" spans="1:40" x14ac:dyDescent="0.25">
      <c r="I42" s="2" t="s">
        <v>265</v>
      </c>
      <c r="J42" s="36">
        <v>1</v>
      </c>
      <c r="U42" s="2"/>
    </row>
    <row r="43" spans="1:40" x14ac:dyDescent="0.25">
      <c r="A43" s="1" t="s">
        <v>233</v>
      </c>
      <c r="B43" t="s">
        <v>424</v>
      </c>
      <c r="I43" s="2" t="s">
        <v>507</v>
      </c>
      <c r="J43" s="36">
        <v>1</v>
      </c>
    </row>
    <row r="44" spans="1:40" x14ac:dyDescent="0.25">
      <c r="A44" s="2" t="s">
        <v>11</v>
      </c>
      <c r="B44" s="10">
        <v>7.9646017699115043E-2</v>
      </c>
      <c r="I44" s="2" t="s">
        <v>12</v>
      </c>
      <c r="J44" s="36">
        <v>1</v>
      </c>
      <c r="U44" s="1" t="s">
        <v>233</v>
      </c>
      <c r="V44" t="s">
        <v>441</v>
      </c>
    </row>
    <row r="45" spans="1:40" x14ac:dyDescent="0.25">
      <c r="A45" s="2" t="s">
        <v>130</v>
      </c>
      <c r="B45" s="10">
        <v>0.27876106194690264</v>
      </c>
      <c r="I45" s="2" t="s">
        <v>345</v>
      </c>
      <c r="J45" s="36">
        <v>1</v>
      </c>
      <c r="U45" s="2">
        <v>2006</v>
      </c>
      <c r="V45">
        <v>10</v>
      </c>
    </row>
    <row r="46" spans="1:40" x14ac:dyDescent="0.25">
      <c r="A46" s="2" t="s">
        <v>404</v>
      </c>
      <c r="B46" s="10">
        <v>0.6415929203539823</v>
      </c>
      <c r="I46" s="2" t="s">
        <v>18</v>
      </c>
      <c r="J46" s="36">
        <v>1</v>
      </c>
      <c r="U46" s="26" t="s">
        <v>365</v>
      </c>
      <c r="V46">
        <v>10</v>
      </c>
    </row>
    <row r="47" spans="1:40" x14ac:dyDescent="0.25">
      <c r="A47" s="2" t="s">
        <v>232</v>
      </c>
      <c r="B47" s="10">
        <v>1</v>
      </c>
      <c r="I47" s="2" t="s">
        <v>323</v>
      </c>
      <c r="J47" s="36">
        <v>1</v>
      </c>
      <c r="U47" s="2">
        <v>2007</v>
      </c>
      <c r="V47">
        <v>10</v>
      </c>
    </row>
    <row r="48" spans="1:40" x14ac:dyDescent="0.25">
      <c r="A48" s="2"/>
      <c r="B48" s="10"/>
      <c r="I48" s="2" t="s">
        <v>281</v>
      </c>
      <c r="J48" s="36">
        <v>1</v>
      </c>
      <c r="U48" s="26" t="s">
        <v>365</v>
      </c>
      <c r="V48">
        <v>10</v>
      </c>
    </row>
    <row r="49" spans="1:22" x14ac:dyDescent="0.25">
      <c r="I49" s="2" t="s">
        <v>391</v>
      </c>
      <c r="J49" s="36">
        <v>1</v>
      </c>
      <c r="U49" s="2">
        <v>2008</v>
      </c>
      <c r="V49">
        <v>20</v>
      </c>
    </row>
    <row r="50" spans="1:22" x14ac:dyDescent="0.25">
      <c r="A50" s="1" t="s">
        <v>233</v>
      </c>
      <c r="B50" t="s">
        <v>425</v>
      </c>
      <c r="I50" s="2" t="s">
        <v>459</v>
      </c>
      <c r="J50" s="36">
        <v>1</v>
      </c>
      <c r="U50" s="26" t="s">
        <v>368</v>
      </c>
      <c r="V50">
        <v>10</v>
      </c>
    </row>
    <row r="51" spans="1:22" x14ac:dyDescent="0.25">
      <c r="A51" s="2" t="s">
        <v>3</v>
      </c>
      <c r="B51" s="9">
        <v>1.8770491803278688</v>
      </c>
      <c r="I51" s="4" t="s">
        <v>232</v>
      </c>
      <c r="J51" s="36">
        <v>226</v>
      </c>
      <c r="U51" s="26" t="s">
        <v>155</v>
      </c>
      <c r="V51">
        <v>10</v>
      </c>
    </row>
    <row r="52" spans="1:22" x14ac:dyDescent="0.25">
      <c r="A52" s="2" t="s">
        <v>21</v>
      </c>
      <c r="B52" s="9">
        <v>2.1403508771929824</v>
      </c>
      <c r="U52" s="2">
        <v>2011</v>
      </c>
      <c r="V52">
        <v>10</v>
      </c>
    </row>
    <row r="53" spans="1:22" x14ac:dyDescent="0.25">
      <c r="A53" s="2" t="s">
        <v>29</v>
      </c>
      <c r="B53" s="9">
        <v>2.9642857142857144</v>
      </c>
      <c r="U53" s="26" t="s">
        <v>158</v>
      </c>
      <c r="V53">
        <v>10</v>
      </c>
    </row>
    <row r="54" spans="1:22" x14ac:dyDescent="0.25">
      <c r="A54" s="2" t="s">
        <v>32</v>
      </c>
      <c r="B54" s="9">
        <v>5.583333333333333</v>
      </c>
      <c r="U54" s="2">
        <v>2012</v>
      </c>
      <c r="V54">
        <v>40</v>
      </c>
    </row>
    <row r="55" spans="1:22" x14ac:dyDescent="0.25">
      <c r="A55" s="2" t="s">
        <v>69</v>
      </c>
      <c r="B55" s="9">
        <v>9.8000000000000007</v>
      </c>
      <c r="U55" s="26" t="s">
        <v>368</v>
      </c>
      <c r="V55">
        <v>10</v>
      </c>
    </row>
    <row r="56" spans="1:22" x14ac:dyDescent="0.25">
      <c r="A56" s="2" t="s">
        <v>163</v>
      </c>
      <c r="B56" s="9">
        <v>27</v>
      </c>
      <c r="U56" s="26" t="s">
        <v>160</v>
      </c>
      <c r="V56">
        <v>15</v>
      </c>
    </row>
    <row r="57" spans="1:22" x14ac:dyDescent="0.25">
      <c r="A57" s="2" t="s">
        <v>232</v>
      </c>
      <c r="B57" s="9">
        <v>2.6725663716814161</v>
      </c>
      <c r="U57" s="26" t="s">
        <v>161</v>
      </c>
      <c r="V57">
        <v>15</v>
      </c>
    </row>
    <row r="58" spans="1:22" x14ac:dyDescent="0.25">
      <c r="U58" s="2">
        <v>2013</v>
      </c>
      <c r="V58">
        <v>335</v>
      </c>
    </row>
    <row r="59" spans="1:22" x14ac:dyDescent="0.25">
      <c r="A59" s="1" t="s">
        <v>426</v>
      </c>
      <c r="B59" s="1" t="s">
        <v>419</v>
      </c>
      <c r="U59" s="26" t="s">
        <v>151</v>
      </c>
      <c r="V59">
        <v>25</v>
      </c>
    </row>
    <row r="60" spans="1:22" x14ac:dyDescent="0.25">
      <c r="A60" s="1" t="s">
        <v>233</v>
      </c>
      <c r="B60" t="s">
        <v>11</v>
      </c>
      <c r="C60" t="s">
        <v>130</v>
      </c>
      <c r="D60" t="s">
        <v>404</v>
      </c>
      <c r="U60" s="26" t="s">
        <v>152</v>
      </c>
      <c r="V60">
        <v>85</v>
      </c>
    </row>
    <row r="61" spans="1:22" x14ac:dyDescent="0.25">
      <c r="A61" s="2" t="s">
        <v>3</v>
      </c>
      <c r="B61" s="15">
        <v>9.8360655737704916E-2</v>
      </c>
      <c r="C61" s="15">
        <v>0.36065573770491804</v>
      </c>
      <c r="D61" s="15">
        <v>0.54098360655737709</v>
      </c>
      <c r="E61" s="15"/>
      <c r="U61" s="26" t="s">
        <v>367</v>
      </c>
      <c r="V61">
        <v>65</v>
      </c>
    </row>
    <row r="62" spans="1:22" x14ac:dyDescent="0.25">
      <c r="A62" s="2" t="s">
        <v>21</v>
      </c>
      <c r="B62" s="15">
        <v>8.771929824561403E-2</v>
      </c>
      <c r="C62" s="15">
        <v>0.26315789473684209</v>
      </c>
      <c r="D62" s="15">
        <v>0.64912280701754388</v>
      </c>
      <c r="E62" s="15"/>
      <c r="U62" s="26" t="s">
        <v>368</v>
      </c>
      <c r="V62">
        <v>110</v>
      </c>
    </row>
    <row r="63" spans="1:22" x14ac:dyDescent="0.25">
      <c r="A63" s="2" t="s">
        <v>29</v>
      </c>
      <c r="B63" s="15">
        <v>3.5714285714285712E-2</v>
      </c>
      <c r="C63" s="15">
        <v>0.10714285714285714</v>
      </c>
      <c r="D63" s="15">
        <v>0.8571428571428571</v>
      </c>
      <c r="E63" s="15"/>
      <c r="U63" s="26" t="s">
        <v>155</v>
      </c>
      <c r="V63">
        <v>50</v>
      </c>
    </row>
    <row r="64" spans="1:22" x14ac:dyDescent="0.25">
      <c r="A64" s="2" t="s">
        <v>32</v>
      </c>
      <c r="B64" s="15">
        <v>0</v>
      </c>
      <c r="C64" s="15">
        <v>8.3333333333333329E-2</v>
      </c>
      <c r="D64" s="15">
        <v>0.91666666666666663</v>
      </c>
      <c r="E64" s="15"/>
      <c r="U64" s="2">
        <v>2016</v>
      </c>
      <c r="V64">
        <v>20</v>
      </c>
    </row>
    <row r="65" spans="1:22" x14ac:dyDescent="0.25">
      <c r="A65" s="2" t="s">
        <v>69</v>
      </c>
      <c r="B65" s="15">
        <v>0</v>
      </c>
      <c r="C65" s="15">
        <v>0</v>
      </c>
      <c r="D65" s="15">
        <v>1</v>
      </c>
      <c r="E65" s="15"/>
      <c r="U65" s="26" t="s">
        <v>366</v>
      </c>
      <c r="V65">
        <v>10</v>
      </c>
    </row>
    <row r="66" spans="1:22" x14ac:dyDescent="0.25">
      <c r="A66" s="2" t="s">
        <v>163</v>
      </c>
      <c r="B66" s="15">
        <v>0</v>
      </c>
      <c r="C66" s="15">
        <v>0</v>
      </c>
      <c r="D66" s="15">
        <v>1</v>
      </c>
      <c r="E66" s="15"/>
      <c r="U66" s="26" t="s">
        <v>160</v>
      </c>
      <c r="V66">
        <v>10</v>
      </c>
    </row>
    <row r="67" spans="1:22" x14ac:dyDescent="0.25">
      <c r="U67" s="2">
        <v>2017</v>
      </c>
      <c r="V67">
        <v>450</v>
      </c>
    </row>
    <row r="68" spans="1:22" x14ac:dyDescent="0.25">
      <c r="A68" s="16" t="s">
        <v>233</v>
      </c>
      <c r="B68" s="16" t="s">
        <v>11</v>
      </c>
      <c r="C68" s="16" t="s">
        <v>130</v>
      </c>
      <c r="U68" s="26" t="s">
        <v>368</v>
      </c>
      <c r="V68">
        <v>35</v>
      </c>
    </row>
    <row r="69" spans="1:22" x14ac:dyDescent="0.25">
      <c r="A69" s="6" t="s">
        <v>3</v>
      </c>
      <c r="B69" s="17">
        <f>GETPIVOTDATA("[Measures].[Count of Belayer]",$A$59,"[SportClimbing].[Grade]","[SportClimbing].[Grade].&amp;[7a]","[SportClimbing].[onsight/flash/redpoint]","[SportClimbing].[onsight/flash/redpoint].&amp;[flash]")</f>
        <v>9.8360655737704916E-2</v>
      </c>
      <c r="C69" s="17">
        <f>GETPIVOTDATA("[Measures].[Count of Belayer]",$A$59,"[SportClimbing].[Grade]","[SportClimbing].[Grade].&amp;[7a]","[SportClimbing].[onsight/flash/redpoint]","[SportClimbing].[onsight/flash/redpoint].&amp;[onsight]")</f>
        <v>0.36065573770491804</v>
      </c>
      <c r="U69" s="26" t="s">
        <v>155</v>
      </c>
      <c r="V69">
        <v>10</v>
      </c>
    </row>
    <row r="70" spans="1:22" x14ac:dyDescent="0.25">
      <c r="A70" s="6" t="s">
        <v>21</v>
      </c>
      <c r="B70" s="17">
        <f>GETPIVOTDATA("[Measures].[Count of Belayer]",$A$59,"[SportClimbing].[Grade]","[SportClimbing].[Grade].&amp;[7a+]","[SportClimbing].[onsight/flash/redpoint]","[SportClimbing].[onsight/flash/redpoint].&amp;[flash]")</f>
        <v>8.771929824561403E-2</v>
      </c>
      <c r="C70" s="17">
        <f>GETPIVOTDATA("[Measures].[Count of Belayer]",$A$59,"[SportClimbing].[Grade]","[SportClimbing].[Grade].&amp;[7a+]","[SportClimbing].[onsight/flash/redpoint]","[SportClimbing].[onsight/flash/redpoint].&amp;[onsight]")</f>
        <v>0.26315789473684209</v>
      </c>
      <c r="U70" s="26" t="s">
        <v>366</v>
      </c>
      <c r="V70">
        <v>35</v>
      </c>
    </row>
    <row r="71" spans="1:22" x14ac:dyDescent="0.25">
      <c r="A71" s="6" t="s">
        <v>29</v>
      </c>
      <c r="B71" s="17">
        <f>GETPIVOTDATA("[Measures].[Count of Belayer]",$A$59,"[SportClimbing].[Grade]","[SportClimbing].[Grade].&amp;[7b]","[SportClimbing].[onsight/flash/redpoint]","[SportClimbing].[onsight/flash/redpoint].&amp;[flash]")</f>
        <v>3.5714285714285712E-2</v>
      </c>
      <c r="C71" s="17">
        <f>GETPIVOTDATA("[Measures].[Count of Belayer]",$A$59,"[SportClimbing].[Grade]","[SportClimbing].[Grade].&amp;[7b]","[SportClimbing].[onsight/flash/redpoint]","[SportClimbing].[onsight/flash/redpoint].&amp;[onsight]")</f>
        <v>0.10714285714285714</v>
      </c>
      <c r="U71" s="26" t="s">
        <v>365</v>
      </c>
      <c r="V71">
        <v>25</v>
      </c>
    </row>
    <row r="72" spans="1:22" x14ac:dyDescent="0.25">
      <c r="A72" s="6" t="s">
        <v>32</v>
      </c>
      <c r="B72" s="17">
        <f>GETPIVOTDATA("[Measures].[Count of Belayer]",$A$59,"[SportClimbing].[Grade]","[SportClimbing].[Grade].&amp;[7b+]","[SportClimbing].[onsight/flash/redpoint]","[SportClimbing].[onsight/flash/redpoint].&amp;[flash]")</f>
        <v>0</v>
      </c>
      <c r="C72" s="17">
        <f>GETPIVOTDATA("[Measures].[Count of Belayer]",$A$59,"[SportClimbing].[Grade]","[SportClimbing].[Grade].&amp;[7b+]","[SportClimbing].[onsight/flash/redpoint]","[SportClimbing].[onsight/flash/redpoint].&amp;[onsight]")</f>
        <v>8.3333333333333329E-2</v>
      </c>
      <c r="U72" s="26" t="s">
        <v>158</v>
      </c>
      <c r="V72">
        <v>10</v>
      </c>
    </row>
    <row r="73" spans="1:22" x14ac:dyDescent="0.25">
      <c r="A73" s="6" t="s">
        <v>69</v>
      </c>
      <c r="B73" s="17">
        <f>GETPIVOTDATA("[Measures].[Count of Belayer]",$A$59,"[SportClimbing].[Grade]","[SportClimbing].[Grade].&amp;[7c]","[SportClimbing].[onsight/flash/redpoint]","[SportClimbing].[onsight/flash/redpoint].&amp;[flash]")</f>
        <v>0</v>
      </c>
      <c r="C73" s="17">
        <f>GETPIVOTDATA("[Measures].[Count of Belayer]",$A$59,"[SportClimbing].[Grade]","[SportClimbing].[Grade].&amp;[7c]","[SportClimbing].[onsight/flash/redpoint]","[SportClimbing].[onsight/flash/redpoint].&amp;[onsight]")</f>
        <v>0</v>
      </c>
      <c r="U73" s="26" t="s">
        <v>159</v>
      </c>
      <c r="V73">
        <v>80</v>
      </c>
    </row>
    <row r="74" spans="1:22" x14ac:dyDescent="0.25">
      <c r="A74" s="6" t="s">
        <v>163</v>
      </c>
      <c r="B74" s="17">
        <f>GETPIVOTDATA("[Measures].[Count of Belayer]",$A$59,"[SportClimbing].[Grade]","[SportClimbing].[Grade].&amp;[7c+]","[SportClimbing].[onsight/flash/redpoint]","[SportClimbing].[onsight/flash/redpoint].&amp;[flash]")</f>
        <v>0</v>
      </c>
      <c r="C74" s="17">
        <f>GETPIVOTDATA("[Measures].[Count of Belayer]",$A$59,"[SportClimbing].[Grade]","[SportClimbing].[Grade].&amp;[7c+]","[SportClimbing].[onsight/flash/redpoint]","[SportClimbing].[onsight/flash/redpoint].&amp;[onsight]")</f>
        <v>0</v>
      </c>
      <c r="U74" s="26" t="s">
        <v>162</v>
      </c>
      <c r="V74">
        <v>90</v>
      </c>
    </row>
    <row r="75" spans="1:22" x14ac:dyDescent="0.25">
      <c r="U75" s="26" t="s">
        <v>160</v>
      </c>
      <c r="V75">
        <v>25</v>
      </c>
    </row>
    <row r="76" spans="1:22" x14ac:dyDescent="0.25">
      <c r="U76" s="26" t="s">
        <v>161</v>
      </c>
      <c r="V76">
        <v>140</v>
      </c>
    </row>
    <row r="77" spans="1:22" x14ac:dyDescent="0.25">
      <c r="U77" s="2">
        <v>2018</v>
      </c>
      <c r="V77">
        <v>500</v>
      </c>
    </row>
    <row r="78" spans="1:22" x14ac:dyDescent="0.25">
      <c r="U78" s="26" t="s">
        <v>151</v>
      </c>
      <c r="V78">
        <v>65</v>
      </c>
    </row>
    <row r="79" spans="1:22" x14ac:dyDescent="0.25">
      <c r="U79" s="26" t="s">
        <v>152</v>
      </c>
      <c r="V79">
        <v>85</v>
      </c>
    </row>
    <row r="80" spans="1:22" x14ac:dyDescent="0.25">
      <c r="U80" s="26" t="s">
        <v>367</v>
      </c>
      <c r="V80">
        <v>85</v>
      </c>
    </row>
    <row r="81" spans="21:22" x14ac:dyDescent="0.25">
      <c r="U81" s="26" t="s">
        <v>368</v>
      </c>
      <c r="V81">
        <v>175</v>
      </c>
    </row>
    <row r="82" spans="21:22" x14ac:dyDescent="0.25">
      <c r="U82" s="26" t="s">
        <v>155</v>
      </c>
      <c r="V82">
        <v>25</v>
      </c>
    </row>
    <row r="83" spans="21:22" x14ac:dyDescent="0.25">
      <c r="U83" s="26" t="s">
        <v>366</v>
      </c>
      <c r="V83">
        <v>30</v>
      </c>
    </row>
    <row r="84" spans="21:22" x14ac:dyDescent="0.25">
      <c r="U84" s="26" t="s">
        <v>159</v>
      </c>
      <c r="V84">
        <v>10</v>
      </c>
    </row>
    <row r="85" spans="21:22" x14ac:dyDescent="0.25">
      <c r="U85" s="26" t="s">
        <v>160</v>
      </c>
      <c r="V85">
        <v>25</v>
      </c>
    </row>
    <row r="86" spans="21:22" x14ac:dyDescent="0.25">
      <c r="U86" s="2">
        <v>2019</v>
      </c>
      <c r="V86">
        <v>110</v>
      </c>
    </row>
    <row r="87" spans="21:22" x14ac:dyDescent="0.25">
      <c r="U87" s="26" t="s">
        <v>368</v>
      </c>
      <c r="V87">
        <v>35</v>
      </c>
    </row>
    <row r="88" spans="21:22" x14ac:dyDescent="0.25">
      <c r="U88" s="26" t="s">
        <v>159</v>
      </c>
      <c r="V88">
        <v>15</v>
      </c>
    </row>
    <row r="89" spans="21:22" x14ac:dyDescent="0.25">
      <c r="U89" s="26" t="s">
        <v>160</v>
      </c>
      <c r="V89">
        <v>60</v>
      </c>
    </row>
    <row r="90" spans="21:22" x14ac:dyDescent="0.25">
      <c r="U90" s="2">
        <v>2020</v>
      </c>
      <c r="V90">
        <v>190</v>
      </c>
    </row>
    <row r="91" spans="21:22" x14ac:dyDescent="0.25">
      <c r="U91" s="26" t="s">
        <v>158</v>
      </c>
      <c r="V91">
        <v>40</v>
      </c>
    </row>
    <row r="92" spans="21:22" x14ac:dyDescent="0.25">
      <c r="U92" s="26" t="s">
        <v>159</v>
      </c>
      <c r="V92">
        <v>80</v>
      </c>
    </row>
    <row r="93" spans="21:22" x14ac:dyDescent="0.25">
      <c r="U93" s="26" t="s">
        <v>162</v>
      </c>
      <c r="V93">
        <v>70</v>
      </c>
    </row>
    <row r="94" spans="21:22" x14ac:dyDescent="0.25">
      <c r="U94" s="2">
        <v>2021</v>
      </c>
      <c r="V94">
        <v>290</v>
      </c>
    </row>
    <row r="95" spans="21:22" x14ac:dyDescent="0.25">
      <c r="U95" s="26" t="s">
        <v>368</v>
      </c>
      <c r="V95">
        <v>35</v>
      </c>
    </row>
    <row r="96" spans="21:22" x14ac:dyDescent="0.25">
      <c r="U96" s="26" t="s">
        <v>155</v>
      </c>
      <c r="V96">
        <v>105</v>
      </c>
    </row>
    <row r="97" spans="21:22" x14ac:dyDescent="0.25">
      <c r="U97" s="26" t="s">
        <v>366</v>
      </c>
      <c r="V97">
        <v>140</v>
      </c>
    </row>
    <row r="98" spans="21:22" x14ac:dyDescent="0.25">
      <c r="U98" s="26" t="s">
        <v>160</v>
      </c>
      <c r="V98">
        <v>10</v>
      </c>
    </row>
    <row r="99" spans="21:22" x14ac:dyDescent="0.25">
      <c r="U99" s="2">
        <v>2022</v>
      </c>
      <c r="V99">
        <v>290</v>
      </c>
    </row>
    <row r="100" spans="21:22" x14ac:dyDescent="0.25">
      <c r="U100" s="26" t="s">
        <v>151</v>
      </c>
      <c r="V100">
        <v>80</v>
      </c>
    </row>
    <row r="101" spans="21:22" x14ac:dyDescent="0.25">
      <c r="U101" s="26" t="s">
        <v>152</v>
      </c>
      <c r="V101">
        <v>45</v>
      </c>
    </row>
    <row r="102" spans="21:22" x14ac:dyDescent="0.25">
      <c r="U102" s="26" t="s">
        <v>367</v>
      </c>
      <c r="V102">
        <v>10</v>
      </c>
    </row>
    <row r="103" spans="21:22" x14ac:dyDescent="0.25">
      <c r="U103" s="26" t="s">
        <v>155</v>
      </c>
      <c r="V103">
        <v>10</v>
      </c>
    </row>
    <row r="104" spans="21:22" x14ac:dyDescent="0.25">
      <c r="U104" s="26" t="s">
        <v>366</v>
      </c>
      <c r="V104">
        <v>25</v>
      </c>
    </row>
    <row r="105" spans="21:22" x14ac:dyDescent="0.25">
      <c r="U105" s="26" t="s">
        <v>365</v>
      </c>
      <c r="V105">
        <v>40</v>
      </c>
    </row>
    <row r="106" spans="21:22" x14ac:dyDescent="0.25">
      <c r="U106" s="26" t="s">
        <v>159</v>
      </c>
      <c r="V106">
        <v>15</v>
      </c>
    </row>
    <row r="107" spans="21:22" x14ac:dyDescent="0.25">
      <c r="U107" s="26" t="s">
        <v>162</v>
      </c>
      <c r="V107">
        <v>20</v>
      </c>
    </row>
    <row r="108" spans="21:22" x14ac:dyDescent="0.25">
      <c r="U108" s="26" t="s">
        <v>160</v>
      </c>
      <c r="V108">
        <v>45</v>
      </c>
    </row>
    <row r="109" spans="21:22" x14ac:dyDescent="0.25">
      <c r="U109" s="2">
        <v>2023</v>
      </c>
      <c r="V109">
        <v>225</v>
      </c>
    </row>
    <row r="110" spans="21:22" x14ac:dyDescent="0.25">
      <c r="U110" s="26" t="s">
        <v>152</v>
      </c>
      <c r="V110">
        <v>125</v>
      </c>
    </row>
    <row r="111" spans="21:22" x14ac:dyDescent="0.25">
      <c r="U111" s="26" t="s">
        <v>367</v>
      </c>
      <c r="V111">
        <v>10</v>
      </c>
    </row>
    <row r="112" spans="21:22" x14ac:dyDescent="0.25">
      <c r="U112" s="26" t="s">
        <v>155</v>
      </c>
      <c r="V112">
        <v>10</v>
      </c>
    </row>
    <row r="113" spans="21:22" x14ac:dyDescent="0.25">
      <c r="U113" s="26" t="s">
        <v>366</v>
      </c>
      <c r="V113">
        <v>10</v>
      </c>
    </row>
    <row r="114" spans="21:22" x14ac:dyDescent="0.25">
      <c r="U114" s="26" t="s">
        <v>365</v>
      </c>
      <c r="V114">
        <v>30</v>
      </c>
    </row>
    <row r="115" spans="21:22" x14ac:dyDescent="0.25">
      <c r="U115" s="26" t="s">
        <v>159</v>
      </c>
      <c r="V115">
        <v>10</v>
      </c>
    </row>
    <row r="116" spans="21:22" x14ac:dyDescent="0.25">
      <c r="U116" s="26" t="s">
        <v>162</v>
      </c>
      <c r="V116">
        <v>10</v>
      </c>
    </row>
    <row r="117" spans="21:22" x14ac:dyDescent="0.25">
      <c r="U117" s="26" t="s">
        <v>160</v>
      </c>
      <c r="V117">
        <v>20</v>
      </c>
    </row>
    <row r="118" spans="21:22" x14ac:dyDescent="0.25">
      <c r="U118" s="2">
        <v>2024</v>
      </c>
      <c r="V118">
        <v>195</v>
      </c>
    </row>
    <row r="119" spans="21:22" x14ac:dyDescent="0.25">
      <c r="U119" s="26" t="s">
        <v>151</v>
      </c>
      <c r="V119">
        <v>10</v>
      </c>
    </row>
    <row r="120" spans="21:22" x14ac:dyDescent="0.25">
      <c r="U120" s="26" t="s">
        <v>367</v>
      </c>
      <c r="V120">
        <v>25</v>
      </c>
    </row>
    <row r="121" spans="21:22" x14ac:dyDescent="0.25">
      <c r="U121" s="26" t="s">
        <v>368</v>
      </c>
      <c r="V121">
        <v>20</v>
      </c>
    </row>
    <row r="122" spans="21:22" x14ac:dyDescent="0.25">
      <c r="U122" s="26" t="s">
        <v>155</v>
      </c>
      <c r="V122">
        <v>15</v>
      </c>
    </row>
    <row r="123" spans="21:22" x14ac:dyDescent="0.25">
      <c r="U123" s="26" t="s">
        <v>159</v>
      </c>
      <c r="V123">
        <v>50</v>
      </c>
    </row>
    <row r="124" spans="21:22" x14ac:dyDescent="0.25">
      <c r="U124" s="26" t="s">
        <v>162</v>
      </c>
      <c r="V124">
        <v>15</v>
      </c>
    </row>
    <row r="125" spans="21:22" x14ac:dyDescent="0.25">
      <c r="U125" s="26" t="s">
        <v>160</v>
      </c>
      <c r="V125">
        <v>60</v>
      </c>
    </row>
    <row r="126" spans="21:22" x14ac:dyDescent="0.25">
      <c r="U126" s="2">
        <v>2025</v>
      </c>
      <c r="V126">
        <v>755</v>
      </c>
    </row>
    <row r="127" spans="21:22" x14ac:dyDescent="0.25">
      <c r="U127" s="26" t="s">
        <v>367</v>
      </c>
      <c r="V127">
        <v>270</v>
      </c>
    </row>
    <row r="128" spans="21:22" x14ac:dyDescent="0.25">
      <c r="U128" s="26" t="s">
        <v>368</v>
      </c>
      <c r="V128">
        <v>105</v>
      </c>
    </row>
    <row r="129" spans="21:22" x14ac:dyDescent="0.25">
      <c r="U129" s="26" t="s">
        <v>155</v>
      </c>
      <c r="V129">
        <v>80</v>
      </c>
    </row>
    <row r="130" spans="21:22" x14ac:dyDescent="0.25">
      <c r="U130" s="26" t="s">
        <v>366</v>
      </c>
      <c r="V130">
        <v>80</v>
      </c>
    </row>
    <row r="131" spans="21:22" x14ac:dyDescent="0.25">
      <c r="U131" s="26" t="s">
        <v>365</v>
      </c>
      <c r="V131">
        <v>40</v>
      </c>
    </row>
    <row r="132" spans="21:22" x14ac:dyDescent="0.25">
      <c r="U132" s="26" t="s">
        <v>158</v>
      </c>
      <c r="V132">
        <v>45</v>
      </c>
    </row>
    <row r="133" spans="21:22" x14ac:dyDescent="0.25">
      <c r="U133" s="26" t="s">
        <v>159</v>
      </c>
      <c r="V133">
        <v>20</v>
      </c>
    </row>
    <row r="134" spans="21:22" x14ac:dyDescent="0.25">
      <c r="U134" s="26" t="s">
        <v>162</v>
      </c>
      <c r="V134">
        <v>105</v>
      </c>
    </row>
    <row r="135" spans="21:22" x14ac:dyDescent="0.25">
      <c r="U135" s="26" t="s">
        <v>161</v>
      </c>
      <c r="V135">
        <v>10</v>
      </c>
    </row>
    <row r="136" spans="21:22" x14ac:dyDescent="0.25">
      <c r="U136" s="2">
        <v>2026</v>
      </c>
      <c r="V136">
        <v>95</v>
      </c>
    </row>
    <row r="137" spans="21:22" x14ac:dyDescent="0.25">
      <c r="U137" s="26" t="s">
        <v>152</v>
      </c>
      <c r="V137">
        <v>20</v>
      </c>
    </row>
    <row r="138" spans="21:22" x14ac:dyDescent="0.25">
      <c r="U138" s="26" t="s">
        <v>367</v>
      </c>
      <c r="V138">
        <v>75</v>
      </c>
    </row>
    <row r="139" spans="21:22" x14ac:dyDescent="0.25">
      <c r="U139" s="2" t="s">
        <v>232</v>
      </c>
      <c r="V139">
        <v>3545</v>
      </c>
    </row>
  </sheetData>
  <mergeCells count="8">
    <mergeCell ref="A2:C2"/>
    <mergeCell ref="I2:M2"/>
    <mergeCell ref="U2:Y2"/>
    <mergeCell ref="AL2:AN2"/>
    <mergeCell ref="AA25:AG25"/>
    <mergeCell ref="AA2:AG2"/>
    <mergeCell ref="F2:G2"/>
    <mergeCell ref="O2:S2"/>
  </mergeCells>
  <conditionalFormatting pivot="1" sqref="AB31:AI37">
    <cfRule type="colorScale" priority="1">
      <colorScale>
        <cfvo type="min"/>
        <cfvo type="percentile" val="50"/>
        <cfvo type="max"/>
        <color rgb="FF5A8AC6"/>
        <color rgb="FFFCFCFF"/>
        <color rgb="FFF8696B"/>
      </colorScale>
    </cfRule>
  </conditionalFormatting>
  <pageMargins left="0.7" right="0.7" top="0.75" bottom="0.75" header="0.3" footer="0.3"/>
  <drawing r:id="rId1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EDF08-8F91-4AAA-8F54-2A151311C853}">
  <sheetPr codeName="Sheet4">
    <tabColor theme="9" tint="0.59999389629810485"/>
  </sheetPr>
  <dimension ref="A1:M22"/>
  <sheetViews>
    <sheetView workbookViewId="0">
      <selection activeCell="K11" sqref="K11"/>
    </sheetView>
  </sheetViews>
  <sheetFormatPr defaultRowHeight="13.2" x14ac:dyDescent="0.25"/>
  <cols>
    <col min="1" max="1" width="9.21875" bestFit="1" customWidth="1"/>
    <col min="3" max="5" width="12.5546875" bestFit="1" customWidth="1"/>
    <col min="7" max="7" width="10.88671875" bestFit="1" customWidth="1"/>
    <col min="8" max="8" width="9.77734375" bestFit="1" customWidth="1"/>
    <col min="9" max="12" width="9.77734375" customWidth="1"/>
  </cols>
  <sheetData>
    <row r="1" spans="1:13" x14ac:dyDescent="0.25">
      <c r="A1" t="s">
        <v>355</v>
      </c>
      <c r="C1" t="s">
        <v>363</v>
      </c>
      <c r="D1" t="s">
        <v>364</v>
      </c>
      <c r="E1" t="s">
        <v>369</v>
      </c>
      <c r="G1" t="s">
        <v>405</v>
      </c>
      <c r="I1" t="s">
        <v>442</v>
      </c>
      <c r="J1" t="s">
        <v>440</v>
      </c>
    </row>
    <row r="2" spans="1:13" x14ac:dyDescent="0.25">
      <c r="A2">
        <v>2006</v>
      </c>
      <c r="C2" t="s">
        <v>359</v>
      </c>
      <c r="D2" t="s">
        <v>151</v>
      </c>
      <c r="E2">
        <v>1</v>
      </c>
      <c r="G2" t="s">
        <v>3</v>
      </c>
      <c r="I2" t="s">
        <v>3</v>
      </c>
      <c r="J2">
        <v>10</v>
      </c>
    </row>
    <row r="3" spans="1:13" x14ac:dyDescent="0.25">
      <c r="A3">
        <v>2007</v>
      </c>
      <c r="C3" t="s">
        <v>360</v>
      </c>
      <c r="D3" t="s">
        <v>152</v>
      </c>
      <c r="E3">
        <v>2</v>
      </c>
      <c r="G3" t="s">
        <v>21</v>
      </c>
      <c r="I3" t="s">
        <v>21</v>
      </c>
      <c r="J3">
        <v>15</v>
      </c>
    </row>
    <row r="4" spans="1:13" x14ac:dyDescent="0.25">
      <c r="A4">
        <v>2008</v>
      </c>
      <c r="C4" t="s">
        <v>153</v>
      </c>
      <c r="D4" t="s">
        <v>367</v>
      </c>
      <c r="E4">
        <v>3</v>
      </c>
      <c r="G4" t="s">
        <v>29</v>
      </c>
      <c r="I4" t="s">
        <v>29</v>
      </c>
      <c r="J4">
        <v>25</v>
      </c>
    </row>
    <row r="5" spans="1:13" x14ac:dyDescent="0.25">
      <c r="A5">
        <v>2009</v>
      </c>
      <c r="C5" t="s">
        <v>154</v>
      </c>
      <c r="D5" t="s">
        <v>368</v>
      </c>
      <c r="E5">
        <v>4</v>
      </c>
      <c r="G5" t="s">
        <v>32</v>
      </c>
      <c r="I5" t="s">
        <v>32</v>
      </c>
      <c r="J5">
        <v>40</v>
      </c>
    </row>
    <row r="6" spans="1:13" x14ac:dyDescent="0.25">
      <c r="A6">
        <v>2010</v>
      </c>
      <c r="C6" t="s">
        <v>155</v>
      </c>
      <c r="D6" t="s">
        <v>155</v>
      </c>
      <c r="E6">
        <v>5</v>
      </c>
      <c r="G6" t="s">
        <v>69</v>
      </c>
      <c r="I6" t="s">
        <v>69</v>
      </c>
      <c r="J6">
        <v>60</v>
      </c>
    </row>
    <row r="7" spans="1:13" x14ac:dyDescent="0.25">
      <c r="A7">
        <v>2011</v>
      </c>
      <c r="C7" t="s">
        <v>156</v>
      </c>
      <c r="D7" t="s">
        <v>366</v>
      </c>
      <c r="E7">
        <v>6</v>
      </c>
      <c r="G7" t="s">
        <v>163</v>
      </c>
      <c r="I7" t="s">
        <v>163</v>
      </c>
      <c r="J7">
        <v>80</v>
      </c>
    </row>
    <row r="8" spans="1:13" x14ac:dyDescent="0.25">
      <c r="A8">
        <v>2012</v>
      </c>
      <c r="C8" t="s">
        <v>157</v>
      </c>
      <c r="D8" t="s">
        <v>365</v>
      </c>
      <c r="E8">
        <v>7</v>
      </c>
      <c r="G8" t="s">
        <v>439</v>
      </c>
      <c r="I8" t="s">
        <v>439</v>
      </c>
      <c r="J8">
        <v>100</v>
      </c>
    </row>
    <row r="9" spans="1:13" x14ac:dyDescent="0.25">
      <c r="A9">
        <v>2013</v>
      </c>
      <c r="C9" t="s">
        <v>356</v>
      </c>
      <c r="D9" t="s">
        <v>158</v>
      </c>
      <c r="E9">
        <v>8</v>
      </c>
      <c r="G9" t="s">
        <v>514</v>
      </c>
      <c r="I9" t="s">
        <v>514</v>
      </c>
      <c r="J9">
        <v>150</v>
      </c>
    </row>
    <row r="10" spans="1:13" x14ac:dyDescent="0.25">
      <c r="A10">
        <v>2014</v>
      </c>
      <c r="C10" t="s">
        <v>361</v>
      </c>
      <c r="D10" t="s">
        <v>159</v>
      </c>
      <c r="E10">
        <v>9</v>
      </c>
    </row>
    <row r="11" spans="1:13" x14ac:dyDescent="0.25">
      <c r="A11">
        <v>2015</v>
      </c>
      <c r="C11" t="s">
        <v>362</v>
      </c>
      <c r="D11" t="s">
        <v>162</v>
      </c>
      <c r="E11">
        <v>10</v>
      </c>
    </row>
    <row r="12" spans="1:13" x14ac:dyDescent="0.25">
      <c r="A12">
        <v>2016</v>
      </c>
      <c r="C12" t="s">
        <v>357</v>
      </c>
      <c r="D12" t="s">
        <v>160</v>
      </c>
      <c r="E12">
        <v>11</v>
      </c>
    </row>
    <row r="13" spans="1:13" x14ac:dyDescent="0.25">
      <c r="A13">
        <v>2017</v>
      </c>
      <c r="C13" t="s">
        <v>358</v>
      </c>
      <c r="D13" t="s">
        <v>161</v>
      </c>
      <c r="E13">
        <v>12</v>
      </c>
    </row>
    <row r="14" spans="1:13" x14ac:dyDescent="0.25">
      <c r="A14">
        <v>2018</v>
      </c>
    </row>
    <row r="15" spans="1:13" x14ac:dyDescent="0.25">
      <c r="A15">
        <v>2019</v>
      </c>
    </row>
    <row r="16" spans="1:13" x14ac:dyDescent="0.25">
      <c r="A16">
        <v>2020</v>
      </c>
    </row>
    <row r="17" spans="1:1" x14ac:dyDescent="0.25">
      <c r="A17">
        <v>2021</v>
      </c>
    </row>
    <row r="18" spans="1:1" x14ac:dyDescent="0.25">
      <c r="A18">
        <v>2022</v>
      </c>
    </row>
    <row r="19" spans="1:1" x14ac:dyDescent="0.25">
      <c r="A19">
        <v>2023</v>
      </c>
    </row>
    <row r="20" spans="1:1" x14ac:dyDescent="0.25">
      <c r="A20">
        <v>2024</v>
      </c>
    </row>
    <row r="21" spans="1:1" x14ac:dyDescent="0.25">
      <c r="A21">
        <v>2025</v>
      </c>
    </row>
    <row r="22" spans="1:1" x14ac:dyDescent="0.25">
      <c r="A22">
        <v>2026</v>
      </c>
    </row>
  </sheetData>
  <phoneticPr fontId="2" type="noConversion"/>
  <pageMargins left="0.7" right="0.7" top="0.75" bottom="0.75" header="0.3" footer="0.3"/>
  <legacyDrawing r:id="rId1"/>
  <tableParts count="4">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4E7D7996-E24C-4A79-816F-264DE0E703E2}">
  <ds:schemaRefs>
    <ds:schemaRef ds:uri="http://gemini/pivotcustomization/ShowImplicitMeasures"/>
  </ds:schemaRefs>
</ds:datastoreItem>
</file>

<file path=customXml/itemProps2.xml><?xml version="1.0" encoding="utf-8"?>
<ds:datastoreItem xmlns:ds="http://schemas.openxmlformats.org/officeDocument/2006/customXml" ds:itemID="{DE5384C8-4EE0-48D0-BE86-A3A7DCB1A787}">
  <ds:schemaRefs>
    <ds:schemaRef ds:uri="http://gemini/pivotcustomization/ShowHidden"/>
  </ds:schemaRefs>
</ds:datastoreItem>
</file>

<file path=customXml/itemProps3.xml><?xml version="1.0" encoding="utf-8"?>
<ds:datastoreItem xmlns:ds="http://schemas.openxmlformats.org/officeDocument/2006/customXml" ds:itemID="{ADB7EC15-B468-4585-8BAA-F5359E923585}">
  <ds:schemaRefs>
    <ds:schemaRef ds:uri="http://gemini/pivotcustomization/TableWidget"/>
  </ds:schemaRefs>
</ds:datastoreItem>
</file>

<file path=customXml/itemProps4.xml><?xml version="1.0" encoding="utf-8"?>
<ds:datastoreItem xmlns:ds="http://schemas.openxmlformats.org/officeDocument/2006/customXml" ds:itemID="{770F313B-F554-4FA0-B7C8-2BB721D1E244}">
  <ds:schemaRefs>
    <ds:schemaRef ds:uri="http://gemini/pivotcustomization/ManualCalcMode"/>
  </ds:schemaRefs>
</ds:datastoreItem>
</file>

<file path=customXml/itemProps5.xml><?xml version="1.0" encoding="utf-8"?>
<ds:datastoreItem xmlns:ds="http://schemas.openxmlformats.org/officeDocument/2006/customXml" ds:itemID="{6D4FC956-7989-40ED-BA5E-1F697686E1A1}">
  <ds:schemaRefs>
    <ds:schemaRef ds:uri="http://gemini/pivotcustomization/TableOrder"/>
  </ds:schemaRefs>
</ds:datastoreItem>
</file>

<file path=customXml/itemProps6.xml><?xml version="1.0" encoding="utf-8"?>
<ds:datastoreItem xmlns:ds="http://schemas.openxmlformats.org/officeDocument/2006/customXml" ds:itemID="{3B1434EB-3BD9-4A05-A29D-45630C802FA9}">
  <ds:schemaRefs/>
</ds:datastoreItem>
</file>

<file path=customXml/itemProps7.xml><?xml version="1.0" encoding="utf-8"?>
<ds:datastoreItem xmlns:ds="http://schemas.openxmlformats.org/officeDocument/2006/customXml" ds:itemID="{18E3C73A-E7C2-44AC-8229-922530DBB2CB}">
  <ds:schemaRefs>
    <ds:schemaRef ds:uri="http://gemini/pivotcustomization/TableXML_GRADES"/>
  </ds:schemaRefs>
</ds:datastoreItem>
</file>

<file path=customXml/itemProps8.xml><?xml version="1.0" encoding="utf-8"?>
<ds:datastoreItem xmlns:ds="http://schemas.openxmlformats.org/officeDocument/2006/customXml" ds:itemID="{7FE0BF0E-6351-4D1D-9C4F-4CD0E584E04E}">
  <ds:schemaRefs/>
</ds:datastoreItem>
</file>

<file path=customXml/itemProps9.xml><?xml version="1.0" encoding="utf-8"?>
<ds:datastoreItem xmlns:ds="http://schemas.openxmlformats.org/officeDocument/2006/customXml" ds:itemID="{6762C802-A2A4-49C2-8CE0-E1ADC23F5280}">
  <ds:schemaRefs>
    <ds:schemaRef ds:uri="http://gemini/pivotcustomization/TableXML_MONTHS"/>
  </ds:schemaRefs>
</ds:datastoreItem>
</file>

<file path=customXml/itemProps10.xml><?xml version="1.0" encoding="utf-8"?>
<ds:datastoreItem xmlns:ds="http://schemas.openxmlformats.org/officeDocument/2006/customXml" ds:itemID="{8EA1DE6E-EEDE-465C-890A-110EE8903A8C}">
  <ds:schemaRefs>
    <ds:schemaRef ds:uri="http://gemini/pivotcustomization/TableXML_Years3"/>
  </ds:schemaRefs>
</ds:datastoreItem>
</file>

<file path=customXml/itemProps11.xml><?xml version="1.0" encoding="utf-8"?>
<ds:datastoreItem xmlns:ds="http://schemas.openxmlformats.org/officeDocument/2006/customXml" ds:itemID="{D64F9C9B-4F92-4D8A-82F3-574537A57134}">
  <ds:schemaRefs/>
</ds:datastoreItem>
</file>

<file path=customXml/itemProps12.xml><?xml version="1.0" encoding="utf-8"?>
<ds:datastoreItem xmlns:ds="http://schemas.openxmlformats.org/officeDocument/2006/customXml" ds:itemID="{53BE68E1-6F92-4A1C-93DE-E308885B49CC}">
  <ds:schemaRefs>
    <ds:schemaRef ds:uri="http://gemini/pivotcustomization/ClientWindowXML"/>
  </ds:schemaRefs>
</ds:datastoreItem>
</file>

<file path=customXml/itemProps13.xml><?xml version="1.0" encoding="utf-8"?>
<ds:datastoreItem xmlns:ds="http://schemas.openxmlformats.org/officeDocument/2006/customXml" ds:itemID="{F1C3DFF6-546E-410F-9BE2-038277E51682}">
  <ds:schemaRefs>
    <ds:schemaRef ds:uri="http://gemini/pivotcustomization/MeasureGridState"/>
  </ds:schemaRefs>
</ds:datastoreItem>
</file>

<file path=customXml/itemProps14.xml><?xml version="1.0" encoding="utf-8"?>
<ds:datastoreItem xmlns:ds="http://schemas.openxmlformats.org/officeDocument/2006/customXml" ds:itemID="{05CB22FE-FECB-45E0-A3C8-8E9AAD8157A6}">
  <ds:schemaRefs/>
</ds:datastoreItem>
</file>

<file path=customXml/itemProps15.xml><?xml version="1.0" encoding="utf-8"?>
<ds:datastoreItem xmlns:ds="http://schemas.openxmlformats.org/officeDocument/2006/customXml" ds:itemID="{C8316F3B-9529-4A3D-BD1E-25FE735A6E57}">
  <ds:schemaRefs/>
</ds:datastoreItem>
</file>

<file path=customXml/itemProps16.xml><?xml version="1.0" encoding="utf-8"?>
<ds:datastoreItem xmlns:ds="http://schemas.openxmlformats.org/officeDocument/2006/customXml" ds:itemID="{8E0F24F3-C0E9-449F-B688-77A7DFD38F09}">
  <ds:schemaRefs>
    <ds:schemaRef ds:uri="http://gemini/pivotcustomization/FormulaBarState"/>
  </ds:schemaRefs>
</ds:datastoreItem>
</file>

<file path=customXml/itemProps17.xml><?xml version="1.0" encoding="utf-8"?>
<ds:datastoreItem xmlns:ds="http://schemas.openxmlformats.org/officeDocument/2006/customXml" ds:itemID="{A4D24252-5665-426C-9C48-C4A54AC52032}">
  <ds:schemaRefs>
    <ds:schemaRef ds:uri="http://gemini/pivotcustomization/TableXML_SportClimbing"/>
  </ds:schemaRefs>
</ds:datastoreItem>
</file>

<file path=customXml/itemProps18.xml><?xml version="1.0" encoding="utf-8"?>
<ds:datastoreItem xmlns:ds="http://schemas.openxmlformats.org/officeDocument/2006/customXml" ds:itemID="{E2948CCF-8C3D-4458-B583-D98867966D63}">
  <ds:schemaRefs>
    <ds:schemaRef ds:uri="http://gemini/pivotcustomization/LinkedTableUpdateMode"/>
  </ds:schemaRefs>
</ds:datastoreItem>
</file>

<file path=customXml/itemProps19.xml><?xml version="1.0" encoding="utf-8"?>
<ds:datastoreItem xmlns:ds="http://schemas.openxmlformats.org/officeDocument/2006/customXml" ds:itemID="{0BFDF83C-55EF-45CE-84C5-DA16D7BE9A86}">
  <ds:schemaRefs>
    <ds:schemaRef ds:uri="http://gemini/pivotcustomization/TableXML_Years"/>
  </ds:schemaRefs>
</ds:datastoreItem>
</file>

<file path=customXml/itemProps20.xml><?xml version="1.0" encoding="utf-8"?>
<ds:datastoreItem xmlns:ds="http://schemas.openxmlformats.org/officeDocument/2006/customXml" ds:itemID="{41329B92-25FF-4F3F-A4A0-DDE64A58BE2A}">
  <ds:schemaRefs>
    <ds:schemaRef ds:uri="http://gemini/pivotcustomization/Diagrams"/>
  </ds:schemaRefs>
</ds:datastoreItem>
</file>

<file path=customXml/itemProps21.xml><?xml version="1.0" encoding="utf-8"?>
<ds:datastoreItem xmlns:ds="http://schemas.openxmlformats.org/officeDocument/2006/customXml" ds:itemID="{CCB5A8B8-789C-43BE-854E-1DB53E81B2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PIVOTS &amp; CALCULATIONS</vt:lpstr>
      <vt:lpstr>DATES &amp; GRADES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Malharin, Frederic (external - Service)</dc:creator>
  <cp:lastModifiedBy>Frédéric Malharin</cp:lastModifiedBy>
  <cp:lastPrinted>2025-07-08T10:47:21Z</cp:lastPrinted>
  <dcterms:created xsi:type="dcterms:W3CDTF">2018-02-26T15:29:07Z</dcterms:created>
  <dcterms:modified xsi:type="dcterms:W3CDTF">2026-05-04T06:41:39Z</dcterms:modified>
</cp:coreProperties>
</file>